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Nicholas Song\Downloads\"/>
    </mc:Choice>
  </mc:AlternateContent>
  <xr:revisionPtr revIDLastSave="0" documentId="13_ncr:1_{E4E1ED7E-8FE0-4B29-AEA2-F58FF9E52CFA}" xr6:coauthVersionLast="47" xr6:coauthVersionMax="47" xr10:uidLastSave="{00000000-0000-0000-0000-000000000000}"/>
  <bookViews>
    <workbookView xWindow="15255" yWindow="0" windowWidth="26970" windowHeight="14820" tabRatio="708" xr2:uid="{26E7B7BE-8825-4F92-A6A5-9AC11E8CEE1E}"/>
  </bookViews>
  <sheets>
    <sheet name="Summary Sheets" sheetId="98" r:id="rId1"/>
    <sheet name="Base" sheetId="5" r:id="rId2"/>
    <sheet name="CAPEX" sheetId="18" r:id="rId3"/>
    <sheet name="P&amp;Ls" sheetId="9" r:id="rId4"/>
    <sheet name="Summary" sheetId="34" r:id="rId5"/>
    <sheet name="JV1" sheetId="84" r:id="rId6"/>
    <sheet name="JV2" sheetId="85" r:id="rId7"/>
    <sheet name="All" sheetId="26" r:id="rId8"/>
    <sheet name="JV1-Monthly" sheetId="99" r:id="rId9"/>
    <sheet name="JV2-Monthly" sheetId="100" r:id="rId10"/>
    <sheet name="Monthly" sheetId="78" r:id="rId11"/>
    <sheet name="Corp." sheetId="17" r:id="rId12"/>
    <sheet name="QTR" sheetId="96" r:id="rId13"/>
    <sheet name="Sites" sheetId="69" r:id="rId14"/>
    <sheet name="MS" sheetId="77" r:id="rId15"/>
    <sheet name="AAPL" sheetId="79" r:id="rId16"/>
    <sheet name="NF" sheetId="80" r:id="rId17"/>
    <sheet name="META" sheetId="81" r:id="rId18"/>
    <sheet name="MDA1" sheetId="22" r:id="rId19"/>
    <sheet name="MDB1" sheetId="27" r:id="rId20"/>
    <sheet name="MDA3" sheetId="13" r:id="rId21"/>
    <sheet name="MDB2" sheetId="88" r:id="rId22"/>
    <sheet name="GBA1" sheetId="23" r:id="rId23"/>
    <sheet name="GBB1" sheetId="29" r:id="rId24"/>
    <sheet name="AZB1" sheetId="24" r:id="rId25"/>
    <sheet name="NJA1" sheetId="19" r:id="rId26"/>
    <sheet name="NJA2" sheetId="30" r:id="rId27"/>
    <sheet name="NJA3" sheetId="33" r:id="rId28"/>
    <sheet name="NJB1" sheetId="32" r:id="rId29"/>
    <sheet name="NJA4" sheetId="31" r:id="rId30"/>
    <sheet name="NJB2" sheetId="25" r:id="rId31"/>
    <sheet name="NJA5" sheetId="50" r:id="rId32"/>
    <sheet name="NJB3" sheetId="35" r:id="rId33"/>
    <sheet name="NJA6" sheetId="51" r:id="rId34"/>
    <sheet name="NJA7" sheetId="52" r:id="rId35"/>
    <sheet name="NJB4" sheetId="37" r:id="rId36"/>
    <sheet name="NJ2601-C" sheetId="65" r:id="rId37"/>
    <sheet name="NJ2601-H" sheetId="66" r:id="rId38"/>
    <sheet name="NJ2602-C" sheetId="67" r:id="rId39"/>
    <sheet name="NJ2602-H" sheetId="68" r:id="rId40"/>
    <sheet name="NJ2701-C" sheetId="53" r:id="rId41"/>
    <sheet name="NJ2701-H" sheetId="38" r:id="rId42"/>
    <sheet name="NJ2702-C" sheetId="54" r:id="rId43"/>
    <sheet name="NJ2702-H" sheetId="39" r:id="rId44"/>
    <sheet name="NJ2703-C" sheetId="55" r:id="rId45"/>
    <sheet name="NJ2704-C" sheetId="56" r:id="rId46"/>
    <sheet name="NJ2704-H" sheetId="41" r:id="rId47"/>
    <sheet name="NJ2705-C" sheetId="57" r:id="rId48"/>
    <sheet name="NJ2801-C" sheetId="59" r:id="rId49"/>
    <sheet name="NJ2801-H" sheetId="44" r:id="rId50"/>
    <sheet name="NJ2802-C" sheetId="60" r:id="rId51"/>
    <sheet name="NJ2802-H" sheetId="45" r:id="rId52"/>
    <sheet name="NJ2803-C" sheetId="61" r:id="rId53"/>
    <sheet name="NJ2804-C" sheetId="62" r:id="rId54"/>
    <sheet name="NJ2805-C" sheetId="63" r:id="rId55"/>
    <sheet name="NJ2806-H" sheetId="49" r:id="rId56"/>
    <sheet name="MD2601-C" sheetId="70" r:id="rId57"/>
    <sheet name="MD2601-H" sheetId="91" r:id="rId58"/>
    <sheet name="MD2701-C" sheetId="71" r:id="rId59"/>
    <sheet name="MD2801-C" sheetId="72" r:id="rId60"/>
    <sheet name="NC2601-C" sheetId="74" r:id="rId61"/>
    <sheet name="NC-2026-02" sheetId="48" r:id="rId62"/>
    <sheet name="NC2701-C" sheetId="75" r:id="rId63"/>
    <sheet name="AZB2" sheetId="89" r:id="rId64"/>
    <sheet name="AZB3" sheetId="90" r:id="rId65"/>
    <sheet name="NCA9" sheetId="73" r:id="rId66"/>
  </sheets>
  <definedNames>
    <definedName name="_xlnm.Print_Area" localSheetId="0">'Summary Sheets'!$A$1:$BH$31</definedName>
    <definedName name="_xlnm.Print_Titles" localSheetId="7">All!$A:$D</definedName>
    <definedName name="_xlnm.Print_Titles" localSheetId="5">'JV1'!$A:$C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7" i="73" l="1" a="1"/>
  <c r="E7" i="73" s="1"/>
  <c r="E33" i="73" s="1" a="1"/>
  <c r="E7" i="90" a="1"/>
  <c r="E7" i="90" s="1"/>
  <c r="E33" i="90" s="1" a="1"/>
  <c r="E7" i="89" a="1"/>
  <c r="E7" i="89" s="1"/>
  <c r="E33" i="89" s="1" a="1"/>
  <c r="E7" i="75" a="1"/>
  <c r="E7" i="75" s="1"/>
  <c r="E33" i="75" s="1" a="1"/>
  <c r="E7" i="48" a="1"/>
  <c r="E7" i="48" s="1"/>
  <c r="E33" i="48" s="1" a="1"/>
  <c r="E7" i="74" a="1"/>
  <c r="E7" i="74" s="1"/>
  <c r="E33" i="74" s="1" a="1"/>
  <c r="E7" i="72" a="1"/>
  <c r="E7" i="72" s="1"/>
  <c r="E33" i="72" s="1" a="1"/>
  <c r="E7" i="71" a="1"/>
  <c r="E7" i="71" s="1"/>
  <c r="E33" i="71" s="1" a="1"/>
  <c r="E7" i="91" a="1"/>
  <c r="E7" i="91" s="1"/>
  <c r="E33" i="91" s="1" a="1"/>
  <c r="E7" i="70" a="1"/>
  <c r="E7" i="70" s="1"/>
  <c r="E33" i="70" s="1" a="1"/>
  <c r="E7" i="49" a="1"/>
  <c r="E7" i="49" s="1"/>
  <c r="E33" i="49" s="1" a="1"/>
  <c r="E7" i="63" a="1"/>
  <c r="E7" i="63" s="1"/>
  <c r="E33" i="63" s="1" a="1"/>
  <c r="E7" i="62" a="1"/>
  <c r="E7" i="62" s="1"/>
  <c r="E33" i="62" s="1" a="1"/>
  <c r="E7" i="61" a="1"/>
  <c r="E7" i="61" s="1"/>
  <c r="E33" i="61" s="1" a="1"/>
  <c r="E7" i="45" a="1"/>
  <c r="E7" i="45" s="1"/>
  <c r="E33" i="45" s="1" a="1"/>
  <c r="E7" i="60" a="1"/>
  <c r="E7" i="60" s="1"/>
  <c r="E33" i="60" s="1" a="1"/>
  <c r="E7" i="44" a="1"/>
  <c r="E7" i="44" s="1"/>
  <c r="E33" i="44" s="1" a="1"/>
  <c r="E7" i="59" a="1"/>
  <c r="E7" i="59" s="1"/>
  <c r="E33" i="59" s="1" a="1"/>
  <c r="E7" i="57" a="1"/>
  <c r="E7" i="57" s="1"/>
  <c r="E33" i="57" s="1" a="1"/>
  <c r="E7" i="41" a="1"/>
  <c r="E7" i="41" s="1"/>
  <c r="E33" i="41" s="1" a="1"/>
  <c r="E7" i="56" a="1"/>
  <c r="E7" i="56" s="1"/>
  <c r="E33" i="56" s="1" a="1"/>
  <c r="E7" i="55" a="1"/>
  <c r="E7" i="55" s="1"/>
  <c r="E33" i="55" s="1" a="1"/>
  <c r="E7" i="39" a="1"/>
  <c r="E7" i="39" s="1"/>
  <c r="E33" i="39" s="1" a="1"/>
  <c r="E7" i="54" a="1"/>
  <c r="E7" i="54" s="1"/>
  <c r="E33" i="54" s="1" a="1"/>
  <c r="E7" i="38" a="1"/>
  <c r="E7" i="38" s="1"/>
  <c r="E33" i="38" s="1" a="1"/>
  <c r="E7" i="53" a="1"/>
  <c r="E7" i="53" s="1"/>
  <c r="E33" i="53" s="1" a="1"/>
  <c r="E7" i="68" a="1"/>
  <c r="E7" i="68" s="1"/>
  <c r="E33" i="68" s="1" a="1"/>
  <c r="E7" i="67" a="1"/>
  <c r="E7" i="67" s="1"/>
  <c r="E33" i="67" s="1" a="1"/>
  <c r="E7" i="66" a="1"/>
  <c r="E7" i="66" s="1"/>
  <c r="E33" i="66" s="1" a="1"/>
  <c r="E7" i="65" a="1"/>
  <c r="E7" i="65" s="1"/>
  <c r="E33" i="65" s="1" a="1"/>
  <c r="E7" i="37" a="1"/>
  <c r="E7" i="37" s="1"/>
  <c r="E33" i="37" s="1" a="1"/>
  <c r="E7" i="52" a="1"/>
  <c r="E7" i="52" s="1"/>
  <c r="E33" i="52" s="1" a="1"/>
  <c r="E7" i="51" a="1"/>
  <c r="E7" i="51" s="1"/>
  <c r="E33" i="51" s="1" a="1"/>
  <c r="E7" i="35" a="1"/>
  <c r="E7" i="35" s="1"/>
  <c r="E33" i="35" s="1" a="1"/>
  <c r="E7" i="50" a="1"/>
  <c r="E7" i="50" s="1"/>
  <c r="E33" i="50" s="1" a="1"/>
  <c r="E7" i="25" a="1"/>
  <c r="E7" i="25" s="1"/>
  <c r="E33" i="25" s="1" a="1"/>
  <c r="E7" i="31" a="1"/>
  <c r="E7" i="31" s="1"/>
  <c r="E33" i="31" s="1" a="1"/>
  <c r="E7" i="32" a="1"/>
  <c r="E7" i="32" s="1"/>
  <c r="E33" i="32" s="1" a="1"/>
  <c r="E7" i="33" a="1"/>
  <c r="E7" i="33" s="1"/>
  <c r="E33" i="33" s="1" a="1"/>
  <c r="E7" i="30" a="1"/>
  <c r="E7" i="30" s="1"/>
  <c r="E33" i="30" s="1" a="1"/>
  <c r="E7" i="19" a="1"/>
  <c r="E7" i="19" s="1"/>
  <c r="E33" i="19" s="1" a="1"/>
  <c r="E7" i="24" a="1"/>
  <c r="E7" i="24" s="1"/>
  <c r="E33" i="24" s="1" a="1"/>
  <c r="E7" i="29" a="1"/>
  <c r="E7" i="29" s="1"/>
  <c r="E33" i="29" s="1" a="1"/>
  <c r="E7" i="23" a="1"/>
  <c r="E7" i="23" s="1"/>
  <c r="E33" i="23" s="1" a="1"/>
  <c r="E7" i="88" a="1"/>
  <c r="E7" i="88" s="1"/>
  <c r="E33" i="88" s="1" a="1"/>
  <c r="E7" i="13" a="1"/>
  <c r="E7" i="13" s="1"/>
  <c r="E33" i="13" s="1" a="1"/>
  <c r="E7" i="27" a="1"/>
  <c r="E7" i="27" s="1"/>
  <c r="E33" i="27" s="1" a="1"/>
  <c r="E7" i="22" a="1"/>
  <c r="E7" i="22" s="1"/>
  <c r="E33" i="22" s="1" a="1"/>
  <c r="O10" i="9"/>
  <c r="N10" i="9"/>
  <c r="M10" i="9"/>
  <c r="L10" i="9"/>
  <c r="F10" i="9"/>
  <c r="E10" i="9"/>
  <c r="D10" i="9"/>
  <c r="C10" i="9"/>
  <c r="E69" i="73" a="1"/>
  <c r="E69" i="73" s="1"/>
  <c r="E65" i="73" a="1"/>
  <c r="E65" i="73" s="1"/>
  <c r="E64" i="73" a="1"/>
  <c r="E64" i="73" s="1"/>
  <c r="E63" i="73" a="1"/>
  <c r="E63" i="73" s="1"/>
  <c r="E34" i="73" a="1"/>
  <c r="E34" i="73" s="1"/>
  <c r="E32" i="73" a="1"/>
  <c r="E32" i="73" s="1"/>
  <c r="E31" i="73" a="1"/>
  <c r="E31" i="73" s="1"/>
  <c r="E30" i="73" a="1"/>
  <c r="E30" i="73" s="1"/>
  <c r="E29" i="73" a="1"/>
  <c r="E29" i="73" s="1"/>
  <c r="E28" i="73" a="1"/>
  <c r="E28" i="73" s="1"/>
  <c r="E27" i="73" a="1"/>
  <c r="E27" i="73" s="1"/>
  <c r="E26" i="73" a="1"/>
  <c r="E26" i="73" s="1"/>
  <c r="E23" i="73" a="1"/>
  <c r="E23" i="73" s="1"/>
  <c r="E69" i="90" a="1"/>
  <c r="E69" i="90" s="1"/>
  <c r="E65" i="90" a="1"/>
  <c r="E65" i="90" s="1"/>
  <c r="E64" i="90" a="1"/>
  <c r="E64" i="90" s="1"/>
  <c r="E63" i="90" a="1"/>
  <c r="E63" i="90" s="1"/>
  <c r="E34" i="90" a="1"/>
  <c r="E34" i="90" s="1"/>
  <c r="E32" i="90" a="1"/>
  <c r="E32" i="90" s="1"/>
  <c r="E31" i="90" a="1"/>
  <c r="E31" i="90" s="1"/>
  <c r="E30" i="90" a="1"/>
  <c r="E30" i="90" s="1"/>
  <c r="E29" i="90" a="1"/>
  <c r="E29" i="90" s="1"/>
  <c r="E28" i="90" a="1"/>
  <c r="E28" i="90" s="1"/>
  <c r="E27" i="90" a="1"/>
  <c r="E27" i="90" s="1"/>
  <c r="E26" i="90" a="1"/>
  <c r="E26" i="90" s="1"/>
  <c r="E23" i="90" a="1"/>
  <c r="E23" i="90" s="1"/>
  <c r="E69" i="89" a="1"/>
  <c r="E69" i="89" s="1"/>
  <c r="E65" i="89" a="1"/>
  <c r="E65" i="89" s="1"/>
  <c r="E64" i="89" a="1"/>
  <c r="E64" i="89" s="1"/>
  <c r="E63" i="89" a="1"/>
  <c r="E63" i="89" s="1"/>
  <c r="E34" i="89" a="1"/>
  <c r="E34" i="89" s="1"/>
  <c r="E32" i="89" a="1"/>
  <c r="E32" i="89" s="1"/>
  <c r="E31" i="89" a="1"/>
  <c r="E31" i="89" s="1"/>
  <c r="E30" i="89" a="1"/>
  <c r="E30" i="89" s="1"/>
  <c r="E29" i="89" a="1"/>
  <c r="E29" i="89" s="1"/>
  <c r="E28" i="89" a="1"/>
  <c r="E28" i="89" s="1"/>
  <c r="E27" i="89" a="1"/>
  <c r="E27" i="89" s="1"/>
  <c r="E26" i="89" a="1"/>
  <c r="E26" i="89" s="1"/>
  <c r="E23" i="89" a="1"/>
  <c r="E23" i="89" s="1"/>
  <c r="E69" i="75" a="1"/>
  <c r="E69" i="75" s="1"/>
  <c r="E65" i="75" a="1"/>
  <c r="E65" i="75" s="1"/>
  <c r="E64" i="75" a="1"/>
  <c r="E64" i="75" s="1"/>
  <c r="E63" i="75" a="1"/>
  <c r="E63" i="75" s="1"/>
  <c r="E34" i="75" a="1"/>
  <c r="E34" i="75" s="1"/>
  <c r="E32" i="75" a="1"/>
  <c r="E32" i="75" s="1"/>
  <c r="E31" i="75" a="1"/>
  <c r="E31" i="75" s="1"/>
  <c r="E30" i="75" a="1"/>
  <c r="E30" i="75" s="1"/>
  <c r="E29" i="75" a="1"/>
  <c r="E29" i="75" s="1"/>
  <c r="E28" i="75" a="1"/>
  <c r="E28" i="75" s="1"/>
  <c r="E27" i="75" a="1"/>
  <c r="E27" i="75" s="1"/>
  <c r="E26" i="75" a="1"/>
  <c r="E26" i="75" s="1"/>
  <c r="E23" i="75" a="1"/>
  <c r="E23" i="75" s="1"/>
  <c r="E69" i="48" a="1"/>
  <c r="E69" i="48" s="1"/>
  <c r="E65" i="48" a="1"/>
  <c r="E65" i="48" s="1"/>
  <c r="E64" i="48" a="1"/>
  <c r="E64" i="48" s="1"/>
  <c r="E63" i="48" a="1"/>
  <c r="E63" i="48" s="1"/>
  <c r="E34" i="48" a="1"/>
  <c r="E34" i="48" s="1"/>
  <c r="E32" i="48" a="1"/>
  <c r="E32" i="48" s="1"/>
  <c r="E31" i="48" a="1"/>
  <c r="E31" i="48" s="1"/>
  <c r="E30" i="48" a="1"/>
  <c r="E30" i="48" s="1"/>
  <c r="E29" i="48" a="1"/>
  <c r="E29" i="48" s="1"/>
  <c r="E28" i="48" a="1"/>
  <c r="E28" i="48" s="1"/>
  <c r="E27" i="48" a="1"/>
  <c r="E27" i="48" s="1"/>
  <c r="E26" i="48" a="1"/>
  <c r="E26" i="48" s="1"/>
  <c r="E23" i="48" a="1"/>
  <c r="E23" i="48" s="1"/>
  <c r="E69" i="74" a="1"/>
  <c r="E69" i="74" s="1"/>
  <c r="E65" i="74" a="1"/>
  <c r="E65" i="74" s="1"/>
  <c r="E64" i="74" a="1"/>
  <c r="E64" i="74" s="1"/>
  <c r="E63" i="74" a="1"/>
  <c r="E63" i="74" s="1"/>
  <c r="E34" i="74" a="1"/>
  <c r="E34" i="74" s="1"/>
  <c r="E32" i="74" a="1"/>
  <c r="E32" i="74" s="1"/>
  <c r="E31" i="74" a="1"/>
  <c r="E31" i="74" s="1"/>
  <c r="E30" i="74" a="1"/>
  <c r="E30" i="74" s="1"/>
  <c r="E29" i="74" a="1"/>
  <c r="E29" i="74" s="1"/>
  <c r="E28" i="74" a="1"/>
  <c r="E28" i="74" s="1"/>
  <c r="E27" i="74" a="1"/>
  <c r="E27" i="74" s="1"/>
  <c r="E26" i="74" a="1"/>
  <c r="E26" i="74" s="1"/>
  <c r="E23" i="74" a="1"/>
  <c r="E23" i="74" s="1"/>
  <c r="E69" i="72" a="1"/>
  <c r="E69" i="72" s="1"/>
  <c r="E65" i="72" a="1"/>
  <c r="E65" i="72" s="1"/>
  <c r="E64" i="72" a="1"/>
  <c r="E64" i="72" s="1"/>
  <c r="E63" i="72" a="1"/>
  <c r="E63" i="72" s="1"/>
  <c r="E34" i="72" a="1"/>
  <c r="E34" i="72" s="1"/>
  <c r="E32" i="72" a="1"/>
  <c r="E32" i="72" s="1"/>
  <c r="E31" i="72" a="1"/>
  <c r="E31" i="72" s="1"/>
  <c r="E30" i="72" a="1"/>
  <c r="E30" i="72" s="1"/>
  <c r="E29" i="72" a="1"/>
  <c r="E29" i="72" s="1"/>
  <c r="E28" i="72" a="1"/>
  <c r="E28" i="72" s="1"/>
  <c r="E27" i="72" a="1"/>
  <c r="E27" i="72" s="1"/>
  <c r="E26" i="72" a="1"/>
  <c r="E26" i="72" s="1"/>
  <c r="E23" i="72" a="1"/>
  <c r="E23" i="72" s="1"/>
  <c r="E69" i="71" a="1"/>
  <c r="E69" i="71" s="1"/>
  <c r="E65" i="71" a="1"/>
  <c r="E65" i="71" s="1"/>
  <c r="E64" i="71" a="1"/>
  <c r="E64" i="71" s="1"/>
  <c r="E63" i="71" a="1"/>
  <c r="E63" i="71" s="1"/>
  <c r="E34" i="71" a="1"/>
  <c r="E34" i="71" s="1"/>
  <c r="E32" i="71" a="1"/>
  <c r="E32" i="71" s="1"/>
  <c r="E31" i="71" a="1"/>
  <c r="E31" i="71" s="1"/>
  <c r="E30" i="71" a="1"/>
  <c r="E30" i="71" s="1"/>
  <c r="E29" i="71" a="1"/>
  <c r="E29" i="71" s="1"/>
  <c r="E28" i="71" a="1"/>
  <c r="E28" i="71" s="1"/>
  <c r="E27" i="71" a="1"/>
  <c r="E27" i="71" s="1"/>
  <c r="E26" i="71" a="1"/>
  <c r="E26" i="71" s="1"/>
  <c r="E23" i="71" a="1"/>
  <c r="E23" i="71" s="1"/>
  <c r="E69" i="91" a="1"/>
  <c r="E69" i="91" s="1"/>
  <c r="E65" i="91" a="1"/>
  <c r="E65" i="91" s="1"/>
  <c r="E64" i="91" a="1"/>
  <c r="E64" i="91" s="1"/>
  <c r="E63" i="91" a="1"/>
  <c r="E63" i="91" s="1"/>
  <c r="E34" i="91" a="1"/>
  <c r="E34" i="91" s="1"/>
  <c r="E32" i="91" a="1"/>
  <c r="E32" i="91" s="1"/>
  <c r="E31" i="91" a="1"/>
  <c r="E31" i="91" s="1"/>
  <c r="E30" i="91" a="1"/>
  <c r="E30" i="91" s="1"/>
  <c r="E29" i="91" a="1"/>
  <c r="E29" i="91" s="1"/>
  <c r="E28" i="91" a="1"/>
  <c r="E28" i="91" s="1"/>
  <c r="E27" i="91" a="1"/>
  <c r="E27" i="91" s="1"/>
  <c r="E26" i="91" a="1"/>
  <c r="E26" i="91" s="1"/>
  <c r="E23" i="91" a="1"/>
  <c r="E23" i="91" s="1"/>
  <c r="E69" i="70" a="1"/>
  <c r="E69" i="70" s="1"/>
  <c r="E65" i="70" a="1"/>
  <c r="E65" i="70" s="1"/>
  <c r="E64" i="70" a="1"/>
  <c r="E64" i="70" s="1"/>
  <c r="E63" i="70" a="1"/>
  <c r="E63" i="70" s="1"/>
  <c r="E34" i="70" a="1"/>
  <c r="E34" i="70" s="1"/>
  <c r="E32" i="70" a="1"/>
  <c r="E32" i="70" s="1"/>
  <c r="E31" i="70" a="1"/>
  <c r="E31" i="70" s="1"/>
  <c r="E30" i="70" a="1"/>
  <c r="E30" i="70" s="1"/>
  <c r="E29" i="70" a="1"/>
  <c r="E29" i="70" s="1"/>
  <c r="E28" i="70" a="1"/>
  <c r="E28" i="70" s="1"/>
  <c r="E27" i="70" a="1"/>
  <c r="E27" i="70" s="1"/>
  <c r="E26" i="70" a="1"/>
  <c r="E26" i="70" s="1"/>
  <c r="E23" i="70" a="1"/>
  <c r="E23" i="70" s="1"/>
  <c r="E69" i="49" a="1"/>
  <c r="E69" i="49" s="1"/>
  <c r="E65" i="49" a="1"/>
  <c r="E65" i="49" s="1"/>
  <c r="E64" i="49" a="1"/>
  <c r="E64" i="49" s="1"/>
  <c r="E63" i="49" a="1"/>
  <c r="E63" i="49" s="1"/>
  <c r="E34" i="49" a="1"/>
  <c r="E34" i="49" s="1"/>
  <c r="E32" i="49" a="1"/>
  <c r="E32" i="49" s="1"/>
  <c r="E31" i="49" a="1"/>
  <c r="E31" i="49" s="1"/>
  <c r="E30" i="49" a="1"/>
  <c r="E30" i="49" s="1"/>
  <c r="E29" i="49" a="1"/>
  <c r="E29" i="49" s="1"/>
  <c r="E28" i="49" a="1"/>
  <c r="E28" i="49" s="1"/>
  <c r="E27" i="49" a="1"/>
  <c r="E27" i="49" s="1"/>
  <c r="E26" i="49" a="1"/>
  <c r="E26" i="49" s="1"/>
  <c r="E23" i="49" a="1"/>
  <c r="E23" i="49" s="1"/>
  <c r="E69" i="63" a="1"/>
  <c r="E69" i="63" s="1"/>
  <c r="E65" i="63" a="1"/>
  <c r="E65" i="63" s="1"/>
  <c r="E64" i="63" a="1"/>
  <c r="E64" i="63" s="1"/>
  <c r="E63" i="63" a="1"/>
  <c r="E63" i="63" s="1"/>
  <c r="E34" i="63" a="1"/>
  <c r="E34" i="63" s="1"/>
  <c r="E32" i="63" a="1"/>
  <c r="E32" i="63" s="1"/>
  <c r="E31" i="63" a="1"/>
  <c r="E31" i="63" s="1"/>
  <c r="E30" i="63" a="1"/>
  <c r="E30" i="63" s="1"/>
  <c r="E29" i="63" a="1"/>
  <c r="E29" i="63" s="1"/>
  <c r="E28" i="63" a="1"/>
  <c r="E28" i="63" s="1"/>
  <c r="E27" i="63" a="1"/>
  <c r="E27" i="63" s="1"/>
  <c r="E26" i="63" a="1"/>
  <c r="E26" i="63" s="1"/>
  <c r="E23" i="63" a="1"/>
  <c r="E23" i="63" s="1"/>
  <c r="E69" i="62" a="1"/>
  <c r="E69" i="62" s="1"/>
  <c r="E65" i="62" a="1"/>
  <c r="E65" i="62" s="1"/>
  <c r="E64" i="62" a="1"/>
  <c r="E64" i="62" s="1"/>
  <c r="E63" i="62" a="1"/>
  <c r="E63" i="62" s="1"/>
  <c r="E34" i="62" a="1"/>
  <c r="E34" i="62" s="1"/>
  <c r="E32" i="62" a="1"/>
  <c r="E32" i="62" s="1"/>
  <c r="E31" i="62" a="1"/>
  <c r="E31" i="62" s="1"/>
  <c r="E30" i="62" a="1"/>
  <c r="E30" i="62" s="1"/>
  <c r="E29" i="62" a="1"/>
  <c r="E29" i="62" s="1"/>
  <c r="E28" i="62" a="1"/>
  <c r="E28" i="62" s="1"/>
  <c r="E27" i="62" a="1"/>
  <c r="E27" i="62" s="1"/>
  <c r="E26" i="62" a="1"/>
  <c r="E26" i="62" s="1"/>
  <c r="E23" i="62" a="1"/>
  <c r="E23" i="62" s="1"/>
  <c r="E69" i="61" a="1"/>
  <c r="E69" i="61" s="1"/>
  <c r="E65" i="61" a="1"/>
  <c r="E65" i="61" s="1"/>
  <c r="E64" i="61" a="1"/>
  <c r="E64" i="61" s="1"/>
  <c r="E63" i="61" a="1"/>
  <c r="E63" i="61" s="1"/>
  <c r="E34" i="61" a="1"/>
  <c r="E34" i="61" s="1"/>
  <c r="E32" i="61" a="1"/>
  <c r="E32" i="61" s="1"/>
  <c r="E31" i="61" a="1"/>
  <c r="E31" i="61" s="1"/>
  <c r="E30" i="61" a="1"/>
  <c r="E30" i="61" s="1"/>
  <c r="E29" i="61" a="1"/>
  <c r="E29" i="61" s="1"/>
  <c r="E28" i="61" a="1"/>
  <c r="E28" i="61" s="1"/>
  <c r="E27" i="61" a="1"/>
  <c r="E27" i="61" s="1"/>
  <c r="E26" i="61" a="1"/>
  <c r="E26" i="61" s="1"/>
  <c r="E23" i="61" a="1"/>
  <c r="E23" i="61" s="1"/>
  <c r="E69" i="45" a="1"/>
  <c r="E69" i="45" s="1"/>
  <c r="E65" i="45" a="1"/>
  <c r="E65" i="45" s="1"/>
  <c r="E64" i="45" a="1"/>
  <c r="E64" i="45" s="1"/>
  <c r="E63" i="45" a="1"/>
  <c r="E63" i="45" s="1"/>
  <c r="E34" i="45" a="1"/>
  <c r="E34" i="45" s="1"/>
  <c r="E32" i="45" a="1"/>
  <c r="E32" i="45" s="1"/>
  <c r="E31" i="45" a="1"/>
  <c r="E31" i="45" s="1"/>
  <c r="E30" i="45" a="1"/>
  <c r="E30" i="45" s="1"/>
  <c r="E29" i="45" a="1"/>
  <c r="E29" i="45" s="1"/>
  <c r="E28" i="45" a="1"/>
  <c r="E28" i="45" s="1"/>
  <c r="E27" i="45" a="1"/>
  <c r="E27" i="45" s="1"/>
  <c r="E26" i="45" a="1"/>
  <c r="E26" i="45" s="1"/>
  <c r="E23" i="45" a="1"/>
  <c r="E23" i="45" s="1"/>
  <c r="E69" i="60" a="1"/>
  <c r="E69" i="60" s="1"/>
  <c r="E65" i="60" a="1"/>
  <c r="E65" i="60" s="1"/>
  <c r="E64" i="60" a="1"/>
  <c r="E64" i="60" s="1"/>
  <c r="E63" i="60" a="1"/>
  <c r="E63" i="60" s="1"/>
  <c r="E34" i="60" a="1"/>
  <c r="E34" i="60" s="1"/>
  <c r="E32" i="60" a="1"/>
  <c r="E32" i="60" s="1"/>
  <c r="E31" i="60" a="1"/>
  <c r="E31" i="60" s="1"/>
  <c r="E30" i="60" a="1"/>
  <c r="E30" i="60" s="1"/>
  <c r="E29" i="60" a="1"/>
  <c r="E29" i="60" s="1"/>
  <c r="E28" i="60" a="1"/>
  <c r="E28" i="60" s="1"/>
  <c r="E27" i="60" a="1"/>
  <c r="E27" i="60" s="1"/>
  <c r="E26" i="60" a="1"/>
  <c r="E26" i="60" s="1"/>
  <c r="E23" i="60" a="1"/>
  <c r="E23" i="60" s="1"/>
  <c r="E69" i="44" a="1"/>
  <c r="E69" i="44" s="1"/>
  <c r="E65" i="44" a="1"/>
  <c r="E65" i="44" s="1"/>
  <c r="E64" i="44" a="1"/>
  <c r="E64" i="44" s="1"/>
  <c r="E63" i="44" a="1"/>
  <c r="E63" i="44" s="1"/>
  <c r="E34" i="44" a="1"/>
  <c r="E34" i="44" s="1"/>
  <c r="E32" i="44" a="1"/>
  <c r="E32" i="44" s="1"/>
  <c r="E31" i="44" a="1"/>
  <c r="E31" i="44" s="1"/>
  <c r="E30" i="44" a="1"/>
  <c r="E30" i="44" s="1"/>
  <c r="E29" i="44" a="1"/>
  <c r="E29" i="44" s="1"/>
  <c r="E28" i="44" a="1"/>
  <c r="E28" i="44" s="1"/>
  <c r="E27" i="44" a="1"/>
  <c r="E27" i="44" s="1"/>
  <c r="E26" i="44" a="1"/>
  <c r="E26" i="44" s="1"/>
  <c r="E23" i="44" a="1"/>
  <c r="E23" i="44" s="1"/>
  <c r="E69" i="59" a="1"/>
  <c r="E69" i="59" s="1"/>
  <c r="E65" i="59" a="1"/>
  <c r="E65" i="59" s="1"/>
  <c r="E64" i="59" a="1"/>
  <c r="E64" i="59" s="1"/>
  <c r="E63" i="59" a="1"/>
  <c r="E63" i="59" s="1"/>
  <c r="E34" i="59" a="1"/>
  <c r="E34" i="59" s="1"/>
  <c r="E32" i="59" a="1"/>
  <c r="E32" i="59" s="1"/>
  <c r="E31" i="59" a="1"/>
  <c r="E31" i="59" s="1"/>
  <c r="E30" i="59" a="1"/>
  <c r="E30" i="59" s="1"/>
  <c r="E29" i="59" a="1"/>
  <c r="E29" i="59" s="1"/>
  <c r="E28" i="59" a="1"/>
  <c r="E28" i="59" s="1"/>
  <c r="E27" i="59" a="1"/>
  <c r="E27" i="59" s="1"/>
  <c r="E26" i="59" a="1"/>
  <c r="E26" i="59" s="1"/>
  <c r="E23" i="59" a="1"/>
  <c r="E23" i="59" s="1"/>
  <c r="E69" i="57" a="1"/>
  <c r="E69" i="57" s="1"/>
  <c r="E65" i="57" a="1"/>
  <c r="E65" i="57" s="1"/>
  <c r="E64" i="57" a="1"/>
  <c r="E64" i="57" s="1"/>
  <c r="E63" i="57" a="1"/>
  <c r="E63" i="57" s="1"/>
  <c r="E34" i="57" a="1"/>
  <c r="E34" i="57" s="1"/>
  <c r="E32" i="57" a="1"/>
  <c r="E32" i="57" s="1"/>
  <c r="E31" i="57" a="1"/>
  <c r="E31" i="57" s="1"/>
  <c r="E30" i="57" a="1"/>
  <c r="E30" i="57" s="1"/>
  <c r="E29" i="57" a="1"/>
  <c r="E29" i="57" s="1"/>
  <c r="E28" i="57" a="1"/>
  <c r="E28" i="57" s="1"/>
  <c r="E27" i="57" a="1"/>
  <c r="E27" i="57" s="1"/>
  <c r="E26" i="57" a="1"/>
  <c r="E26" i="57" s="1"/>
  <c r="E23" i="57" a="1"/>
  <c r="E23" i="57" s="1"/>
  <c r="E69" i="41" a="1"/>
  <c r="E69" i="41" s="1"/>
  <c r="E65" i="41" a="1"/>
  <c r="E65" i="41" s="1"/>
  <c r="E64" i="41" a="1"/>
  <c r="E64" i="41" s="1"/>
  <c r="E63" i="41" a="1"/>
  <c r="E63" i="41" s="1"/>
  <c r="E34" i="41" a="1"/>
  <c r="E34" i="41" s="1"/>
  <c r="E32" i="41" a="1"/>
  <c r="E32" i="41" s="1"/>
  <c r="E31" i="41" a="1"/>
  <c r="E31" i="41" s="1"/>
  <c r="E30" i="41" a="1"/>
  <c r="E30" i="41" s="1"/>
  <c r="E29" i="41" a="1"/>
  <c r="E29" i="41" s="1"/>
  <c r="E28" i="41" a="1"/>
  <c r="E28" i="41" s="1"/>
  <c r="E27" i="41" a="1"/>
  <c r="E27" i="41" s="1"/>
  <c r="E26" i="41" a="1"/>
  <c r="E26" i="41" s="1"/>
  <c r="E23" i="41" a="1"/>
  <c r="E23" i="41" s="1"/>
  <c r="E69" i="56" a="1"/>
  <c r="E69" i="56" s="1"/>
  <c r="E65" i="56" a="1"/>
  <c r="E65" i="56" s="1"/>
  <c r="E64" i="56" a="1"/>
  <c r="E64" i="56" s="1"/>
  <c r="E63" i="56" a="1"/>
  <c r="E63" i="56" s="1"/>
  <c r="E34" i="56" a="1"/>
  <c r="E34" i="56" s="1"/>
  <c r="E32" i="56" a="1"/>
  <c r="E32" i="56" s="1"/>
  <c r="E31" i="56" a="1"/>
  <c r="E31" i="56" s="1"/>
  <c r="E30" i="56" a="1"/>
  <c r="E30" i="56" s="1"/>
  <c r="E29" i="56" a="1"/>
  <c r="E29" i="56" s="1"/>
  <c r="E28" i="56" a="1"/>
  <c r="E28" i="56" s="1"/>
  <c r="E27" i="56" a="1"/>
  <c r="E27" i="56" s="1"/>
  <c r="E26" i="56" a="1"/>
  <c r="E26" i="56" s="1"/>
  <c r="E23" i="56" a="1"/>
  <c r="E23" i="56" s="1"/>
  <c r="E69" i="55" a="1"/>
  <c r="E69" i="55" s="1"/>
  <c r="E65" i="55" a="1"/>
  <c r="E65" i="55" s="1"/>
  <c r="E64" i="55" a="1"/>
  <c r="E64" i="55" s="1"/>
  <c r="E63" i="55" a="1"/>
  <c r="E63" i="55" s="1"/>
  <c r="E34" i="55" a="1"/>
  <c r="E34" i="55" s="1"/>
  <c r="E32" i="55" a="1"/>
  <c r="E32" i="55" s="1"/>
  <c r="E31" i="55" a="1"/>
  <c r="E31" i="55" s="1"/>
  <c r="E30" i="55" a="1"/>
  <c r="E30" i="55" s="1"/>
  <c r="E29" i="55" a="1"/>
  <c r="E29" i="55" s="1"/>
  <c r="E28" i="55" a="1"/>
  <c r="E28" i="55" s="1"/>
  <c r="E27" i="55" a="1"/>
  <c r="E27" i="55" s="1"/>
  <c r="E26" i="55" a="1"/>
  <c r="E26" i="55" s="1"/>
  <c r="E23" i="55" a="1"/>
  <c r="E23" i="55" s="1"/>
  <c r="E69" i="39" a="1"/>
  <c r="E69" i="39" s="1"/>
  <c r="E65" i="39" a="1"/>
  <c r="E65" i="39" s="1"/>
  <c r="E64" i="39" a="1"/>
  <c r="E64" i="39" s="1"/>
  <c r="E63" i="39" a="1"/>
  <c r="E63" i="39" s="1"/>
  <c r="E34" i="39" a="1"/>
  <c r="E34" i="39" s="1"/>
  <c r="E32" i="39" a="1"/>
  <c r="E32" i="39" s="1"/>
  <c r="E31" i="39" a="1"/>
  <c r="E31" i="39" s="1"/>
  <c r="E30" i="39" a="1"/>
  <c r="E30" i="39" s="1"/>
  <c r="E29" i="39" a="1"/>
  <c r="E29" i="39" s="1"/>
  <c r="E28" i="39" a="1"/>
  <c r="E28" i="39" s="1"/>
  <c r="E27" i="39" a="1"/>
  <c r="E27" i="39" s="1"/>
  <c r="E26" i="39" a="1"/>
  <c r="E26" i="39" s="1"/>
  <c r="E23" i="39" a="1"/>
  <c r="E23" i="39" s="1"/>
  <c r="E69" i="54" a="1"/>
  <c r="E69" i="54" s="1"/>
  <c r="E65" i="54" a="1"/>
  <c r="E65" i="54" s="1"/>
  <c r="E64" i="54" a="1"/>
  <c r="E64" i="54" s="1"/>
  <c r="E63" i="54" a="1"/>
  <c r="E63" i="54" s="1"/>
  <c r="E34" i="54" a="1"/>
  <c r="E34" i="54" s="1"/>
  <c r="E32" i="54" a="1"/>
  <c r="E32" i="54" s="1"/>
  <c r="E31" i="54" a="1"/>
  <c r="E31" i="54" s="1"/>
  <c r="E30" i="54" a="1"/>
  <c r="E30" i="54" s="1"/>
  <c r="E29" i="54" a="1"/>
  <c r="E29" i="54" s="1"/>
  <c r="E28" i="54" a="1"/>
  <c r="E28" i="54" s="1"/>
  <c r="E27" i="54" a="1"/>
  <c r="E27" i="54" s="1"/>
  <c r="E26" i="54" a="1"/>
  <c r="E26" i="54" s="1"/>
  <c r="E23" i="54" a="1"/>
  <c r="E23" i="54" s="1"/>
  <c r="E69" i="38" a="1"/>
  <c r="E69" i="38" s="1"/>
  <c r="E65" i="38" a="1"/>
  <c r="E65" i="38" s="1"/>
  <c r="E64" i="38" a="1"/>
  <c r="E64" i="38" s="1"/>
  <c r="E63" i="38" a="1"/>
  <c r="E63" i="38" s="1"/>
  <c r="E34" i="38" a="1"/>
  <c r="E34" i="38" s="1"/>
  <c r="E32" i="38" a="1"/>
  <c r="E32" i="38" s="1"/>
  <c r="E31" i="38" a="1"/>
  <c r="E31" i="38" s="1"/>
  <c r="E30" i="38" a="1"/>
  <c r="E30" i="38" s="1"/>
  <c r="E29" i="38" a="1"/>
  <c r="E29" i="38" s="1"/>
  <c r="E28" i="38" a="1"/>
  <c r="E28" i="38" s="1"/>
  <c r="E27" i="38" a="1"/>
  <c r="E27" i="38" s="1"/>
  <c r="E26" i="38" a="1"/>
  <c r="E26" i="38" s="1"/>
  <c r="E23" i="38" a="1"/>
  <c r="E23" i="38" s="1"/>
  <c r="E69" i="53" a="1"/>
  <c r="E69" i="53" s="1"/>
  <c r="E65" i="53" a="1"/>
  <c r="E65" i="53" s="1"/>
  <c r="E64" i="53" a="1"/>
  <c r="E64" i="53" s="1"/>
  <c r="E63" i="53" a="1"/>
  <c r="E63" i="53" s="1"/>
  <c r="E34" i="53" a="1"/>
  <c r="E34" i="53" s="1"/>
  <c r="E32" i="53" a="1"/>
  <c r="E32" i="53" s="1"/>
  <c r="E31" i="53" a="1"/>
  <c r="E31" i="53" s="1"/>
  <c r="E30" i="53" a="1"/>
  <c r="E30" i="53" s="1"/>
  <c r="E29" i="53" a="1"/>
  <c r="E29" i="53" s="1"/>
  <c r="E28" i="53" a="1"/>
  <c r="E28" i="53" s="1"/>
  <c r="E27" i="53" a="1"/>
  <c r="E27" i="53" s="1"/>
  <c r="E26" i="53" a="1"/>
  <c r="E26" i="53" s="1"/>
  <c r="E23" i="53" a="1"/>
  <c r="E23" i="53" s="1"/>
  <c r="E69" i="68" a="1"/>
  <c r="E69" i="68" s="1"/>
  <c r="E65" i="68" a="1"/>
  <c r="E65" i="68" s="1"/>
  <c r="E64" i="68" a="1"/>
  <c r="E64" i="68" s="1"/>
  <c r="E63" i="68" a="1"/>
  <c r="E63" i="68" s="1"/>
  <c r="E34" i="68" a="1"/>
  <c r="E34" i="68" s="1"/>
  <c r="E32" i="68" a="1"/>
  <c r="E32" i="68" s="1"/>
  <c r="E31" i="68" a="1"/>
  <c r="E31" i="68" s="1"/>
  <c r="E30" i="68" a="1"/>
  <c r="E30" i="68" s="1"/>
  <c r="E29" i="68" a="1"/>
  <c r="E29" i="68" s="1"/>
  <c r="E28" i="68" a="1"/>
  <c r="E28" i="68" s="1"/>
  <c r="E27" i="68" a="1"/>
  <c r="E27" i="68" s="1"/>
  <c r="E26" i="68" a="1"/>
  <c r="E26" i="68" s="1"/>
  <c r="E23" i="68" a="1"/>
  <c r="E23" i="68" s="1"/>
  <c r="E69" i="67" a="1"/>
  <c r="E69" i="67" s="1"/>
  <c r="E65" i="67" a="1"/>
  <c r="E65" i="67" s="1"/>
  <c r="E64" i="67" a="1"/>
  <c r="E64" i="67" s="1"/>
  <c r="E63" i="67" a="1"/>
  <c r="E63" i="67" s="1"/>
  <c r="E34" i="67" a="1"/>
  <c r="E34" i="67" s="1"/>
  <c r="E32" i="67" a="1"/>
  <c r="E32" i="67" s="1"/>
  <c r="E31" i="67" a="1"/>
  <c r="E31" i="67" s="1"/>
  <c r="E30" i="67" a="1"/>
  <c r="E30" i="67" s="1"/>
  <c r="E29" i="67" a="1"/>
  <c r="E29" i="67" s="1"/>
  <c r="E28" i="67" a="1"/>
  <c r="E28" i="67" s="1"/>
  <c r="E27" i="67" a="1"/>
  <c r="E27" i="67" s="1"/>
  <c r="E26" i="67" a="1"/>
  <c r="E26" i="67" s="1"/>
  <c r="E23" i="67" a="1"/>
  <c r="E23" i="67" s="1"/>
  <c r="E69" i="66" a="1"/>
  <c r="E69" i="66" s="1"/>
  <c r="E65" i="66" a="1"/>
  <c r="E65" i="66" s="1"/>
  <c r="E64" i="66" a="1"/>
  <c r="E64" i="66" s="1"/>
  <c r="E63" i="66" a="1"/>
  <c r="E63" i="66" s="1"/>
  <c r="E34" i="66" a="1"/>
  <c r="E34" i="66" s="1"/>
  <c r="E32" i="66" a="1"/>
  <c r="E32" i="66" s="1"/>
  <c r="E31" i="66" a="1"/>
  <c r="E31" i="66" s="1"/>
  <c r="E30" i="66" a="1"/>
  <c r="E30" i="66" s="1"/>
  <c r="E29" i="66" a="1"/>
  <c r="E29" i="66" s="1"/>
  <c r="E28" i="66" a="1"/>
  <c r="E28" i="66" s="1"/>
  <c r="E27" i="66" a="1"/>
  <c r="E27" i="66" s="1"/>
  <c r="E26" i="66" a="1"/>
  <c r="E26" i="66" s="1"/>
  <c r="E23" i="66" a="1"/>
  <c r="E23" i="66" s="1"/>
  <c r="E69" i="65" a="1"/>
  <c r="E69" i="65" s="1"/>
  <c r="E65" i="65" a="1"/>
  <c r="E65" i="65" s="1"/>
  <c r="E64" i="65" a="1"/>
  <c r="E64" i="65" s="1"/>
  <c r="E63" i="65" a="1"/>
  <c r="E63" i="65" s="1"/>
  <c r="E34" i="65" a="1"/>
  <c r="E34" i="65" s="1"/>
  <c r="E32" i="65" a="1"/>
  <c r="E32" i="65" s="1"/>
  <c r="E31" i="65" a="1"/>
  <c r="E31" i="65" s="1"/>
  <c r="E30" i="65" a="1"/>
  <c r="E30" i="65" s="1"/>
  <c r="E29" i="65" a="1"/>
  <c r="E29" i="65" s="1"/>
  <c r="E28" i="65" a="1"/>
  <c r="E28" i="65" s="1"/>
  <c r="E27" i="65" a="1"/>
  <c r="E27" i="65" s="1"/>
  <c r="E26" i="65" a="1"/>
  <c r="E26" i="65" s="1"/>
  <c r="E23" i="65" a="1"/>
  <c r="E23" i="65" s="1"/>
  <c r="E69" i="37" a="1"/>
  <c r="E69" i="37" s="1"/>
  <c r="E65" i="37" a="1"/>
  <c r="E65" i="37" s="1"/>
  <c r="E64" i="37" a="1"/>
  <c r="E64" i="37" s="1"/>
  <c r="E63" i="37" a="1"/>
  <c r="E63" i="37" s="1"/>
  <c r="E34" i="37" a="1"/>
  <c r="E34" i="37" s="1"/>
  <c r="E32" i="37" a="1"/>
  <c r="E32" i="37" s="1"/>
  <c r="E31" i="37" a="1"/>
  <c r="E31" i="37" s="1"/>
  <c r="E30" i="37" a="1"/>
  <c r="E30" i="37" s="1"/>
  <c r="E29" i="37" a="1"/>
  <c r="E29" i="37" s="1"/>
  <c r="E28" i="37" a="1"/>
  <c r="E28" i="37" s="1"/>
  <c r="E27" i="37" a="1"/>
  <c r="E27" i="37" s="1"/>
  <c r="E26" i="37" a="1"/>
  <c r="E26" i="37" s="1"/>
  <c r="E23" i="37" a="1"/>
  <c r="E23" i="37" s="1"/>
  <c r="E69" i="52" a="1"/>
  <c r="E69" i="52" s="1"/>
  <c r="E65" i="52" a="1"/>
  <c r="E65" i="52" s="1"/>
  <c r="E64" i="52" a="1"/>
  <c r="E64" i="52" s="1"/>
  <c r="E63" i="52" a="1"/>
  <c r="E63" i="52" s="1"/>
  <c r="E34" i="52" a="1"/>
  <c r="E34" i="52" s="1"/>
  <c r="E32" i="52" a="1"/>
  <c r="E32" i="52" s="1"/>
  <c r="E31" i="52" a="1"/>
  <c r="E31" i="52" s="1"/>
  <c r="E30" i="52" a="1"/>
  <c r="E30" i="52" s="1"/>
  <c r="E29" i="52" a="1"/>
  <c r="E29" i="52" s="1"/>
  <c r="E28" i="52" a="1"/>
  <c r="E28" i="52" s="1"/>
  <c r="E27" i="52" a="1"/>
  <c r="E27" i="52" s="1"/>
  <c r="E26" i="52" a="1"/>
  <c r="E26" i="52" s="1"/>
  <c r="E23" i="52" a="1"/>
  <c r="E23" i="52" s="1"/>
  <c r="E69" i="51" a="1"/>
  <c r="E69" i="51" s="1"/>
  <c r="E65" i="51" a="1"/>
  <c r="E65" i="51" s="1"/>
  <c r="E64" i="51" a="1"/>
  <c r="E64" i="51" s="1"/>
  <c r="E63" i="51" a="1"/>
  <c r="E63" i="51" s="1"/>
  <c r="E34" i="51" a="1"/>
  <c r="E34" i="51" s="1"/>
  <c r="E32" i="51" a="1"/>
  <c r="E32" i="51" s="1"/>
  <c r="E31" i="51" a="1"/>
  <c r="E31" i="51" s="1"/>
  <c r="E30" i="51" a="1"/>
  <c r="E30" i="51" s="1"/>
  <c r="E29" i="51" a="1"/>
  <c r="E29" i="51" s="1"/>
  <c r="E28" i="51" a="1"/>
  <c r="E28" i="51" s="1"/>
  <c r="E27" i="51" a="1"/>
  <c r="E27" i="51" s="1"/>
  <c r="E26" i="51" a="1"/>
  <c r="E26" i="51" s="1"/>
  <c r="E23" i="51" a="1"/>
  <c r="E23" i="51" s="1"/>
  <c r="E69" i="35" a="1"/>
  <c r="E69" i="35" s="1"/>
  <c r="E65" i="35" a="1"/>
  <c r="E65" i="35" s="1"/>
  <c r="E64" i="35" a="1"/>
  <c r="E64" i="35" s="1"/>
  <c r="E63" i="35" a="1"/>
  <c r="E63" i="35" s="1"/>
  <c r="E34" i="35" a="1"/>
  <c r="E34" i="35" s="1"/>
  <c r="E32" i="35" a="1"/>
  <c r="E32" i="35" s="1"/>
  <c r="E31" i="35" a="1"/>
  <c r="E31" i="35" s="1"/>
  <c r="E30" i="35" a="1"/>
  <c r="E30" i="35" s="1"/>
  <c r="E29" i="35" a="1"/>
  <c r="E29" i="35" s="1"/>
  <c r="E28" i="35" a="1"/>
  <c r="E28" i="35" s="1"/>
  <c r="E27" i="35" a="1"/>
  <c r="E27" i="35" s="1"/>
  <c r="E26" i="35" a="1"/>
  <c r="E26" i="35" s="1"/>
  <c r="E23" i="35" a="1"/>
  <c r="E23" i="35" s="1"/>
  <c r="E69" i="50" a="1"/>
  <c r="E69" i="50" s="1"/>
  <c r="E65" i="50" a="1"/>
  <c r="E65" i="50" s="1"/>
  <c r="E64" i="50" a="1"/>
  <c r="E64" i="50" s="1"/>
  <c r="E63" i="50" a="1"/>
  <c r="E63" i="50" s="1"/>
  <c r="E34" i="50" a="1"/>
  <c r="E34" i="50" s="1"/>
  <c r="E32" i="50" a="1"/>
  <c r="E32" i="50" s="1"/>
  <c r="E31" i="50" a="1"/>
  <c r="E31" i="50" s="1"/>
  <c r="E30" i="50" a="1"/>
  <c r="E30" i="50" s="1"/>
  <c r="E29" i="50" a="1"/>
  <c r="E29" i="50" s="1"/>
  <c r="E28" i="50" a="1"/>
  <c r="E28" i="50" s="1"/>
  <c r="E27" i="50" a="1"/>
  <c r="E27" i="50" s="1"/>
  <c r="E26" i="50" a="1"/>
  <c r="E26" i="50" s="1"/>
  <c r="E23" i="50" a="1"/>
  <c r="E23" i="50" s="1"/>
  <c r="E69" i="25" a="1"/>
  <c r="E69" i="25" s="1"/>
  <c r="E65" i="25" a="1"/>
  <c r="E65" i="25" s="1"/>
  <c r="E64" i="25" a="1"/>
  <c r="E64" i="25" s="1"/>
  <c r="E63" i="25" a="1"/>
  <c r="E63" i="25" s="1"/>
  <c r="E34" i="25" a="1"/>
  <c r="E34" i="25" s="1"/>
  <c r="E32" i="25" a="1"/>
  <c r="E32" i="25" s="1"/>
  <c r="E31" i="25" a="1"/>
  <c r="E31" i="25" s="1"/>
  <c r="E30" i="25" a="1"/>
  <c r="E30" i="25" s="1"/>
  <c r="E29" i="25" a="1"/>
  <c r="E29" i="25" s="1"/>
  <c r="E28" i="25" a="1"/>
  <c r="E28" i="25" s="1"/>
  <c r="E27" i="25" a="1"/>
  <c r="E27" i="25" s="1"/>
  <c r="E26" i="25" a="1"/>
  <c r="E26" i="25" s="1"/>
  <c r="E23" i="25" a="1"/>
  <c r="E23" i="25" s="1"/>
  <c r="E69" i="31" a="1"/>
  <c r="E69" i="31" s="1"/>
  <c r="E65" i="31" a="1"/>
  <c r="E65" i="31" s="1"/>
  <c r="E64" i="31" a="1"/>
  <c r="E64" i="31" s="1"/>
  <c r="E63" i="31" a="1"/>
  <c r="E63" i="31" s="1"/>
  <c r="E34" i="31" a="1"/>
  <c r="E34" i="31" s="1"/>
  <c r="E32" i="31" a="1"/>
  <c r="E32" i="31" s="1"/>
  <c r="E31" i="31" a="1"/>
  <c r="E31" i="31" s="1"/>
  <c r="E30" i="31" a="1"/>
  <c r="E30" i="31" s="1"/>
  <c r="E29" i="31" a="1"/>
  <c r="E29" i="31" s="1"/>
  <c r="E28" i="31" a="1"/>
  <c r="E28" i="31" s="1"/>
  <c r="E27" i="31" a="1"/>
  <c r="E27" i="31" s="1"/>
  <c r="E26" i="31" a="1"/>
  <c r="E26" i="31" s="1"/>
  <c r="E23" i="31" a="1"/>
  <c r="E23" i="31" s="1"/>
  <c r="E69" i="32" a="1"/>
  <c r="E69" i="32" s="1"/>
  <c r="E65" i="32" a="1"/>
  <c r="E65" i="32" s="1"/>
  <c r="E64" i="32" a="1"/>
  <c r="E64" i="32" s="1"/>
  <c r="E63" i="32" a="1"/>
  <c r="E63" i="32" s="1"/>
  <c r="E34" i="32" a="1"/>
  <c r="E34" i="32" s="1"/>
  <c r="E32" i="32" a="1"/>
  <c r="E32" i="32" s="1"/>
  <c r="E31" i="32" a="1"/>
  <c r="E31" i="32" s="1"/>
  <c r="E30" i="32" a="1"/>
  <c r="E30" i="32" s="1"/>
  <c r="E29" i="32" a="1"/>
  <c r="E29" i="32" s="1"/>
  <c r="E28" i="32" a="1"/>
  <c r="E28" i="32" s="1"/>
  <c r="E27" i="32" a="1"/>
  <c r="E27" i="32" s="1"/>
  <c r="E26" i="32" a="1"/>
  <c r="E26" i="32" s="1"/>
  <c r="E23" i="32" a="1"/>
  <c r="E23" i="32" s="1"/>
  <c r="E69" i="33" a="1"/>
  <c r="E69" i="33" s="1"/>
  <c r="E65" i="33" a="1"/>
  <c r="E65" i="33" s="1"/>
  <c r="E64" i="33" a="1"/>
  <c r="E64" i="33" s="1"/>
  <c r="E63" i="33" a="1"/>
  <c r="E63" i="33" s="1"/>
  <c r="E34" i="33" a="1"/>
  <c r="E34" i="33" s="1"/>
  <c r="E32" i="33" a="1"/>
  <c r="E32" i="33" s="1"/>
  <c r="E31" i="33" a="1"/>
  <c r="E31" i="33" s="1"/>
  <c r="E30" i="33" a="1"/>
  <c r="E30" i="33" s="1"/>
  <c r="E29" i="33" a="1"/>
  <c r="E29" i="33" s="1"/>
  <c r="E28" i="33" a="1"/>
  <c r="E28" i="33" s="1"/>
  <c r="E27" i="33" a="1"/>
  <c r="E27" i="33" s="1"/>
  <c r="E26" i="33" a="1"/>
  <c r="E26" i="33" s="1"/>
  <c r="E23" i="33" a="1"/>
  <c r="E23" i="33" s="1"/>
  <c r="E69" i="30" a="1"/>
  <c r="E69" i="30" s="1"/>
  <c r="E65" i="30" a="1"/>
  <c r="E65" i="30" s="1"/>
  <c r="E64" i="30" a="1"/>
  <c r="E64" i="30" s="1"/>
  <c r="E63" i="30" a="1"/>
  <c r="E63" i="30" s="1"/>
  <c r="E34" i="30" a="1"/>
  <c r="E34" i="30" s="1"/>
  <c r="E32" i="30" a="1"/>
  <c r="E32" i="30" s="1"/>
  <c r="E31" i="30" a="1"/>
  <c r="E31" i="30" s="1"/>
  <c r="E30" i="30" a="1"/>
  <c r="E30" i="30" s="1"/>
  <c r="E29" i="30" a="1"/>
  <c r="E29" i="30" s="1"/>
  <c r="E28" i="30" a="1"/>
  <c r="E28" i="30" s="1"/>
  <c r="E27" i="30" a="1"/>
  <c r="E27" i="30" s="1"/>
  <c r="E26" i="30" a="1"/>
  <c r="E26" i="30" s="1"/>
  <c r="E23" i="30" a="1"/>
  <c r="E23" i="30" s="1"/>
  <c r="E69" i="19" a="1"/>
  <c r="E69" i="19" s="1"/>
  <c r="E65" i="19" a="1"/>
  <c r="E65" i="19" s="1"/>
  <c r="E64" i="19" a="1"/>
  <c r="E64" i="19" s="1"/>
  <c r="E63" i="19" a="1"/>
  <c r="E63" i="19" s="1"/>
  <c r="E34" i="19" a="1"/>
  <c r="E34" i="19" s="1"/>
  <c r="E32" i="19" a="1"/>
  <c r="E32" i="19" s="1"/>
  <c r="E31" i="19" a="1"/>
  <c r="E31" i="19" s="1"/>
  <c r="E30" i="19" a="1"/>
  <c r="E30" i="19" s="1"/>
  <c r="E29" i="19" a="1"/>
  <c r="E29" i="19" s="1"/>
  <c r="E28" i="19" a="1"/>
  <c r="E28" i="19" s="1"/>
  <c r="E27" i="19" a="1"/>
  <c r="E27" i="19" s="1"/>
  <c r="E26" i="19" a="1"/>
  <c r="E26" i="19" s="1"/>
  <c r="E23" i="19" a="1"/>
  <c r="E23" i="19" s="1"/>
  <c r="E69" i="24" a="1"/>
  <c r="E69" i="24" s="1"/>
  <c r="E65" i="24" a="1"/>
  <c r="E65" i="24" s="1"/>
  <c r="E64" i="24" a="1"/>
  <c r="E64" i="24" s="1"/>
  <c r="E63" i="24" a="1"/>
  <c r="E63" i="24" s="1"/>
  <c r="E34" i="24" a="1"/>
  <c r="E34" i="24" s="1"/>
  <c r="E32" i="24" a="1"/>
  <c r="E32" i="24" s="1"/>
  <c r="E31" i="24" a="1"/>
  <c r="E31" i="24" s="1"/>
  <c r="E30" i="24" a="1"/>
  <c r="E30" i="24" s="1"/>
  <c r="E29" i="24" a="1"/>
  <c r="E29" i="24" s="1"/>
  <c r="E28" i="24" a="1"/>
  <c r="E28" i="24" s="1"/>
  <c r="E27" i="24" a="1"/>
  <c r="E27" i="24" s="1"/>
  <c r="E26" i="24" a="1"/>
  <c r="E26" i="24" s="1"/>
  <c r="E23" i="24" a="1"/>
  <c r="E23" i="24" s="1"/>
  <c r="E69" i="29" a="1"/>
  <c r="E69" i="29" s="1"/>
  <c r="E65" i="29" a="1"/>
  <c r="E65" i="29" s="1"/>
  <c r="E64" i="29" a="1"/>
  <c r="E64" i="29" s="1"/>
  <c r="E63" i="29" a="1"/>
  <c r="E63" i="29" s="1"/>
  <c r="E34" i="29" a="1"/>
  <c r="E34" i="29" s="1"/>
  <c r="E32" i="29" a="1"/>
  <c r="E32" i="29" s="1"/>
  <c r="E31" i="29" a="1"/>
  <c r="E31" i="29" s="1"/>
  <c r="E30" i="29" a="1"/>
  <c r="E30" i="29" s="1"/>
  <c r="E29" i="29" a="1"/>
  <c r="E29" i="29" s="1"/>
  <c r="E28" i="29" a="1"/>
  <c r="E28" i="29" s="1"/>
  <c r="E27" i="29" a="1"/>
  <c r="E27" i="29" s="1"/>
  <c r="E26" i="29" a="1"/>
  <c r="E26" i="29" s="1"/>
  <c r="E23" i="29" a="1"/>
  <c r="E23" i="29" s="1"/>
  <c r="E69" i="23" a="1"/>
  <c r="E69" i="23" s="1"/>
  <c r="E65" i="23" a="1"/>
  <c r="E65" i="23" s="1"/>
  <c r="E64" i="23" a="1"/>
  <c r="E64" i="23" s="1"/>
  <c r="E63" i="23" a="1"/>
  <c r="E63" i="23" s="1"/>
  <c r="E34" i="23" a="1"/>
  <c r="E34" i="23" s="1"/>
  <c r="E32" i="23" a="1"/>
  <c r="E32" i="23" s="1"/>
  <c r="E31" i="23" a="1"/>
  <c r="E31" i="23" s="1"/>
  <c r="E30" i="23" a="1"/>
  <c r="E30" i="23" s="1"/>
  <c r="E29" i="23" a="1"/>
  <c r="E29" i="23" s="1"/>
  <c r="E28" i="23" a="1"/>
  <c r="E28" i="23" s="1"/>
  <c r="E27" i="23" a="1"/>
  <c r="E27" i="23" s="1"/>
  <c r="E26" i="23" a="1"/>
  <c r="E26" i="23" s="1"/>
  <c r="E23" i="23" a="1"/>
  <c r="E23" i="23" s="1"/>
  <c r="E69" i="88" a="1"/>
  <c r="E69" i="88" s="1"/>
  <c r="E65" i="88" a="1"/>
  <c r="E65" i="88" s="1"/>
  <c r="E64" i="88" a="1"/>
  <c r="E64" i="88" s="1"/>
  <c r="E63" i="88" a="1"/>
  <c r="E63" i="88" s="1"/>
  <c r="E34" i="88" a="1"/>
  <c r="E34" i="88" s="1"/>
  <c r="E32" i="88" a="1"/>
  <c r="E32" i="88" s="1"/>
  <c r="E31" i="88" a="1"/>
  <c r="E31" i="88" s="1"/>
  <c r="E30" i="88" a="1"/>
  <c r="E30" i="88" s="1"/>
  <c r="E29" i="88" a="1"/>
  <c r="E29" i="88" s="1"/>
  <c r="E28" i="88" a="1"/>
  <c r="E28" i="88" s="1"/>
  <c r="E27" i="88" a="1"/>
  <c r="E27" i="88" s="1"/>
  <c r="E26" i="88" a="1"/>
  <c r="E26" i="88" s="1"/>
  <c r="E23" i="88" a="1"/>
  <c r="E23" i="88" s="1"/>
  <c r="E69" i="13" a="1"/>
  <c r="E69" i="13" s="1"/>
  <c r="E65" i="13" a="1"/>
  <c r="E65" i="13" s="1"/>
  <c r="E64" i="13" a="1"/>
  <c r="E64" i="13" s="1"/>
  <c r="E63" i="13" a="1"/>
  <c r="E63" i="13" s="1"/>
  <c r="E34" i="13" a="1"/>
  <c r="E34" i="13" s="1"/>
  <c r="E32" i="13" a="1"/>
  <c r="E32" i="13" s="1"/>
  <c r="E31" i="13" a="1"/>
  <c r="E31" i="13" s="1"/>
  <c r="E30" i="13" a="1"/>
  <c r="E30" i="13" s="1"/>
  <c r="E29" i="13" a="1"/>
  <c r="E29" i="13" s="1"/>
  <c r="E28" i="13" a="1"/>
  <c r="E28" i="13" s="1"/>
  <c r="E27" i="13" a="1"/>
  <c r="E27" i="13" s="1"/>
  <c r="E26" i="13" a="1"/>
  <c r="E26" i="13" s="1"/>
  <c r="E23" i="13" a="1"/>
  <c r="E23" i="13" s="1"/>
  <c r="E69" i="27" a="1"/>
  <c r="E69" i="27" s="1"/>
  <c r="E65" i="27" a="1"/>
  <c r="E65" i="27" s="1"/>
  <c r="E64" i="27" a="1"/>
  <c r="E64" i="27" s="1"/>
  <c r="E63" i="27" a="1"/>
  <c r="E63" i="27" s="1"/>
  <c r="E34" i="27" a="1"/>
  <c r="E34" i="27" s="1"/>
  <c r="E32" i="27" a="1"/>
  <c r="E32" i="27" s="1"/>
  <c r="E31" i="27" a="1"/>
  <c r="E31" i="27" s="1"/>
  <c r="E30" i="27" a="1"/>
  <c r="E30" i="27" s="1"/>
  <c r="E29" i="27" a="1"/>
  <c r="E29" i="27" s="1"/>
  <c r="E28" i="27" a="1"/>
  <c r="E28" i="27" s="1"/>
  <c r="E27" i="27" a="1"/>
  <c r="E27" i="27" s="1"/>
  <c r="E26" i="27" a="1"/>
  <c r="E26" i="27" s="1"/>
  <c r="E23" i="27" a="1"/>
  <c r="E23" i="27" s="1"/>
  <c r="E69" i="22" a="1"/>
  <c r="E69" i="22" s="1"/>
  <c r="E65" i="22" a="1"/>
  <c r="E65" i="22" s="1"/>
  <c r="E64" i="22" a="1"/>
  <c r="E64" i="22" s="1"/>
  <c r="E63" i="22" a="1"/>
  <c r="E63" i="22" s="1"/>
  <c r="E34" i="22" a="1"/>
  <c r="E34" i="22" s="1"/>
  <c r="E32" i="22" a="1"/>
  <c r="E32" i="22" s="1"/>
  <c r="E31" i="22" a="1"/>
  <c r="E31" i="22" s="1"/>
  <c r="E30" i="22" a="1"/>
  <c r="E30" i="22" s="1"/>
  <c r="E29" i="22" a="1"/>
  <c r="E29" i="22" s="1"/>
  <c r="E28" i="22" a="1"/>
  <c r="E28" i="22" s="1"/>
  <c r="E27" i="22" a="1"/>
  <c r="E27" i="22" s="1"/>
  <c r="E26" i="22" a="1"/>
  <c r="E26" i="22" s="1"/>
  <c r="E23" i="22" a="1"/>
  <c r="E23" i="22" s="1"/>
  <c r="E30" i="81" a="1"/>
  <c r="E30" i="81" s="1"/>
  <c r="E29" i="81" a="1"/>
  <c r="E29" i="81" s="1"/>
  <c r="E28" i="81" a="1"/>
  <c r="E28" i="81" s="1"/>
  <c r="E27" i="81" a="1"/>
  <c r="E27" i="81" s="1"/>
  <c r="E26" i="81" a="1"/>
  <c r="E26" i="81" s="1"/>
  <c r="E23" i="81" a="1"/>
  <c r="E23" i="81" s="1"/>
  <c r="E30" i="80" a="1"/>
  <c r="E30" i="80" s="1"/>
  <c r="E29" i="80" a="1"/>
  <c r="E29" i="80" s="1"/>
  <c r="E28" i="80" a="1"/>
  <c r="E28" i="80" s="1"/>
  <c r="E27" i="80" a="1"/>
  <c r="E27" i="80" s="1"/>
  <c r="E26" i="80" a="1"/>
  <c r="E26" i="80" s="1"/>
  <c r="E23" i="80" a="1"/>
  <c r="E23" i="80" s="1"/>
  <c r="E30" i="79" a="1"/>
  <c r="E30" i="79" s="1"/>
  <c r="E29" i="79" a="1"/>
  <c r="E29" i="79" s="1"/>
  <c r="E28" i="79" a="1"/>
  <c r="E28" i="79" s="1"/>
  <c r="E27" i="79" a="1"/>
  <c r="E27" i="79" s="1"/>
  <c r="E26" i="79" a="1"/>
  <c r="E26" i="79" s="1"/>
  <c r="E23" i="79" a="1"/>
  <c r="E23" i="79" s="1"/>
  <c r="E30" i="77" a="1"/>
  <c r="E30" i="77" s="1"/>
  <c r="E29" i="77" a="1"/>
  <c r="E29" i="77" s="1"/>
  <c r="E28" i="77" a="1"/>
  <c r="E28" i="77" s="1"/>
  <c r="E27" i="77" a="1"/>
  <c r="E27" i="77" s="1"/>
  <c r="E26" i="77" a="1"/>
  <c r="E26" i="77" s="1"/>
  <c r="E23" i="77" a="1"/>
  <c r="E23" i="77" s="1"/>
  <c r="E25" i="78" a="1"/>
  <c r="E25" i="78" s="1"/>
  <c r="E25" i="26" a="1"/>
  <c r="E25" i="26" s="1"/>
  <c r="E20" i="34" a="1"/>
  <c r="E20" i="34" s="1"/>
  <c r="E25" i="99" a="1"/>
  <c r="E25" i="99" s="1"/>
  <c r="E25" i="100" a="1"/>
  <c r="E25" i="100" s="1"/>
  <c r="AX4" i="5"/>
  <c r="A1" i="88" a="1"/>
  <c r="A1" i="88" s="1"/>
  <c r="A1" i="29" a="1"/>
  <c r="A1" i="29" s="1"/>
  <c r="A1" i="24" a="1"/>
  <c r="A1" i="24" s="1"/>
  <c r="A1" i="32" a="1"/>
  <c r="A1" i="32" s="1"/>
  <c r="A1" i="25" a="1"/>
  <c r="A1" i="25" s="1"/>
  <c r="A1" i="35" a="1"/>
  <c r="A1" i="35" s="1"/>
  <c r="A1" i="37" a="1"/>
  <c r="A1" i="37" s="1"/>
  <c r="A1" i="66" a="1"/>
  <c r="A1" i="66" s="1"/>
  <c r="A1" i="68" a="1"/>
  <c r="A1" i="68" s="1"/>
  <c r="A1" i="38" a="1"/>
  <c r="A1" i="38" s="1"/>
  <c r="A1" i="39" a="1"/>
  <c r="A1" i="39" s="1"/>
  <c r="A1" i="41" a="1"/>
  <c r="A1" i="41" s="1"/>
  <c r="A1" i="44" a="1"/>
  <c r="A1" i="44" s="1"/>
  <c r="A1" i="45" a="1"/>
  <c r="A1" i="45" s="1"/>
  <c r="A1" i="49" a="1"/>
  <c r="A1" i="49" s="1"/>
  <c r="A1" i="91" a="1"/>
  <c r="A1" i="91" s="1"/>
  <c r="A1" i="89" a="1"/>
  <c r="A1" i="89" s="1"/>
  <c r="A1" i="90" a="1"/>
  <c r="A1" i="90" s="1"/>
  <c r="A1" i="27" a="1"/>
  <c r="A1" i="27" s="1"/>
  <c r="AD21" i="98"/>
  <c r="AL21" i="98"/>
  <c r="AT21" i="98"/>
  <c r="B35" i="77"/>
  <c r="B34" i="77"/>
  <c r="B33" i="77"/>
  <c r="B32" i="77"/>
  <c r="B31" i="77"/>
  <c r="B30" i="77"/>
  <c r="B29" i="77"/>
  <c r="B28" i="77"/>
  <c r="B27" i="77"/>
  <c r="B26" i="77"/>
  <c r="B35" i="79"/>
  <c r="B34" i="79"/>
  <c r="B33" i="79"/>
  <c r="B32" i="79"/>
  <c r="B31" i="79"/>
  <c r="B30" i="79"/>
  <c r="B29" i="79"/>
  <c r="B28" i="79"/>
  <c r="B27" i="79"/>
  <c r="B26" i="79"/>
  <c r="B35" i="80"/>
  <c r="B34" i="80"/>
  <c r="B33" i="80"/>
  <c r="B32" i="80"/>
  <c r="B31" i="80"/>
  <c r="B30" i="80"/>
  <c r="B29" i="80"/>
  <c r="B28" i="80"/>
  <c r="B27" i="80"/>
  <c r="B26" i="80"/>
  <c r="B35" i="81"/>
  <c r="B34" i="81"/>
  <c r="B33" i="81"/>
  <c r="B32" i="81"/>
  <c r="B31" i="81"/>
  <c r="B30" i="81"/>
  <c r="B29" i="81"/>
  <c r="B28" i="81"/>
  <c r="B27" i="81"/>
  <c r="B26" i="81"/>
  <c r="E36" i="73" a="1"/>
  <c r="E36" i="73" s="1"/>
  <c r="E36" i="13" a="1"/>
  <c r="E36" i="13" s="1"/>
  <c r="E36" i="88" a="1"/>
  <c r="E36" i="88" s="1"/>
  <c r="E36" i="23" a="1"/>
  <c r="E36" i="23" s="1"/>
  <c r="E36" i="29" a="1"/>
  <c r="E36" i="29" s="1"/>
  <c r="E36" i="24" a="1"/>
  <c r="E36" i="24" s="1"/>
  <c r="E36" i="19" a="1"/>
  <c r="E36" i="19" s="1"/>
  <c r="E36" i="30" a="1"/>
  <c r="E36" i="30" s="1"/>
  <c r="E36" i="33" a="1"/>
  <c r="E36" i="33" s="1"/>
  <c r="E36" i="32" a="1"/>
  <c r="E36" i="32" s="1"/>
  <c r="E36" i="31" a="1"/>
  <c r="E36" i="31" s="1"/>
  <c r="E36" i="25" a="1"/>
  <c r="E36" i="25" s="1"/>
  <c r="E36" i="50" a="1"/>
  <c r="E36" i="50" s="1"/>
  <c r="E36" i="35" a="1"/>
  <c r="E36" i="35" s="1"/>
  <c r="E36" i="51" a="1"/>
  <c r="E36" i="51" s="1"/>
  <c r="E36" i="52" a="1"/>
  <c r="E36" i="52" s="1"/>
  <c r="E36" i="37" a="1"/>
  <c r="E36" i="37" s="1"/>
  <c r="E36" i="65" a="1"/>
  <c r="E36" i="65" s="1"/>
  <c r="E36" i="66" a="1"/>
  <c r="E36" i="66" s="1"/>
  <c r="E36" i="67" a="1"/>
  <c r="E36" i="67" s="1"/>
  <c r="E36" i="68" a="1"/>
  <c r="E36" i="68" s="1"/>
  <c r="E36" i="53" a="1"/>
  <c r="E36" i="53" s="1"/>
  <c r="E36" i="38" a="1"/>
  <c r="E36" i="38" s="1"/>
  <c r="E36" i="54" a="1"/>
  <c r="E36" i="54" s="1"/>
  <c r="E36" i="39" a="1"/>
  <c r="E36" i="39" s="1"/>
  <c r="E36" i="55" a="1"/>
  <c r="E36" i="55" s="1"/>
  <c r="E36" i="56" a="1"/>
  <c r="E36" i="56" s="1"/>
  <c r="E36" i="41" a="1"/>
  <c r="E36" i="41" s="1"/>
  <c r="E36" i="57" a="1"/>
  <c r="E36" i="57" s="1"/>
  <c r="E36" i="59" a="1"/>
  <c r="E36" i="59" s="1"/>
  <c r="E36" i="44" a="1"/>
  <c r="E36" i="44" s="1"/>
  <c r="E36" i="60" a="1"/>
  <c r="E36" i="60" s="1"/>
  <c r="E36" i="45" a="1"/>
  <c r="E36" i="45" s="1"/>
  <c r="E36" i="61" a="1"/>
  <c r="E36" i="61" s="1"/>
  <c r="E36" i="62" a="1"/>
  <c r="E36" i="62" s="1"/>
  <c r="E36" i="63" a="1"/>
  <c r="E36" i="63" s="1"/>
  <c r="E36" i="49" a="1"/>
  <c r="E36" i="49" s="1"/>
  <c r="E36" i="70" a="1"/>
  <c r="E36" i="70" s="1"/>
  <c r="E36" i="91" a="1"/>
  <c r="E36" i="91" s="1"/>
  <c r="E36" i="71" a="1"/>
  <c r="E36" i="71" s="1"/>
  <c r="E36" i="72" a="1"/>
  <c r="E36" i="72" s="1"/>
  <c r="E36" i="74" a="1"/>
  <c r="E36" i="74" s="1"/>
  <c r="E36" i="48" a="1"/>
  <c r="E36" i="48" s="1"/>
  <c r="E36" i="75" a="1"/>
  <c r="E36" i="75" s="1"/>
  <c r="E36" i="89" a="1"/>
  <c r="E36" i="89" s="1"/>
  <c r="E36" i="90" a="1"/>
  <c r="E36" i="90" s="1"/>
  <c r="E36" i="27" a="1"/>
  <c r="E36" i="27" s="1"/>
  <c r="E36" i="77" a="1"/>
  <c r="E36" i="77" s="1"/>
  <c r="E34" i="77" a="1"/>
  <c r="E34" i="77" s="1"/>
  <c r="E33" i="77" a="1"/>
  <c r="E33" i="77" s="1"/>
  <c r="E32" i="77" a="1"/>
  <c r="E32" i="77" s="1"/>
  <c r="E31" i="77" a="1"/>
  <c r="E31" i="77" s="1"/>
  <c r="E36" i="79" a="1"/>
  <c r="E36" i="79" s="1"/>
  <c r="E34" i="79" a="1"/>
  <c r="E34" i="79" s="1"/>
  <c r="E33" i="79" a="1"/>
  <c r="E33" i="79" s="1"/>
  <c r="E32" i="79" a="1"/>
  <c r="E32" i="79" s="1"/>
  <c r="E31" i="79" a="1"/>
  <c r="E31" i="79" s="1"/>
  <c r="E36" i="80" a="1"/>
  <c r="E36" i="80" s="1"/>
  <c r="E34" i="80" a="1"/>
  <c r="E34" i="80" s="1"/>
  <c r="E33" i="80" a="1"/>
  <c r="E33" i="80" s="1"/>
  <c r="E32" i="80" a="1"/>
  <c r="E32" i="80" s="1"/>
  <c r="E31" i="80" a="1"/>
  <c r="E31" i="80" s="1"/>
  <c r="E34" i="81" a="1"/>
  <c r="E34" i="81" s="1"/>
  <c r="E33" i="81" a="1"/>
  <c r="E33" i="81" s="1"/>
  <c r="E32" i="81" a="1"/>
  <c r="E32" i="81" s="1"/>
  <c r="E31" i="81" a="1"/>
  <c r="E31" i="81" s="1"/>
  <c r="E36" i="81" a="1"/>
  <c r="E36" i="81" s="1"/>
  <c r="BK144" i="5"/>
  <c r="BL144" i="5" s="1"/>
  <c r="BL143" i="5"/>
  <c r="BK143" i="5"/>
  <c r="BK142" i="5"/>
  <c r="BL142" i="5" s="1"/>
  <c r="BK134" i="5"/>
  <c r="BL134" i="5" s="1"/>
  <c r="C55" i="73" a="1"/>
  <c r="C55" i="73" s="1"/>
  <c r="C55" i="13" a="1"/>
  <c r="C55" i="13" s="1"/>
  <c r="C55" i="88" a="1"/>
  <c r="C55" i="88" s="1"/>
  <c r="C55" i="23" a="1"/>
  <c r="C55" i="23" s="1"/>
  <c r="C55" i="29" a="1"/>
  <c r="C55" i="29" s="1"/>
  <c r="C55" i="24" a="1"/>
  <c r="C55" i="24" s="1"/>
  <c r="C55" i="19" a="1"/>
  <c r="C55" i="19" s="1"/>
  <c r="C55" i="30" a="1"/>
  <c r="C55" i="30" s="1"/>
  <c r="C55" i="33" a="1"/>
  <c r="C55" i="33" s="1"/>
  <c r="C55" i="32" a="1"/>
  <c r="C55" i="32" s="1"/>
  <c r="C55" i="31" a="1"/>
  <c r="C55" i="31" s="1"/>
  <c r="C55" i="25" a="1"/>
  <c r="C55" i="25" s="1"/>
  <c r="C55" i="50" a="1"/>
  <c r="C55" i="50" s="1"/>
  <c r="C55" i="35" a="1"/>
  <c r="C55" i="35" s="1"/>
  <c r="C55" i="51" a="1"/>
  <c r="C55" i="51" s="1"/>
  <c r="C55" i="52" a="1"/>
  <c r="C55" i="52" s="1"/>
  <c r="C55" i="37" a="1"/>
  <c r="C55" i="37" s="1"/>
  <c r="C55" i="65" a="1"/>
  <c r="C55" i="65" s="1"/>
  <c r="C55" i="66" a="1"/>
  <c r="C55" i="66" s="1"/>
  <c r="C55" i="67" a="1"/>
  <c r="C55" i="67" s="1"/>
  <c r="C55" i="68" a="1"/>
  <c r="C55" i="68" s="1"/>
  <c r="C55" i="53" a="1"/>
  <c r="C55" i="53" s="1"/>
  <c r="C55" i="38" a="1"/>
  <c r="C55" i="38" s="1"/>
  <c r="C55" i="54" a="1"/>
  <c r="C55" i="54" s="1"/>
  <c r="C55" i="39" a="1"/>
  <c r="C55" i="39" s="1"/>
  <c r="C55" i="55" a="1"/>
  <c r="C55" i="55" s="1"/>
  <c r="C55" i="56" a="1"/>
  <c r="C55" i="56" s="1"/>
  <c r="C55" i="41" a="1"/>
  <c r="C55" i="41" s="1"/>
  <c r="C55" i="57" a="1"/>
  <c r="C55" i="57" s="1"/>
  <c r="C55" i="59" a="1"/>
  <c r="C55" i="59" s="1"/>
  <c r="C55" i="44" a="1"/>
  <c r="C55" i="44" s="1"/>
  <c r="C55" i="60" a="1"/>
  <c r="C55" i="60" s="1"/>
  <c r="C55" i="45" a="1"/>
  <c r="C55" i="45" s="1"/>
  <c r="C55" i="61" a="1"/>
  <c r="C55" i="61" s="1"/>
  <c r="C55" i="62" a="1"/>
  <c r="C55" i="62" s="1"/>
  <c r="C55" i="63" a="1"/>
  <c r="C55" i="63" s="1"/>
  <c r="C55" i="49" a="1"/>
  <c r="C55" i="49" s="1"/>
  <c r="C55" i="70" a="1"/>
  <c r="C55" i="70" s="1"/>
  <c r="C55" i="91" a="1"/>
  <c r="C55" i="91" s="1"/>
  <c r="C55" i="71" a="1"/>
  <c r="C55" i="71" s="1"/>
  <c r="C55" i="72" a="1"/>
  <c r="C55" i="72" s="1"/>
  <c r="C55" i="74" a="1"/>
  <c r="C55" i="74" s="1"/>
  <c r="C55" i="48" a="1"/>
  <c r="C55" i="48" s="1"/>
  <c r="C55" i="75" a="1"/>
  <c r="C55" i="75" s="1"/>
  <c r="C55" i="89" a="1"/>
  <c r="C55" i="89" s="1"/>
  <c r="C55" i="90" a="1"/>
  <c r="C55" i="90" s="1"/>
  <c r="C55" i="27" a="1"/>
  <c r="C55" i="27" s="1"/>
  <c r="C55" i="22" a="1"/>
  <c r="C55" i="22" s="1"/>
  <c r="C55" i="77" a="1"/>
  <c r="C55" i="77" s="1"/>
  <c r="C55" i="79" a="1"/>
  <c r="C55" i="79" s="1"/>
  <c r="C55" i="80" a="1"/>
  <c r="C55" i="80" s="1"/>
  <c r="C55" i="81" a="1"/>
  <c r="C55" i="81" s="1"/>
  <c r="C56" i="17" a="1"/>
  <c r="C56" i="17" s="1"/>
  <c r="E25" i="17" a="1"/>
  <c r="E25" i="17" s="1"/>
  <c r="E49" i="17" s="1" a="1"/>
  <c r="E49" i="17" s="1"/>
  <c r="E25" i="77" a="1"/>
  <c r="E25" i="77" s="1"/>
  <c r="E25" i="79" a="1"/>
  <c r="E25" i="79" s="1"/>
  <c r="E25" i="80" a="1"/>
  <c r="E25" i="80" s="1"/>
  <c r="E25" i="81" a="1"/>
  <c r="E25" i="81" s="1"/>
  <c r="E25" i="22" a="1"/>
  <c r="E25" i="22" s="1"/>
  <c r="E25" i="27" a="1"/>
  <c r="E25" i="27" s="1"/>
  <c r="E25" i="13" a="1"/>
  <c r="E25" i="13" s="1"/>
  <c r="E25" i="88" a="1"/>
  <c r="E25" i="88" s="1"/>
  <c r="E25" i="23" a="1"/>
  <c r="E25" i="23" s="1"/>
  <c r="E25" i="29" a="1"/>
  <c r="E25" i="29" s="1"/>
  <c r="E25" i="24" a="1"/>
  <c r="E25" i="24" s="1"/>
  <c r="E25" i="19" a="1"/>
  <c r="E25" i="19" s="1"/>
  <c r="E25" i="30" a="1"/>
  <c r="E25" i="30" s="1"/>
  <c r="E25" i="33" a="1"/>
  <c r="E25" i="33" s="1"/>
  <c r="E25" i="32" a="1"/>
  <c r="E25" i="32" s="1"/>
  <c r="E25" i="31" a="1"/>
  <c r="E25" i="31" s="1"/>
  <c r="E25" i="25" a="1"/>
  <c r="E25" i="25" s="1"/>
  <c r="E25" i="50" a="1"/>
  <c r="E25" i="50" s="1"/>
  <c r="E25" i="35" a="1"/>
  <c r="E25" i="35" s="1"/>
  <c r="E25" i="51" a="1"/>
  <c r="E25" i="51" s="1"/>
  <c r="E25" i="52" a="1"/>
  <c r="E25" i="52" s="1"/>
  <c r="E25" i="37" a="1"/>
  <c r="E25" i="37" s="1"/>
  <c r="E25" i="65" a="1"/>
  <c r="E25" i="65" s="1"/>
  <c r="E25" i="66" a="1"/>
  <c r="E25" i="66" s="1"/>
  <c r="E25" i="67" a="1"/>
  <c r="E25" i="67" s="1"/>
  <c r="E25" i="68" a="1"/>
  <c r="E25" i="68" s="1"/>
  <c r="E25" i="53" a="1"/>
  <c r="E25" i="53" s="1"/>
  <c r="E25" i="38" a="1"/>
  <c r="E25" i="38" s="1"/>
  <c r="E25" i="54" a="1"/>
  <c r="E25" i="54" s="1"/>
  <c r="E25" i="39" a="1"/>
  <c r="E25" i="39" s="1"/>
  <c r="E25" i="55" a="1"/>
  <c r="E25" i="55" s="1"/>
  <c r="E25" i="56" a="1"/>
  <c r="E25" i="56" s="1"/>
  <c r="E25" i="41" a="1"/>
  <c r="E25" i="41" s="1"/>
  <c r="E25" i="57" a="1"/>
  <c r="E25" i="57" s="1"/>
  <c r="E25" i="59" a="1"/>
  <c r="E25" i="59" s="1"/>
  <c r="E25" i="44" a="1"/>
  <c r="E25" i="44" s="1"/>
  <c r="E25" i="60" a="1"/>
  <c r="E25" i="60" s="1"/>
  <c r="E25" i="45" a="1"/>
  <c r="E25" i="45" s="1"/>
  <c r="E25" i="61" a="1"/>
  <c r="E25" i="61" s="1"/>
  <c r="E25" i="62" a="1"/>
  <c r="E25" i="62" s="1"/>
  <c r="E25" i="63" a="1"/>
  <c r="E25" i="63" s="1"/>
  <c r="E25" i="49" a="1"/>
  <c r="E25" i="49" s="1"/>
  <c r="E25" i="70" a="1"/>
  <c r="E25" i="70" s="1"/>
  <c r="E25" i="91" a="1"/>
  <c r="E25" i="91" s="1"/>
  <c r="E25" i="71" a="1"/>
  <c r="E25" i="71" s="1"/>
  <c r="E25" i="72" a="1"/>
  <c r="E25" i="72" s="1"/>
  <c r="E25" i="74" a="1"/>
  <c r="E25" i="74" s="1"/>
  <c r="E25" i="48" a="1"/>
  <c r="E25" i="48" s="1"/>
  <c r="E25" i="75" a="1"/>
  <c r="E25" i="75" s="1"/>
  <c r="E25" i="89" a="1"/>
  <c r="E25" i="89" s="1"/>
  <c r="E25" i="90" a="1"/>
  <c r="E25" i="90" s="1"/>
  <c r="E25" i="73" a="1"/>
  <c r="E25" i="73" s="1"/>
  <c r="B35" i="73"/>
  <c r="B34" i="73"/>
  <c r="B33" i="73"/>
  <c r="B32" i="73"/>
  <c r="B31" i="73"/>
  <c r="B30" i="73"/>
  <c r="B29" i="73"/>
  <c r="B28" i="73"/>
  <c r="B27" i="73"/>
  <c r="B26" i="73"/>
  <c r="B7" i="73" a="1"/>
  <c r="B7" i="73" s="1"/>
  <c r="B35" i="13"/>
  <c r="B34" i="13"/>
  <c r="B33" i="13"/>
  <c r="B32" i="13"/>
  <c r="B31" i="13"/>
  <c r="B30" i="13"/>
  <c r="B29" i="13"/>
  <c r="B28" i="13"/>
  <c r="B27" i="13"/>
  <c r="B26" i="13"/>
  <c r="B7" i="13" a="1"/>
  <c r="B7" i="13" s="1"/>
  <c r="B35" i="88"/>
  <c r="B34" i="88"/>
  <c r="B33" i="88"/>
  <c r="B32" i="88"/>
  <c r="B31" i="88"/>
  <c r="B30" i="88"/>
  <c r="B29" i="88"/>
  <c r="B28" i="88"/>
  <c r="B27" i="88"/>
  <c r="B26" i="88"/>
  <c r="B7" i="88" a="1"/>
  <c r="B7" i="88" s="1"/>
  <c r="B35" i="23"/>
  <c r="B34" i="23"/>
  <c r="B33" i="23"/>
  <c r="B32" i="23"/>
  <c r="B31" i="23"/>
  <c r="B30" i="23"/>
  <c r="B29" i="23"/>
  <c r="B28" i="23"/>
  <c r="B27" i="23"/>
  <c r="B26" i="23"/>
  <c r="B7" i="23" a="1"/>
  <c r="B7" i="23" s="1"/>
  <c r="B35" i="29"/>
  <c r="B34" i="29"/>
  <c r="B33" i="29"/>
  <c r="B32" i="29"/>
  <c r="B31" i="29"/>
  <c r="B30" i="29"/>
  <c r="B29" i="29"/>
  <c r="B28" i="29"/>
  <c r="B27" i="29"/>
  <c r="B26" i="29"/>
  <c r="B7" i="29" a="1"/>
  <c r="B7" i="29" s="1"/>
  <c r="B35" i="24"/>
  <c r="B34" i="24"/>
  <c r="B33" i="24"/>
  <c r="B32" i="24"/>
  <c r="B31" i="24"/>
  <c r="B30" i="24"/>
  <c r="B29" i="24"/>
  <c r="B28" i="24"/>
  <c r="B27" i="24"/>
  <c r="B26" i="24"/>
  <c r="B7" i="24" a="1"/>
  <c r="B7" i="24" s="1"/>
  <c r="B35" i="19"/>
  <c r="B34" i="19"/>
  <c r="B33" i="19"/>
  <c r="B32" i="19"/>
  <c r="B31" i="19"/>
  <c r="B30" i="19"/>
  <c r="B29" i="19"/>
  <c r="B28" i="19"/>
  <c r="B27" i="19"/>
  <c r="B26" i="19"/>
  <c r="B7" i="19" a="1"/>
  <c r="B7" i="19" s="1"/>
  <c r="B35" i="30"/>
  <c r="B34" i="30"/>
  <c r="B33" i="30"/>
  <c r="B32" i="30"/>
  <c r="B31" i="30"/>
  <c r="B30" i="30"/>
  <c r="B29" i="30"/>
  <c r="B28" i="30"/>
  <c r="B27" i="30"/>
  <c r="B26" i="30"/>
  <c r="B7" i="30" a="1"/>
  <c r="B7" i="30" s="1"/>
  <c r="B35" i="33"/>
  <c r="B34" i="33"/>
  <c r="B33" i="33"/>
  <c r="B32" i="33"/>
  <c r="B31" i="33"/>
  <c r="B30" i="33"/>
  <c r="B29" i="33"/>
  <c r="B28" i="33"/>
  <c r="B27" i="33"/>
  <c r="B26" i="33"/>
  <c r="B7" i="33" a="1"/>
  <c r="B7" i="33" s="1"/>
  <c r="B35" i="32"/>
  <c r="B34" i="32"/>
  <c r="B33" i="32"/>
  <c r="B32" i="32"/>
  <c r="B31" i="32"/>
  <c r="B30" i="32"/>
  <c r="B29" i="32"/>
  <c r="B28" i="32"/>
  <c r="B27" i="32"/>
  <c r="B26" i="32"/>
  <c r="B7" i="32" a="1"/>
  <c r="B7" i="32" s="1"/>
  <c r="B35" i="31"/>
  <c r="B34" i="31"/>
  <c r="B33" i="31"/>
  <c r="B32" i="31"/>
  <c r="B31" i="31"/>
  <c r="B30" i="31"/>
  <c r="B29" i="31"/>
  <c r="B28" i="31"/>
  <c r="B27" i="31"/>
  <c r="B26" i="31"/>
  <c r="B7" i="31" a="1"/>
  <c r="B7" i="31" s="1"/>
  <c r="B35" i="25"/>
  <c r="B34" i="25"/>
  <c r="B33" i="25"/>
  <c r="B32" i="25"/>
  <c r="B31" i="25"/>
  <c r="B30" i="25"/>
  <c r="B29" i="25"/>
  <c r="B28" i="25"/>
  <c r="B27" i="25"/>
  <c r="B26" i="25"/>
  <c r="B7" i="25" a="1"/>
  <c r="B7" i="25" s="1"/>
  <c r="B35" i="50"/>
  <c r="B34" i="50"/>
  <c r="B33" i="50"/>
  <c r="B32" i="50"/>
  <c r="B31" i="50"/>
  <c r="B30" i="50"/>
  <c r="B29" i="50"/>
  <c r="B28" i="50"/>
  <c r="B27" i="50"/>
  <c r="B26" i="50"/>
  <c r="B7" i="50" a="1"/>
  <c r="B7" i="50" s="1"/>
  <c r="B35" i="35"/>
  <c r="B34" i="35"/>
  <c r="B33" i="35"/>
  <c r="B32" i="35"/>
  <c r="B31" i="35"/>
  <c r="B30" i="35"/>
  <c r="B29" i="35"/>
  <c r="B28" i="35"/>
  <c r="B27" i="35"/>
  <c r="B26" i="35"/>
  <c r="B7" i="35" a="1"/>
  <c r="B7" i="35" s="1"/>
  <c r="B35" i="51"/>
  <c r="B34" i="51"/>
  <c r="B33" i="51"/>
  <c r="B32" i="51"/>
  <c r="B31" i="51"/>
  <c r="B30" i="51"/>
  <c r="B29" i="51"/>
  <c r="B28" i="51"/>
  <c r="B27" i="51"/>
  <c r="B26" i="51"/>
  <c r="B7" i="51" a="1"/>
  <c r="B7" i="51" s="1"/>
  <c r="B35" i="52"/>
  <c r="B34" i="52"/>
  <c r="B33" i="52"/>
  <c r="B32" i="52"/>
  <c r="B31" i="52"/>
  <c r="B30" i="52"/>
  <c r="B29" i="52"/>
  <c r="B28" i="52"/>
  <c r="B27" i="52"/>
  <c r="B26" i="52"/>
  <c r="B7" i="52" a="1"/>
  <c r="B7" i="52" s="1"/>
  <c r="B35" i="37"/>
  <c r="B34" i="37"/>
  <c r="B33" i="37"/>
  <c r="B32" i="37"/>
  <c r="B31" i="37"/>
  <c r="B30" i="37"/>
  <c r="B29" i="37"/>
  <c r="B28" i="37"/>
  <c r="B27" i="37"/>
  <c r="B26" i="37"/>
  <c r="B7" i="37" a="1"/>
  <c r="B7" i="37" s="1"/>
  <c r="B35" i="65"/>
  <c r="B34" i="65"/>
  <c r="B33" i="65"/>
  <c r="B32" i="65"/>
  <c r="B31" i="65"/>
  <c r="B30" i="65"/>
  <c r="B29" i="65"/>
  <c r="B28" i="65"/>
  <c r="B27" i="65"/>
  <c r="B26" i="65"/>
  <c r="B7" i="65" a="1"/>
  <c r="B7" i="65" s="1"/>
  <c r="B35" i="66"/>
  <c r="B34" i="66"/>
  <c r="B33" i="66"/>
  <c r="B32" i="66"/>
  <c r="B31" i="66"/>
  <c r="B30" i="66"/>
  <c r="B29" i="66"/>
  <c r="B28" i="66"/>
  <c r="B27" i="66"/>
  <c r="B26" i="66"/>
  <c r="B7" i="66" a="1"/>
  <c r="B7" i="66" s="1"/>
  <c r="B35" i="67"/>
  <c r="B34" i="67"/>
  <c r="B33" i="67"/>
  <c r="B32" i="67"/>
  <c r="B31" i="67"/>
  <c r="B30" i="67"/>
  <c r="B29" i="67"/>
  <c r="B28" i="67"/>
  <c r="B27" i="67"/>
  <c r="B26" i="67"/>
  <c r="B7" i="67" a="1"/>
  <c r="B7" i="67" s="1"/>
  <c r="B35" i="68"/>
  <c r="B34" i="68"/>
  <c r="B33" i="68"/>
  <c r="B32" i="68"/>
  <c r="B31" i="68"/>
  <c r="B30" i="68"/>
  <c r="B29" i="68"/>
  <c r="B28" i="68"/>
  <c r="B27" i="68"/>
  <c r="B26" i="68"/>
  <c r="B7" i="68" a="1"/>
  <c r="B7" i="68" s="1"/>
  <c r="B35" i="53"/>
  <c r="B34" i="53"/>
  <c r="B33" i="53"/>
  <c r="B32" i="53"/>
  <c r="B31" i="53"/>
  <c r="B30" i="53"/>
  <c r="B29" i="53"/>
  <c r="B28" i="53"/>
  <c r="B27" i="53"/>
  <c r="B26" i="53"/>
  <c r="B7" i="53" a="1"/>
  <c r="B7" i="53" s="1"/>
  <c r="B35" i="38"/>
  <c r="B34" i="38"/>
  <c r="B33" i="38"/>
  <c r="B32" i="38"/>
  <c r="B31" i="38"/>
  <c r="B30" i="38"/>
  <c r="B29" i="38"/>
  <c r="B28" i="38"/>
  <c r="B27" i="38"/>
  <c r="B26" i="38"/>
  <c r="B7" i="38" a="1"/>
  <c r="B7" i="38" s="1"/>
  <c r="B35" i="54"/>
  <c r="B34" i="54"/>
  <c r="B33" i="54"/>
  <c r="B32" i="54"/>
  <c r="B31" i="54"/>
  <c r="B30" i="54"/>
  <c r="B29" i="54"/>
  <c r="B28" i="54"/>
  <c r="B27" i="54"/>
  <c r="B26" i="54"/>
  <c r="B7" i="54" a="1"/>
  <c r="B7" i="54" s="1"/>
  <c r="B35" i="39"/>
  <c r="B34" i="39"/>
  <c r="B33" i="39"/>
  <c r="B32" i="39"/>
  <c r="B31" i="39"/>
  <c r="B30" i="39"/>
  <c r="B29" i="39"/>
  <c r="B28" i="39"/>
  <c r="B27" i="39"/>
  <c r="B26" i="39"/>
  <c r="B7" i="39" a="1"/>
  <c r="B7" i="39" s="1"/>
  <c r="B35" i="55"/>
  <c r="B34" i="55"/>
  <c r="B33" i="55"/>
  <c r="B32" i="55"/>
  <c r="B31" i="55"/>
  <c r="B30" i="55"/>
  <c r="B29" i="55"/>
  <c r="B28" i="55"/>
  <c r="B27" i="55"/>
  <c r="B26" i="55"/>
  <c r="B7" i="55" a="1"/>
  <c r="B7" i="55" s="1"/>
  <c r="B35" i="56"/>
  <c r="B34" i="56"/>
  <c r="B33" i="56"/>
  <c r="B32" i="56"/>
  <c r="B31" i="56"/>
  <c r="B30" i="56"/>
  <c r="B29" i="56"/>
  <c r="B28" i="56"/>
  <c r="B27" i="56"/>
  <c r="B26" i="56"/>
  <c r="B7" i="56" a="1"/>
  <c r="B7" i="56" s="1"/>
  <c r="B35" i="41"/>
  <c r="B34" i="41"/>
  <c r="B33" i="41"/>
  <c r="B32" i="41"/>
  <c r="B31" i="41"/>
  <c r="B30" i="41"/>
  <c r="B29" i="41"/>
  <c r="B28" i="41"/>
  <c r="B27" i="41"/>
  <c r="B26" i="41"/>
  <c r="B7" i="41" a="1"/>
  <c r="B7" i="41" s="1"/>
  <c r="B35" i="57"/>
  <c r="B34" i="57"/>
  <c r="B33" i="57"/>
  <c r="B32" i="57"/>
  <c r="B31" i="57"/>
  <c r="B30" i="57"/>
  <c r="B29" i="57"/>
  <c r="B28" i="57"/>
  <c r="B27" i="57"/>
  <c r="B26" i="57"/>
  <c r="B7" i="57" a="1"/>
  <c r="B7" i="57" s="1"/>
  <c r="B35" i="59"/>
  <c r="B34" i="59"/>
  <c r="B33" i="59"/>
  <c r="B32" i="59"/>
  <c r="B31" i="59"/>
  <c r="B30" i="59"/>
  <c r="B29" i="59"/>
  <c r="B28" i="59"/>
  <c r="B27" i="59"/>
  <c r="B26" i="59"/>
  <c r="B7" i="59" a="1"/>
  <c r="B7" i="59" s="1"/>
  <c r="B35" i="44"/>
  <c r="B34" i="44"/>
  <c r="B33" i="44"/>
  <c r="B32" i="44"/>
  <c r="B31" i="44"/>
  <c r="B30" i="44"/>
  <c r="B29" i="44"/>
  <c r="B28" i="44"/>
  <c r="B27" i="44"/>
  <c r="B26" i="44"/>
  <c r="B7" i="44" a="1"/>
  <c r="B7" i="44" s="1"/>
  <c r="B35" i="60"/>
  <c r="B34" i="60"/>
  <c r="B33" i="60"/>
  <c r="B32" i="60"/>
  <c r="B31" i="60"/>
  <c r="B30" i="60"/>
  <c r="B29" i="60"/>
  <c r="B28" i="60"/>
  <c r="B27" i="60"/>
  <c r="B26" i="60"/>
  <c r="B7" i="60" a="1"/>
  <c r="B7" i="60" s="1"/>
  <c r="B35" i="45"/>
  <c r="B34" i="45"/>
  <c r="B33" i="45"/>
  <c r="B32" i="45"/>
  <c r="B31" i="45"/>
  <c r="B30" i="45"/>
  <c r="B29" i="45"/>
  <c r="B28" i="45"/>
  <c r="B27" i="45"/>
  <c r="B26" i="45"/>
  <c r="B7" i="45" a="1"/>
  <c r="B7" i="45" s="1"/>
  <c r="B35" i="61"/>
  <c r="B34" i="61"/>
  <c r="B33" i="61"/>
  <c r="B32" i="61"/>
  <c r="B31" i="61"/>
  <c r="B30" i="61"/>
  <c r="B29" i="61"/>
  <c r="B28" i="61"/>
  <c r="B27" i="61"/>
  <c r="B26" i="61"/>
  <c r="B7" i="61" a="1"/>
  <c r="B7" i="61" s="1"/>
  <c r="B35" i="62"/>
  <c r="B34" i="62"/>
  <c r="B33" i="62"/>
  <c r="B32" i="62"/>
  <c r="B31" i="62"/>
  <c r="B30" i="62"/>
  <c r="B29" i="62"/>
  <c r="B28" i="62"/>
  <c r="B27" i="62"/>
  <c r="B26" i="62"/>
  <c r="B7" i="62" a="1"/>
  <c r="B7" i="62" s="1"/>
  <c r="B35" i="63"/>
  <c r="B34" i="63"/>
  <c r="B33" i="63"/>
  <c r="B32" i="63"/>
  <c r="B31" i="63"/>
  <c r="B30" i="63"/>
  <c r="B29" i="63"/>
  <c r="B28" i="63"/>
  <c r="B27" i="63"/>
  <c r="B26" i="63"/>
  <c r="B7" i="63" a="1"/>
  <c r="B7" i="63" s="1"/>
  <c r="B35" i="49"/>
  <c r="B34" i="49"/>
  <c r="B33" i="49"/>
  <c r="B32" i="49"/>
  <c r="B31" i="49"/>
  <c r="B30" i="49"/>
  <c r="B29" i="49"/>
  <c r="B28" i="49"/>
  <c r="B27" i="49"/>
  <c r="B26" i="49"/>
  <c r="B7" i="49" a="1"/>
  <c r="B7" i="49" s="1"/>
  <c r="B35" i="70"/>
  <c r="B34" i="70"/>
  <c r="B33" i="70"/>
  <c r="B32" i="70"/>
  <c r="B31" i="70"/>
  <c r="B30" i="70"/>
  <c r="B29" i="70"/>
  <c r="B28" i="70"/>
  <c r="B27" i="70"/>
  <c r="B26" i="70"/>
  <c r="B7" i="70" a="1"/>
  <c r="B7" i="70" s="1"/>
  <c r="B35" i="91"/>
  <c r="B34" i="91"/>
  <c r="B33" i="91"/>
  <c r="B32" i="91"/>
  <c r="B31" i="91"/>
  <c r="B30" i="91"/>
  <c r="B29" i="91"/>
  <c r="B28" i="91"/>
  <c r="B27" i="91"/>
  <c r="B26" i="91"/>
  <c r="B7" i="91" a="1"/>
  <c r="B7" i="91" s="1"/>
  <c r="B35" i="71"/>
  <c r="B34" i="71"/>
  <c r="B33" i="71"/>
  <c r="B32" i="71"/>
  <c r="B31" i="71"/>
  <c r="B30" i="71"/>
  <c r="B29" i="71"/>
  <c r="B28" i="71"/>
  <c r="B27" i="71"/>
  <c r="B26" i="71"/>
  <c r="B7" i="71" a="1"/>
  <c r="B7" i="71" s="1"/>
  <c r="B35" i="72"/>
  <c r="B34" i="72"/>
  <c r="B33" i="72"/>
  <c r="B32" i="72"/>
  <c r="B31" i="72"/>
  <c r="B30" i="72"/>
  <c r="B29" i="72"/>
  <c r="B28" i="72"/>
  <c r="B27" i="72"/>
  <c r="B26" i="72"/>
  <c r="B7" i="72" a="1"/>
  <c r="B7" i="72" s="1"/>
  <c r="B35" i="74"/>
  <c r="B34" i="74"/>
  <c r="B33" i="74"/>
  <c r="B32" i="74"/>
  <c r="B31" i="74"/>
  <c r="B30" i="74"/>
  <c r="B29" i="74"/>
  <c r="B28" i="74"/>
  <c r="B27" i="74"/>
  <c r="B26" i="74"/>
  <c r="B7" i="74" a="1"/>
  <c r="B7" i="74" s="1"/>
  <c r="B35" i="48"/>
  <c r="B34" i="48"/>
  <c r="B33" i="48"/>
  <c r="B32" i="48"/>
  <c r="B31" i="48"/>
  <c r="B30" i="48"/>
  <c r="B29" i="48"/>
  <c r="B28" i="48"/>
  <c r="B27" i="48"/>
  <c r="B26" i="48"/>
  <c r="B7" i="48" a="1"/>
  <c r="B7" i="48" s="1"/>
  <c r="B35" i="75"/>
  <c r="B34" i="75"/>
  <c r="B33" i="75"/>
  <c r="B32" i="75"/>
  <c r="B31" i="75"/>
  <c r="B30" i="75"/>
  <c r="B29" i="75"/>
  <c r="B28" i="75"/>
  <c r="B27" i="75"/>
  <c r="B26" i="75"/>
  <c r="B7" i="75" a="1"/>
  <c r="B7" i="75" s="1"/>
  <c r="B35" i="89"/>
  <c r="B34" i="89"/>
  <c r="B33" i="89"/>
  <c r="B32" i="89"/>
  <c r="B31" i="89"/>
  <c r="B30" i="89"/>
  <c r="B29" i="89"/>
  <c r="B28" i="89"/>
  <c r="B27" i="89"/>
  <c r="B26" i="89"/>
  <c r="B7" i="89" a="1"/>
  <c r="B7" i="89" s="1"/>
  <c r="B35" i="90"/>
  <c r="B34" i="90"/>
  <c r="B33" i="90"/>
  <c r="B32" i="90"/>
  <c r="B31" i="90"/>
  <c r="B30" i="90"/>
  <c r="B29" i="90"/>
  <c r="B28" i="90"/>
  <c r="B27" i="90"/>
  <c r="B26" i="90"/>
  <c r="B7" i="90" a="1"/>
  <c r="B7" i="90" s="1"/>
  <c r="B35" i="27"/>
  <c r="B34" i="27"/>
  <c r="B33" i="27"/>
  <c r="B32" i="27"/>
  <c r="B31" i="27"/>
  <c r="B30" i="27"/>
  <c r="B29" i="27"/>
  <c r="B28" i="27"/>
  <c r="B27" i="27"/>
  <c r="B26" i="27"/>
  <c r="B7" i="27" a="1"/>
  <c r="B7" i="27" s="1"/>
  <c r="D159" i="5" a="1"/>
  <c r="D159" i="5" s="1"/>
  <c r="B7" i="22" a="1"/>
  <c r="B7" i="22" s="1"/>
  <c r="B35" i="22"/>
  <c r="B34" i="22"/>
  <c r="B33" i="22"/>
  <c r="B32" i="22"/>
  <c r="B31" i="22"/>
  <c r="B30" i="22"/>
  <c r="B29" i="22"/>
  <c r="B28" i="22"/>
  <c r="B27" i="22"/>
  <c r="B26" i="22"/>
  <c r="B61" i="5"/>
  <c r="B60" i="5"/>
  <c r="B59" i="5"/>
  <c r="B58" i="5"/>
  <c r="B57" i="5"/>
  <c r="B56" i="5"/>
  <c r="B55" i="5"/>
  <c r="B54" i="5"/>
  <c r="B53" i="5"/>
  <c r="BK4" i="5" a="1"/>
  <c r="BK4" i="5"/>
  <c r="BI105" i="5" a="1"/>
  <c r="BI105" i="5"/>
  <c r="BK105" i="5"/>
  <c r="BL105" i="5"/>
  <c r="BK106" i="5"/>
  <c r="BL106" i="5"/>
  <c r="BK107" i="5"/>
  <c r="BL107" i="5" s="1"/>
  <c r="BK108" i="5"/>
  <c r="BL108" i="5"/>
  <c r="BK109" i="5"/>
  <c r="BL109" i="5"/>
  <c r="BK110" i="5"/>
  <c r="BL110" i="5"/>
  <c r="BK111" i="5"/>
  <c r="BL111" i="5" s="1"/>
  <c r="BK112" i="5"/>
  <c r="BL112" i="5"/>
  <c r="BK113" i="5"/>
  <c r="BL113" i="5"/>
  <c r="BK114" i="5"/>
  <c r="BL114" i="5" s="1"/>
  <c r="BK115" i="5"/>
  <c r="BL115" i="5"/>
  <c r="BK116" i="5"/>
  <c r="BL116" i="5"/>
  <c r="BK117" i="5"/>
  <c r="BL117" i="5"/>
  <c r="BK118" i="5"/>
  <c r="BL118" i="5"/>
  <c r="BK12" i="5"/>
  <c r="BL12" i="5"/>
  <c r="BK127" i="5"/>
  <c r="BL127" i="5" s="1"/>
  <c r="BK129" i="5"/>
  <c r="BL129" i="5" s="1"/>
  <c r="BK130" i="5"/>
  <c r="BL130" i="5"/>
  <c r="BK131" i="5"/>
  <c r="BL131" i="5"/>
  <c r="BK132" i="5"/>
  <c r="BL132" i="5"/>
  <c r="BK133" i="5"/>
  <c r="BL133" i="5" s="1"/>
  <c r="BK136" i="5"/>
  <c r="BL136" i="5" s="1"/>
  <c r="BK137" i="5"/>
  <c r="BL137" i="5"/>
  <c r="BK138" i="5"/>
  <c r="BL138" i="5" s="1"/>
  <c r="BK139" i="5"/>
  <c r="BL139" i="5" s="1"/>
  <c r="BK141" i="5"/>
  <c r="BL141" i="5" s="1"/>
  <c r="BK145" i="5"/>
  <c r="BL145" i="5" s="1"/>
  <c r="BK147" i="5"/>
  <c r="BL147" i="5" s="1"/>
  <c r="BK150" i="5"/>
  <c r="BL150" i="5" s="1"/>
  <c r="BK151" i="5"/>
  <c r="BL151" i="5"/>
  <c r="BK152" i="5"/>
  <c r="BL152" i="5" s="1"/>
  <c r="BK153" i="5"/>
  <c r="BL153" i="5" s="1"/>
  <c r="BK154" i="5"/>
  <c r="BL154" i="5" s="1"/>
  <c r="BK155" i="5"/>
  <c r="BL155" i="5" s="1"/>
  <c r="BK156" i="5"/>
  <c r="BL156" i="5" s="1"/>
  <c r="BK157" i="5"/>
  <c r="BL157" i="5"/>
  <c r="BK161" i="5"/>
  <c r="BL161" i="5"/>
  <c r="BK162" i="5"/>
  <c r="BL162" i="5"/>
  <c r="BK163" i="5"/>
  <c r="BL163" i="5" s="1"/>
  <c r="BK164" i="5"/>
  <c r="BL164" i="5"/>
  <c r="BK186" i="5"/>
  <c r="BL186" i="5" s="1"/>
  <c r="BK187" i="5"/>
  <c r="BL187" i="5" s="1"/>
  <c r="BK188" i="5"/>
  <c r="BL188" i="5" s="1"/>
  <c r="BK190" i="5"/>
  <c r="BL190" i="5" s="1"/>
  <c r="BK191" i="5"/>
  <c r="BL191" i="5" s="1"/>
  <c r="BK192" i="5"/>
  <c r="BL192" i="5" s="1"/>
  <c r="BK193" i="5"/>
  <c r="BL193" i="5"/>
  <c r="BK194" i="5"/>
  <c r="BL194" i="5"/>
  <c r="BK196" i="5"/>
  <c r="BL196" i="5"/>
  <c r="BK197" i="5"/>
  <c r="BL197" i="5" s="1"/>
  <c r="BK198" i="5"/>
  <c r="BL198" i="5"/>
  <c r="BK200" i="5"/>
  <c r="BL200" i="5" s="1"/>
  <c r="BK201" i="5"/>
  <c r="BL201" i="5"/>
  <c r="BK203" i="5"/>
  <c r="BL203" i="5"/>
  <c r="BK204" i="5"/>
  <c r="BL204" i="5"/>
  <c r="BK205" i="5"/>
  <c r="BL205" i="5"/>
  <c r="BK206" i="5"/>
  <c r="BL206" i="5"/>
  <c r="BK207" i="5"/>
  <c r="BL207" i="5"/>
  <c r="BK208" i="5"/>
  <c r="BL208" i="5"/>
  <c r="BK209" i="5"/>
  <c r="BL209" i="5"/>
  <c r="BK210" i="5"/>
  <c r="BL210" i="5"/>
  <c r="BK211" i="5"/>
  <c r="BL211" i="5"/>
  <c r="BK213" i="5"/>
  <c r="BL213" i="5"/>
  <c r="BK214" i="5"/>
  <c r="BL214" i="5"/>
  <c r="BK215" i="5"/>
  <c r="BL215" i="5"/>
  <c r="BK217" i="5"/>
  <c r="BL217" i="5"/>
  <c r="BK218" i="5"/>
  <c r="BL218" i="5"/>
  <c r="BK219" i="5"/>
  <c r="BL219" i="5"/>
  <c r="BK220" i="5"/>
  <c r="BL220" i="5"/>
  <c r="BK221" i="5"/>
  <c r="BL221" i="5"/>
  <c r="BK222" i="5"/>
  <c r="BL222" i="5"/>
  <c r="BK223" i="5"/>
  <c r="BL223" i="5"/>
  <c r="BK225" i="5"/>
  <c r="BL225" i="5"/>
  <c r="BK226" i="5"/>
  <c r="BL226" i="5"/>
  <c r="BK227" i="5"/>
  <c r="BL227" i="5"/>
  <c r="BK228" i="5"/>
  <c r="BL228" i="5"/>
  <c r="BK229" i="5"/>
  <c r="BL229" i="5"/>
  <c r="BK231" i="5"/>
  <c r="BL231" i="5"/>
  <c r="BK232" i="5"/>
  <c r="BL232" i="5"/>
  <c r="BK233" i="5"/>
  <c r="BL233" i="5"/>
  <c r="BK234" i="5"/>
  <c r="BL234" i="5"/>
  <c r="BK235" i="5"/>
  <c r="BL235" i="5"/>
  <c r="BK236" i="5"/>
  <c r="BL236" i="5"/>
  <c r="BK237" i="5"/>
  <c r="BL237" i="5"/>
  <c r="BK238" i="5"/>
  <c r="BL238" i="5"/>
  <c r="BK239" i="5"/>
  <c r="BL239" i="5"/>
  <c r="BK240" i="5"/>
  <c r="BL240" i="5"/>
  <c r="BK241" i="5"/>
  <c r="BL241" i="5"/>
  <c r="BK243" i="5"/>
  <c r="BL243" i="5"/>
  <c r="BK244" i="5"/>
  <c r="BL244" i="5"/>
  <c r="BK246" i="5"/>
  <c r="BL246" i="5"/>
  <c r="BK247" i="5"/>
  <c r="BL247" i="5"/>
  <c r="BK248" i="5"/>
  <c r="BL248" i="5"/>
  <c r="BK250" i="5"/>
  <c r="BL250" i="5"/>
  <c r="BK251" i="5"/>
  <c r="BL251" i="5"/>
  <c r="BK252" i="5"/>
  <c r="BL252" i="5"/>
  <c r="BK253" i="5"/>
  <c r="BL253" i="5"/>
  <c r="BK254" i="5"/>
  <c r="BL254" i="5"/>
  <c r="BK257" i="5"/>
  <c r="BL257" i="5"/>
  <c r="BK258" i="5"/>
  <c r="BL258" i="5"/>
  <c r="BK259" i="5"/>
  <c r="BL259" i="5"/>
  <c r="BK260" i="5"/>
  <c r="BL260" i="5"/>
  <c r="BK261" i="5"/>
  <c r="BL261" i="5"/>
  <c r="BK262" i="5"/>
  <c r="BL262" i="5"/>
  <c r="BK263" i="5"/>
  <c r="BL263" i="5"/>
  <c r="BK264" i="5"/>
  <c r="BL264" i="5"/>
  <c r="BK265" i="5"/>
  <c r="BL265" i="5"/>
  <c r="BK266" i="5"/>
  <c r="BL266" i="5" s="1"/>
  <c r="BK267" i="5"/>
  <c r="BL267" i="5"/>
  <c r="BK268" i="5"/>
  <c r="BL268" i="5"/>
  <c r="BK269" i="5"/>
  <c r="BL269" i="5"/>
  <c r="BK270" i="5"/>
  <c r="BL270" i="5" s="1"/>
  <c r="BK271" i="5"/>
  <c r="BL271" i="5"/>
  <c r="D103" i="5"/>
  <c r="A92" i="5"/>
  <c r="A91" i="5"/>
  <c r="H120" i="5"/>
  <c r="G120" i="5"/>
  <c r="F120" i="5"/>
  <c r="E120" i="5"/>
  <c r="H119" i="5"/>
  <c r="G119" i="5"/>
  <c r="F119" i="5"/>
  <c r="E119" i="5"/>
  <c r="H108" i="5"/>
  <c r="G108" i="5"/>
  <c r="F108" i="5"/>
  <c r="E108" i="5"/>
  <c r="D258" i="5"/>
  <c r="E33" i="90" l="1"/>
  <c r="E33" i="74"/>
  <c r="E33" i="70"/>
  <c r="E33" i="57"/>
  <c r="E33" i="66"/>
  <c r="E33" i="23"/>
  <c r="E33" i="63"/>
  <c r="E33" i="62"/>
  <c r="E33" i="61"/>
  <c r="E33" i="45"/>
  <c r="E33" i="59"/>
  <c r="E33" i="65"/>
  <c r="E33" i="19"/>
  <c r="E33" i="13"/>
  <c r="E33" i="54"/>
  <c r="E33" i="38"/>
  <c r="E33" i="53"/>
  <c r="E33" i="68"/>
  <c r="E33" i="67"/>
  <c r="E33" i="33"/>
  <c r="E33" i="88"/>
  <c r="E33" i="50"/>
  <c r="E33" i="25"/>
  <c r="E33" i="31"/>
  <c r="E33" i="32"/>
  <c r="E33" i="27"/>
  <c r="E33" i="22"/>
  <c r="E33" i="72"/>
  <c r="E33" i="60"/>
  <c r="E33" i="41"/>
  <c r="E33" i="39"/>
  <c r="E33" i="35"/>
  <c r="E33" i="89"/>
  <c r="E33" i="48"/>
  <c r="E33" i="71"/>
  <c r="E33" i="44"/>
  <c r="E33" i="55"/>
  <c r="E33" i="37"/>
  <c r="E33" i="30"/>
  <c r="E33" i="75"/>
  <c r="E33" i="91"/>
  <c r="E33" i="56"/>
  <c r="E33" i="52"/>
  <c r="E33" i="29"/>
  <c r="E33" i="73"/>
  <c r="E33" i="49"/>
  <c r="E33" i="51"/>
  <c r="E33" i="24"/>
  <c r="BF5" i="98"/>
  <c r="BE5" i="98"/>
  <c r="BD5" i="98"/>
  <c r="BC5" i="98"/>
  <c r="BD108" i="5"/>
  <c r="BC108" i="5"/>
  <c r="BB108" i="5"/>
  <c r="BA108" i="5"/>
  <c r="AZ108" i="5"/>
  <c r="AY108" i="5"/>
  <c r="AX108" i="5"/>
  <c r="AW108" i="5"/>
  <c r="AV108" i="5"/>
  <c r="AU108" i="5"/>
  <c r="AT108" i="5"/>
  <c r="AS108" i="5"/>
  <c r="AR108" i="5"/>
  <c r="AQ108" i="5"/>
  <c r="AP108" i="5"/>
  <c r="AO108" i="5"/>
  <c r="AN108" i="5"/>
  <c r="AM108" i="5"/>
  <c r="AL108" i="5"/>
  <c r="AK108" i="5"/>
  <c r="AJ108" i="5"/>
  <c r="AI108" i="5"/>
  <c r="AH108" i="5"/>
  <c r="AG108" i="5"/>
  <c r="AF108" i="5"/>
  <c r="AE108" i="5"/>
  <c r="AD108" i="5"/>
  <c r="AC108" i="5"/>
  <c r="AB108" i="5"/>
  <c r="AA108" i="5"/>
  <c r="Z108" i="5"/>
  <c r="Y108" i="5"/>
  <c r="X108" i="5"/>
  <c r="W108" i="5"/>
  <c r="V108" i="5"/>
  <c r="U108" i="5"/>
  <c r="T108" i="5"/>
  <c r="S108" i="5"/>
  <c r="R108" i="5"/>
  <c r="Q108" i="5"/>
  <c r="P108" i="5"/>
  <c r="O108" i="5"/>
  <c r="N108" i="5"/>
  <c r="M108" i="5"/>
  <c r="L108" i="5"/>
  <c r="K108" i="5"/>
  <c r="J108" i="5"/>
  <c r="I108" i="5"/>
  <c r="AZ85" i="5"/>
  <c r="AY85" i="5"/>
  <c r="BD85" i="5"/>
  <c r="L85" i="5"/>
  <c r="K85" i="5"/>
  <c r="J85" i="5"/>
  <c r="I85" i="5"/>
  <c r="BC85" i="5"/>
  <c r="BB85" i="5"/>
  <c r="BA85" i="5"/>
  <c r="AX85" i="5"/>
  <c r="AW85" i="5"/>
  <c r="AV85" i="5"/>
  <c r="AU85" i="5"/>
  <c r="AT85" i="5"/>
  <c r="AS85" i="5"/>
  <c r="AR85" i="5"/>
  <c r="AQ85" i="5"/>
  <c r="AP85" i="5"/>
  <c r="AO85" i="5"/>
  <c r="AN85" i="5"/>
  <c r="AM85" i="5"/>
  <c r="AL85" i="5"/>
  <c r="AK85" i="5"/>
  <c r="AJ85" i="5"/>
  <c r="AI85" i="5"/>
  <c r="AH85" i="5"/>
  <c r="AG85" i="5"/>
  <c r="AF85" i="5"/>
  <c r="AE85" i="5"/>
  <c r="AD85" i="5"/>
  <c r="AC85" i="5"/>
  <c r="AB85" i="5"/>
  <c r="AA85" i="5"/>
  <c r="Z85" i="5"/>
  <c r="Y85" i="5"/>
  <c r="X85" i="5"/>
  <c r="W85" i="5"/>
  <c r="V85" i="5"/>
  <c r="U85" i="5"/>
  <c r="T85" i="5"/>
  <c r="S85" i="5"/>
  <c r="R85" i="5"/>
  <c r="Q85" i="5"/>
  <c r="P85" i="5"/>
  <c r="O85" i="5"/>
  <c r="N85" i="5"/>
  <c r="M85" i="5"/>
  <c r="H85" i="5"/>
  <c r="G85" i="5"/>
  <c r="F85" i="5"/>
  <c r="E85" i="5"/>
  <c r="M109" i="5"/>
  <c r="N109" i="5"/>
  <c r="O109" i="5"/>
  <c r="P109" i="5"/>
  <c r="Q109" i="5"/>
  <c r="R109" i="5"/>
  <c r="S109" i="5"/>
  <c r="T109" i="5"/>
  <c r="U109" i="5"/>
  <c r="V109" i="5"/>
  <c r="W109" i="5"/>
  <c r="X109" i="5"/>
  <c r="Y109" i="5"/>
  <c r="Z109" i="5"/>
  <c r="AA109" i="5"/>
  <c r="AB109" i="5"/>
  <c r="AC109" i="5"/>
  <c r="AD109" i="5"/>
  <c r="AE109" i="5"/>
  <c r="AF109" i="5"/>
  <c r="AG109" i="5"/>
  <c r="AH109" i="5"/>
  <c r="AI109" i="5"/>
  <c r="AJ109" i="5"/>
  <c r="AK109" i="5"/>
  <c r="AL109" i="5"/>
  <c r="AM109" i="5"/>
  <c r="AN109" i="5"/>
  <c r="AO109" i="5"/>
  <c r="AP109" i="5"/>
  <c r="AQ109" i="5"/>
  <c r="M113" i="5"/>
  <c r="N113" i="5"/>
  <c r="O113" i="5"/>
  <c r="P113" i="5"/>
  <c r="Q113" i="5"/>
  <c r="R113" i="5"/>
  <c r="S113" i="5"/>
  <c r="T113" i="5"/>
  <c r="U113" i="5"/>
  <c r="V113" i="5"/>
  <c r="W113" i="5"/>
  <c r="X113" i="5"/>
  <c r="Y113" i="5"/>
  <c r="Z113" i="5"/>
  <c r="AA113" i="5"/>
  <c r="AB113" i="5"/>
  <c r="AC113" i="5"/>
  <c r="AD113" i="5"/>
  <c r="AE113" i="5"/>
  <c r="AF113" i="5"/>
  <c r="AG113" i="5"/>
  <c r="AH113" i="5"/>
  <c r="AI113" i="5"/>
  <c r="AJ113" i="5"/>
  <c r="AK113" i="5"/>
  <c r="AL113" i="5"/>
  <c r="AM113" i="5"/>
  <c r="AN113" i="5"/>
  <c r="AO113" i="5"/>
  <c r="AP113" i="5"/>
  <c r="AQ113" i="5"/>
  <c r="E2" i="96" a="1"/>
  <c r="E2" i="96" s="1"/>
  <c r="C69" i="100"/>
  <c r="C67" i="100"/>
  <c r="E65" i="100"/>
  <c r="C69" i="99"/>
  <c r="C67" i="99"/>
  <c r="E65" i="99"/>
  <c r="I96" i="5"/>
  <c r="AC1" i="98"/>
  <c r="AK1" i="98"/>
  <c r="AS1" i="98"/>
  <c r="BV2" i="96" a="1"/>
  <c r="BV2" i="96" s="1"/>
  <c r="DG2" i="96" a="1"/>
  <c r="DG2" i="96" s="1"/>
  <c r="O2" i="96" a="1"/>
  <c r="O2" i="96" s="1"/>
  <c r="J2" i="96" a="1"/>
  <c r="BM2" i="96" a="1"/>
  <c r="BM2" i="96" s="1"/>
  <c r="BH2" i="96" a="1"/>
  <c r="BH2" i="96" s="1"/>
  <c r="BC2" i="96" a="1"/>
  <c r="BC2" i="96" s="1"/>
  <c r="AX2" i="96" a="1"/>
  <c r="AX2" i="96" s="1"/>
  <c r="AS2" i="96" a="1"/>
  <c r="AS2" i="96" s="1"/>
  <c r="AN2" i="96" a="1"/>
  <c r="AN2" i="96" s="1"/>
  <c r="AI2" i="96" a="1"/>
  <c r="AI2" i="96" s="1"/>
  <c r="AD2" i="96" a="1"/>
  <c r="AD2" i="96" s="1"/>
  <c r="Y2" i="96" a="1"/>
  <c r="Y2" i="96" s="1"/>
  <c r="T2" i="96" a="1"/>
  <c r="T2" i="96" s="1"/>
  <c r="C4" i="96" a="1"/>
  <c r="E3" i="96" a="1"/>
  <c r="E3" i="96" s="1"/>
  <c r="BD61" i="5"/>
  <c r="BC61" i="5"/>
  <c r="BB61" i="5"/>
  <c r="BA61" i="5"/>
  <c r="AZ61" i="5"/>
  <c r="AY61" i="5"/>
  <c r="AX61" i="5"/>
  <c r="AW61" i="5"/>
  <c r="AV61" i="5"/>
  <c r="AU61" i="5"/>
  <c r="AT61" i="5"/>
  <c r="AS61" i="5"/>
  <c r="BD59" i="5"/>
  <c r="BC59" i="5"/>
  <c r="BB59" i="5"/>
  <c r="BA59" i="5"/>
  <c r="AZ59" i="5"/>
  <c r="AY59" i="5"/>
  <c r="AX59" i="5"/>
  <c r="AW59" i="5"/>
  <c r="AV59" i="5"/>
  <c r="AU59" i="5"/>
  <c r="AT59" i="5"/>
  <c r="AS59" i="5"/>
  <c r="BC58" i="5"/>
  <c r="BB58" i="5"/>
  <c r="BA58" i="5"/>
  <c r="AZ58" i="5"/>
  <c r="AY58" i="5"/>
  <c r="AX58" i="5"/>
  <c r="AW58" i="5"/>
  <c r="AV58" i="5"/>
  <c r="AU58" i="5"/>
  <c r="AT58" i="5"/>
  <c r="AS58" i="5"/>
  <c r="BD56" i="5"/>
  <c r="BC56" i="5"/>
  <c r="BB56" i="5"/>
  <c r="BA56" i="5"/>
  <c r="AU56" i="5"/>
  <c r="AT56" i="5"/>
  <c r="AS56" i="5"/>
  <c r="BD55" i="5"/>
  <c r="BC55" i="5"/>
  <c r="BB55" i="5"/>
  <c r="BA55" i="5"/>
  <c r="AU55" i="5"/>
  <c r="AT55" i="5"/>
  <c r="AS55" i="5"/>
  <c r="BC54" i="5"/>
  <c r="BB54" i="5"/>
  <c r="BA54" i="5"/>
  <c r="AS54" i="5"/>
  <c r="BD53" i="5"/>
  <c r="BC53" i="5"/>
  <c r="BB53" i="5"/>
  <c r="BA53" i="5"/>
  <c r="AU53" i="5"/>
  <c r="AT53" i="5"/>
  <c r="AS53" i="5"/>
  <c r="BC146" i="5"/>
  <c r="BB146" i="5"/>
  <c r="BA146" i="5"/>
  <c r="AZ146" i="5"/>
  <c r="AY146" i="5"/>
  <c r="AX146" i="5"/>
  <c r="AW146" i="5"/>
  <c r="AV146" i="5"/>
  <c r="AU146" i="5"/>
  <c r="AT146" i="5"/>
  <c r="AS146" i="5"/>
  <c r="AR146" i="5"/>
  <c r="AQ146" i="5"/>
  <c r="AP146" i="5"/>
  <c r="AO146" i="5"/>
  <c r="AN146" i="5"/>
  <c r="AM146" i="5"/>
  <c r="AL146" i="5"/>
  <c r="AK146" i="5"/>
  <c r="AJ146" i="5"/>
  <c r="AI146" i="5"/>
  <c r="AH146" i="5"/>
  <c r="AG146" i="5"/>
  <c r="AF146" i="5"/>
  <c r="AE146" i="5"/>
  <c r="AD146" i="5"/>
  <c r="AC146" i="5"/>
  <c r="AB146" i="5"/>
  <c r="AA146" i="5"/>
  <c r="Z146" i="5"/>
  <c r="Y146" i="5"/>
  <c r="X146" i="5"/>
  <c r="W146" i="5"/>
  <c r="V146" i="5"/>
  <c r="U146" i="5"/>
  <c r="T146" i="5"/>
  <c r="S146" i="5"/>
  <c r="R146" i="5"/>
  <c r="Q146" i="5"/>
  <c r="P146" i="5"/>
  <c r="O146" i="5"/>
  <c r="N146" i="5"/>
  <c r="M146" i="5"/>
  <c r="L146" i="5"/>
  <c r="K146" i="5"/>
  <c r="J146" i="5"/>
  <c r="I146" i="5"/>
  <c r="H146" i="5"/>
  <c r="G146" i="5"/>
  <c r="F146" i="5"/>
  <c r="E146" i="5"/>
  <c r="AR57" i="5"/>
  <c r="BD146" i="5"/>
  <c r="Q20" i="34" a="1"/>
  <c r="V20" i="84" a="1"/>
  <c r="R20" i="84" a="1"/>
  <c r="AP20" i="85" a="1"/>
  <c r="AL20" i="85" a="1"/>
  <c r="AH20" i="85" a="1"/>
  <c r="AD20" i="85" a="1"/>
  <c r="Z20" i="85" a="1"/>
  <c r="V20" i="85" a="1"/>
  <c r="F20" i="85" a="1"/>
  <c r="C270" i="5"/>
  <c r="E88" i="5"/>
  <c r="F88" i="5"/>
  <c r="G88" i="5"/>
  <c r="H88" i="5"/>
  <c r="I88" i="5"/>
  <c r="J88" i="5"/>
  <c r="K88" i="5"/>
  <c r="L88" i="5"/>
  <c r="M88" i="5"/>
  <c r="N88" i="5"/>
  <c r="O88" i="5"/>
  <c r="P88" i="5"/>
  <c r="Q88" i="5"/>
  <c r="R88" i="5"/>
  <c r="S88" i="5"/>
  <c r="T88" i="5"/>
  <c r="U88" i="5"/>
  <c r="V88" i="5"/>
  <c r="W88" i="5"/>
  <c r="X88" i="5"/>
  <c r="Y88" i="5"/>
  <c r="Z88" i="5"/>
  <c r="AA88" i="5"/>
  <c r="AB88" i="5"/>
  <c r="AC88" i="5"/>
  <c r="AD88" i="5"/>
  <c r="AE88" i="5"/>
  <c r="AF88" i="5"/>
  <c r="AG88" i="5"/>
  <c r="AH88" i="5"/>
  <c r="AI88" i="5"/>
  <c r="AJ88" i="5"/>
  <c r="AK88" i="5"/>
  <c r="AL88" i="5"/>
  <c r="AM88" i="5"/>
  <c r="AN88" i="5"/>
  <c r="AO88" i="5"/>
  <c r="AP88" i="5"/>
  <c r="AQ88" i="5"/>
  <c r="AR88" i="5"/>
  <c r="AS88" i="5"/>
  <c r="AT88" i="5"/>
  <c r="AU88" i="5"/>
  <c r="AV88" i="5"/>
  <c r="AW88" i="5"/>
  <c r="AX88" i="5"/>
  <c r="AY88" i="5"/>
  <c r="AZ88" i="5"/>
  <c r="BA88" i="5"/>
  <c r="BB88" i="5"/>
  <c r="BC88" i="5"/>
  <c r="BD88" i="5"/>
  <c r="E90" i="5"/>
  <c r="F90" i="5"/>
  <c r="G90" i="5"/>
  <c r="H90" i="5"/>
  <c r="I90" i="5"/>
  <c r="J90" i="5"/>
  <c r="K90" i="5"/>
  <c r="L90" i="5"/>
  <c r="M90" i="5"/>
  <c r="N90" i="5"/>
  <c r="O90" i="5"/>
  <c r="P90" i="5"/>
  <c r="Q90" i="5"/>
  <c r="R90" i="5"/>
  <c r="S90" i="5"/>
  <c r="T90" i="5"/>
  <c r="U90" i="5"/>
  <c r="V90" i="5"/>
  <c r="W90" i="5"/>
  <c r="X90" i="5"/>
  <c r="Y90" i="5"/>
  <c r="Z90" i="5"/>
  <c r="AA90" i="5"/>
  <c r="AB90" i="5"/>
  <c r="AC90" i="5"/>
  <c r="AD90" i="5"/>
  <c r="AE90" i="5"/>
  <c r="AF90" i="5"/>
  <c r="AG90" i="5"/>
  <c r="AH90" i="5"/>
  <c r="AI90" i="5"/>
  <c r="AJ90" i="5"/>
  <c r="AK90" i="5"/>
  <c r="AL90" i="5"/>
  <c r="AM90" i="5"/>
  <c r="AN90" i="5"/>
  <c r="AO90" i="5"/>
  <c r="AP90" i="5"/>
  <c r="AQ90" i="5"/>
  <c r="AR90" i="5"/>
  <c r="AS90" i="5"/>
  <c r="AT90" i="5"/>
  <c r="AU90" i="5"/>
  <c r="AV90" i="5"/>
  <c r="AW90" i="5"/>
  <c r="AX90" i="5"/>
  <c r="AY90" i="5"/>
  <c r="AZ90" i="5"/>
  <c r="BA90" i="5"/>
  <c r="BB90" i="5"/>
  <c r="BC90" i="5"/>
  <c r="BD90" i="5"/>
  <c r="AR53" i="5"/>
  <c r="AR55" i="5"/>
  <c r="AR56" i="5"/>
  <c r="I53" i="5"/>
  <c r="J53" i="5"/>
  <c r="I55" i="5"/>
  <c r="J55" i="5"/>
  <c r="I56" i="5"/>
  <c r="J56" i="5"/>
  <c r="L53" i="5"/>
  <c r="L55" i="5"/>
  <c r="L56" i="5"/>
  <c r="K53" i="5"/>
  <c r="K55" i="5"/>
  <c r="K56" i="5"/>
  <c r="E58" i="5"/>
  <c r="F58" i="5"/>
  <c r="G58" i="5"/>
  <c r="H58" i="5"/>
  <c r="I58" i="5"/>
  <c r="J58" i="5"/>
  <c r="K58" i="5"/>
  <c r="L58" i="5"/>
  <c r="N58" i="5"/>
  <c r="O58" i="5"/>
  <c r="P58" i="5"/>
  <c r="Q58" i="5"/>
  <c r="R58" i="5"/>
  <c r="S58" i="5"/>
  <c r="T58" i="5"/>
  <c r="U58" i="5"/>
  <c r="V58" i="5"/>
  <c r="W58" i="5"/>
  <c r="X58" i="5"/>
  <c r="Y58" i="5"/>
  <c r="Z58" i="5"/>
  <c r="AA58" i="5"/>
  <c r="AB58" i="5"/>
  <c r="AC58" i="5"/>
  <c r="AD58" i="5"/>
  <c r="AE58" i="5"/>
  <c r="AF58" i="5"/>
  <c r="AG58" i="5"/>
  <c r="AH58" i="5"/>
  <c r="AI58" i="5"/>
  <c r="AJ58" i="5"/>
  <c r="AK58" i="5"/>
  <c r="AL58" i="5"/>
  <c r="AM58" i="5"/>
  <c r="AN58" i="5"/>
  <c r="AO58" i="5"/>
  <c r="AP58" i="5"/>
  <c r="AQ58" i="5"/>
  <c r="E59" i="5"/>
  <c r="F59" i="5"/>
  <c r="G59" i="5"/>
  <c r="H59" i="5"/>
  <c r="I59" i="5"/>
  <c r="J59" i="5"/>
  <c r="K59" i="5"/>
  <c r="L59" i="5"/>
  <c r="N59" i="5"/>
  <c r="O59" i="5"/>
  <c r="P59" i="5"/>
  <c r="Q59" i="5"/>
  <c r="R59" i="5"/>
  <c r="S59" i="5"/>
  <c r="T59" i="5"/>
  <c r="U59" i="5"/>
  <c r="V59" i="5"/>
  <c r="W59" i="5"/>
  <c r="X59" i="5"/>
  <c r="Y59" i="5"/>
  <c r="Z59" i="5"/>
  <c r="AA59" i="5"/>
  <c r="AB59" i="5"/>
  <c r="AC59" i="5"/>
  <c r="AD59" i="5"/>
  <c r="AE59" i="5"/>
  <c r="AF59" i="5"/>
  <c r="AG59" i="5"/>
  <c r="AH59" i="5"/>
  <c r="AI59" i="5"/>
  <c r="AJ59" i="5"/>
  <c r="AK59" i="5"/>
  <c r="AL59" i="5"/>
  <c r="AM59" i="5"/>
  <c r="AN59" i="5"/>
  <c r="AO59" i="5"/>
  <c r="AP59" i="5"/>
  <c r="AQ59" i="5"/>
  <c r="AR59" i="5"/>
  <c r="E61" i="5"/>
  <c r="F61" i="5"/>
  <c r="G61" i="5"/>
  <c r="H61" i="5"/>
  <c r="I61" i="5"/>
  <c r="J61" i="5"/>
  <c r="K61" i="5"/>
  <c r="L61" i="5"/>
  <c r="N61" i="5"/>
  <c r="O61" i="5"/>
  <c r="P61" i="5"/>
  <c r="Q61" i="5"/>
  <c r="R61" i="5"/>
  <c r="S61" i="5"/>
  <c r="T61" i="5"/>
  <c r="U61" i="5"/>
  <c r="V61" i="5"/>
  <c r="W61" i="5"/>
  <c r="X61" i="5"/>
  <c r="Y61" i="5"/>
  <c r="Z61" i="5"/>
  <c r="AA61" i="5"/>
  <c r="AB61" i="5"/>
  <c r="AC61" i="5"/>
  <c r="AD61" i="5"/>
  <c r="AE61" i="5"/>
  <c r="AF61" i="5"/>
  <c r="AG61" i="5"/>
  <c r="AH61" i="5"/>
  <c r="AI61" i="5"/>
  <c r="AJ61" i="5"/>
  <c r="AK61" i="5"/>
  <c r="AL61" i="5"/>
  <c r="AM61" i="5"/>
  <c r="AN61" i="5"/>
  <c r="AO61" i="5"/>
  <c r="AP61" i="5"/>
  <c r="AQ61" i="5"/>
  <c r="AR61" i="5"/>
  <c r="M58" i="5"/>
  <c r="M59" i="5"/>
  <c r="M61" i="5"/>
  <c r="AR48" i="5"/>
  <c r="AR58" i="5" s="1"/>
  <c r="E77" i="5"/>
  <c r="F77" i="5"/>
  <c r="G77" i="5"/>
  <c r="H77" i="5"/>
  <c r="E78" i="5"/>
  <c r="F78" i="5"/>
  <c r="G78" i="5"/>
  <c r="H78" i="5"/>
  <c r="AS28" i="18"/>
  <c r="AS12" i="18"/>
  <c r="AS13" i="18"/>
  <c r="AS14" i="18"/>
  <c r="AS128" i="5"/>
  <c r="AS135" i="5"/>
  <c r="AS140" i="5"/>
  <c r="AS162" i="5"/>
  <c r="AS160" i="5" s="1"/>
  <c r="AS166" i="5"/>
  <c r="AS168" i="5"/>
  <c r="AS170" i="5"/>
  <c r="AS174" i="5"/>
  <c r="AS109" i="5"/>
  <c r="AS110" i="5"/>
  <c r="AS117" i="5"/>
  <c r="AS113" i="5"/>
  <c r="AS118" i="5"/>
  <c r="AS119" i="5"/>
  <c r="AS120" i="5"/>
  <c r="AS121" i="5"/>
  <c r="AS96" i="5"/>
  <c r="AS97" i="5"/>
  <c r="AS98" i="5"/>
  <c r="AS77" i="5"/>
  <c r="AS78" i="5"/>
  <c r="AS64" i="5"/>
  <c r="AS44" i="5"/>
  <c r="AS4" i="5"/>
  <c r="S6" i="34"/>
  <c r="R6" i="34"/>
  <c r="Q6" i="34"/>
  <c r="O6" i="34"/>
  <c r="N6" i="34"/>
  <c r="M6" i="34"/>
  <c r="I55" i="34" a="1"/>
  <c r="I55" i="34" s="1"/>
  <c r="I54" i="34" a="1"/>
  <c r="I54" i="34" s="1"/>
  <c r="I30" i="34" a="1"/>
  <c r="I29" i="34" a="1"/>
  <c r="I28" i="34" a="1"/>
  <c r="I27" i="34" a="1"/>
  <c r="I26" i="34" a="1"/>
  <c r="I25" i="34" a="1"/>
  <c r="I24" i="34" a="1"/>
  <c r="I23" i="34" a="1"/>
  <c r="I22" i="34" a="1"/>
  <c r="I21" i="34" a="1"/>
  <c r="I20" i="34" a="1"/>
  <c r="S55" i="34"/>
  <c r="O55" i="34" s="1"/>
  <c r="R55" i="34"/>
  <c r="N55" i="34" s="1"/>
  <c r="Q55" i="34"/>
  <c r="M55" i="34" s="1"/>
  <c r="S54" i="34"/>
  <c r="O54" i="34" s="1"/>
  <c r="R54" i="34"/>
  <c r="N54" i="34" s="1"/>
  <c r="Q54" i="34"/>
  <c r="M54" i="34" s="1"/>
  <c r="M20" i="34" a="1"/>
  <c r="M20" i="34" s="1"/>
  <c r="J20" i="84" a="1"/>
  <c r="N20" i="84" a="1"/>
  <c r="BC28" i="18"/>
  <c r="BB28" i="18"/>
  <c r="BC13" i="18"/>
  <c r="BB13" i="18"/>
  <c r="BC12" i="18"/>
  <c r="BB12" i="18"/>
  <c r="BC174" i="5"/>
  <c r="BC170" i="5"/>
  <c r="BC168" i="5"/>
  <c r="BC166" i="5"/>
  <c r="BC162" i="5"/>
  <c r="BC160" i="5"/>
  <c r="BC140" i="5"/>
  <c r="BC135" i="5"/>
  <c r="BC128" i="5"/>
  <c r="BC121" i="5"/>
  <c r="BC120" i="5"/>
  <c r="BC119" i="5"/>
  <c r="BC118" i="5"/>
  <c r="BC113" i="5"/>
  <c r="BC117" i="5"/>
  <c r="BC110" i="5"/>
  <c r="BC109" i="5"/>
  <c r="BC98" i="5"/>
  <c r="BC97" i="5"/>
  <c r="BC96" i="5"/>
  <c r="BC78" i="5"/>
  <c r="BC77" i="5"/>
  <c r="BC67" i="5"/>
  <c r="BC66" i="5"/>
  <c r="BC65" i="5"/>
  <c r="BC64" i="5"/>
  <c r="BC63" i="5"/>
  <c r="BC48" i="5"/>
  <c r="BC44" i="5"/>
  <c r="BC4" i="5"/>
  <c r="BB174" i="5"/>
  <c r="BB170" i="5"/>
  <c r="BB168" i="5"/>
  <c r="BB166" i="5"/>
  <c r="BB162" i="5"/>
  <c r="BB160" i="5" s="1"/>
  <c r="BB140" i="5"/>
  <c r="BB135" i="5"/>
  <c r="BB128" i="5"/>
  <c r="BB121" i="5"/>
  <c r="BB120" i="5"/>
  <c r="BB119" i="5"/>
  <c r="BB118" i="5"/>
  <c r="BB113" i="5"/>
  <c r="BB117" i="5"/>
  <c r="BB110" i="5"/>
  <c r="BB109" i="5"/>
  <c r="BB98" i="5"/>
  <c r="BB97" i="5"/>
  <c r="BB96" i="5"/>
  <c r="BB78" i="5"/>
  <c r="BB77" i="5"/>
  <c r="BB67" i="5"/>
  <c r="BB66" i="5"/>
  <c r="BB65" i="5"/>
  <c r="BB64" i="5"/>
  <c r="BB63" i="5"/>
  <c r="BB48" i="5"/>
  <c r="BB44" i="5"/>
  <c r="BB4" i="5"/>
  <c r="BA97" i="5"/>
  <c r="BA96" i="5"/>
  <c r="AY97" i="5"/>
  <c r="AX97" i="5"/>
  <c r="AW97" i="5"/>
  <c r="AV97" i="5"/>
  <c r="AU97" i="5"/>
  <c r="AT97" i="5"/>
  <c r="AR97" i="5"/>
  <c r="AY96" i="5"/>
  <c r="AX96" i="5"/>
  <c r="AW96" i="5"/>
  <c r="AV96" i="5"/>
  <c r="AU96" i="5"/>
  <c r="AT96" i="5"/>
  <c r="AR96" i="5"/>
  <c r="AP97" i="5"/>
  <c r="AO97" i="5"/>
  <c r="AN97" i="5"/>
  <c r="AP96" i="5"/>
  <c r="AO96" i="5"/>
  <c r="AN96" i="5"/>
  <c r="AL97" i="5"/>
  <c r="AL96" i="5"/>
  <c r="AJ97" i="5"/>
  <c r="AI97" i="5"/>
  <c r="AJ96" i="5"/>
  <c r="AI96" i="5"/>
  <c r="AG97" i="5"/>
  <c r="AF97" i="5"/>
  <c r="AG96" i="5"/>
  <c r="AF96" i="5"/>
  <c r="AD97" i="5"/>
  <c r="AD96" i="5"/>
  <c r="AB97" i="5"/>
  <c r="AB96" i="5"/>
  <c r="Z97" i="5"/>
  <c r="Z96" i="5"/>
  <c r="X97" i="5"/>
  <c r="X96" i="5"/>
  <c r="V97" i="5"/>
  <c r="U97" i="5"/>
  <c r="V96" i="5"/>
  <c r="U96" i="5"/>
  <c r="S97" i="5"/>
  <c r="S96" i="5"/>
  <c r="Q97" i="5"/>
  <c r="Q96" i="5"/>
  <c r="O97" i="5"/>
  <c r="O96" i="5"/>
  <c r="N97" i="5"/>
  <c r="M97" i="5"/>
  <c r="N96" i="5"/>
  <c r="M96" i="5"/>
  <c r="K97" i="5"/>
  <c r="K96" i="5"/>
  <c r="I97" i="5"/>
  <c r="G97" i="5"/>
  <c r="F97" i="5"/>
  <c r="H96" i="5"/>
  <c r="G96" i="5"/>
  <c r="F96" i="5"/>
  <c r="E97" i="5"/>
  <c r="E96" i="5"/>
  <c r="C240" i="5"/>
  <c r="L28" i="18"/>
  <c r="L13" i="18"/>
  <c r="L12" i="18"/>
  <c r="L174" i="5"/>
  <c r="L170" i="5"/>
  <c r="L168" i="5"/>
  <c r="L166" i="5"/>
  <c r="L162" i="5"/>
  <c r="L160" i="5"/>
  <c r="L140" i="5"/>
  <c r="L135" i="5"/>
  <c r="L128" i="5"/>
  <c r="L121" i="5"/>
  <c r="L120" i="5"/>
  <c r="L119" i="5"/>
  <c r="L118" i="5"/>
  <c r="L113" i="5"/>
  <c r="L117" i="5"/>
  <c r="L110" i="5"/>
  <c r="L109" i="5"/>
  <c r="L98" i="5"/>
  <c r="L97" i="5"/>
  <c r="L96" i="5"/>
  <c r="L78" i="5"/>
  <c r="L77" i="5"/>
  <c r="L64" i="5"/>
  <c r="L44" i="5"/>
  <c r="L54" i="5" s="1"/>
  <c r="L4" i="5"/>
  <c r="K13" i="18"/>
  <c r="K12" i="18"/>
  <c r="K14" i="18" s="1"/>
  <c r="AU117" i="5"/>
  <c r="AT117" i="5"/>
  <c r="AR117" i="5"/>
  <c r="K117" i="5"/>
  <c r="J117" i="5"/>
  <c r="I117" i="5"/>
  <c r="AU110" i="5"/>
  <c r="AT110" i="5"/>
  <c r="AR110" i="5"/>
  <c r="K110" i="5"/>
  <c r="J110" i="5"/>
  <c r="I110" i="5"/>
  <c r="I109" i="5"/>
  <c r="AP54" i="5"/>
  <c r="AP44" i="5"/>
  <c r="AQ54" i="5"/>
  <c r="AO54" i="5"/>
  <c r="AN54" i="5"/>
  <c r="AM54" i="5"/>
  <c r="AL54" i="5"/>
  <c r="AK54" i="5"/>
  <c r="AJ54" i="5"/>
  <c r="AI54" i="5"/>
  <c r="AH54" i="5"/>
  <c r="AG54" i="5"/>
  <c r="AF54" i="5"/>
  <c r="AE54" i="5"/>
  <c r="AD54" i="5"/>
  <c r="AC54" i="5"/>
  <c r="AB54" i="5"/>
  <c r="AA54" i="5"/>
  <c r="Z54" i="5"/>
  <c r="Y54" i="5"/>
  <c r="X54" i="5"/>
  <c r="W54" i="5"/>
  <c r="V54" i="5"/>
  <c r="U54" i="5"/>
  <c r="T54" i="5"/>
  <c r="S54" i="5"/>
  <c r="R54" i="5"/>
  <c r="Q54" i="5"/>
  <c r="P54" i="5"/>
  <c r="O54" i="5"/>
  <c r="N54" i="5"/>
  <c r="AQ44" i="5"/>
  <c r="AO44" i="5"/>
  <c r="AN44" i="5"/>
  <c r="AM44" i="5"/>
  <c r="AL44" i="5"/>
  <c r="AK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S44" i="5"/>
  <c r="R44" i="5"/>
  <c r="Q44" i="5"/>
  <c r="P44" i="5"/>
  <c r="O44" i="5"/>
  <c r="N44" i="5"/>
  <c r="H98" i="5"/>
  <c r="G98" i="5"/>
  <c r="F98" i="5"/>
  <c r="E98" i="5"/>
  <c r="H97" i="5"/>
  <c r="M54" i="5"/>
  <c r="H54" i="5"/>
  <c r="G54" i="5"/>
  <c r="F54" i="5"/>
  <c r="E54" i="5"/>
  <c r="H44" i="5"/>
  <c r="G44" i="5"/>
  <c r="F44" i="5"/>
  <c r="E44" i="5"/>
  <c r="C269" i="5"/>
  <c r="C210" i="5"/>
  <c r="C209" i="5"/>
  <c r="C198" i="5"/>
  <c r="C197" i="5"/>
  <c r="C69" i="78"/>
  <c r="C67" i="78"/>
  <c r="E65" i="78"/>
  <c r="C67" i="26"/>
  <c r="E65" i="26" s="1"/>
  <c r="C69" i="26"/>
  <c r="E2" i="69" a="1"/>
  <c r="E3" i="69" a="1"/>
  <c r="F20" i="84" a="1"/>
  <c r="C248" i="5"/>
  <c r="C201" i="5"/>
  <c r="C268" i="5"/>
  <c r="B19" i="9"/>
  <c r="BA64" i="5"/>
  <c r="BA47" i="5"/>
  <c r="BA46" i="5"/>
  <c r="BA45" i="5"/>
  <c r="BA44" i="5"/>
  <c r="BA43" i="5"/>
  <c r="C208" i="5"/>
  <c r="C196" i="5"/>
  <c r="C190" i="5"/>
  <c r="C191" i="5"/>
  <c r="C203" i="5"/>
  <c r="E142" i="5"/>
  <c r="BD98" i="5"/>
  <c r="BA98" i="5"/>
  <c r="AZ98" i="5"/>
  <c r="AY98" i="5"/>
  <c r="AX98" i="5"/>
  <c r="AW98" i="5"/>
  <c r="AV98" i="5"/>
  <c r="AU98" i="5"/>
  <c r="AT98" i="5"/>
  <c r="AR98" i="5"/>
  <c r="AQ98" i="5"/>
  <c r="AP98" i="5"/>
  <c r="AO98" i="5"/>
  <c r="AN98" i="5"/>
  <c r="AM98" i="5"/>
  <c r="AL98" i="5"/>
  <c r="AK98" i="5"/>
  <c r="AJ98" i="5"/>
  <c r="AI98" i="5"/>
  <c r="AH98" i="5"/>
  <c r="AG98" i="5"/>
  <c r="AF98" i="5"/>
  <c r="AE98" i="5"/>
  <c r="AD98" i="5"/>
  <c r="AC98" i="5"/>
  <c r="AB98" i="5"/>
  <c r="AA98" i="5"/>
  <c r="Z98" i="5"/>
  <c r="Y98" i="5"/>
  <c r="X98" i="5"/>
  <c r="W98" i="5"/>
  <c r="V98" i="5"/>
  <c r="U98" i="5"/>
  <c r="T98" i="5"/>
  <c r="S98" i="5"/>
  <c r="R98" i="5"/>
  <c r="Q98" i="5"/>
  <c r="P98" i="5"/>
  <c r="O98" i="5"/>
  <c r="N98" i="5"/>
  <c r="M98" i="5"/>
  <c r="K98" i="5"/>
  <c r="J98" i="5"/>
  <c r="I98" i="5"/>
  <c r="BD97" i="5"/>
  <c r="AZ97" i="5"/>
  <c r="AQ97" i="5"/>
  <c r="AM97" i="5"/>
  <c r="AK97" i="5"/>
  <c r="AH97" i="5"/>
  <c r="AE97" i="5"/>
  <c r="AC97" i="5"/>
  <c r="AA97" i="5"/>
  <c r="Y97" i="5"/>
  <c r="W97" i="5"/>
  <c r="T97" i="5"/>
  <c r="R97" i="5"/>
  <c r="P97" i="5"/>
  <c r="J97" i="5"/>
  <c r="BD96" i="5"/>
  <c r="AZ96" i="5"/>
  <c r="AQ96" i="5"/>
  <c r="AM96" i="5"/>
  <c r="AK96" i="5"/>
  <c r="AH96" i="5"/>
  <c r="AE96" i="5"/>
  <c r="AC96" i="5"/>
  <c r="AA96" i="5"/>
  <c r="Y96" i="5"/>
  <c r="W96" i="5"/>
  <c r="T96" i="5"/>
  <c r="R96" i="5"/>
  <c r="P96" i="5"/>
  <c r="J96" i="5"/>
  <c r="D97" i="5"/>
  <c r="D96" i="5"/>
  <c r="D98" i="5"/>
  <c r="C205" i="5"/>
  <c r="C194" i="5"/>
  <c r="C4" i="69" a="1"/>
  <c r="BA109" i="5"/>
  <c r="BD109" i="5"/>
  <c r="AZ109" i="5"/>
  <c r="AV109" i="5"/>
  <c r="AW109" i="5"/>
  <c r="AX109" i="5"/>
  <c r="AY109" i="5"/>
  <c r="AR109" i="5"/>
  <c r="AT109" i="5"/>
  <c r="AU109" i="5"/>
  <c r="K109" i="5"/>
  <c r="J109" i="5"/>
  <c r="M110" i="5"/>
  <c r="N110" i="5"/>
  <c r="O110" i="5"/>
  <c r="P110" i="5"/>
  <c r="Q110" i="5"/>
  <c r="R110" i="5"/>
  <c r="S110" i="5"/>
  <c r="T110" i="5"/>
  <c r="U110" i="5"/>
  <c r="V110" i="5"/>
  <c r="W110" i="5"/>
  <c r="X110" i="5"/>
  <c r="Y110" i="5"/>
  <c r="Z110" i="5"/>
  <c r="AA110" i="5"/>
  <c r="AB110" i="5"/>
  <c r="AC110" i="5"/>
  <c r="AD110" i="5"/>
  <c r="AE110" i="5"/>
  <c r="AF110" i="5"/>
  <c r="AG110" i="5"/>
  <c r="AH110" i="5"/>
  <c r="AI110" i="5"/>
  <c r="AJ110" i="5"/>
  <c r="AK110" i="5"/>
  <c r="AL110" i="5"/>
  <c r="AM110" i="5"/>
  <c r="AN110" i="5"/>
  <c r="AO110" i="5"/>
  <c r="AP110" i="5"/>
  <c r="AQ110" i="5"/>
  <c r="AV110" i="5"/>
  <c r="AW110" i="5"/>
  <c r="AX110" i="5"/>
  <c r="AY110" i="5"/>
  <c r="AZ110" i="5"/>
  <c r="BA110" i="5"/>
  <c r="BD110" i="5"/>
  <c r="C263" i="5"/>
  <c r="C262" i="5"/>
  <c r="I118" i="5"/>
  <c r="J118" i="5"/>
  <c r="K118" i="5"/>
  <c r="AR118" i="5"/>
  <c r="AT118" i="5"/>
  <c r="AU118" i="5"/>
  <c r="AV118" i="5"/>
  <c r="AW118" i="5"/>
  <c r="AX118" i="5"/>
  <c r="AY118" i="5"/>
  <c r="AZ118" i="5"/>
  <c r="BA118" i="5"/>
  <c r="BD118" i="5"/>
  <c r="M117" i="5"/>
  <c r="N117" i="5"/>
  <c r="O117" i="5"/>
  <c r="P117" i="5"/>
  <c r="Q117" i="5"/>
  <c r="R117" i="5"/>
  <c r="S117" i="5"/>
  <c r="T117" i="5"/>
  <c r="U117" i="5"/>
  <c r="V117" i="5"/>
  <c r="W117" i="5"/>
  <c r="X117" i="5"/>
  <c r="Y117" i="5"/>
  <c r="Z117" i="5"/>
  <c r="AA117" i="5"/>
  <c r="AB117" i="5"/>
  <c r="AC117" i="5"/>
  <c r="AD117" i="5"/>
  <c r="AE117" i="5"/>
  <c r="AF117" i="5"/>
  <c r="AG117" i="5"/>
  <c r="AH117" i="5"/>
  <c r="AI117" i="5"/>
  <c r="AJ117" i="5"/>
  <c r="AK117" i="5"/>
  <c r="AL117" i="5"/>
  <c r="AM117" i="5"/>
  <c r="AN117" i="5"/>
  <c r="AO117" i="5"/>
  <c r="AP117" i="5"/>
  <c r="AQ117" i="5"/>
  <c r="AV117" i="5"/>
  <c r="AW117" i="5"/>
  <c r="AX117" i="5"/>
  <c r="AY117" i="5"/>
  <c r="AZ117" i="5"/>
  <c r="BA117" i="5"/>
  <c r="BD117" i="5"/>
  <c r="I121" i="5"/>
  <c r="J121" i="5"/>
  <c r="K121" i="5"/>
  <c r="M121" i="5"/>
  <c r="N121" i="5"/>
  <c r="O121" i="5"/>
  <c r="P121" i="5"/>
  <c r="Q121" i="5"/>
  <c r="R121" i="5"/>
  <c r="S121" i="5"/>
  <c r="T121" i="5"/>
  <c r="U121" i="5"/>
  <c r="V121" i="5"/>
  <c r="W121" i="5"/>
  <c r="X121" i="5"/>
  <c r="Y121" i="5"/>
  <c r="Z121" i="5"/>
  <c r="AA121" i="5"/>
  <c r="AB121" i="5"/>
  <c r="AC121" i="5"/>
  <c r="AD121" i="5"/>
  <c r="AE121" i="5"/>
  <c r="AF121" i="5"/>
  <c r="AG121" i="5"/>
  <c r="AH121" i="5"/>
  <c r="AI121" i="5"/>
  <c r="AJ121" i="5"/>
  <c r="AK121" i="5"/>
  <c r="AL121" i="5"/>
  <c r="AM121" i="5"/>
  <c r="AN121" i="5"/>
  <c r="AO121" i="5"/>
  <c r="AP121" i="5"/>
  <c r="AQ121" i="5"/>
  <c r="AR121" i="5"/>
  <c r="AT121" i="5"/>
  <c r="AU121" i="5"/>
  <c r="AV121" i="5"/>
  <c r="AW121" i="5"/>
  <c r="AX121" i="5"/>
  <c r="AY121" i="5"/>
  <c r="AZ121" i="5"/>
  <c r="BA121" i="5"/>
  <c r="BD121" i="5"/>
  <c r="BA113" i="5"/>
  <c r="BD113" i="5"/>
  <c r="AV113" i="5"/>
  <c r="AW113" i="5"/>
  <c r="AX113" i="5"/>
  <c r="AY113" i="5"/>
  <c r="AZ113" i="5"/>
  <c r="AR113" i="5"/>
  <c r="AT113" i="5"/>
  <c r="AU113" i="5"/>
  <c r="I113" i="5"/>
  <c r="J113" i="5"/>
  <c r="K113" i="5"/>
  <c r="I78" i="5"/>
  <c r="J78" i="5"/>
  <c r="K78" i="5"/>
  <c r="M78" i="5"/>
  <c r="N78" i="5"/>
  <c r="O78" i="5"/>
  <c r="P78" i="5"/>
  <c r="Q78" i="5"/>
  <c r="R78" i="5"/>
  <c r="S78" i="5"/>
  <c r="T78" i="5"/>
  <c r="U78" i="5"/>
  <c r="V78" i="5"/>
  <c r="W78" i="5"/>
  <c r="X78" i="5"/>
  <c r="Y78" i="5"/>
  <c r="Z78" i="5"/>
  <c r="AA78" i="5"/>
  <c r="AB78" i="5"/>
  <c r="AC78" i="5"/>
  <c r="AD78" i="5"/>
  <c r="AE78" i="5"/>
  <c r="AF78" i="5"/>
  <c r="AG78" i="5"/>
  <c r="AH78" i="5"/>
  <c r="AI78" i="5"/>
  <c r="AJ78" i="5"/>
  <c r="AK78" i="5"/>
  <c r="AL78" i="5"/>
  <c r="AM78" i="5"/>
  <c r="AN78" i="5"/>
  <c r="AO78" i="5"/>
  <c r="AP78" i="5"/>
  <c r="AQ78" i="5"/>
  <c r="AR78" i="5"/>
  <c r="AT78" i="5"/>
  <c r="AU78" i="5"/>
  <c r="AV78" i="5"/>
  <c r="AW78" i="5"/>
  <c r="AX78" i="5"/>
  <c r="AY78" i="5"/>
  <c r="AZ78" i="5"/>
  <c r="BA78" i="5"/>
  <c r="BD78" i="5"/>
  <c r="BG5" i="98" l="1"/>
  <c r="J2" i="96"/>
  <c r="EP2" i="96" a="1"/>
  <c r="EP2" i="96" s="1"/>
  <c r="EK2" i="96" a="1"/>
  <c r="EK2" i="96" s="1"/>
  <c r="EF2" i="96" a="1"/>
  <c r="EF2" i="96" s="1"/>
  <c r="AA66" i="96"/>
  <c r="AB66" i="96"/>
  <c r="Z66" i="96"/>
  <c r="AB64" i="96"/>
  <c r="Z64" i="96"/>
  <c r="AA64" i="96"/>
  <c r="C4" i="96"/>
  <c r="Y3" i="96" a="1"/>
  <c r="Y3" i="96" s="1"/>
  <c r="BC3" i="96" a="1"/>
  <c r="BC3" i="96" s="1"/>
  <c r="BM3" i="96" a="1"/>
  <c r="BM3" i="96" s="1"/>
  <c r="BV3" i="96" a="1"/>
  <c r="BV3" i="96" s="1"/>
  <c r="CU3" i="96" a="1"/>
  <c r="CU3" i="96" s="1"/>
  <c r="DC3" i="96" a="1"/>
  <c r="DC3" i="96" s="1"/>
  <c r="EA3" i="96" a="1"/>
  <c r="EA3" i="96" s="1"/>
  <c r="AI3" i="96" a="1"/>
  <c r="AI3" i="96" s="1"/>
  <c r="AX3" i="96" a="1"/>
  <c r="AX3" i="96" s="1"/>
  <c r="BR3" i="96" a="1"/>
  <c r="BR3" i="96" s="1"/>
  <c r="CE3" i="96" a="1"/>
  <c r="CE3" i="96" s="1"/>
  <c r="CQ3" i="96" a="1"/>
  <c r="CQ3" i="96" s="1"/>
  <c r="CY3" i="96" a="1"/>
  <c r="CY3" i="96" s="1"/>
  <c r="DG3" i="96" a="1"/>
  <c r="DG3" i="96" s="1"/>
  <c r="DV3" i="96" a="1"/>
  <c r="DV3" i="96" s="1"/>
  <c r="T3" i="96" a="1"/>
  <c r="T3" i="96" s="1"/>
  <c r="AD3" i="96" a="1"/>
  <c r="AD3" i="96" s="1"/>
  <c r="AS3" i="96" a="1"/>
  <c r="AS3" i="96" s="1"/>
  <c r="CI3" i="96" a="1"/>
  <c r="CI3" i="96" s="1"/>
  <c r="DQ3" i="96" a="1"/>
  <c r="DQ3" i="96" s="1"/>
  <c r="O3" i="96" a="1"/>
  <c r="O3" i="96" s="1"/>
  <c r="AN3" i="96" a="1"/>
  <c r="AN3" i="96" s="1"/>
  <c r="BH3" i="96" a="1"/>
  <c r="BH3" i="96" s="1"/>
  <c r="CA3" i="96" a="1"/>
  <c r="CA3" i="96" s="1"/>
  <c r="CM3" i="96" a="1"/>
  <c r="CM3" i="96" s="1"/>
  <c r="DL3" i="96" a="1"/>
  <c r="DL3" i="96" s="1"/>
  <c r="J3" i="96" a="1"/>
  <c r="CA2" i="96" a="1"/>
  <c r="CI2" i="96" a="1"/>
  <c r="CU2" i="96" a="1"/>
  <c r="DC2" i="96" a="1"/>
  <c r="DL2" i="96" a="1"/>
  <c r="BR2" i="96" a="1"/>
  <c r="CE2" i="96" a="1"/>
  <c r="CM2" i="96" a="1"/>
  <c r="CQ2" i="96" a="1"/>
  <c r="CY2" i="96" a="1"/>
  <c r="DQ2" i="96" a="1"/>
  <c r="DV2" i="96" a="1"/>
  <c r="EA2" i="96" a="1"/>
  <c r="E3" i="69"/>
  <c r="ES3" i="69" a="1"/>
  <c r="ES3" i="69" s="1"/>
  <c r="EO3" i="69" a="1"/>
  <c r="EO3" i="69" s="1"/>
  <c r="E2" i="69"/>
  <c r="ES2" i="69" s="1" a="1"/>
  <c r="ES2" i="69" s="1"/>
  <c r="EO2" i="69" a="1"/>
  <c r="EO2" i="69" s="1"/>
  <c r="Q20" i="34"/>
  <c r="V20" i="84"/>
  <c r="R20" i="84"/>
  <c r="AP20" i="85"/>
  <c r="AL20" i="85"/>
  <c r="AH20" i="85"/>
  <c r="AD20" i="85"/>
  <c r="Z20" i="85"/>
  <c r="V20" i="85"/>
  <c r="F20" i="85"/>
  <c r="AS27" i="18"/>
  <c r="BC14" i="18"/>
  <c r="BC27" i="18"/>
  <c r="BB14" i="18"/>
  <c r="BB27" i="18"/>
  <c r="I20" i="34"/>
  <c r="I30" i="34"/>
  <c r="I28" i="34"/>
  <c r="I22" i="34"/>
  <c r="I29" i="34"/>
  <c r="I27" i="34"/>
  <c r="I26" i="34"/>
  <c r="I25" i="34"/>
  <c r="I24" i="34"/>
  <c r="I23" i="34"/>
  <c r="I21" i="34"/>
  <c r="J20" i="84"/>
  <c r="N20" i="84"/>
  <c r="L27" i="18"/>
  <c r="L14" i="18"/>
  <c r="U2" i="69" a="1"/>
  <c r="U2" i="69" s="1"/>
  <c r="Y3" i="69" a="1"/>
  <c r="Y3" i="69" s="1"/>
  <c r="U3" i="69" a="1"/>
  <c r="U3" i="69" s="1"/>
  <c r="I2" i="69" a="1"/>
  <c r="I2" i="69" s="1"/>
  <c r="DQ2" i="69" a="1"/>
  <c r="DQ2" i="69" s="1"/>
  <c r="CS2" i="69" a="1"/>
  <c r="CS2" i="69" s="1"/>
  <c r="CK2" i="69" a="1"/>
  <c r="CK2" i="69" s="1"/>
  <c r="CC2" i="69" a="1"/>
  <c r="CC2" i="69" s="1"/>
  <c r="BM2" i="69" a="1"/>
  <c r="BM2" i="69" s="1"/>
  <c r="BY2" i="69" a="1"/>
  <c r="BY2" i="69" s="1"/>
  <c r="AW2" i="69" a="1"/>
  <c r="AW2" i="69" s="1"/>
  <c r="AK2" i="69" a="1"/>
  <c r="AG2" i="69" a="1"/>
  <c r="AG2" i="69" s="1"/>
  <c r="EG2" i="69" a="1"/>
  <c r="EG2" i="69" s="1"/>
  <c r="DY2" i="69" a="1"/>
  <c r="DY2" i="69" s="1"/>
  <c r="DU2" i="69" a="1"/>
  <c r="DU2" i="69" s="1"/>
  <c r="DM2" i="69" a="1"/>
  <c r="DM2" i="69" s="1"/>
  <c r="DE2" i="69" a="1"/>
  <c r="DE2" i="69" s="1"/>
  <c r="CW2" i="69" a="1"/>
  <c r="CW2" i="69" s="1"/>
  <c r="CO2" i="69" a="1"/>
  <c r="CO2" i="69" s="1"/>
  <c r="CG2" i="69" a="1"/>
  <c r="CG2" i="69" s="1"/>
  <c r="I3" i="69" a="1"/>
  <c r="I3" i="69" s="1"/>
  <c r="AW3" i="69" a="1"/>
  <c r="AW3" i="69" s="1"/>
  <c r="BI3" i="69" a="1"/>
  <c r="BI3" i="69" s="1"/>
  <c r="BE3" i="69" a="1"/>
  <c r="BE3" i="69" s="1"/>
  <c r="BA3" i="69" a="1"/>
  <c r="BA3" i="69" s="1"/>
  <c r="AS3" i="69" a="1"/>
  <c r="AS3" i="69" s="1"/>
  <c r="AO3" i="69" a="1"/>
  <c r="AO3" i="69" s="1"/>
  <c r="AK3" i="69" a="1"/>
  <c r="AK3" i="69" s="1"/>
  <c r="AG3" i="69" a="1"/>
  <c r="AG3" i="69" s="1"/>
  <c r="AC3" i="69" a="1"/>
  <c r="AC3" i="69" s="1"/>
  <c r="Q3" i="69" a="1"/>
  <c r="Q3" i="69" s="1"/>
  <c r="M3" i="69" a="1"/>
  <c r="M3" i="69" s="1"/>
  <c r="EG3" i="69" a="1"/>
  <c r="EG3" i="69" s="1"/>
  <c r="EC3" i="69" a="1"/>
  <c r="EC3" i="69" s="1"/>
  <c r="DY3" i="69" a="1"/>
  <c r="DY3" i="69" s="1"/>
  <c r="DU3" i="69" a="1"/>
  <c r="DU3" i="69" s="1"/>
  <c r="DQ3" i="69" a="1"/>
  <c r="DQ3" i="69" s="1"/>
  <c r="DM3" i="69" a="1"/>
  <c r="DM3" i="69" s="1"/>
  <c r="DI3" i="69" a="1"/>
  <c r="DI3" i="69" s="1"/>
  <c r="DE3" i="69" a="1"/>
  <c r="DE3" i="69" s="1"/>
  <c r="DA3" i="69" a="1"/>
  <c r="DA3" i="69" s="1"/>
  <c r="CW3" i="69" a="1"/>
  <c r="CW3" i="69" s="1"/>
  <c r="BM3" i="69" a="1"/>
  <c r="BM3" i="69" s="1"/>
  <c r="CS3" i="69" a="1"/>
  <c r="CS3" i="69" s="1"/>
  <c r="CO3" i="69" a="1"/>
  <c r="CO3" i="69" s="1"/>
  <c r="CK3" i="69" a="1"/>
  <c r="CK3" i="69" s="1"/>
  <c r="CG3" i="69" a="1"/>
  <c r="CG3" i="69" s="1"/>
  <c r="CC3" i="69" a="1"/>
  <c r="CC3" i="69" s="1"/>
  <c r="BY3" i="69" a="1"/>
  <c r="BY3" i="69" s="1"/>
  <c r="BU3" i="69" a="1"/>
  <c r="BU3" i="69" s="1"/>
  <c r="BQ3" i="69" a="1"/>
  <c r="BQ3" i="69" s="1"/>
  <c r="F20" i="84"/>
  <c r="C4" i="69"/>
  <c r="BD168" i="5"/>
  <c r="BA168" i="5"/>
  <c r="AZ168" i="5"/>
  <c r="AY168" i="5"/>
  <c r="AX168" i="5"/>
  <c r="AW168" i="5"/>
  <c r="AV168" i="5"/>
  <c r="AU168" i="5"/>
  <c r="AT168" i="5"/>
  <c r="AR168" i="5"/>
  <c r="AQ168" i="5"/>
  <c r="AP168" i="5"/>
  <c r="AO168" i="5"/>
  <c r="AN168" i="5"/>
  <c r="AM168" i="5"/>
  <c r="AL168" i="5"/>
  <c r="AK168" i="5"/>
  <c r="AJ168" i="5"/>
  <c r="AI168" i="5"/>
  <c r="AH168" i="5"/>
  <c r="AG168" i="5"/>
  <c r="AF168" i="5"/>
  <c r="AE168" i="5"/>
  <c r="AD168" i="5"/>
  <c r="AC168" i="5"/>
  <c r="AB168" i="5"/>
  <c r="AA168" i="5"/>
  <c r="Z168" i="5"/>
  <c r="Y168" i="5"/>
  <c r="X168" i="5"/>
  <c r="W168" i="5"/>
  <c r="V168" i="5"/>
  <c r="U168" i="5"/>
  <c r="T168" i="5"/>
  <c r="S168" i="5"/>
  <c r="R168" i="5"/>
  <c r="Q168" i="5"/>
  <c r="P168" i="5"/>
  <c r="O168" i="5"/>
  <c r="N168" i="5"/>
  <c r="M168" i="5"/>
  <c r="K168" i="5"/>
  <c r="J168" i="5"/>
  <c r="I168" i="5"/>
  <c r="H168" i="5"/>
  <c r="G168" i="5"/>
  <c r="F168" i="5"/>
  <c r="E168" i="5"/>
  <c r="D168" i="5"/>
  <c r="D161" i="5"/>
  <c r="BD162" i="5"/>
  <c r="BD160" i="5" s="1"/>
  <c r="BA162" i="5"/>
  <c r="BA160" i="5" s="1"/>
  <c r="AZ162" i="5"/>
  <c r="AZ160" i="5" s="1"/>
  <c r="AY162" i="5"/>
  <c r="AY160" i="5" s="1"/>
  <c r="AX162" i="5"/>
  <c r="AX160" i="5" s="1"/>
  <c r="AW162" i="5"/>
  <c r="AW160" i="5" s="1"/>
  <c r="AV162" i="5"/>
  <c r="AV160" i="5" s="1"/>
  <c r="AU162" i="5"/>
  <c r="AU160" i="5" s="1"/>
  <c r="AT162" i="5"/>
  <c r="AT160" i="5" s="1"/>
  <c r="AR162" i="5"/>
  <c r="AR160" i="5" s="1"/>
  <c r="AQ162" i="5"/>
  <c r="AQ160" i="5" s="1"/>
  <c r="AP162" i="5"/>
  <c r="AP160" i="5" s="1"/>
  <c r="AO162" i="5"/>
  <c r="AO160" i="5" s="1"/>
  <c r="AN162" i="5"/>
  <c r="AN160" i="5" s="1"/>
  <c r="AM162" i="5"/>
  <c r="AM160" i="5" s="1"/>
  <c r="AL162" i="5"/>
  <c r="AL160" i="5" s="1"/>
  <c r="AK162" i="5"/>
  <c r="AK160" i="5" s="1"/>
  <c r="AJ162" i="5"/>
  <c r="AJ160" i="5" s="1"/>
  <c r="AI162" i="5"/>
  <c r="AI160" i="5" s="1"/>
  <c r="AH162" i="5"/>
  <c r="AH160" i="5" s="1"/>
  <c r="AG162" i="5"/>
  <c r="AG160" i="5" s="1"/>
  <c r="AF162" i="5"/>
  <c r="AF160" i="5" s="1"/>
  <c r="AE162" i="5"/>
  <c r="AE160" i="5" s="1"/>
  <c r="AD162" i="5"/>
  <c r="AD160" i="5" s="1"/>
  <c r="AC162" i="5"/>
  <c r="AC160" i="5" s="1"/>
  <c r="AB162" i="5"/>
  <c r="AB160" i="5" s="1"/>
  <c r="AA162" i="5"/>
  <c r="AA160" i="5" s="1"/>
  <c r="Z162" i="5"/>
  <c r="Z160" i="5" s="1"/>
  <c r="Y162" i="5"/>
  <c r="Y160" i="5" s="1"/>
  <c r="X162" i="5"/>
  <c r="X160" i="5" s="1"/>
  <c r="W162" i="5"/>
  <c r="W160" i="5" s="1"/>
  <c r="V162" i="5"/>
  <c r="V160" i="5" s="1"/>
  <c r="U162" i="5"/>
  <c r="U160" i="5" s="1"/>
  <c r="T162" i="5"/>
  <c r="T160" i="5" s="1"/>
  <c r="S162" i="5"/>
  <c r="S160" i="5" s="1"/>
  <c r="R162" i="5"/>
  <c r="R160" i="5" s="1"/>
  <c r="Q162" i="5"/>
  <c r="Q160" i="5" s="1"/>
  <c r="P162" i="5"/>
  <c r="P160" i="5" s="1"/>
  <c r="O162" i="5"/>
  <c r="O160" i="5" s="1"/>
  <c r="N162" i="5"/>
  <c r="N160" i="5" s="1"/>
  <c r="M162" i="5"/>
  <c r="M160" i="5" s="1"/>
  <c r="K162" i="5"/>
  <c r="K160" i="5" s="1"/>
  <c r="J162" i="5"/>
  <c r="J160" i="5" s="1"/>
  <c r="I162" i="5"/>
  <c r="I160" i="5" s="1"/>
  <c r="H162" i="5"/>
  <c r="H160" i="5" s="1"/>
  <c r="G162" i="5"/>
  <c r="G160" i="5" s="1"/>
  <c r="F162" i="5"/>
  <c r="F160" i="5" s="1"/>
  <c r="E162" i="5"/>
  <c r="E160" i="5" s="1"/>
  <c r="D162" i="5"/>
  <c r="D160" i="5" s="1"/>
  <c r="AG4" i="5"/>
  <c r="AG64" i="5"/>
  <c r="AG77" i="5"/>
  <c r="AG119" i="5"/>
  <c r="AG120" i="5"/>
  <c r="AG128" i="5"/>
  <c r="AG135" i="5"/>
  <c r="AG140" i="5"/>
  <c r="AG166" i="5"/>
  <c r="AG170" i="5"/>
  <c r="AG174" i="5"/>
  <c r="AG12" i="18"/>
  <c r="AG13" i="18"/>
  <c r="AG14" i="18"/>
  <c r="AG27" i="18"/>
  <c r="AG28" i="18"/>
  <c r="H128" i="5"/>
  <c r="G128" i="5"/>
  <c r="F128" i="5"/>
  <c r="E128" i="5"/>
  <c r="AQ128" i="5"/>
  <c r="AP128" i="5"/>
  <c r="AO128" i="5"/>
  <c r="AN128" i="5"/>
  <c r="AM128" i="5"/>
  <c r="AL128" i="5"/>
  <c r="AK128" i="5"/>
  <c r="AJ128" i="5"/>
  <c r="AI128" i="5"/>
  <c r="AH128" i="5"/>
  <c r="AF128" i="5"/>
  <c r="AE128" i="5"/>
  <c r="AD128" i="5"/>
  <c r="AC128" i="5"/>
  <c r="AB128" i="5"/>
  <c r="AA128" i="5"/>
  <c r="Z128" i="5"/>
  <c r="X128" i="5"/>
  <c r="V128" i="5"/>
  <c r="U128" i="5"/>
  <c r="S128" i="5"/>
  <c r="BD120" i="5"/>
  <c r="BA120" i="5"/>
  <c r="AZ120" i="5"/>
  <c r="AY120" i="5"/>
  <c r="AX120" i="5"/>
  <c r="AW120" i="5"/>
  <c r="AV120" i="5"/>
  <c r="AU120" i="5"/>
  <c r="AT120" i="5"/>
  <c r="AR120" i="5"/>
  <c r="AQ120" i="5"/>
  <c r="AP120" i="5"/>
  <c r="AO120" i="5"/>
  <c r="AN120" i="5"/>
  <c r="AM120" i="5"/>
  <c r="AL120" i="5"/>
  <c r="AK120" i="5"/>
  <c r="AJ120" i="5"/>
  <c r="AI120" i="5"/>
  <c r="AH120" i="5"/>
  <c r="AF120" i="5"/>
  <c r="AE120" i="5"/>
  <c r="AD120" i="5"/>
  <c r="AC120" i="5"/>
  <c r="AB120" i="5"/>
  <c r="AA120" i="5"/>
  <c r="Z120" i="5"/>
  <c r="Y120" i="5"/>
  <c r="X120" i="5"/>
  <c r="W120" i="5"/>
  <c r="V120" i="5"/>
  <c r="U120" i="5"/>
  <c r="T120" i="5"/>
  <c r="S120" i="5"/>
  <c r="R120" i="5"/>
  <c r="Q120" i="5"/>
  <c r="P120" i="5"/>
  <c r="O120" i="5"/>
  <c r="N120" i="5"/>
  <c r="M120" i="5"/>
  <c r="K120" i="5"/>
  <c r="J120" i="5"/>
  <c r="BD119" i="5"/>
  <c r="BA119" i="5"/>
  <c r="AZ119" i="5"/>
  <c r="AY119" i="5"/>
  <c r="AX119" i="5"/>
  <c r="AW119" i="5"/>
  <c r="AV119" i="5"/>
  <c r="AU119" i="5"/>
  <c r="AT119" i="5"/>
  <c r="AR119" i="5"/>
  <c r="AQ119" i="5"/>
  <c r="AP119" i="5"/>
  <c r="AO119" i="5"/>
  <c r="AN119" i="5"/>
  <c r="AM119" i="5"/>
  <c r="AL119" i="5"/>
  <c r="AK119" i="5"/>
  <c r="AJ119" i="5"/>
  <c r="AI119" i="5"/>
  <c r="AH119" i="5"/>
  <c r="AF119" i="5"/>
  <c r="AE119" i="5"/>
  <c r="AD119" i="5"/>
  <c r="AC119" i="5"/>
  <c r="AB119" i="5"/>
  <c r="AA119" i="5"/>
  <c r="Z119" i="5"/>
  <c r="Y119" i="5"/>
  <c r="X119" i="5"/>
  <c r="W119" i="5"/>
  <c r="V119" i="5"/>
  <c r="U119" i="5"/>
  <c r="T119" i="5"/>
  <c r="S119" i="5"/>
  <c r="R119" i="5"/>
  <c r="Q119" i="5"/>
  <c r="P119" i="5"/>
  <c r="O119" i="5"/>
  <c r="N119" i="5"/>
  <c r="M119" i="5"/>
  <c r="K119" i="5"/>
  <c r="J119" i="5"/>
  <c r="I120" i="5"/>
  <c r="I119" i="5"/>
  <c r="M44" i="5"/>
  <c r="D147" i="5"/>
  <c r="D146" i="5" s="1"/>
  <c r="BD64" i="5"/>
  <c r="AZ64" i="5"/>
  <c r="AY64" i="5"/>
  <c r="AX64" i="5"/>
  <c r="AW64" i="5"/>
  <c r="AV64" i="5"/>
  <c r="AU64" i="5"/>
  <c r="AT64" i="5"/>
  <c r="AR64" i="5"/>
  <c r="AQ64" i="5"/>
  <c r="AP64" i="5"/>
  <c r="AO64" i="5"/>
  <c r="AN64" i="5"/>
  <c r="AM64" i="5"/>
  <c r="AL64" i="5"/>
  <c r="AK64" i="5"/>
  <c r="AJ64" i="5"/>
  <c r="AI64" i="5"/>
  <c r="AH64" i="5"/>
  <c r="AF64" i="5"/>
  <c r="AE64" i="5"/>
  <c r="AD64" i="5"/>
  <c r="AC64" i="5"/>
  <c r="AB64" i="5"/>
  <c r="AA64" i="5"/>
  <c r="Z64" i="5"/>
  <c r="Y64" i="5"/>
  <c r="X64" i="5"/>
  <c r="W64" i="5"/>
  <c r="V64" i="5"/>
  <c r="U64" i="5"/>
  <c r="T64" i="5"/>
  <c r="S64" i="5"/>
  <c r="R64" i="5"/>
  <c r="Q64" i="5"/>
  <c r="P64" i="5"/>
  <c r="O64" i="5"/>
  <c r="N64" i="5"/>
  <c r="M64" i="5"/>
  <c r="K64" i="5"/>
  <c r="J64" i="5"/>
  <c r="I64" i="5"/>
  <c r="H64" i="5"/>
  <c r="G64" i="5"/>
  <c r="F64" i="5"/>
  <c r="E64" i="5"/>
  <c r="BD44" i="5"/>
  <c r="BD54" i="5" s="1"/>
  <c r="AZ44" i="5"/>
  <c r="AZ54" i="5" s="1"/>
  <c r="AY44" i="5"/>
  <c r="AY54" i="5" s="1"/>
  <c r="AX44" i="5"/>
  <c r="AX54" i="5" s="1"/>
  <c r="AW44" i="5"/>
  <c r="AW54" i="5" s="1"/>
  <c r="AV44" i="5"/>
  <c r="AV54" i="5" s="1"/>
  <c r="AU44" i="5"/>
  <c r="AU54" i="5" s="1"/>
  <c r="AT44" i="5"/>
  <c r="AT54" i="5" s="1"/>
  <c r="AR44" i="5"/>
  <c r="AR54" i="5" s="1"/>
  <c r="K44" i="5"/>
  <c r="K54" i="5" s="1"/>
  <c r="J44" i="5"/>
  <c r="J54" i="5" s="1"/>
  <c r="I44" i="5"/>
  <c r="I54" i="5" s="1"/>
  <c r="BA28" i="18"/>
  <c r="BA13" i="18"/>
  <c r="BA12" i="18"/>
  <c r="BA174" i="5"/>
  <c r="BA170" i="5"/>
  <c r="BA166" i="5"/>
  <c r="BA140" i="5"/>
  <c r="BA135" i="5"/>
  <c r="BA128" i="5"/>
  <c r="BA77" i="5"/>
  <c r="BA4" i="5"/>
  <c r="BD48" i="5"/>
  <c r="BD58" i="5" s="1"/>
  <c r="D174" i="5"/>
  <c r="E135" i="5"/>
  <c r="F135" i="5"/>
  <c r="G135" i="5"/>
  <c r="H135" i="5"/>
  <c r="F140" i="5"/>
  <c r="G140" i="5"/>
  <c r="H140" i="5"/>
  <c r="I140" i="5"/>
  <c r="J140" i="5"/>
  <c r="K140" i="5"/>
  <c r="M140" i="5"/>
  <c r="N140" i="5"/>
  <c r="O140" i="5"/>
  <c r="P140" i="5"/>
  <c r="Q140" i="5"/>
  <c r="R140" i="5"/>
  <c r="S140" i="5"/>
  <c r="T140" i="5"/>
  <c r="U140" i="5"/>
  <c r="V140" i="5"/>
  <c r="W140" i="5"/>
  <c r="X140" i="5"/>
  <c r="Y140" i="5"/>
  <c r="Z140" i="5"/>
  <c r="AA140" i="5"/>
  <c r="AB140" i="5"/>
  <c r="AC140" i="5"/>
  <c r="AD140" i="5"/>
  <c r="AE140" i="5"/>
  <c r="AF140" i="5"/>
  <c r="AH140" i="5"/>
  <c r="AI140" i="5"/>
  <c r="AJ140" i="5"/>
  <c r="AK140" i="5"/>
  <c r="AL140" i="5"/>
  <c r="AM140" i="5"/>
  <c r="AN140" i="5"/>
  <c r="AO140" i="5"/>
  <c r="AP140" i="5"/>
  <c r="AQ140" i="5"/>
  <c r="AR140" i="5"/>
  <c r="AT140" i="5"/>
  <c r="AU140" i="5"/>
  <c r="AV140" i="5"/>
  <c r="AW140" i="5"/>
  <c r="AX140" i="5"/>
  <c r="AY140" i="5"/>
  <c r="AZ140" i="5"/>
  <c r="BD140" i="5"/>
  <c r="D140" i="5"/>
  <c r="E140" i="5"/>
  <c r="BD77" i="5"/>
  <c r="AZ77" i="5"/>
  <c r="AY77" i="5"/>
  <c r="AX77" i="5"/>
  <c r="AW77" i="5"/>
  <c r="AV77" i="5"/>
  <c r="AU77" i="5"/>
  <c r="AT77" i="5"/>
  <c r="AR77" i="5"/>
  <c r="AQ77" i="5"/>
  <c r="AP77" i="5"/>
  <c r="AO77" i="5"/>
  <c r="AN77" i="5"/>
  <c r="AM77" i="5"/>
  <c r="AL77" i="5"/>
  <c r="AK77" i="5"/>
  <c r="AJ77" i="5"/>
  <c r="AI77" i="5"/>
  <c r="AH77" i="5"/>
  <c r="AF77" i="5"/>
  <c r="AE77" i="5"/>
  <c r="AD77" i="5"/>
  <c r="AC77" i="5"/>
  <c r="AB77" i="5"/>
  <c r="AA77" i="5"/>
  <c r="Z77" i="5"/>
  <c r="Y77" i="5"/>
  <c r="X77" i="5"/>
  <c r="W77" i="5"/>
  <c r="V77" i="5"/>
  <c r="U77" i="5"/>
  <c r="T77" i="5"/>
  <c r="S77" i="5"/>
  <c r="R77" i="5"/>
  <c r="Q77" i="5"/>
  <c r="P77" i="5"/>
  <c r="O77" i="5"/>
  <c r="N77" i="5"/>
  <c r="M77" i="5"/>
  <c r="K77" i="5"/>
  <c r="J77" i="5"/>
  <c r="I77" i="5"/>
  <c r="C192" i="5"/>
  <c r="BD174" i="5"/>
  <c r="AZ174" i="5"/>
  <c r="AY174" i="5"/>
  <c r="AX174" i="5"/>
  <c r="AW174" i="5"/>
  <c r="AV174" i="5"/>
  <c r="AU174" i="5"/>
  <c r="AT174" i="5"/>
  <c r="AR174" i="5"/>
  <c r="AQ174" i="5"/>
  <c r="AP174" i="5"/>
  <c r="AO174" i="5"/>
  <c r="AN174" i="5"/>
  <c r="AM174" i="5"/>
  <c r="AL174" i="5"/>
  <c r="AK174" i="5"/>
  <c r="AJ174" i="5"/>
  <c r="AI174" i="5"/>
  <c r="AH174" i="5"/>
  <c r="AF174" i="5"/>
  <c r="AE174" i="5"/>
  <c r="AD174" i="5"/>
  <c r="AC174" i="5"/>
  <c r="AB174" i="5"/>
  <c r="AA174" i="5"/>
  <c r="Z174" i="5"/>
  <c r="Y174" i="5"/>
  <c r="X174" i="5"/>
  <c r="W174" i="5"/>
  <c r="V174" i="5"/>
  <c r="U174" i="5"/>
  <c r="T174" i="5"/>
  <c r="S174" i="5"/>
  <c r="R174" i="5"/>
  <c r="Q174" i="5"/>
  <c r="P174" i="5"/>
  <c r="O174" i="5"/>
  <c r="N174" i="5"/>
  <c r="M174" i="5"/>
  <c r="K174" i="5"/>
  <c r="J174" i="5"/>
  <c r="I174" i="5"/>
  <c r="H174" i="5"/>
  <c r="G174" i="5"/>
  <c r="F174" i="5"/>
  <c r="E174" i="5"/>
  <c r="BD166" i="5"/>
  <c r="AZ166" i="5"/>
  <c r="AY166" i="5"/>
  <c r="AX166" i="5"/>
  <c r="AW166" i="5"/>
  <c r="AV166" i="5"/>
  <c r="AU166" i="5"/>
  <c r="AT166" i="5"/>
  <c r="AR166" i="5"/>
  <c r="AQ166" i="5"/>
  <c r="AP166" i="5"/>
  <c r="AO166" i="5"/>
  <c r="AN166" i="5"/>
  <c r="AM166" i="5"/>
  <c r="AL166" i="5"/>
  <c r="AK166" i="5"/>
  <c r="AJ166" i="5"/>
  <c r="AI166" i="5"/>
  <c r="AH166" i="5"/>
  <c r="AF166" i="5"/>
  <c r="AE166" i="5"/>
  <c r="AD166" i="5"/>
  <c r="AC166" i="5"/>
  <c r="AB166" i="5"/>
  <c r="AA166" i="5"/>
  <c r="Z166" i="5"/>
  <c r="Y166" i="5"/>
  <c r="X166" i="5"/>
  <c r="W166" i="5"/>
  <c r="V166" i="5"/>
  <c r="U166" i="5"/>
  <c r="T166" i="5"/>
  <c r="S166" i="5"/>
  <c r="R166" i="5"/>
  <c r="Q166" i="5"/>
  <c r="P166" i="5"/>
  <c r="O166" i="5"/>
  <c r="N166" i="5"/>
  <c r="M166" i="5"/>
  <c r="K166" i="5"/>
  <c r="J166" i="5"/>
  <c r="I166" i="5"/>
  <c r="H166" i="5"/>
  <c r="G166" i="5"/>
  <c r="F166" i="5"/>
  <c r="E166" i="5"/>
  <c r="D166" i="5"/>
  <c r="AY47" i="5"/>
  <c r="AX47" i="5"/>
  <c r="AW47" i="5"/>
  <c r="AV47" i="5"/>
  <c r="AY46" i="5"/>
  <c r="AY56" i="5" s="1"/>
  <c r="AX46" i="5"/>
  <c r="AX56" i="5" s="1"/>
  <c r="AW46" i="5"/>
  <c r="AW56" i="5" s="1"/>
  <c r="AV46" i="5"/>
  <c r="AV56" i="5" s="1"/>
  <c r="AY45" i="5"/>
  <c r="AY55" i="5" s="1"/>
  <c r="AX45" i="5"/>
  <c r="AX55" i="5" s="1"/>
  <c r="AW45" i="5"/>
  <c r="AW55" i="5" s="1"/>
  <c r="AV45" i="5"/>
  <c r="AV55" i="5" s="1"/>
  <c r="AY43" i="5"/>
  <c r="AY53" i="5" s="1"/>
  <c r="AX43" i="5"/>
  <c r="AX53" i="5" s="1"/>
  <c r="AW43" i="5"/>
  <c r="AW53" i="5" s="1"/>
  <c r="AV43" i="5"/>
  <c r="AV53" i="5" s="1"/>
  <c r="AZ46" i="5"/>
  <c r="AZ56" i="5" s="1"/>
  <c r="AZ45" i="5"/>
  <c r="AZ55" i="5" s="1"/>
  <c r="AZ47" i="5"/>
  <c r="AZ43" i="5"/>
  <c r="AZ53" i="5" s="1"/>
  <c r="H28" i="18"/>
  <c r="G28" i="18"/>
  <c r="F28" i="18"/>
  <c r="H13" i="18"/>
  <c r="G13" i="18"/>
  <c r="F13" i="18"/>
  <c r="H12" i="18"/>
  <c r="G12" i="18"/>
  <c r="F12" i="18"/>
  <c r="H170" i="5"/>
  <c r="G170" i="5"/>
  <c r="H4" i="5"/>
  <c r="G4" i="5"/>
  <c r="F170" i="5"/>
  <c r="F4" i="5"/>
  <c r="BD170" i="5"/>
  <c r="AZ170" i="5"/>
  <c r="AY170" i="5"/>
  <c r="AX170" i="5"/>
  <c r="AW170" i="5"/>
  <c r="AV170" i="5"/>
  <c r="AU170" i="5"/>
  <c r="AT170" i="5"/>
  <c r="AR170" i="5"/>
  <c r="AQ170" i="5"/>
  <c r="AP170" i="5"/>
  <c r="AO170" i="5"/>
  <c r="AN170" i="5"/>
  <c r="AM170" i="5"/>
  <c r="AL170" i="5"/>
  <c r="AK170" i="5"/>
  <c r="AJ170" i="5"/>
  <c r="AI170" i="5"/>
  <c r="AH170" i="5"/>
  <c r="AF170" i="5"/>
  <c r="AE170" i="5"/>
  <c r="AD170" i="5"/>
  <c r="AC170" i="5"/>
  <c r="AB170" i="5"/>
  <c r="AA170" i="5"/>
  <c r="Z170" i="5"/>
  <c r="Y170" i="5"/>
  <c r="X170" i="5"/>
  <c r="W170" i="5"/>
  <c r="V170" i="5"/>
  <c r="U170" i="5"/>
  <c r="T170" i="5"/>
  <c r="S170" i="5"/>
  <c r="R170" i="5"/>
  <c r="Q170" i="5"/>
  <c r="P170" i="5"/>
  <c r="O170" i="5"/>
  <c r="N170" i="5"/>
  <c r="M170" i="5"/>
  <c r="K170" i="5"/>
  <c r="J170" i="5"/>
  <c r="I170" i="5"/>
  <c r="E170" i="5"/>
  <c r="D170" i="5"/>
  <c r="D176" i="5"/>
  <c r="D178" i="5"/>
  <c r="E28" i="18"/>
  <c r="E13" i="18"/>
  <c r="E12" i="18"/>
  <c r="E4" i="5"/>
  <c r="AU28" i="18"/>
  <c r="AT28" i="18"/>
  <c r="AR28" i="18"/>
  <c r="AU13" i="18"/>
  <c r="AT13" i="18"/>
  <c r="AR13" i="18"/>
  <c r="AU12" i="18"/>
  <c r="AT12" i="18"/>
  <c r="AR12" i="18"/>
  <c r="AX28" i="18"/>
  <c r="AW28" i="18"/>
  <c r="AV28" i="18"/>
  <c r="AX13" i="18"/>
  <c r="AW13" i="18"/>
  <c r="AV13" i="18"/>
  <c r="AX12" i="18"/>
  <c r="AW12" i="18"/>
  <c r="AV12" i="18"/>
  <c r="AU135" i="5"/>
  <c r="AT135" i="5"/>
  <c r="AR135" i="5"/>
  <c r="AU128" i="5"/>
  <c r="AT128" i="5"/>
  <c r="AR128" i="5"/>
  <c r="AX135" i="5"/>
  <c r="AW135" i="5"/>
  <c r="AV135" i="5"/>
  <c r="AX128" i="5"/>
  <c r="AW128" i="5"/>
  <c r="AV128" i="5"/>
  <c r="AU4" i="5"/>
  <c r="AT4" i="5"/>
  <c r="AR4" i="5"/>
  <c r="AW4" i="5"/>
  <c r="AV4" i="5"/>
  <c r="AQ28" i="18"/>
  <c r="AP28" i="18"/>
  <c r="AO28" i="18"/>
  <c r="AN28" i="18"/>
  <c r="AM28" i="18"/>
  <c r="AL28" i="18"/>
  <c r="AK28" i="18"/>
  <c r="AJ28" i="18"/>
  <c r="AI28" i="18"/>
  <c r="AH28" i="18"/>
  <c r="AF28" i="18"/>
  <c r="AE28" i="18"/>
  <c r="AD28" i="18"/>
  <c r="AC28" i="18"/>
  <c r="AB28" i="18"/>
  <c r="AA28" i="18"/>
  <c r="Z28" i="18"/>
  <c r="Y28" i="18"/>
  <c r="X28" i="18"/>
  <c r="W28" i="18"/>
  <c r="V28" i="18"/>
  <c r="U28" i="18"/>
  <c r="T28" i="18"/>
  <c r="S28" i="18"/>
  <c r="BD13" i="18"/>
  <c r="AZ13" i="18"/>
  <c r="AY13" i="18"/>
  <c r="AQ13" i="18"/>
  <c r="AP13" i="18"/>
  <c r="AO13" i="18"/>
  <c r="AN13" i="18"/>
  <c r="AM13" i="18"/>
  <c r="AL13" i="18"/>
  <c r="AK13" i="18"/>
  <c r="AJ13" i="18"/>
  <c r="AI13" i="18"/>
  <c r="AH13" i="18"/>
  <c r="AF13" i="18"/>
  <c r="AE13" i="18"/>
  <c r="AD13" i="18"/>
  <c r="AC13" i="18"/>
  <c r="AB13" i="18"/>
  <c r="AA13" i="18"/>
  <c r="Z13" i="18"/>
  <c r="Y13" i="18"/>
  <c r="X13" i="18"/>
  <c r="W13" i="18"/>
  <c r="V13" i="18"/>
  <c r="U13" i="18"/>
  <c r="T13" i="18"/>
  <c r="S13" i="18"/>
  <c r="R13" i="18"/>
  <c r="Q13" i="18"/>
  <c r="P13" i="18"/>
  <c r="O13" i="18"/>
  <c r="N13" i="18"/>
  <c r="M13" i="18"/>
  <c r="J13" i="18"/>
  <c r="D13" i="18"/>
  <c r="BD12" i="18"/>
  <c r="AZ12" i="18"/>
  <c r="AY12" i="18"/>
  <c r="AQ12" i="18"/>
  <c r="AP12" i="18"/>
  <c r="AO12" i="18"/>
  <c r="AN12" i="18"/>
  <c r="AM12" i="18"/>
  <c r="AL12" i="18"/>
  <c r="AK12" i="18"/>
  <c r="AJ12" i="18"/>
  <c r="AI12" i="18"/>
  <c r="AH12" i="18"/>
  <c r="AF12" i="18"/>
  <c r="AE12" i="18"/>
  <c r="AD12" i="18"/>
  <c r="AC12" i="18"/>
  <c r="AB12" i="18"/>
  <c r="AA12" i="18"/>
  <c r="Z12" i="18"/>
  <c r="Y12" i="18"/>
  <c r="X12" i="18"/>
  <c r="W12" i="18"/>
  <c r="V12" i="18"/>
  <c r="U12" i="18"/>
  <c r="T12" i="18"/>
  <c r="S12" i="18"/>
  <c r="R12" i="18"/>
  <c r="Q12" i="18"/>
  <c r="P12" i="18"/>
  <c r="O12" i="18"/>
  <c r="N12" i="18"/>
  <c r="M12" i="18"/>
  <c r="J12" i="18"/>
  <c r="D12" i="18"/>
  <c r="I13" i="18"/>
  <c r="I12" i="18"/>
  <c r="AA135" i="5"/>
  <c r="Z135" i="5"/>
  <c r="AA4" i="5"/>
  <c r="Z4" i="5"/>
  <c r="Y135" i="5"/>
  <c r="X135" i="5"/>
  <c r="Y128" i="5"/>
  <c r="Y4" i="5"/>
  <c r="X4" i="5"/>
  <c r="AQ135" i="5"/>
  <c r="AP135" i="5"/>
  <c r="AO135" i="5"/>
  <c r="AN135" i="5"/>
  <c r="AM135" i="5"/>
  <c r="AL135" i="5"/>
  <c r="AK135" i="5"/>
  <c r="AJ135" i="5"/>
  <c r="AQ4" i="5"/>
  <c r="AP4" i="5"/>
  <c r="AO4" i="5"/>
  <c r="AN4" i="5"/>
  <c r="AM4" i="5"/>
  <c r="AL4" i="5"/>
  <c r="AK4" i="5"/>
  <c r="AJ4" i="5"/>
  <c r="AE135" i="5"/>
  <c r="AD135" i="5"/>
  <c r="AC135" i="5"/>
  <c r="AB135" i="5"/>
  <c r="AE4" i="5"/>
  <c r="AD4" i="5"/>
  <c r="AC4" i="5"/>
  <c r="AB4" i="5"/>
  <c r="AI135" i="5"/>
  <c r="AH135" i="5"/>
  <c r="AF135" i="5"/>
  <c r="AI4" i="5"/>
  <c r="AH4" i="5"/>
  <c r="AF4" i="5"/>
  <c r="U135" i="5"/>
  <c r="U4" i="5"/>
  <c r="W135" i="5"/>
  <c r="V135" i="5"/>
  <c r="W128" i="5"/>
  <c r="W4" i="5"/>
  <c r="V4" i="5"/>
  <c r="T135" i="5"/>
  <c r="S135" i="5"/>
  <c r="T128" i="5"/>
  <c r="T4" i="5"/>
  <c r="S4" i="5"/>
  <c r="BD28" i="18"/>
  <c r="AZ28" i="18"/>
  <c r="AY28" i="18"/>
  <c r="R28" i="18"/>
  <c r="Q28" i="18"/>
  <c r="P28" i="18"/>
  <c r="O28" i="18"/>
  <c r="N28" i="18"/>
  <c r="M28" i="18"/>
  <c r="K28" i="18"/>
  <c r="J28" i="18"/>
  <c r="I28" i="18"/>
  <c r="D28" i="18"/>
  <c r="D4" i="5"/>
  <c r="BD128" i="5"/>
  <c r="AZ128" i="5"/>
  <c r="AY128" i="5"/>
  <c r="R128" i="5"/>
  <c r="Q128" i="5"/>
  <c r="P128" i="5"/>
  <c r="O128" i="5"/>
  <c r="N128" i="5"/>
  <c r="M128" i="5"/>
  <c r="K128" i="5"/>
  <c r="J128" i="5"/>
  <c r="I128" i="5"/>
  <c r="D128" i="5"/>
  <c r="BD135" i="5"/>
  <c r="AZ135" i="5"/>
  <c r="AY135" i="5"/>
  <c r="R135" i="5"/>
  <c r="Q135" i="5"/>
  <c r="P135" i="5"/>
  <c r="O135" i="5"/>
  <c r="N135" i="5"/>
  <c r="M135" i="5"/>
  <c r="K135" i="5"/>
  <c r="J135" i="5"/>
  <c r="I135" i="5"/>
  <c r="D135" i="5"/>
  <c r="P4" i="5"/>
  <c r="O4" i="5"/>
  <c r="D120" i="5"/>
  <c r="D119" i="5"/>
  <c r="D108" i="5"/>
  <c r="BD67" i="5"/>
  <c r="BD63" i="5"/>
  <c r="BD66" i="5"/>
  <c r="BD65" i="5"/>
  <c r="BD4" i="5"/>
  <c r="AZ4" i="5"/>
  <c r="AY4" i="5"/>
  <c r="R4" i="5"/>
  <c r="Q4" i="5"/>
  <c r="N4" i="5"/>
  <c r="M4" i="5"/>
  <c r="K4" i="5"/>
  <c r="J4" i="5"/>
  <c r="I4" i="5"/>
  <c r="EU2" i="96" l="1" a="1"/>
  <c r="EU2" i="96" s="1"/>
  <c r="EZ2" i="96" a="1"/>
  <c r="EZ2" i="96" s="1"/>
  <c r="C41" i="91"/>
  <c r="C41" i="71"/>
  <c r="C35" i="73"/>
  <c r="C41" i="70"/>
  <c r="C41" i="48"/>
  <c r="C41" i="79"/>
  <c r="C41" i="73"/>
  <c r="C41" i="13"/>
  <c r="C41" i="88"/>
  <c r="C41" i="23"/>
  <c r="C41" i="29"/>
  <c r="C41" i="24"/>
  <c r="C41" i="19"/>
  <c r="C41" i="30"/>
  <c r="C41" i="33"/>
  <c r="C41" i="32"/>
  <c r="C41" i="31"/>
  <c r="C41" i="25"/>
  <c r="C41" i="50"/>
  <c r="C41" i="35"/>
  <c r="C41" i="51"/>
  <c r="C41" i="52"/>
  <c r="C41" i="37"/>
  <c r="C41" i="65"/>
  <c r="C41" i="66"/>
  <c r="C41" i="67"/>
  <c r="C41" i="68"/>
  <c r="C41" i="53"/>
  <c r="C41" i="38"/>
  <c r="C41" i="54"/>
  <c r="C41" i="39"/>
  <c r="C41" i="55"/>
  <c r="C41" i="56"/>
  <c r="C41" i="41"/>
  <c r="C41" i="57"/>
  <c r="C41" i="59"/>
  <c r="C41" i="44"/>
  <c r="C41" i="60"/>
  <c r="C41" i="45"/>
  <c r="C41" i="61"/>
  <c r="C41" i="62"/>
  <c r="C41" i="63"/>
  <c r="C41" i="49"/>
  <c r="C41" i="72"/>
  <c r="C41" i="89"/>
  <c r="C41" i="80"/>
  <c r="C41" i="81"/>
  <c r="E40" i="80" a="1"/>
  <c r="E40" i="80" s="1"/>
  <c r="E40" i="81" a="1"/>
  <c r="E40" i="81" s="1"/>
  <c r="C35" i="19"/>
  <c r="C35" i="30"/>
  <c r="C35" i="33"/>
  <c r="C35" i="32"/>
  <c r="C35" i="31"/>
  <c r="C35" i="25"/>
  <c r="C35" i="50"/>
  <c r="C35" i="35"/>
  <c r="C35" i="51"/>
  <c r="C35" i="52"/>
  <c r="C35" i="37"/>
  <c r="C35" i="65"/>
  <c r="C35" i="66"/>
  <c r="C35" i="67"/>
  <c r="C35" i="68"/>
  <c r="C35" i="53"/>
  <c r="C35" i="38"/>
  <c r="C35" i="54"/>
  <c r="C35" i="39"/>
  <c r="C35" i="55"/>
  <c r="C35" i="56"/>
  <c r="C35" i="41"/>
  <c r="C35" i="57"/>
  <c r="C35" i="59"/>
  <c r="C35" i="44"/>
  <c r="C35" i="60"/>
  <c r="C35" i="45"/>
  <c r="C35" i="61"/>
  <c r="C35" i="62"/>
  <c r="C35" i="63"/>
  <c r="C35" i="49"/>
  <c r="C35" i="70"/>
  <c r="C35" i="91"/>
  <c r="C35" i="71"/>
  <c r="C35" i="72"/>
  <c r="C35" i="74"/>
  <c r="C35" i="48"/>
  <c r="C35" i="75"/>
  <c r="C35" i="89"/>
  <c r="C35" i="90"/>
  <c r="C35" i="27"/>
  <c r="C35" i="22"/>
  <c r="C35" i="81"/>
  <c r="C35" i="80"/>
  <c r="C35" i="79"/>
  <c r="C35" i="77"/>
  <c r="B2" i="33"/>
  <c r="B2" i="24"/>
  <c r="B2" i="23"/>
  <c r="B2" i="13"/>
  <c r="B2" i="22"/>
  <c r="B2" i="80"/>
  <c r="B2" i="77"/>
  <c r="C41" i="75"/>
  <c r="C41" i="27"/>
  <c r="C41" i="77"/>
  <c r="J26" i="9" s="1"/>
  <c r="C35" i="13"/>
  <c r="C35" i="88"/>
  <c r="C35" i="23"/>
  <c r="C35" i="29"/>
  <c r="C35" i="24"/>
  <c r="C41" i="74"/>
  <c r="E40" i="77" a="1"/>
  <c r="E40" i="77" s="1"/>
  <c r="B2" i="73"/>
  <c r="B2" i="90"/>
  <c r="B2" i="89"/>
  <c r="B2" i="75"/>
  <c r="B2" i="48"/>
  <c r="B2" i="74"/>
  <c r="B2" i="72"/>
  <c r="B2" i="71"/>
  <c r="B2" i="91"/>
  <c r="B2" i="70"/>
  <c r="B2" i="49"/>
  <c r="B2" i="63"/>
  <c r="B2" i="62"/>
  <c r="B2" i="61"/>
  <c r="B2" i="45"/>
  <c r="B2" i="60"/>
  <c r="B2" i="44"/>
  <c r="B2" i="59"/>
  <c r="B2" i="57"/>
  <c r="B2" i="41"/>
  <c r="B2" i="56"/>
  <c r="B2" i="55"/>
  <c r="B2" i="39"/>
  <c r="B2" i="54"/>
  <c r="B2" i="38"/>
  <c r="B2" i="53"/>
  <c r="B2" i="68"/>
  <c r="B2" i="67"/>
  <c r="B2" i="66"/>
  <c r="B2" i="65"/>
  <c r="B2" i="37"/>
  <c r="B2" i="52"/>
  <c r="B2" i="51"/>
  <c r="B2" i="35"/>
  <c r="B2" i="50"/>
  <c r="B2" i="25"/>
  <c r="B2" i="31"/>
  <c r="B2" i="32"/>
  <c r="B2" i="30"/>
  <c r="B2" i="19"/>
  <c r="B2" i="29"/>
  <c r="B2" i="88"/>
  <c r="B2" i="27"/>
  <c r="B2" i="81"/>
  <c r="B2" i="79"/>
  <c r="C41" i="90"/>
  <c r="C41" i="22"/>
  <c r="E40" i="79" a="1"/>
  <c r="E40" i="79" s="1"/>
  <c r="E3" i="57" a="1"/>
  <c r="E3" i="57" s="1"/>
  <c r="E1" i="38" a="1"/>
  <c r="E1" i="38" s="1"/>
  <c r="E3" i="65" a="1"/>
  <c r="E3" i="65" s="1"/>
  <c r="E1" i="52" a="1"/>
  <c r="E1" i="52" s="1"/>
  <c r="E45" i="52" s="1" a="1"/>
  <c r="E3" i="25" a="1"/>
  <c r="E3" i="25" s="1"/>
  <c r="E3" i="19" a="1"/>
  <c r="E3" i="19" s="1"/>
  <c r="E3" i="29" a="1"/>
  <c r="E3" i="29" s="1"/>
  <c r="E3" i="88" a="1"/>
  <c r="E3" i="88" s="1"/>
  <c r="E3" i="22" a="1"/>
  <c r="E3" i="22" s="1"/>
  <c r="E1" i="77" a="1"/>
  <c r="E1" i="77" s="1"/>
  <c r="E3" i="32" a="1"/>
  <c r="E3" i="32" s="1"/>
  <c r="E1" i="13" a="1"/>
  <c r="E1" i="13" s="1"/>
  <c r="E1" i="56" a="1"/>
  <c r="E1" i="56" s="1"/>
  <c r="E3" i="68" a="1"/>
  <c r="E3" i="68" s="1"/>
  <c r="E3" i="66" a="1"/>
  <c r="E3" i="66" s="1"/>
  <c r="E1" i="37" a="1"/>
  <c r="E1" i="37" s="1"/>
  <c r="E1" i="51" a="1"/>
  <c r="E1" i="51" s="1"/>
  <c r="E1" i="50" a="1"/>
  <c r="E1" i="50" s="1"/>
  <c r="E2" i="50" s="1" a="1"/>
  <c r="E1" i="32" a="1"/>
  <c r="E1" i="32" s="1"/>
  <c r="E2" i="32" s="1" a="1"/>
  <c r="E3" i="33" a="1"/>
  <c r="E3" i="33" s="1"/>
  <c r="E3" i="24" a="1"/>
  <c r="E3" i="24" s="1"/>
  <c r="E1" i="23" a="1"/>
  <c r="E1" i="23" s="1"/>
  <c r="E1" i="79" a="1"/>
  <c r="E1" i="79" s="1"/>
  <c r="E1" i="54" a="1"/>
  <c r="E1" i="54" s="1"/>
  <c r="E3" i="50" a="1"/>
  <c r="E3" i="50" s="1"/>
  <c r="E1" i="33" a="1"/>
  <c r="E1" i="33" s="1"/>
  <c r="E1" i="29" a="1"/>
  <c r="E1" i="29" s="1"/>
  <c r="E3" i="13" a="1"/>
  <c r="E3" i="13" s="1"/>
  <c r="E1" i="39" a="1"/>
  <c r="E1" i="39" s="1"/>
  <c r="E3" i="67" a="1"/>
  <c r="E3" i="67" s="1"/>
  <c r="E45" i="17" a="1"/>
  <c r="E45" i="17" s="1"/>
  <c r="E42" i="17" a="1"/>
  <c r="E42" i="17" s="1"/>
  <c r="E1" i="73" a="1"/>
  <c r="E1" i="73" s="1"/>
  <c r="E1" i="90" a="1"/>
  <c r="E1" i="90" s="1"/>
  <c r="E1" i="89" a="1"/>
  <c r="E1" i="89" s="1"/>
  <c r="E1" i="48" a="1"/>
  <c r="E1" i="48" s="1"/>
  <c r="E1" i="74" a="1"/>
  <c r="E1" i="74" s="1"/>
  <c r="E47" i="74" s="1" a="1"/>
  <c r="E1" i="72" a="1"/>
  <c r="E1" i="72" s="1"/>
  <c r="E1" i="71" a="1"/>
  <c r="E1" i="71" s="1"/>
  <c r="E3" i="91" a="1"/>
  <c r="E3" i="91" s="1"/>
  <c r="E1" i="70" a="1"/>
  <c r="E1" i="70" s="1"/>
  <c r="E1" i="49" a="1"/>
  <c r="E1" i="49" s="1"/>
  <c r="E3" i="63" a="1"/>
  <c r="E3" i="63" s="1"/>
  <c r="E1" i="61" a="1"/>
  <c r="E1" i="61" s="1"/>
  <c r="E1" i="45" a="1"/>
  <c r="E1" i="45" s="1"/>
  <c r="E1" i="44" a="1"/>
  <c r="E1" i="44" s="1"/>
  <c r="E3" i="59" a="1"/>
  <c r="E3" i="59" s="1"/>
  <c r="E3" i="56" a="1"/>
  <c r="E3" i="56" s="1"/>
  <c r="E2" i="56" s="1" a="1"/>
  <c r="E3" i="39" a="1"/>
  <c r="E3" i="39" s="1"/>
  <c r="E2" i="39" s="1" a="1"/>
  <c r="E3" i="38" a="1"/>
  <c r="E3" i="38" s="1"/>
  <c r="E1" i="66" a="1"/>
  <c r="E1" i="66" s="1"/>
  <c r="E3" i="37" a="1"/>
  <c r="E3" i="37" s="1"/>
  <c r="E3" i="52" a="1"/>
  <c r="E3" i="52" s="1"/>
  <c r="E3" i="35" a="1"/>
  <c r="E3" i="35" s="1"/>
  <c r="E1" i="31" a="1"/>
  <c r="E1" i="31" s="1"/>
  <c r="E1" i="19" a="1"/>
  <c r="E1" i="19" s="1"/>
  <c r="E1" i="88" a="1"/>
  <c r="E1" i="88" s="1"/>
  <c r="E3" i="27" a="1"/>
  <c r="E3" i="27" s="1"/>
  <c r="E1" i="81" a="1"/>
  <c r="E1" i="81" s="1"/>
  <c r="E47" i="17" a="1"/>
  <c r="E47" i="17" s="1"/>
  <c r="E43" i="17" a="1"/>
  <c r="E43" i="17" s="1"/>
  <c r="E3" i="73" a="1"/>
  <c r="E3" i="73" s="1"/>
  <c r="E3" i="90" a="1"/>
  <c r="E3" i="90" s="1"/>
  <c r="E3" i="89" a="1"/>
  <c r="E3" i="89" s="1"/>
  <c r="E3" i="75" a="1"/>
  <c r="E3" i="75" s="1"/>
  <c r="E3" i="48" a="1"/>
  <c r="E3" i="48" s="1"/>
  <c r="E3" i="74" a="1"/>
  <c r="E3" i="74" s="1"/>
  <c r="E3" i="72" a="1"/>
  <c r="E3" i="72" s="1"/>
  <c r="E3" i="71" a="1"/>
  <c r="E3" i="71" s="1"/>
  <c r="E1" i="91" a="1"/>
  <c r="E1" i="91" s="1"/>
  <c r="E3" i="70" a="1"/>
  <c r="E3" i="70" s="1"/>
  <c r="E1" i="63" a="1"/>
  <c r="E1" i="63" s="1"/>
  <c r="E3" i="62" a="1"/>
  <c r="E3" i="62" s="1"/>
  <c r="E3" i="45" a="1"/>
  <c r="E3" i="45" s="1"/>
  <c r="E3" i="60" a="1"/>
  <c r="E3" i="60" s="1"/>
  <c r="E1" i="59" a="1"/>
  <c r="E1" i="59" s="1"/>
  <c r="E1" i="41" a="1"/>
  <c r="E1" i="41" s="1"/>
  <c r="E3" i="55" a="1"/>
  <c r="E3" i="55" s="1"/>
  <c r="E3" i="54" a="1"/>
  <c r="E3" i="54" s="1"/>
  <c r="E3" i="53" a="1"/>
  <c r="E3" i="53" s="1"/>
  <c r="E1" i="67" a="1"/>
  <c r="E1" i="67" s="1"/>
  <c r="E1" i="65" a="1"/>
  <c r="E1" i="65" s="1"/>
  <c r="E1" i="35" a="1"/>
  <c r="E1" i="35" s="1"/>
  <c r="E1" i="25" a="1"/>
  <c r="E1" i="25" s="1"/>
  <c r="E1" i="30" a="1"/>
  <c r="E1" i="30" s="1"/>
  <c r="E1" i="24" a="1"/>
  <c r="E1" i="24" s="1"/>
  <c r="E1" i="22" a="1"/>
  <c r="E1" i="22" s="1"/>
  <c r="E1" i="75" a="1"/>
  <c r="E1" i="75" s="1"/>
  <c r="E3" i="49" a="1"/>
  <c r="E3" i="49" s="1"/>
  <c r="E1" i="62" a="1"/>
  <c r="E1" i="62" s="1"/>
  <c r="E3" i="61" a="1"/>
  <c r="E3" i="61" s="1"/>
  <c r="E1" i="60" a="1"/>
  <c r="E1" i="60" s="1"/>
  <c r="E3" i="44" a="1"/>
  <c r="E3" i="44" s="1"/>
  <c r="E1" i="57" a="1"/>
  <c r="E1" i="57" s="1"/>
  <c r="E43" i="57" s="1" a="1"/>
  <c r="E3" i="41" a="1"/>
  <c r="E3" i="41" s="1"/>
  <c r="E1" i="55" a="1"/>
  <c r="E1" i="55" s="1"/>
  <c r="E1" i="53" a="1"/>
  <c r="E1" i="53" s="1"/>
  <c r="E1" i="68" a="1"/>
  <c r="E1" i="68" s="1"/>
  <c r="E3" i="51" a="1"/>
  <c r="E3" i="51" s="1"/>
  <c r="E3" i="31" a="1"/>
  <c r="E3" i="31" s="1"/>
  <c r="E3" i="30" a="1"/>
  <c r="E3" i="30" s="1"/>
  <c r="E3" i="23" a="1"/>
  <c r="E3" i="23" s="1"/>
  <c r="E1" i="27" a="1"/>
  <c r="E1" i="27" s="1"/>
  <c r="E1" i="80" a="1"/>
  <c r="E1" i="80" s="1"/>
  <c r="E5" i="80" a="1"/>
  <c r="Q6" i="9" a="1"/>
  <c r="V6" i="9" a="1"/>
  <c r="DI2" i="69" a="1"/>
  <c r="DI2" i="69" s="1"/>
  <c r="BU2" i="69" a="1"/>
  <c r="BU2" i="69" s="1"/>
  <c r="Y2" i="69" a="1"/>
  <c r="Y2" i="69" s="1"/>
  <c r="EW2" i="69" a="1"/>
  <c r="EW2" i="69" s="1"/>
  <c r="EC2" i="69" a="1"/>
  <c r="EC2" i="69" s="1"/>
  <c r="DA2" i="69" a="1"/>
  <c r="DA2" i="69" s="1"/>
  <c r="EK3" i="69" a="1"/>
  <c r="EK3" i="69" s="1"/>
  <c r="EW3" i="69" a="1"/>
  <c r="EW3" i="69" s="1"/>
  <c r="M2" i="69" a="1"/>
  <c r="M2" i="69" s="1"/>
  <c r="BE2" i="69" a="1"/>
  <c r="BE2" i="69" s="1"/>
  <c r="J3" i="96"/>
  <c r="EP3" i="96" a="1"/>
  <c r="EP3" i="96" s="1"/>
  <c r="EK3" i="96" a="1"/>
  <c r="EK3" i="96" s="1"/>
  <c r="EF3" i="96" a="1"/>
  <c r="EF3" i="96" s="1"/>
  <c r="CI2" i="96"/>
  <c r="CE2" i="96"/>
  <c r="CY2" i="96"/>
  <c r="CU2" i="96"/>
  <c r="CM2" i="96"/>
  <c r="DQ2" i="96"/>
  <c r="DC2" i="96"/>
  <c r="DV2" i="96"/>
  <c r="DL2" i="96"/>
  <c r="CA2" i="96"/>
  <c r="BR2" i="96"/>
  <c r="CQ2" i="96"/>
  <c r="EA2" i="96"/>
  <c r="EK2" i="69" a="1"/>
  <c r="EK2" i="69" s="1"/>
  <c r="BQ2" i="69" a="1"/>
  <c r="BQ2" i="69" s="1"/>
  <c r="BI2" i="69" a="1"/>
  <c r="BI2" i="69" s="1"/>
  <c r="BA2" i="69" a="1"/>
  <c r="BA2" i="69" s="1"/>
  <c r="AS2" i="69" a="1"/>
  <c r="AS2" i="69" s="1"/>
  <c r="AO2" i="69" a="1"/>
  <c r="AO2" i="69" s="1"/>
  <c r="AC2" i="69" a="1"/>
  <c r="AC2" i="69" s="1"/>
  <c r="Q2" i="69" a="1"/>
  <c r="Q2" i="69" s="1"/>
  <c r="E42" i="79" a="1"/>
  <c r="R20" i="85" a="1"/>
  <c r="R20" i="85" s="1"/>
  <c r="N20" i="85" a="1"/>
  <c r="J20" i="85" a="1"/>
  <c r="J20" i="85" s="1"/>
  <c r="AK2" i="69"/>
  <c r="F14" i="18"/>
  <c r="F27" i="18"/>
  <c r="H14" i="18"/>
  <c r="H27" i="18"/>
  <c r="BA14" i="18"/>
  <c r="BA27" i="18"/>
  <c r="G14" i="18"/>
  <c r="G27" i="18"/>
  <c r="E14" i="18"/>
  <c r="E27" i="18"/>
  <c r="I14" i="18"/>
  <c r="I27" i="18"/>
  <c r="AU14" i="18"/>
  <c r="AU27" i="18"/>
  <c r="AT14" i="18"/>
  <c r="AT27" i="18"/>
  <c r="AX14" i="18"/>
  <c r="AX27" i="18"/>
  <c r="AW14" i="18"/>
  <c r="AW27" i="18"/>
  <c r="AV14" i="18"/>
  <c r="AV27" i="18"/>
  <c r="AR14" i="18"/>
  <c r="AR27" i="18"/>
  <c r="X27" i="18"/>
  <c r="W27" i="18"/>
  <c r="V27" i="18"/>
  <c r="U27" i="18"/>
  <c r="T27" i="18"/>
  <c r="S27" i="18"/>
  <c r="X14" i="18"/>
  <c r="W14" i="18"/>
  <c r="V14" i="18"/>
  <c r="U14" i="18"/>
  <c r="T14" i="18"/>
  <c r="S14" i="18"/>
  <c r="R27" i="18"/>
  <c r="R14" i="18"/>
  <c r="Q14" i="18"/>
  <c r="Q27" i="18"/>
  <c r="P14" i="18"/>
  <c r="P27" i="18"/>
  <c r="O14" i="18"/>
  <c r="O27" i="18"/>
  <c r="N14" i="18"/>
  <c r="N27" i="18"/>
  <c r="M14" i="18"/>
  <c r="M27" i="18"/>
  <c r="K27" i="18"/>
  <c r="J14" i="18"/>
  <c r="J27" i="18"/>
  <c r="D27" i="18"/>
  <c r="D14" i="18"/>
  <c r="BD27" i="18"/>
  <c r="BD14" i="18"/>
  <c r="AZ14" i="18"/>
  <c r="AZ27" i="18"/>
  <c r="AY27" i="18"/>
  <c r="AY14" i="18"/>
  <c r="AQ14" i="18"/>
  <c r="AQ27" i="18"/>
  <c r="AP14" i="18"/>
  <c r="AP27" i="18"/>
  <c r="AO14" i="18"/>
  <c r="AO27" i="18"/>
  <c r="AN14" i="18"/>
  <c r="AN27" i="18"/>
  <c r="AM14" i="18"/>
  <c r="AM27" i="18"/>
  <c r="AL14" i="18"/>
  <c r="AL27" i="18"/>
  <c r="AK14" i="18"/>
  <c r="AK27" i="18"/>
  <c r="AJ14" i="18"/>
  <c r="AJ27" i="18"/>
  <c r="AI14" i="18"/>
  <c r="AI27" i="18"/>
  <c r="AH14" i="18"/>
  <c r="AH27" i="18"/>
  <c r="AF14" i="18"/>
  <c r="AF27" i="18"/>
  <c r="AE14" i="18"/>
  <c r="AE27" i="18"/>
  <c r="AD14" i="18"/>
  <c r="AD27" i="18"/>
  <c r="AC14" i="18"/>
  <c r="AC27" i="18"/>
  <c r="AB14" i="18"/>
  <c r="AB27" i="18"/>
  <c r="AA14" i="18"/>
  <c r="AA27" i="18"/>
  <c r="Z14" i="18"/>
  <c r="Z27" i="18"/>
  <c r="Y14" i="18"/>
  <c r="Y27" i="18"/>
  <c r="D3" i="18" a="1"/>
  <c r="D31" i="5" a="1"/>
  <c r="EU3" i="96" l="1" a="1"/>
  <c r="EU3" i="96" s="1"/>
  <c r="EZ3" i="96" a="1"/>
  <c r="EZ3" i="96" s="1"/>
  <c r="A1" i="33" a="1"/>
  <c r="A1" i="33" s="1"/>
  <c r="A1" i="51" a="1"/>
  <c r="A1" i="51" s="1"/>
  <c r="A1" i="30" a="1"/>
  <c r="A1" i="30" s="1"/>
  <c r="A1" i="31" a="1"/>
  <c r="A1" i="31" s="1"/>
  <c r="A1" i="50" a="1"/>
  <c r="A1" i="50" s="1"/>
  <c r="A1" i="52" a="1"/>
  <c r="A1" i="52" s="1"/>
  <c r="A1" i="19" a="1"/>
  <c r="A1" i="19" s="1"/>
  <c r="A1" i="22" a="1"/>
  <c r="A1" i="22" s="1"/>
  <c r="A1" i="13" a="1"/>
  <c r="A1" i="13" s="1"/>
  <c r="A1" i="23" a="1"/>
  <c r="A1" i="23" s="1"/>
  <c r="A1" i="55" a="1"/>
  <c r="A1" i="55" s="1"/>
  <c r="A1" i="59" a="1"/>
  <c r="A1" i="59" s="1"/>
  <c r="A1" i="61" a="1"/>
  <c r="A1" i="61" s="1"/>
  <c r="A1" i="70" a="1"/>
  <c r="A1" i="70" s="1"/>
  <c r="A1" i="72" a="1"/>
  <c r="A1" i="72" s="1"/>
  <c r="A1" i="67" a="1"/>
  <c r="A1" i="67" s="1"/>
  <c r="A1" i="54" a="1"/>
  <c r="A1" i="54" s="1"/>
  <c r="A1" i="56" a="1"/>
  <c r="A1" i="56" s="1"/>
  <c r="A1" i="62" a="1"/>
  <c r="A1" i="62" s="1"/>
  <c r="A1" i="75" a="1"/>
  <c r="A1" i="75" s="1"/>
  <c r="A1" i="53" a="1"/>
  <c r="A1" i="53" s="1"/>
  <c r="A1" i="74" a="1"/>
  <c r="A1" i="74" s="1"/>
  <c r="A1" i="73" a="1"/>
  <c r="A1" i="73" s="1"/>
  <c r="A1" i="65" a="1"/>
  <c r="A1" i="65" s="1"/>
  <c r="A1" i="57" a="1"/>
  <c r="A1" i="57" s="1"/>
  <c r="A1" i="60" a="1"/>
  <c r="A1" i="60" s="1"/>
  <c r="A1" i="63" a="1"/>
  <c r="A1" i="63" s="1"/>
  <c r="A1" i="71" a="1"/>
  <c r="A1" i="71" s="1"/>
  <c r="A1" i="48" a="1"/>
  <c r="A1" i="48" s="1"/>
  <c r="E47" i="38" a="1"/>
  <c r="E43" i="38" a="1"/>
  <c r="E42" i="38" a="1"/>
  <c r="E45" i="38" a="1"/>
  <c r="E47" i="51" a="1"/>
  <c r="E47" i="51" s="1"/>
  <c r="E45" i="51" a="1"/>
  <c r="E45" i="51" s="1"/>
  <c r="E42" i="56" a="1"/>
  <c r="E45" i="56" a="1"/>
  <c r="E43" i="56" a="1"/>
  <c r="E47" i="56" a="1"/>
  <c r="E2" i="33" a="1"/>
  <c r="E2" i="13" a="1"/>
  <c r="E2" i="13" s="1"/>
  <c r="E45" i="66" a="1"/>
  <c r="E43" i="66" a="1"/>
  <c r="E47" i="66" a="1"/>
  <c r="E2" i="63" a="1"/>
  <c r="E47" i="37" a="1"/>
  <c r="E47" i="37" s="1"/>
  <c r="E43" i="37" a="1"/>
  <c r="E43" i="37" s="1"/>
  <c r="E45" i="37" a="1"/>
  <c r="E45" i="37" s="1"/>
  <c r="E43" i="29" a="1"/>
  <c r="E43" i="29" s="1"/>
  <c r="E42" i="29" a="1"/>
  <c r="E42" i="29" s="1"/>
  <c r="E45" i="29" a="1"/>
  <c r="E45" i="29" s="1"/>
  <c r="E45" i="39" a="1"/>
  <c r="E45" i="39" s="1"/>
  <c r="E41" i="39" a="1"/>
  <c r="E47" i="39" a="1"/>
  <c r="E47" i="39" s="1"/>
  <c r="E42" i="39" a="1"/>
  <c r="E42" i="39" s="1"/>
  <c r="E43" i="39" a="1"/>
  <c r="E43" i="39" s="1"/>
  <c r="E2" i="66" a="1"/>
  <c r="E2" i="66" s="1"/>
  <c r="E42" i="66" a="1"/>
  <c r="E42" i="66" s="1"/>
  <c r="E41" i="66" a="1"/>
  <c r="E45" i="19" a="1"/>
  <c r="E45" i="19" s="1"/>
  <c r="E42" i="19" a="1"/>
  <c r="E42" i="19" s="1"/>
  <c r="E47" i="19" a="1"/>
  <c r="E47" i="19" s="1"/>
  <c r="E43" i="19" a="1"/>
  <c r="E43" i="19" s="1"/>
  <c r="E43" i="62" a="1"/>
  <c r="E43" i="62" s="1"/>
  <c r="E47" i="62" a="1"/>
  <c r="E47" i="62" s="1"/>
  <c r="E45" i="62" a="1"/>
  <c r="E45" i="62" s="1"/>
  <c r="E41" i="62" a="1"/>
  <c r="E42" i="62" a="1"/>
  <c r="E42" i="62" s="1"/>
  <c r="E45" i="68" a="1"/>
  <c r="E45" i="68" s="1"/>
  <c r="E42" i="68" a="1"/>
  <c r="E42" i="68" s="1"/>
  <c r="E43" i="68" a="1"/>
  <c r="E43" i="68" s="1"/>
  <c r="E47" i="68" a="1"/>
  <c r="E47" i="68" s="1"/>
  <c r="E2" i="38" a="1"/>
  <c r="E2" i="38" s="1"/>
  <c r="E2" i="49" a="1"/>
  <c r="E2" i="49" s="1"/>
  <c r="E2" i="44" a="1"/>
  <c r="E2" i="44" s="1"/>
  <c r="E41" i="13" a="1"/>
  <c r="E45" i="13" a="1"/>
  <c r="E45" i="13" s="1"/>
  <c r="E47" i="13" a="1"/>
  <c r="E47" i="13" s="1"/>
  <c r="E42" i="13" a="1"/>
  <c r="E42" i="13" s="1"/>
  <c r="E43" i="13" a="1"/>
  <c r="E43" i="13" s="1"/>
  <c r="E43" i="23" a="1"/>
  <c r="E43" i="23" s="1"/>
  <c r="E41" i="23" a="1"/>
  <c r="E42" i="23" a="1"/>
  <c r="E42" i="23" s="1"/>
  <c r="E45" i="23" a="1"/>
  <c r="E45" i="23" s="1"/>
  <c r="E47" i="23" a="1"/>
  <c r="E47" i="23" s="1"/>
  <c r="E2" i="29" a="1"/>
  <c r="E2" i="29" s="1"/>
  <c r="E47" i="29" a="1"/>
  <c r="E47" i="29" s="1"/>
  <c r="E42" i="49" a="1"/>
  <c r="E42" i="49" s="1"/>
  <c r="E45" i="49" a="1"/>
  <c r="E45" i="49" s="1"/>
  <c r="E47" i="49" a="1"/>
  <c r="E47" i="49" s="1"/>
  <c r="E41" i="49" a="1"/>
  <c r="E43" i="49" a="1"/>
  <c r="E43" i="49" s="1"/>
  <c r="E45" i="61" a="1"/>
  <c r="E45" i="61" s="1"/>
  <c r="E47" i="61" a="1"/>
  <c r="E47" i="61" s="1"/>
  <c r="E42" i="61" a="1"/>
  <c r="E42" i="61" s="1"/>
  <c r="E41" i="61" a="1"/>
  <c r="E43" i="61" a="1"/>
  <c r="E43" i="61" s="1"/>
  <c r="E47" i="45" a="1"/>
  <c r="E47" i="45" s="1"/>
  <c r="E41" i="45" a="1"/>
  <c r="E43" i="45" a="1"/>
  <c r="E43" i="45" s="1"/>
  <c r="E42" i="45" a="1"/>
  <c r="E42" i="45" s="1"/>
  <c r="E45" i="45" a="1"/>
  <c r="E45" i="45" s="1"/>
  <c r="E41" i="88" a="1"/>
  <c r="E42" i="88" a="1"/>
  <c r="E42" i="88" s="1"/>
  <c r="E47" i="88" a="1"/>
  <c r="E47" i="88" s="1"/>
  <c r="E45" i="88" a="1"/>
  <c r="E45" i="88" s="1"/>
  <c r="E43" i="88" a="1"/>
  <c r="E43" i="88" s="1"/>
  <c r="E2" i="57" a="1"/>
  <c r="E2" i="57" s="1"/>
  <c r="E45" i="57" a="1"/>
  <c r="E45" i="57" s="1"/>
  <c r="E42" i="57" a="1"/>
  <c r="E42" i="57" s="1"/>
  <c r="E41" i="57" a="1"/>
  <c r="E47" i="57" a="1"/>
  <c r="E47" i="57" s="1"/>
  <c r="E43" i="27" a="1"/>
  <c r="E43" i="27" s="1"/>
  <c r="E45" i="27" a="1"/>
  <c r="E45" i="27" s="1"/>
  <c r="E2" i="23" a="1"/>
  <c r="E2" i="23" s="1"/>
  <c r="E2" i="68" a="1"/>
  <c r="E2" i="68" s="1"/>
  <c r="E2" i="51" a="1"/>
  <c r="E2" i="51" s="1"/>
  <c r="E2" i="61" a="1"/>
  <c r="E2" i="61" s="1"/>
  <c r="E2" i="62" a="1"/>
  <c r="E2" i="62" s="1"/>
  <c r="E2" i="53" a="1"/>
  <c r="E2" i="53" s="1"/>
  <c r="E2" i="72" a="1"/>
  <c r="E2" i="72" s="1"/>
  <c r="E42" i="54" a="1"/>
  <c r="E42" i="54" s="1"/>
  <c r="E45" i="54" a="1"/>
  <c r="E45" i="54" s="1"/>
  <c r="E41" i="54" a="1"/>
  <c r="E43" i="54" a="1"/>
  <c r="E43" i="54" s="1"/>
  <c r="E47" i="54" a="1"/>
  <c r="E47" i="54" s="1"/>
  <c r="E41" i="90" a="1"/>
  <c r="E45" i="90" a="1"/>
  <c r="E45" i="90" s="1"/>
  <c r="E43" i="90" a="1"/>
  <c r="E43" i="90" s="1"/>
  <c r="E42" i="90" a="1"/>
  <c r="E42" i="90" s="1"/>
  <c r="E47" i="90" a="1"/>
  <c r="E47" i="90" s="1"/>
  <c r="E45" i="89" a="1"/>
  <c r="E45" i="89" s="1"/>
  <c r="E47" i="89" a="1"/>
  <c r="E47" i="89" s="1"/>
  <c r="E47" i="72" a="1"/>
  <c r="E47" i="72" s="1"/>
  <c r="E43" i="72" a="1"/>
  <c r="E43" i="72" s="1"/>
  <c r="E42" i="72" a="1"/>
  <c r="E42" i="72" s="1"/>
  <c r="E45" i="72" a="1"/>
  <c r="E45" i="72" s="1"/>
  <c r="E41" i="72" a="1"/>
  <c r="E45" i="71" a="1"/>
  <c r="E45" i="71" s="1"/>
  <c r="E47" i="71" a="1"/>
  <c r="E47" i="71" s="1"/>
  <c r="E42" i="71" a="1"/>
  <c r="E42" i="71" s="1"/>
  <c r="E43" i="71" a="1"/>
  <c r="E43" i="71" s="1"/>
  <c r="E41" i="71" a="1"/>
  <c r="E43" i="67" a="1"/>
  <c r="E43" i="67" s="1"/>
  <c r="E42" i="67" a="1"/>
  <c r="E42" i="67" s="1"/>
  <c r="E45" i="67" a="1"/>
  <c r="E45" i="67" s="1"/>
  <c r="E47" i="67" a="1"/>
  <c r="E47" i="67" s="1"/>
  <c r="E41" i="67" a="1"/>
  <c r="E47" i="53" a="1"/>
  <c r="E47" i="53" s="1"/>
  <c r="E41" i="53" a="1"/>
  <c r="E43" i="53" a="1"/>
  <c r="E43" i="53" s="1"/>
  <c r="E42" i="53" a="1"/>
  <c r="E42" i="53" s="1"/>
  <c r="E45" i="53" a="1"/>
  <c r="E45" i="53" s="1"/>
  <c r="E42" i="27" a="1"/>
  <c r="E42" i="27" s="1"/>
  <c r="E41" i="27" a="1"/>
  <c r="E47" i="27" a="1"/>
  <c r="E47" i="27" s="1"/>
  <c r="E2" i="37" a="1"/>
  <c r="E2" i="37" s="1"/>
  <c r="E2" i="54" a="1"/>
  <c r="E2" i="54" s="1"/>
  <c r="E2" i="52" a="1"/>
  <c r="E2" i="52" s="1"/>
  <c r="E2" i="27" a="1"/>
  <c r="E2" i="27" s="1"/>
  <c r="E2" i="90" a="1"/>
  <c r="E2" i="90" s="1"/>
  <c r="E2" i="89" a="1"/>
  <c r="E2" i="89" s="1"/>
  <c r="E2" i="48" a="1"/>
  <c r="E2" i="48" s="1"/>
  <c r="E2" i="74" a="1"/>
  <c r="E2" i="74" s="1"/>
  <c r="E2" i="71" a="1"/>
  <c r="E2" i="71" s="1"/>
  <c r="E2" i="70" a="1"/>
  <c r="E2" i="70" s="1"/>
  <c r="E44" i="70" s="1" a="1"/>
  <c r="E2" i="45" a="1"/>
  <c r="E2" i="45" s="1"/>
  <c r="E2" i="35" a="1"/>
  <c r="E2" i="35" s="1"/>
  <c r="E43" i="52" a="1"/>
  <c r="E43" i="52" s="1"/>
  <c r="E41" i="52" a="1"/>
  <c r="E42" i="52" a="1"/>
  <c r="E42" i="52" s="1"/>
  <c r="E47" i="52" a="1"/>
  <c r="E47" i="52" s="1"/>
  <c r="E5" i="77" a="1"/>
  <c r="E5" i="77" s="1"/>
  <c r="E42" i="37" a="1"/>
  <c r="E42" i="37" s="1"/>
  <c r="E42" i="73" a="1"/>
  <c r="E42" i="73" s="1"/>
  <c r="E47" i="73" a="1"/>
  <c r="E47" i="73" s="1"/>
  <c r="E43" i="73" a="1"/>
  <c r="E43" i="73" s="1"/>
  <c r="E45" i="73" a="1"/>
  <c r="E45" i="73" s="1"/>
  <c r="E2" i="73" a="1"/>
  <c r="E2" i="73" s="1"/>
  <c r="E42" i="89" a="1"/>
  <c r="E42" i="89" s="1"/>
  <c r="E43" i="89" a="1"/>
  <c r="E43" i="89" s="1"/>
  <c r="E41" i="89" a="1"/>
  <c r="E47" i="44" a="1"/>
  <c r="E47" i="44" s="1"/>
  <c r="E45" i="44" a="1"/>
  <c r="E45" i="44" s="1"/>
  <c r="E42" i="44" a="1"/>
  <c r="E42" i="44" s="1"/>
  <c r="E43" i="44" a="1"/>
  <c r="E43" i="44" s="1"/>
  <c r="E41" i="44" a="1"/>
  <c r="E2" i="31" a="1"/>
  <c r="E2" i="31" s="1"/>
  <c r="E43" i="31" a="1"/>
  <c r="E43" i="31" s="1"/>
  <c r="E47" i="31" a="1"/>
  <c r="E47" i="31" s="1"/>
  <c r="E42" i="31" a="1"/>
  <c r="E42" i="31" s="1"/>
  <c r="E45" i="31" a="1"/>
  <c r="E45" i="31" s="1"/>
  <c r="E2" i="65" a="1"/>
  <c r="E2" i="65" s="1"/>
  <c r="E43" i="65" a="1"/>
  <c r="E43" i="65" s="1"/>
  <c r="E41" i="65" a="1"/>
  <c r="E42" i="65" a="1"/>
  <c r="E42" i="65" s="1"/>
  <c r="E45" i="65" a="1"/>
  <c r="E45" i="65" s="1"/>
  <c r="E47" i="65" a="1"/>
  <c r="E47" i="65" s="1"/>
  <c r="E47" i="35" a="1"/>
  <c r="E47" i="35" s="1"/>
  <c r="E43" i="35" a="1"/>
  <c r="E43" i="35" s="1"/>
  <c r="E41" i="35" a="1"/>
  <c r="E42" i="35" a="1"/>
  <c r="E42" i="35" s="1"/>
  <c r="E45" i="35" a="1"/>
  <c r="E45" i="35" s="1"/>
  <c r="E42" i="25" a="1"/>
  <c r="E42" i="25" s="1"/>
  <c r="E47" i="25" a="1"/>
  <c r="E47" i="25" s="1"/>
  <c r="E43" i="25" a="1"/>
  <c r="E43" i="25" s="1"/>
  <c r="E45" i="25" a="1"/>
  <c r="E45" i="25" s="1"/>
  <c r="E41" i="25" a="1"/>
  <c r="E2" i="30" a="1"/>
  <c r="E2" i="30" s="1"/>
  <c r="E41" i="30" a="1"/>
  <c r="E47" i="30" a="1"/>
  <c r="E47" i="30" s="1"/>
  <c r="E42" i="30" a="1"/>
  <c r="E42" i="30" s="1"/>
  <c r="E43" i="30" a="1"/>
  <c r="E43" i="30" s="1"/>
  <c r="E45" i="30" a="1"/>
  <c r="E45" i="30" s="1"/>
  <c r="E2" i="24" a="1"/>
  <c r="E2" i="24" s="1"/>
  <c r="E47" i="24" a="1"/>
  <c r="E47" i="24" s="1"/>
  <c r="E41" i="24" a="1"/>
  <c r="E42" i="24" a="1"/>
  <c r="E42" i="24" s="1"/>
  <c r="E43" i="24" a="1"/>
  <c r="E43" i="24" s="1"/>
  <c r="E45" i="24" a="1"/>
  <c r="E45" i="24" s="1"/>
  <c r="E45" i="55" a="1"/>
  <c r="E45" i="55" s="1"/>
  <c r="E41" i="55" a="1"/>
  <c r="E43" i="55" a="1"/>
  <c r="E43" i="55" s="1"/>
  <c r="E47" i="55" a="1"/>
  <c r="E47" i="55" s="1"/>
  <c r="E42" i="55" a="1"/>
  <c r="E42" i="55" s="1"/>
  <c r="E2" i="55" a="1"/>
  <c r="E2" i="55" s="1"/>
  <c r="E2" i="22" a="1"/>
  <c r="E2" i="22" s="1"/>
  <c r="E2" i="25" a="1"/>
  <c r="E2" i="25" s="1"/>
  <c r="E2" i="19" a="1"/>
  <c r="E2" i="19" s="1"/>
  <c r="E2" i="88" a="1"/>
  <c r="E2" i="88" s="1"/>
  <c r="E2" i="60" a="1"/>
  <c r="E2" i="60" s="1"/>
  <c r="E2" i="41" a="1"/>
  <c r="E2" i="41" s="1"/>
  <c r="E2" i="67" a="1"/>
  <c r="E2" i="67" s="1"/>
  <c r="E43" i="51" a="1"/>
  <c r="E43" i="51" s="1"/>
  <c r="E42" i="51" a="1"/>
  <c r="E42" i="51" s="1"/>
  <c r="E41" i="51" a="1"/>
  <c r="E47" i="50" a="1"/>
  <c r="E47" i="50" s="1"/>
  <c r="E42" i="50" a="1"/>
  <c r="E42" i="50" s="1"/>
  <c r="E43" i="50" a="1"/>
  <c r="E43" i="50" s="1"/>
  <c r="E45" i="50" a="1"/>
  <c r="E45" i="50" s="1"/>
  <c r="E41" i="50" a="1"/>
  <c r="E43" i="32" a="1"/>
  <c r="E43" i="32" s="1"/>
  <c r="E47" i="32" a="1"/>
  <c r="E47" i="32" s="1"/>
  <c r="E42" i="32" a="1"/>
  <c r="E42" i="32" s="1"/>
  <c r="E41" i="32" a="1"/>
  <c r="E45" i="32" a="1"/>
  <c r="E45" i="32" s="1"/>
  <c r="E5" i="79" a="1"/>
  <c r="E5" i="79" s="1"/>
  <c r="E45" i="33" a="1"/>
  <c r="E45" i="33" s="1"/>
  <c r="E43" i="33" a="1"/>
  <c r="E43" i="33" s="1"/>
  <c r="E47" i="33" a="1"/>
  <c r="E47" i="33" s="1"/>
  <c r="E42" i="33" a="1"/>
  <c r="E42" i="33" s="1"/>
  <c r="E47" i="48" a="1"/>
  <c r="E47" i="48" s="1"/>
  <c r="E41" i="48" a="1"/>
  <c r="E45" i="48" a="1"/>
  <c r="E45" i="48" s="1"/>
  <c r="E43" i="48" a="1"/>
  <c r="E43" i="48" s="1"/>
  <c r="E42" i="48" a="1"/>
  <c r="E42" i="48" s="1"/>
  <c r="E42" i="74" a="1"/>
  <c r="E42" i="74" s="1"/>
  <c r="E43" i="74" a="1"/>
  <c r="E43" i="74" s="1"/>
  <c r="E41" i="74" a="1"/>
  <c r="E45" i="74" a="1"/>
  <c r="E45" i="74" s="1"/>
  <c r="E42" i="70" a="1"/>
  <c r="E42" i="70" s="1"/>
  <c r="E47" i="70" a="1"/>
  <c r="E47" i="70" s="1"/>
  <c r="E41" i="70" a="1"/>
  <c r="E45" i="70" a="1"/>
  <c r="E45" i="70" s="1"/>
  <c r="E43" i="70" a="1"/>
  <c r="E43" i="70" s="1"/>
  <c r="E5" i="81" a="1"/>
  <c r="E5" i="81" s="1"/>
  <c r="E2" i="91" a="1"/>
  <c r="E2" i="91" s="1"/>
  <c r="E42" i="91" a="1"/>
  <c r="E42" i="91" s="1"/>
  <c r="E45" i="91" a="1"/>
  <c r="E45" i="91" s="1"/>
  <c r="E47" i="91" a="1"/>
  <c r="E47" i="91" s="1"/>
  <c r="E43" i="91" a="1"/>
  <c r="E43" i="91" s="1"/>
  <c r="E41" i="63" a="1"/>
  <c r="E43" i="63" a="1"/>
  <c r="E43" i="63" s="1"/>
  <c r="E45" i="63" a="1"/>
  <c r="E45" i="63" s="1"/>
  <c r="E42" i="63" a="1"/>
  <c r="E42" i="63" s="1"/>
  <c r="E47" i="63" a="1"/>
  <c r="E47" i="63" s="1"/>
  <c r="E47" i="59" a="1"/>
  <c r="E47" i="59" s="1"/>
  <c r="E45" i="59" a="1"/>
  <c r="E45" i="59" s="1"/>
  <c r="E42" i="59" a="1"/>
  <c r="E42" i="59" s="1"/>
  <c r="E41" i="59" a="1"/>
  <c r="E2" i="59" a="1"/>
  <c r="E2" i="59" s="1"/>
  <c r="E43" i="59" a="1"/>
  <c r="E43" i="59" s="1"/>
  <c r="E45" i="41" a="1"/>
  <c r="E45" i="41" s="1"/>
  <c r="E42" i="41" a="1"/>
  <c r="E42" i="41" s="1"/>
  <c r="E47" i="41" a="1"/>
  <c r="E47" i="41" s="1"/>
  <c r="E43" i="41" a="1"/>
  <c r="E43" i="41" s="1"/>
  <c r="E42" i="22" a="1"/>
  <c r="E42" i="22" s="1"/>
  <c r="E45" i="22" a="1"/>
  <c r="E45" i="22" s="1"/>
  <c r="E43" i="22" a="1"/>
  <c r="E43" i="22" s="1"/>
  <c r="E47" i="22" a="1"/>
  <c r="E47" i="22" s="1"/>
  <c r="E45" i="75" a="1"/>
  <c r="E45" i="75" s="1"/>
  <c r="E47" i="75" a="1"/>
  <c r="E47" i="75" s="1"/>
  <c r="E2" i="75" a="1"/>
  <c r="E2" i="75" s="1"/>
  <c r="E42" i="75" a="1"/>
  <c r="E42" i="75" s="1"/>
  <c r="E43" i="75" a="1"/>
  <c r="E43" i="75" s="1"/>
  <c r="E45" i="60" a="1"/>
  <c r="E45" i="60" s="1"/>
  <c r="E42" i="60" a="1"/>
  <c r="E42" i="60" s="1"/>
  <c r="E43" i="60" a="1"/>
  <c r="E43" i="60" s="1"/>
  <c r="E47" i="60" a="1"/>
  <c r="E47" i="60" s="1"/>
  <c r="E55" i="13" a="1"/>
  <c r="E55" i="88" a="1"/>
  <c r="E55" i="23" a="1"/>
  <c r="E55" i="29" a="1"/>
  <c r="E55" i="24" a="1"/>
  <c r="E55" i="19" a="1"/>
  <c r="E55" i="30" a="1"/>
  <c r="E55" i="27" a="1"/>
  <c r="E55" i="22" a="1"/>
  <c r="E55" i="22" s="1"/>
  <c r="D55" i="22" s="1"/>
  <c r="E55" i="81" a="1"/>
  <c r="E55" i="81" s="1"/>
  <c r="D55" i="81" s="1"/>
  <c r="E55" i="80" a="1"/>
  <c r="E55" i="80" s="1"/>
  <c r="D55" i="80" s="1"/>
  <c r="E55" i="79" a="1"/>
  <c r="E55" i="79" s="1"/>
  <c r="D55" i="79" s="1"/>
  <c r="E55" i="77" a="1"/>
  <c r="E55" i="77" s="1"/>
  <c r="D55" i="77" s="1"/>
  <c r="E55" i="57" a="1"/>
  <c r="E55" i="63" a="1"/>
  <c r="E55" i="74" a="1"/>
  <c r="E48" i="35" a="1"/>
  <c r="E48" i="35" s="1"/>
  <c r="E48" i="88" a="1"/>
  <c r="E48" i="88" s="1"/>
  <c r="E48" i="50" a="1"/>
  <c r="E48" i="50" s="1"/>
  <c r="E48" i="67" a="1"/>
  <c r="E48" i="67" s="1"/>
  <c r="E48" i="61" a="1"/>
  <c r="E48" i="61" s="1"/>
  <c r="E48" i="71" a="1"/>
  <c r="E48" i="71" s="1"/>
  <c r="E55" i="33" a="1"/>
  <c r="E55" i="25" a="1"/>
  <c r="E55" i="35" a="1"/>
  <c r="E55" i="52" a="1"/>
  <c r="E55" i="65" a="1"/>
  <c r="E55" i="67" a="1"/>
  <c r="E55" i="38" a="1"/>
  <c r="E55" i="41" a="1"/>
  <c r="E55" i="45" a="1"/>
  <c r="E55" i="91" a="1"/>
  <c r="E55" i="89" a="1"/>
  <c r="E48" i="55" a="1"/>
  <c r="E48" i="55" s="1"/>
  <c r="E48" i="23" a="1"/>
  <c r="E48" i="23" s="1"/>
  <c r="E48" i="32" a="1"/>
  <c r="E48" i="32" s="1"/>
  <c r="E48" i="37" a="1"/>
  <c r="E48" i="37" s="1"/>
  <c r="E48" i="41" a="1"/>
  <c r="E48" i="41" s="1"/>
  <c r="E48" i="62" a="1"/>
  <c r="E48" i="62" s="1"/>
  <c r="E48" i="72" a="1"/>
  <c r="E48" i="72" s="1"/>
  <c r="E48" i="89" a="1"/>
  <c r="E48" i="89" s="1"/>
  <c r="E48" i="22" a="1"/>
  <c r="E48" i="22" s="1"/>
  <c r="E55" i="56" a="1"/>
  <c r="E55" i="61" a="1"/>
  <c r="E55" i="71" a="1"/>
  <c r="E55" i="90" a="1"/>
  <c r="E48" i="73" a="1"/>
  <c r="E48" i="73" s="1"/>
  <c r="E48" i="29" a="1"/>
  <c r="E48" i="29" s="1"/>
  <c r="E48" i="33" a="1"/>
  <c r="E48" i="33" s="1"/>
  <c r="E48" i="65" a="1"/>
  <c r="E48" i="65" s="1"/>
  <c r="E48" i="68" a="1"/>
  <c r="E48" i="68" s="1"/>
  <c r="E48" i="39" a="1"/>
  <c r="E48" i="39" s="1"/>
  <c r="E48" i="59" a="1"/>
  <c r="E48" i="59" s="1"/>
  <c r="E48" i="70" a="1"/>
  <c r="E48" i="70" s="1"/>
  <c r="E48" i="75" a="1"/>
  <c r="E48" i="75" s="1"/>
  <c r="E55" i="68" a="1"/>
  <c r="E55" i="54" a="1"/>
  <c r="E55" i="59" a="1"/>
  <c r="E55" i="49" a="1"/>
  <c r="E55" i="48" a="1"/>
  <c r="E48" i="19" a="1"/>
  <c r="E48" i="19" s="1"/>
  <c r="E48" i="31" a="1"/>
  <c r="E48" i="31" s="1"/>
  <c r="E48" i="51" a="1"/>
  <c r="E48" i="51" s="1"/>
  <c r="E48" i="66" a="1"/>
  <c r="E48" i="66" s="1"/>
  <c r="E48" i="53" a="1"/>
  <c r="E48" i="53" s="1"/>
  <c r="E48" i="56" a="1"/>
  <c r="E48" i="56" s="1"/>
  <c r="E48" i="60" a="1"/>
  <c r="E48" i="60" s="1"/>
  <c r="E48" i="63" a="1"/>
  <c r="E48" i="63" s="1"/>
  <c r="E48" i="74" a="1"/>
  <c r="E48" i="74" s="1"/>
  <c r="E48" i="90" a="1"/>
  <c r="E48" i="90" s="1"/>
  <c r="E55" i="39" a="1"/>
  <c r="E55" i="60" a="1"/>
  <c r="E55" i="62" a="1"/>
  <c r="E55" i="72" a="1"/>
  <c r="E48" i="30" a="1"/>
  <c r="E48" i="30" s="1"/>
  <c r="E48" i="52" a="1"/>
  <c r="E48" i="52" s="1"/>
  <c r="E48" i="54" a="1"/>
  <c r="E48" i="54" s="1"/>
  <c r="E48" i="44" a="1"/>
  <c r="E48" i="44" s="1"/>
  <c r="E48" i="49" a="1"/>
  <c r="E48" i="49" s="1"/>
  <c r="E48" i="48" a="1"/>
  <c r="E48" i="48" s="1"/>
  <c r="E48" i="27" a="1"/>
  <c r="E48" i="27" s="1"/>
  <c r="E55" i="73" a="1"/>
  <c r="E55" i="32" a="1"/>
  <c r="E55" i="31" a="1"/>
  <c r="E55" i="50" a="1"/>
  <c r="E55" i="51" a="1"/>
  <c r="E55" i="37" a="1"/>
  <c r="E55" i="66" a="1"/>
  <c r="E55" i="53" a="1"/>
  <c r="E55" i="55" a="1"/>
  <c r="E55" i="44" a="1"/>
  <c r="E55" i="70" a="1"/>
  <c r="E55" i="75" a="1"/>
  <c r="E48" i="13" a="1"/>
  <c r="E48" i="13" s="1"/>
  <c r="E48" i="24" a="1"/>
  <c r="E48" i="24" s="1"/>
  <c r="E48" i="25" a="1"/>
  <c r="E48" i="25" s="1"/>
  <c r="E48" i="38" a="1"/>
  <c r="E48" i="38" s="1"/>
  <c r="E48" i="57" a="1"/>
  <c r="E48" i="57" s="1"/>
  <c r="E48" i="45" a="1"/>
  <c r="E48" i="45" s="1"/>
  <c r="E48" i="91" a="1"/>
  <c r="E48" i="91" s="1"/>
  <c r="E47" i="74"/>
  <c r="E45" i="52"/>
  <c r="E43" i="57"/>
  <c r="E42" i="56"/>
  <c r="E45" i="56"/>
  <c r="E43" i="56"/>
  <c r="E47" i="56"/>
  <c r="E47" i="38"/>
  <c r="E43" i="38"/>
  <c r="E42" i="38"/>
  <c r="E45" i="38"/>
  <c r="E45" i="66"/>
  <c r="E43" i="66"/>
  <c r="E47" i="66"/>
  <c r="E41" i="56" a="1"/>
  <c r="E41" i="38" a="1"/>
  <c r="E5" i="80"/>
  <c r="E2" i="56"/>
  <c r="E2" i="39"/>
  <c r="E2" i="50"/>
  <c r="E2" i="32"/>
  <c r="E2" i="33"/>
  <c r="E2" i="63"/>
  <c r="E42" i="79"/>
  <c r="Q6" i="9"/>
  <c r="V6" i="9"/>
  <c r="D4" i="96" a="1"/>
  <c r="C58" i="100"/>
  <c r="C58" i="99"/>
  <c r="L40" i="5"/>
  <c r="BC40" i="5"/>
  <c r="BB40" i="5"/>
  <c r="N20" i="85"/>
  <c r="BD40" i="5"/>
  <c r="AZ40" i="5"/>
  <c r="AX40" i="5"/>
  <c r="AW40" i="5"/>
  <c r="AU40" i="5"/>
  <c r="AR40" i="5"/>
  <c r="AP40" i="5"/>
  <c r="AN40" i="5"/>
  <c r="AL40" i="5"/>
  <c r="AJ40" i="5"/>
  <c r="AG40" i="5"/>
  <c r="AF40" i="5"/>
  <c r="AD40" i="5"/>
  <c r="AB40" i="5"/>
  <c r="Z40" i="5"/>
  <c r="X40" i="5"/>
  <c r="V40" i="5"/>
  <c r="S40" i="5"/>
  <c r="R40" i="5"/>
  <c r="O40" i="5"/>
  <c r="M40" i="5"/>
  <c r="J40" i="5"/>
  <c r="H40" i="5"/>
  <c r="F40" i="5"/>
  <c r="BA40" i="5"/>
  <c r="AY40" i="5"/>
  <c r="AV40" i="5"/>
  <c r="AT40" i="5"/>
  <c r="AQ40" i="5"/>
  <c r="AO40" i="5"/>
  <c r="AM40" i="5"/>
  <c r="AK40" i="5"/>
  <c r="AI40" i="5"/>
  <c r="AH40" i="5"/>
  <c r="AE40" i="5"/>
  <c r="AC40" i="5"/>
  <c r="AA40" i="5"/>
  <c r="Y40" i="5"/>
  <c r="W40" i="5"/>
  <c r="U40" i="5"/>
  <c r="T40" i="5"/>
  <c r="Q40" i="5"/>
  <c r="P40" i="5"/>
  <c r="N40" i="5"/>
  <c r="K40" i="5"/>
  <c r="I40" i="5"/>
  <c r="G40" i="5"/>
  <c r="E40" i="5"/>
  <c r="E49" i="77" a="1"/>
  <c r="E49" i="81" a="1"/>
  <c r="E48" i="81" a="1"/>
  <c r="E47" i="81" a="1"/>
  <c r="E46" i="81" a="1"/>
  <c r="E45" i="81" a="1"/>
  <c r="E44" i="81" a="1"/>
  <c r="E43" i="81" a="1"/>
  <c r="E42" i="81" a="1"/>
  <c r="E49" i="80" a="1"/>
  <c r="E48" i="80" a="1"/>
  <c r="E47" i="80" a="1"/>
  <c r="E46" i="80" a="1"/>
  <c r="E45" i="80" a="1"/>
  <c r="E44" i="80" a="1"/>
  <c r="E43" i="80" a="1"/>
  <c r="E42" i="80" a="1"/>
  <c r="E49" i="79" a="1"/>
  <c r="E48" i="79" a="1"/>
  <c r="E47" i="79" a="1"/>
  <c r="E46" i="79" a="1"/>
  <c r="E45" i="79" a="1"/>
  <c r="E44" i="79" a="1"/>
  <c r="E43" i="79" a="1"/>
  <c r="E44" i="77" a="1"/>
  <c r="D4" i="69" a="1"/>
  <c r="E45" i="77" a="1"/>
  <c r="E47" i="77" a="1"/>
  <c r="E42" i="77" a="1"/>
  <c r="E43" i="77" a="1"/>
  <c r="E46" i="77" a="1"/>
  <c r="E48" i="77" a="1"/>
  <c r="C58" i="78"/>
  <c r="D3" i="18"/>
  <c r="D31" i="5"/>
  <c r="D40" i="5" s="1"/>
  <c r="E36" i="17" a="1"/>
  <c r="E35" i="77" l="1" a="1"/>
  <c r="E35" i="77" s="1"/>
  <c r="E6" i="29" a="1"/>
  <c r="E44" i="29" a="1"/>
  <c r="E44" i="29" s="1"/>
  <c r="E40" i="29" a="1"/>
  <c r="E40" i="29" s="1"/>
  <c r="E21" i="29" a="1"/>
  <c r="E46" i="29" a="1"/>
  <c r="E46" i="29" s="1"/>
  <c r="E35" i="29" a="1"/>
  <c r="E35" i="29" s="1"/>
  <c r="E22" i="39" a="1"/>
  <c r="E22" i="39" s="1"/>
  <c r="D22" i="39" s="1"/>
  <c r="E22" i="49" a="1"/>
  <c r="E22" i="49" s="1"/>
  <c r="D22" i="49" s="1"/>
  <c r="E22" i="67" a="1"/>
  <c r="E22" i="67" s="1"/>
  <c r="D22" i="67" s="1"/>
  <c r="E22" i="57" a="1"/>
  <c r="E22" i="57" s="1"/>
  <c r="D22" i="57" s="1"/>
  <c r="E22" i="38" a="1"/>
  <c r="E22" i="38" s="1"/>
  <c r="D22" i="38" s="1"/>
  <c r="E22" i="52" a="1"/>
  <c r="E22" i="52" s="1"/>
  <c r="D22" i="52" s="1"/>
  <c r="E6" i="52" a="1"/>
  <c r="E44" i="52" a="1"/>
  <c r="E44" i="52" s="1"/>
  <c r="E40" i="52" a="1"/>
  <c r="E40" i="52" s="1"/>
  <c r="E21" i="52" a="1"/>
  <c r="E46" i="52" a="1"/>
  <c r="E46" i="52" s="1"/>
  <c r="E35" i="52" a="1"/>
  <c r="E35" i="52" s="1"/>
  <c r="E22" i="23" a="1"/>
  <c r="E22" i="23" s="1"/>
  <c r="D22" i="23" s="1"/>
  <c r="E22" i="54" a="1"/>
  <c r="E22" i="54" s="1"/>
  <c r="D22" i="54" s="1"/>
  <c r="E22" i="90" a="1"/>
  <c r="E22" i="90" s="1"/>
  <c r="D22" i="90" s="1"/>
  <c r="E22" i="88" a="1"/>
  <c r="E22" i="88" s="1"/>
  <c r="D22" i="88" s="1"/>
  <c r="E22" i="72" a="1"/>
  <c r="E22" i="72" s="1"/>
  <c r="D22" i="72" s="1"/>
  <c r="E22" i="71" a="1"/>
  <c r="E22" i="71" s="1"/>
  <c r="D22" i="71" s="1"/>
  <c r="E22" i="70" a="1"/>
  <c r="E22" i="70" s="1"/>
  <c r="D22" i="70" s="1"/>
  <c r="E22" i="61" a="1"/>
  <c r="E22" i="61" s="1"/>
  <c r="D22" i="61" s="1"/>
  <c r="E22" i="45" a="1"/>
  <c r="E22" i="45" s="1"/>
  <c r="D22" i="45" s="1"/>
  <c r="E22" i="44" a="1"/>
  <c r="E22" i="44" s="1"/>
  <c r="D22" i="44" s="1"/>
  <c r="E22" i="66" a="1"/>
  <c r="E22" i="66" s="1"/>
  <c r="D22" i="66" s="1"/>
  <c r="E22" i="65" a="1"/>
  <c r="E22" i="65" s="1"/>
  <c r="D22" i="65" s="1"/>
  <c r="E22" i="25" a="1"/>
  <c r="E22" i="25" s="1"/>
  <c r="D22" i="25" s="1"/>
  <c r="E22" i="30" a="1"/>
  <c r="E22" i="30" s="1"/>
  <c r="D22" i="30" s="1"/>
  <c r="E22" i="75" a="1"/>
  <c r="E22" i="75" s="1"/>
  <c r="D22" i="75" s="1"/>
  <c r="E22" i="62" a="1"/>
  <c r="E22" i="62" s="1"/>
  <c r="D22" i="62" s="1"/>
  <c r="E22" i="55" a="1"/>
  <c r="E22" i="55" s="1"/>
  <c r="D22" i="55" s="1"/>
  <c r="E22" i="27" a="1"/>
  <c r="E22" i="27" s="1"/>
  <c r="D22" i="27" s="1"/>
  <c r="E22" i="89" a="1"/>
  <c r="E22" i="89" s="1"/>
  <c r="D22" i="89" s="1"/>
  <c r="E22" i="24" a="1"/>
  <c r="E22" i="24" s="1"/>
  <c r="D22" i="24" s="1"/>
  <c r="E22" i="13" a="1"/>
  <c r="E22" i="13" s="1"/>
  <c r="D22" i="13" s="1"/>
  <c r="E22" i="56" a="1"/>
  <c r="E22" i="56" s="1"/>
  <c r="D22" i="56" s="1"/>
  <c r="E21" i="45" a="1"/>
  <c r="E21" i="45" s="1"/>
  <c r="E6" i="45" a="1"/>
  <c r="E6" i="45" s="1"/>
  <c r="E44" i="45" a="1"/>
  <c r="E44" i="45" s="1"/>
  <c r="E40" i="45" a="1"/>
  <c r="E40" i="45" s="1"/>
  <c r="E46" i="45" a="1"/>
  <c r="E46" i="45" s="1"/>
  <c r="E35" i="45" a="1"/>
  <c r="E35" i="45" s="1"/>
  <c r="E35" i="13" a="1"/>
  <c r="E35" i="13" s="1"/>
  <c r="E6" i="13" a="1"/>
  <c r="E35" i="79" a="1"/>
  <c r="E35" i="79" s="1"/>
  <c r="E35" i="81" a="1"/>
  <c r="E35" i="81" s="1"/>
  <c r="E35" i="80" a="1"/>
  <c r="E35" i="80" s="1"/>
  <c r="E35" i="25" a="1"/>
  <c r="E35" i="25" s="1"/>
  <c r="E40" i="25" a="1"/>
  <c r="E40" i="25" s="1"/>
  <c r="E6" i="25" a="1"/>
  <c r="E44" i="25" a="1"/>
  <c r="E44" i="25" s="1"/>
  <c r="E21" i="25" a="1"/>
  <c r="E46" i="25" a="1"/>
  <c r="E46" i="25" s="1"/>
  <c r="E35" i="19" a="1"/>
  <c r="E35" i="19" s="1"/>
  <c r="E44" i="19" a="1"/>
  <c r="E44" i="19" s="1"/>
  <c r="E35" i="88" a="1"/>
  <c r="E35" i="88" s="1"/>
  <c r="E44" i="88" a="1"/>
  <c r="E44" i="88" s="1"/>
  <c r="E35" i="60" a="1"/>
  <c r="E35" i="60" s="1"/>
  <c r="E44" i="60" a="1"/>
  <c r="E44" i="60" s="1"/>
  <c r="E40" i="60" a="1"/>
  <c r="E40" i="60" s="1"/>
  <c r="E6" i="60" a="1"/>
  <c r="E6" i="60" s="1"/>
  <c r="E21" i="60" a="1"/>
  <c r="E21" i="60" s="1"/>
  <c r="E46" i="60" a="1"/>
  <c r="E46" i="60" s="1"/>
  <c r="E35" i="41" a="1"/>
  <c r="E35" i="41" s="1"/>
  <c r="E6" i="41" a="1"/>
  <c r="E6" i="41" s="1"/>
  <c r="E44" i="41" a="1"/>
  <c r="E44" i="41" s="1"/>
  <c r="E40" i="41" a="1"/>
  <c r="E40" i="41" s="1"/>
  <c r="E21" i="41" a="1"/>
  <c r="E21" i="41" s="1"/>
  <c r="E46" i="41" a="1"/>
  <c r="E46" i="41" s="1"/>
  <c r="E35" i="67" a="1"/>
  <c r="E35" i="67" s="1"/>
  <c r="E40" i="67" a="1"/>
  <c r="E40" i="67" s="1"/>
  <c r="E21" i="67" a="1"/>
  <c r="E21" i="67" s="1"/>
  <c r="E44" i="67" a="1"/>
  <c r="E44" i="67" s="1"/>
  <c r="E6" i="67" a="1"/>
  <c r="E6" i="67" s="1"/>
  <c r="E46" i="67" a="1"/>
  <c r="E46" i="67" s="1"/>
  <c r="E41" i="33" a="1"/>
  <c r="E41" i="33" s="1"/>
  <c r="E22" i="33" a="1"/>
  <c r="E22" i="33" s="1"/>
  <c r="D22" i="33" s="1"/>
  <c r="E21" i="70" a="1"/>
  <c r="E21" i="70" s="1"/>
  <c r="E40" i="70" a="1"/>
  <c r="E40" i="70" s="1"/>
  <c r="E6" i="70" a="1"/>
  <c r="E6" i="70" s="1"/>
  <c r="E46" i="70" a="1"/>
  <c r="E46" i="70" s="1"/>
  <c r="E35" i="70" a="1"/>
  <c r="E35" i="70" s="1"/>
  <c r="E22" i="51" a="1"/>
  <c r="E22" i="51" s="1"/>
  <c r="D22" i="51" s="1"/>
  <c r="E22" i="50" a="1"/>
  <c r="E22" i="50" s="1"/>
  <c r="D22" i="50" s="1"/>
  <c r="E22" i="48" a="1"/>
  <c r="E22" i="48" s="1"/>
  <c r="D22" i="48" s="1"/>
  <c r="E22" i="74" a="1"/>
  <c r="E22" i="74" s="1"/>
  <c r="D22" i="74" s="1"/>
  <c r="E22" i="63" a="1"/>
  <c r="E22" i="63" s="1"/>
  <c r="D22" i="63" s="1"/>
  <c r="E22" i="59" a="1"/>
  <c r="E22" i="59" s="1"/>
  <c r="D22" i="59" s="1"/>
  <c r="E22" i="32" a="1"/>
  <c r="E22" i="32" s="1"/>
  <c r="D22" i="32" s="1"/>
  <c r="E22" i="53" a="1"/>
  <c r="E22" i="53" s="1"/>
  <c r="D22" i="53" s="1"/>
  <c r="E22" i="73" a="1"/>
  <c r="E22" i="73" s="1"/>
  <c r="D22" i="73" s="1"/>
  <c r="E41" i="73" a="1"/>
  <c r="E41" i="73" s="1"/>
  <c r="E22" i="91" a="1"/>
  <c r="E22" i="91" s="1"/>
  <c r="D22" i="91" s="1"/>
  <c r="E22" i="60" a="1"/>
  <c r="E22" i="60" s="1"/>
  <c r="D22" i="60" s="1"/>
  <c r="E22" i="41" a="1"/>
  <c r="E22" i="41" s="1"/>
  <c r="D22" i="41" s="1"/>
  <c r="E22" i="68" a="1"/>
  <c r="E22" i="68" s="1"/>
  <c r="D22" i="68" s="1"/>
  <c r="E22" i="37" a="1"/>
  <c r="E22" i="37" s="1"/>
  <c r="D22" i="37" s="1"/>
  <c r="E22" i="35" a="1"/>
  <c r="E22" i="35" s="1"/>
  <c r="D22" i="35" s="1"/>
  <c r="E22" i="31" a="1"/>
  <c r="E22" i="31" s="1"/>
  <c r="D22" i="31" s="1"/>
  <c r="E22" i="19" a="1"/>
  <c r="E22" i="19" s="1"/>
  <c r="D22" i="19" s="1"/>
  <c r="E22" i="29" a="1"/>
  <c r="E22" i="29" s="1"/>
  <c r="D22" i="29" s="1"/>
  <c r="E55" i="13"/>
  <c r="E55" i="88"/>
  <c r="E55" i="23"/>
  <c r="E55" i="29"/>
  <c r="E55" i="24"/>
  <c r="E55" i="19"/>
  <c r="E55" i="30"/>
  <c r="E55" i="27"/>
  <c r="E55" i="57"/>
  <c r="E55" i="63"/>
  <c r="E55" i="74"/>
  <c r="E55" i="33"/>
  <c r="E55" i="25"/>
  <c r="E55" i="35"/>
  <c r="E55" i="52"/>
  <c r="E55" i="65"/>
  <c r="E55" i="67"/>
  <c r="E55" i="38"/>
  <c r="E55" i="41"/>
  <c r="E55" i="45"/>
  <c r="E55" i="91"/>
  <c r="E55" i="89"/>
  <c r="E55" i="56"/>
  <c r="E55" i="61"/>
  <c r="E55" i="71"/>
  <c r="E55" i="90"/>
  <c r="E55" i="68"/>
  <c r="E55" i="54"/>
  <c r="E55" i="59"/>
  <c r="E55" i="49"/>
  <c r="E55" i="48"/>
  <c r="E55" i="39"/>
  <c r="E55" i="60"/>
  <c r="E55" i="62"/>
  <c r="E55" i="72"/>
  <c r="E55" i="73"/>
  <c r="E55" i="32"/>
  <c r="E55" i="31"/>
  <c r="E55" i="50"/>
  <c r="E55" i="51"/>
  <c r="E55" i="37"/>
  <c r="E55" i="66"/>
  <c r="E55" i="53"/>
  <c r="E55" i="55"/>
  <c r="E55" i="44"/>
  <c r="E55" i="70"/>
  <c r="E55" i="75"/>
  <c r="E41" i="75" a="1"/>
  <c r="E41" i="75" s="1"/>
  <c r="E41" i="91" a="1"/>
  <c r="E41" i="91" s="1"/>
  <c r="E41" i="60" a="1"/>
  <c r="E41" i="60" s="1"/>
  <c r="E41" i="41" a="1"/>
  <c r="E41" i="41" s="1"/>
  <c r="E41" i="68" a="1"/>
  <c r="E41" i="68" s="1"/>
  <c r="E41" i="37" a="1"/>
  <c r="E41" i="37" s="1"/>
  <c r="E41" i="31" a="1"/>
  <c r="E41" i="31" s="1"/>
  <c r="E41" i="19" a="1"/>
  <c r="E41" i="19" s="1"/>
  <c r="E41" i="29" a="1"/>
  <c r="E41" i="29" s="1"/>
  <c r="E56" i="17" a="1"/>
  <c r="E56" i="17" s="1"/>
  <c r="E48" i="17" a="1"/>
  <c r="E48" i="17" s="1"/>
  <c r="E41" i="55"/>
  <c r="E73" i="53" a="1"/>
  <c r="E73" i="53" s="1"/>
  <c r="E41" i="52"/>
  <c r="E35" i="89" a="1"/>
  <c r="E35" i="89" s="1"/>
  <c r="E35" i="68" a="1"/>
  <c r="E35" i="68" s="1"/>
  <c r="E41" i="23"/>
  <c r="E41" i="88"/>
  <c r="E41" i="13"/>
  <c r="E41" i="27"/>
  <c r="E41" i="25"/>
  <c r="E73" i="25" a="1"/>
  <c r="E73" i="25" s="1"/>
  <c r="E35" i="59" a="1"/>
  <c r="E35" i="59" s="1"/>
  <c r="E41" i="54"/>
  <c r="E41" i="53"/>
  <c r="E41" i="65"/>
  <c r="E35" i="65" a="1"/>
  <c r="E35" i="65" s="1"/>
  <c r="E35" i="39" a="1"/>
  <c r="E35" i="39" s="1"/>
  <c r="E41" i="35"/>
  <c r="E41" i="67"/>
  <c r="E41" i="44"/>
  <c r="E41" i="59"/>
  <c r="E21" i="61" a="1"/>
  <c r="E41" i="48"/>
  <c r="E41" i="74"/>
  <c r="E41" i="70"/>
  <c r="E44" i="70"/>
  <c r="E41" i="63"/>
  <c r="E41" i="61"/>
  <c r="E41" i="45"/>
  <c r="E6" i="24" a="1"/>
  <c r="E41" i="30"/>
  <c r="E41" i="24"/>
  <c r="E41" i="89"/>
  <c r="E41" i="72"/>
  <c r="E41" i="71"/>
  <c r="E41" i="49"/>
  <c r="E41" i="62"/>
  <c r="E41" i="57"/>
  <c r="E41" i="56"/>
  <c r="E41" i="39"/>
  <c r="E41" i="38"/>
  <c r="E73" i="38" a="1"/>
  <c r="E73" i="38" s="1"/>
  <c r="E41" i="66"/>
  <c r="E41" i="51"/>
  <c r="E41" i="50"/>
  <c r="E41" i="32"/>
  <c r="E6" i="75" a="1"/>
  <c r="E6" i="91" a="1"/>
  <c r="E21" i="35" a="1"/>
  <c r="E35" i="27" a="1"/>
  <c r="E35" i="27" s="1"/>
  <c r="E35" i="48" a="1"/>
  <c r="E35" i="48" s="1"/>
  <c r="E21" i="62" a="1"/>
  <c r="E35" i="50" a="1"/>
  <c r="E35" i="50" s="1"/>
  <c r="E35" i="32" a="1"/>
  <c r="E35" i="32" s="1"/>
  <c r="E35" i="57" a="1"/>
  <c r="E35" i="57" s="1"/>
  <c r="E35" i="51" a="1"/>
  <c r="E35" i="51" s="1"/>
  <c r="E35" i="53" a="1"/>
  <c r="E35" i="53" s="1"/>
  <c r="E35" i="33" a="1"/>
  <c r="E35" i="33" s="1"/>
  <c r="E21" i="63" a="1"/>
  <c r="E41" i="90"/>
  <c r="E6" i="73" a="1"/>
  <c r="E44" i="73" a="1"/>
  <c r="E44" i="75" a="1"/>
  <c r="E44" i="91" a="1"/>
  <c r="E44" i="37" a="1"/>
  <c r="E44" i="35" a="1"/>
  <c r="E44" i="31" a="1"/>
  <c r="E44" i="23" a="1"/>
  <c r="E44" i="74" a="1"/>
  <c r="E6" i="27" a="1"/>
  <c r="E40" i="27" a="1"/>
  <c r="E21" i="27" a="1"/>
  <c r="E44" i="27" a="1"/>
  <c r="E46" i="27" a="1"/>
  <c r="E44" i="54" a="1"/>
  <c r="E46" i="54" a="1"/>
  <c r="E44" i="90" a="1"/>
  <c r="E6" i="48" a="1"/>
  <c r="E44" i="48" a="1"/>
  <c r="E40" i="48" a="1"/>
  <c r="E21" i="48" a="1"/>
  <c r="E46" i="48" a="1"/>
  <c r="E6" i="59" a="1"/>
  <c r="E44" i="59" a="1"/>
  <c r="E40" i="59" a="1"/>
  <c r="E21" i="59" a="1"/>
  <c r="E46" i="59" a="1"/>
  <c r="E44" i="65" a="1"/>
  <c r="E21" i="65" a="1"/>
  <c r="E46" i="65" a="1"/>
  <c r="E44" i="24" a="1"/>
  <c r="E44" i="89" a="1"/>
  <c r="E44" i="71" a="1"/>
  <c r="E40" i="71" a="1"/>
  <c r="E21" i="71" a="1"/>
  <c r="E46" i="71" a="1"/>
  <c r="E44" i="49" a="1"/>
  <c r="E40" i="49" a="1"/>
  <c r="E6" i="49" a="1"/>
  <c r="E21" i="49" a="1"/>
  <c r="E44" i="56" a="1"/>
  <c r="E21" i="56" a="1"/>
  <c r="E46" i="56" a="1"/>
  <c r="E44" i="39" a="1"/>
  <c r="E40" i="39" a="1"/>
  <c r="E6" i="39" a="1"/>
  <c r="E21" i="39" a="1"/>
  <c r="E46" i="39" a="1"/>
  <c r="E40" i="50" a="1"/>
  <c r="E44" i="50" a="1"/>
  <c r="E6" i="50" a="1"/>
  <c r="E21" i="50" a="1"/>
  <c r="E46" i="50" a="1"/>
  <c r="E40" i="32" a="1"/>
  <c r="E6" i="32" a="1"/>
  <c r="E44" i="32" a="1"/>
  <c r="E21" i="32" a="1"/>
  <c r="E46" i="32" a="1"/>
  <c r="E6" i="57" a="1"/>
  <c r="E44" i="57" a="1"/>
  <c r="E40" i="57" a="1"/>
  <c r="E21" i="57" a="1"/>
  <c r="E46" i="57" a="1"/>
  <c r="E6" i="51" a="1"/>
  <c r="E44" i="51" a="1"/>
  <c r="E40" i="51" a="1"/>
  <c r="E21" i="51" a="1"/>
  <c r="E46" i="51" a="1"/>
  <c r="E6" i="53" a="1"/>
  <c r="E44" i="53" a="1"/>
  <c r="E40" i="53" a="1"/>
  <c r="E21" i="53" a="1"/>
  <c r="E46" i="53" a="1"/>
  <c r="E44" i="33" a="1"/>
  <c r="E40" i="33" a="1"/>
  <c r="E6" i="33" a="1"/>
  <c r="E21" i="33" a="1"/>
  <c r="E46" i="33" a="1"/>
  <c r="E6" i="72" a="1"/>
  <c r="E44" i="72" a="1"/>
  <c r="E44" i="63" a="1"/>
  <c r="E44" i="66" a="1"/>
  <c r="E44" i="61" a="1"/>
  <c r="E44" i="38" a="1"/>
  <c r="E44" i="62" a="1"/>
  <c r="E44" i="55" a="1"/>
  <c r="E44" i="68" a="1"/>
  <c r="E44" i="44" a="1"/>
  <c r="E44" i="30" a="1"/>
  <c r="E22" i="79" a="1"/>
  <c r="E22" i="79" s="1"/>
  <c r="E22" i="22" a="1"/>
  <c r="E22" i="81" a="1"/>
  <c r="E22" i="80" a="1"/>
  <c r="E22" i="77" a="1"/>
  <c r="D4" i="96"/>
  <c r="AQ21" i="26" a="1"/>
  <c r="AQ21" i="26" s="1"/>
  <c r="AR21" i="26" a="1"/>
  <c r="AR21" i="26" s="1"/>
  <c r="AP65" i="26" a="1"/>
  <c r="AP65" i="26" s="1"/>
  <c r="AP21" i="26" a="1"/>
  <c r="AP21" i="26" s="1"/>
  <c r="K10" i="84"/>
  <c r="L10" i="84"/>
  <c r="J10" i="84"/>
  <c r="P10" i="84"/>
  <c r="O10" i="84"/>
  <c r="N10" i="84"/>
  <c r="E61" i="34" a="1"/>
  <c r="E61" i="34" s="1"/>
  <c r="C58" i="26"/>
  <c r="E49" i="77"/>
  <c r="E49" i="81"/>
  <c r="E48" i="81"/>
  <c r="E47" i="81"/>
  <c r="E46" i="81"/>
  <c r="E45" i="81"/>
  <c r="E44" i="81"/>
  <c r="E43" i="81"/>
  <c r="E42" i="81"/>
  <c r="E49" i="80"/>
  <c r="E48" i="80"/>
  <c r="E47" i="80"/>
  <c r="E46" i="80"/>
  <c r="E45" i="80"/>
  <c r="E44" i="80"/>
  <c r="E43" i="80"/>
  <c r="E42" i="80"/>
  <c r="E49" i="79"/>
  <c r="E48" i="79"/>
  <c r="E47" i="79"/>
  <c r="E46" i="79"/>
  <c r="E45" i="79"/>
  <c r="E44" i="79"/>
  <c r="E43" i="79"/>
  <c r="E44" i="77"/>
  <c r="E45" i="77"/>
  <c r="E47" i="77"/>
  <c r="E42" i="77"/>
  <c r="E43" i="77"/>
  <c r="E46" i="77"/>
  <c r="E48" i="77"/>
  <c r="E36" i="22" a="1"/>
  <c r="D4" i="69"/>
  <c r="S10" i="85"/>
  <c r="T10" i="85"/>
  <c r="K10" i="85"/>
  <c r="L10" i="85"/>
  <c r="O10" i="85"/>
  <c r="P10" i="85"/>
  <c r="E36" i="17"/>
  <c r="E37" i="17" s="1" a="1"/>
  <c r="AR18" i="85" l="1" a="1"/>
  <c r="AR18" i="85" s="1"/>
  <c r="AQ30" i="85" a="1"/>
  <c r="AQ30" i="85" s="1"/>
  <c r="AQ24" i="85" a="1"/>
  <c r="AQ24" i="85" s="1"/>
  <c r="AR21" i="85" a="1"/>
  <c r="AR21" i="85" s="1"/>
  <c r="AP24" i="85" a="1"/>
  <c r="AP24" i="85" s="1"/>
  <c r="AR44" i="85" a="1"/>
  <c r="AR44" i="85" s="1"/>
  <c r="AR42" i="85" a="1"/>
  <c r="AR42" i="85" s="1"/>
  <c r="AR41" i="85" a="1"/>
  <c r="AR41" i="85" s="1"/>
  <c r="AR40" i="85" a="1"/>
  <c r="AR40" i="85" s="1"/>
  <c r="AR39" i="85" a="1"/>
  <c r="AR39" i="85" s="1"/>
  <c r="AR36" i="85" a="1"/>
  <c r="AR36" i="85" s="1"/>
  <c r="AQ35" i="85" a="1"/>
  <c r="AQ35" i="85" s="1"/>
  <c r="AQ18" i="85" a="1"/>
  <c r="AQ18" i="85" s="1"/>
  <c r="AR28" i="85" a="1"/>
  <c r="AR28" i="85" s="1"/>
  <c r="AR23" i="85" a="1"/>
  <c r="AR23" i="85" s="1"/>
  <c r="AP31" i="85" a="1"/>
  <c r="AP31" i="85" s="1"/>
  <c r="AP22" i="85" a="1"/>
  <c r="AP22" i="85" s="1"/>
  <c r="AP44" i="85" a="1"/>
  <c r="AP44" i="85" s="1"/>
  <c r="AP42" i="85" a="1"/>
  <c r="AP42" i="85" s="1"/>
  <c r="AP41" i="85" a="1"/>
  <c r="AP41" i="85" s="1"/>
  <c r="AP40" i="85" a="1"/>
  <c r="AP40" i="85" s="1"/>
  <c r="AQ39" i="85" a="1"/>
  <c r="AQ39" i="85" s="1"/>
  <c r="AQ36" i="85" a="1"/>
  <c r="AQ36" i="85" s="1"/>
  <c r="AP35" i="85" a="1"/>
  <c r="AP35" i="85" s="1"/>
  <c r="AP18" i="85" a="1"/>
  <c r="AP18" i="85" s="1"/>
  <c r="AQ28" i="85" a="1"/>
  <c r="AQ28" i="85" s="1"/>
  <c r="AQ23" i="85" a="1"/>
  <c r="AQ23" i="85" s="1"/>
  <c r="AP30" i="85" a="1"/>
  <c r="AP30" i="85" s="1"/>
  <c r="AR51" i="85" a="1"/>
  <c r="AR51" i="85" s="1"/>
  <c r="AR43" i="85" a="1"/>
  <c r="AR43" i="85" s="1"/>
  <c r="AP37" i="85" a="1"/>
  <c r="AP37" i="85" s="1"/>
  <c r="AR35" i="85" a="1"/>
  <c r="AR35" i="85" s="1"/>
  <c r="AR30" i="85" a="1"/>
  <c r="AR30" i="85" s="1"/>
  <c r="AR24" i="85" a="1"/>
  <c r="AR24" i="85" s="1"/>
  <c r="AQ22" i="85" a="1"/>
  <c r="AQ22" i="85" s="1"/>
  <c r="AP25" i="85" a="1"/>
  <c r="AP25" i="85" s="1"/>
  <c r="AP51" i="85" a="1"/>
  <c r="AP51" i="85" s="1"/>
  <c r="AP43" i="85" a="1"/>
  <c r="AP43" i="85" s="1"/>
  <c r="AR31" i="85" a="1"/>
  <c r="AR31" i="85" s="1"/>
  <c r="AQ25" i="85" a="1"/>
  <c r="AQ25" i="85" s="1"/>
  <c r="AQ21" i="85" a="1"/>
  <c r="AQ21" i="85" s="1"/>
  <c r="AP23" i="85" a="1"/>
  <c r="AP23" i="85" s="1"/>
  <c r="AQ44" i="85" a="1"/>
  <c r="AQ44" i="85" s="1"/>
  <c r="AQ42" i="85" a="1"/>
  <c r="AQ42" i="85" s="1"/>
  <c r="AQ41" i="85" a="1"/>
  <c r="AQ41" i="85" s="1"/>
  <c r="AQ40" i="85" a="1"/>
  <c r="AQ40" i="85" s="1"/>
  <c r="AP39" i="85" a="1"/>
  <c r="AP39" i="85" s="1"/>
  <c r="AP36" i="85" a="1"/>
  <c r="AP36" i="85" s="1"/>
  <c r="AR38" i="85" a="1"/>
  <c r="AR38" i="85" s="1"/>
  <c r="AQ38" i="85" a="1"/>
  <c r="AQ38" i="85" s="1"/>
  <c r="AP38" i="85" a="1"/>
  <c r="AP38" i="85" s="1"/>
  <c r="AR37" i="85" a="1"/>
  <c r="AR37" i="85" s="1"/>
  <c r="AQ31" i="85" a="1"/>
  <c r="AQ31" i="85" s="1"/>
  <c r="AR25" i="85" a="1"/>
  <c r="AR25" i="85" s="1"/>
  <c r="AR22" i="85" a="1"/>
  <c r="AR22" i="85" s="1"/>
  <c r="AP28" i="85" a="1"/>
  <c r="AP28" i="85" s="1"/>
  <c r="AQ51" i="85" a="1"/>
  <c r="AQ51" i="85" s="1"/>
  <c r="AQ43" i="85" a="1"/>
  <c r="AQ43" i="85" s="1"/>
  <c r="AQ37" i="85" a="1"/>
  <c r="AQ37" i="85" s="1"/>
  <c r="AP21" i="85" a="1"/>
  <c r="AP21" i="85" s="1"/>
  <c r="E6" i="29"/>
  <c r="E21" i="29"/>
  <c r="E44" i="13" a="1"/>
  <c r="E44" i="13" s="1"/>
  <c r="E46" i="13" a="1"/>
  <c r="E46" i="13" s="1"/>
  <c r="E21" i="13" a="1"/>
  <c r="E21" i="13" s="1"/>
  <c r="E40" i="13" a="1"/>
  <c r="E40" i="13" s="1"/>
  <c r="E6" i="19" a="1"/>
  <c r="E6" i="19" s="1"/>
  <c r="E46" i="19" a="1"/>
  <c r="E46" i="19" s="1"/>
  <c r="E6" i="88" a="1"/>
  <c r="E6" i="88" s="1"/>
  <c r="E40" i="88" a="1"/>
  <c r="E40" i="88" s="1"/>
  <c r="E21" i="19" a="1"/>
  <c r="E21" i="19" s="1"/>
  <c r="E40" i="19" a="1"/>
  <c r="E40" i="19" s="1"/>
  <c r="E21" i="73" a="1"/>
  <c r="E40" i="73" a="1"/>
  <c r="E40" i="73" s="1"/>
  <c r="E40" i="30" a="1"/>
  <c r="E40" i="30" s="1"/>
  <c r="E21" i="30" a="1"/>
  <c r="E46" i="30" a="1"/>
  <c r="E46" i="30" s="1"/>
  <c r="E35" i="73" a="1"/>
  <c r="E35" i="73" s="1"/>
  <c r="E46" i="73" a="1"/>
  <c r="E46" i="73" s="1"/>
  <c r="E6" i="52"/>
  <c r="E21" i="52"/>
  <c r="E35" i="31" a="1"/>
  <c r="E35" i="31" s="1"/>
  <c r="E40" i="31" a="1"/>
  <c r="E40" i="31" s="1"/>
  <c r="E6" i="31" a="1"/>
  <c r="E21" i="31" a="1"/>
  <c r="E46" i="31" a="1"/>
  <c r="E46" i="31" s="1"/>
  <c r="E35" i="30" a="1"/>
  <c r="E35" i="30" s="1"/>
  <c r="E6" i="30" a="1"/>
  <c r="E21" i="75" a="1"/>
  <c r="E21" i="75" s="1"/>
  <c r="E40" i="75" a="1"/>
  <c r="E40" i="75" s="1"/>
  <c r="E35" i="75" a="1"/>
  <c r="E35" i="75" s="1"/>
  <c r="E46" i="75" a="1"/>
  <c r="E46" i="75" s="1"/>
  <c r="E6" i="25"/>
  <c r="E21" i="25"/>
  <c r="E40" i="91" a="1"/>
  <c r="E40" i="91" s="1"/>
  <c r="E46" i="91" a="1"/>
  <c r="E46" i="91" s="1"/>
  <c r="E21" i="37" a="1"/>
  <c r="E46" i="37" a="1"/>
  <c r="E46" i="37" s="1"/>
  <c r="E35" i="35" a="1"/>
  <c r="E35" i="35" s="1"/>
  <c r="E6" i="35" a="1"/>
  <c r="E46" i="35" a="1"/>
  <c r="E46" i="35" s="1"/>
  <c r="E40" i="35" a="1"/>
  <c r="E40" i="35" s="1"/>
  <c r="E35" i="37" a="1"/>
  <c r="E35" i="37" s="1"/>
  <c r="E6" i="37" a="1"/>
  <c r="E40" i="37" a="1"/>
  <c r="E40" i="37" s="1"/>
  <c r="E35" i="72" a="1"/>
  <c r="E35" i="72" s="1"/>
  <c r="E40" i="72" a="1"/>
  <c r="E40" i="72" s="1"/>
  <c r="E21" i="88" a="1"/>
  <c r="E46" i="88" a="1"/>
  <c r="E46" i="88" s="1"/>
  <c r="E6" i="13"/>
  <c r="E35" i="91" a="1"/>
  <c r="E35" i="91" s="1"/>
  <c r="E21" i="91" a="1"/>
  <c r="E21" i="91" s="1"/>
  <c r="E6" i="63" a="1"/>
  <c r="E6" i="63" s="1"/>
  <c r="E40" i="63" a="1"/>
  <c r="E40" i="63" s="1"/>
  <c r="E40" i="66" a="1"/>
  <c r="E40" i="66" s="1"/>
  <c r="E6" i="66" a="1"/>
  <c r="E6" i="66" s="1"/>
  <c r="E21" i="66" a="1"/>
  <c r="E21" i="66" s="1"/>
  <c r="E35" i="63" a="1"/>
  <c r="E35" i="63" s="1"/>
  <c r="E46" i="63" a="1"/>
  <c r="E46" i="63" s="1"/>
  <c r="E35" i="66" a="1"/>
  <c r="E35" i="66" s="1"/>
  <c r="E46" i="66" a="1"/>
  <c r="E46" i="66" s="1"/>
  <c r="E6" i="44" a="1"/>
  <c r="E6" i="44" s="1"/>
  <c r="E21" i="44" a="1"/>
  <c r="E21" i="44" s="1"/>
  <c r="E46" i="44" a="1"/>
  <c r="E46" i="44" s="1"/>
  <c r="E40" i="61" a="1"/>
  <c r="E40" i="61" s="1"/>
  <c r="E6" i="61" a="1"/>
  <c r="E6" i="61" s="1"/>
  <c r="E35" i="61" a="1"/>
  <c r="E35" i="61" s="1"/>
  <c r="E46" i="61" a="1"/>
  <c r="E46" i="61" s="1"/>
  <c r="E6" i="62" a="1"/>
  <c r="E6" i="62" s="1"/>
  <c r="E40" i="62" a="1"/>
  <c r="E40" i="62" s="1"/>
  <c r="E35" i="23" a="1"/>
  <c r="E35" i="23" s="1"/>
  <c r="E40" i="23" a="1"/>
  <c r="E40" i="23" s="1"/>
  <c r="E6" i="23" a="1"/>
  <c r="E21" i="23" a="1"/>
  <c r="E46" i="23" a="1"/>
  <c r="E46" i="23" s="1"/>
  <c r="E35" i="74" a="1"/>
  <c r="E35" i="74" s="1"/>
  <c r="E6" i="74" a="1"/>
  <c r="E6" i="74" s="1"/>
  <c r="E40" i="74" a="1"/>
  <c r="E40" i="74" s="1"/>
  <c r="E21" i="74" a="1"/>
  <c r="E21" i="74" s="1"/>
  <c r="E46" i="74" a="1"/>
  <c r="E46" i="74" s="1"/>
  <c r="E35" i="38" a="1"/>
  <c r="E35" i="38" s="1"/>
  <c r="E6" i="38" a="1"/>
  <c r="E6" i="38" s="1"/>
  <c r="E40" i="38" a="1"/>
  <c r="E40" i="38" s="1"/>
  <c r="E21" i="38" a="1"/>
  <c r="E21" i="38" s="1"/>
  <c r="E46" i="38" a="1"/>
  <c r="E46" i="38" s="1"/>
  <c r="E6" i="55" a="1"/>
  <c r="E6" i="55" s="1"/>
  <c r="E46" i="55" a="1"/>
  <c r="E46" i="55" s="1"/>
  <c r="E40" i="55" a="1"/>
  <c r="E40" i="55" s="1"/>
  <c r="E35" i="54" a="1"/>
  <c r="E35" i="54" s="1"/>
  <c r="E6" i="54" a="1"/>
  <c r="E6" i="54" s="1"/>
  <c r="E40" i="54" a="1"/>
  <c r="E40" i="54" s="1"/>
  <c r="E21" i="54" a="1"/>
  <c r="E21" i="54" s="1"/>
  <c r="E35" i="90" a="1"/>
  <c r="E35" i="90" s="1"/>
  <c r="E40" i="90" a="1"/>
  <c r="E40" i="90" s="1"/>
  <c r="E6" i="90" a="1"/>
  <c r="E21" i="90" a="1"/>
  <c r="E46" i="90" a="1"/>
  <c r="E46" i="90" s="1"/>
  <c r="E6" i="71" a="1"/>
  <c r="E6" i="71" s="1"/>
  <c r="E35" i="71" a="1"/>
  <c r="E35" i="71" s="1"/>
  <c r="E21" i="55" a="1"/>
  <c r="E21" i="55" s="1"/>
  <c r="E35" i="55" a="1"/>
  <c r="E35" i="55" s="1"/>
  <c r="E40" i="24" a="1"/>
  <c r="E40" i="24" s="1"/>
  <c r="E35" i="24" a="1"/>
  <c r="E35" i="24" s="1"/>
  <c r="E6" i="56" a="1"/>
  <c r="E6" i="56" s="1"/>
  <c r="E40" i="56" a="1"/>
  <c r="E40" i="56" s="1"/>
  <c r="E35" i="56" a="1"/>
  <c r="E35" i="56" s="1"/>
  <c r="E40" i="44" a="1"/>
  <c r="E40" i="44" s="1"/>
  <c r="E35" i="44" a="1"/>
  <c r="E35" i="44" s="1"/>
  <c r="E46" i="49" a="1"/>
  <c r="E46" i="49" s="1"/>
  <c r="E35" i="49" a="1"/>
  <c r="E35" i="49" s="1"/>
  <c r="E46" i="62" a="1"/>
  <c r="E46" i="62" s="1"/>
  <c r="E35" i="62" a="1"/>
  <c r="E35" i="62" s="1"/>
  <c r="E37" i="70" a="1"/>
  <c r="E73" i="32" a="1"/>
  <c r="E73" i="32" s="1"/>
  <c r="E73" i="89" a="1"/>
  <c r="E73" i="89" s="1"/>
  <c r="E73" i="50" a="1"/>
  <c r="E73" i="50" s="1"/>
  <c r="E73" i="30" a="1"/>
  <c r="E73" i="30" s="1"/>
  <c r="E73" i="73" a="1"/>
  <c r="E73" i="73" s="1"/>
  <c r="E73" i="72" a="1"/>
  <c r="E73" i="72" s="1"/>
  <c r="E73" i="51" a="1"/>
  <c r="E73" i="51" s="1"/>
  <c r="E21" i="89" a="1"/>
  <c r="E46" i="89" a="1"/>
  <c r="E46" i="89" s="1"/>
  <c r="E40" i="68" a="1"/>
  <c r="E40" i="68" s="1"/>
  <c r="E6" i="68" a="1"/>
  <c r="E6" i="68" s="1"/>
  <c r="E21" i="68" a="1"/>
  <c r="E21" i="68" s="1"/>
  <c r="E46" i="68" a="1"/>
  <c r="E46" i="68" s="1"/>
  <c r="E73" i="91" a="1"/>
  <c r="E73" i="91" s="1"/>
  <c r="E37" i="60" a="1"/>
  <c r="E73" i="41" a="1"/>
  <c r="E73" i="41" s="1"/>
  <c r="E73" i="68" a="1"/>
  <c r="E73" i="68" s="1"/>
  <c r="E73" i="37" a="1"/>
  <c r="E73" i="37" s="1"/>
  <c r="E73" i="31" a="1"/>
  <c r="E73" i="31" s="1"/>
  <c r="E73" i="33" a="1"/>
  <c r="E73" i="33" s="1"/>
  <c r="E73" i="13" a="1"/>
  <c r="E73" i="13" s="1"/>
  <c r="E73" i="55" a="1"/>
  <c r="E73" i="55" s="1"/>
  <c r="E73" i="24" a="1"/>
  <c r="E73" i="24" s="1"/>
  <c r="E73" i="61" a="1"/>
  <c r="E73" i="61" s="1"/>
  <c r="E73" i="57" a="1"/>
  <c r="E73" i="57" s="1"/>
  <c r="E73" i="56" a="1"/>
  <c r="E73" i="56" s="1"/>
  <c r="E73" i="39" a="1"/>
  <c r="E73" i="39" s="1"/>
  <c r="E73" i="66" a="1"/>
  <c r="E73" i="66" s="1"/>
  <c r="E6" i="89" a="1"/>
  <c r="E40" i="89" a="1"/>
  <c r="E40" i="89" s="1"/>
  <c r="E21" i="24" a="1"/>
  <c r="E46" i="24" a="1"/>
  <c r="E46" i="24" s="1"/>
  <c r="E73" i="75" a="1"/>
  <c r="E73" i="75" s="1"/>
  <c r="E73" i="23" a="1"/>
  <c r="E73" i="23" s="1"/>
  <c r="E73" i="88" a="1"/>
  <c r="E73" i="88" s="1"/>
  <c r="E73" i="44" a="1"/>
  <c r="E73" i="44" s="1"/>
  <c r="E73" i="60" a="1"/>
  <c r="E73" i="60" s="1"/>
  <c r="E73" i="27" a="1"/>
  <c r="E73" i="27" s="1"/>
  <c r="E73" i="54" a="1"/>
  <c r="E73" i="54" s="1"/>
  <c r="E73" i="59" a="1"/>
  <c r="E73" i="59" s="1"/>
  <c r="E73" i="52" a="1"/>
  <c r="E73" i="52" s="1"/>
  <c r="E73" i="35" a="1"/>
  <c r="E73" i="35" s="1"/>
  <c r="E73" i="45" a="1"/>
  <c r="E73" i="45" s="1"/>
  <c r="E73" i="65" a="1"/>
  <c r="E73" i="65" s="1"/>
  <c r="E73" i="48" a="1"/>
  <c r="E73" i="48" s="1"/>
  <c r="E73" i="74" a="1"/>
  <c r="E73" i="74" s="1"/>
  <c r="E73" i="70" a="1"/>
  <c r="E73" i="70" s="1"/>
  <c r="E73" i="63" a="1"/>
  <c r="E73" i="63" s="1"/>
  <c r="E73" i="71" a="1"/>
  <c r="E73" i="71" s="1"/>
  <c r="E73" i="49" a="1"/>
  <c r="E73" i="49" s="1"/>
  <c r="E73" i="62" a="1"/>
  <c r="E73" i="62" s="1"/>
  <c r="E73" i="90" a="1"/>
  <c r="E73" i="90" s="1"/>
  <c r="E37" i="19" a="1"/>
  <c r="E73" i="19" a="1"/>
  <c r="E73" i="19" s="1"/>
  <c r="E37" i="29" a="1"/>
  <c r="E73" i="29" a="1"/>
  <c r="E73" i="29" s="1"/>
  <c r="E6" i="65" a="1"/>
  <c r="E6" i="65" s="1"/>
  <c r="E40" i="65" a="1"/>
  <c r="E40" i="65" s="1"/>
  <c r="D55" i="13"/>
  <c r="D55" i="88"/>
  <c r="D55" i="23"/>
  <c r="D55" i="29"/>
  <c r="D55" i="24"/>
  <c r="D55" i="19"/>
  <c r="D55" i="30"/>
  <c r="D55" i="27"/>
  <c r="D55" i="57"/>
  <c r="D55" i="63"/>
  <c r="D55" i="74"/>
  <c r="D55" i="33"/>
  <c r="D55" i="25"/>
  <c r="D55" i="35"/>
  <c r="D55" i="52"/>
  <c r="D55" i="65"/>
  <c r="D55" i="67"/>
  <c r="D55" i="38"/>
  <c r="D55" i="41"/>
  <c r="D55" i="45"/>
  <c r="D55" i="91"/>
  <c r="D55" i="89"/>
  <c r="D55" i="56"/>
  <c r="D55" i="61"/>
  <c r="D55" i="71"/>
  <c r="D55" i="90"/>
  <c r="D55" i="68"/>
  <c r="D55" i="54"/>
  <c r="D55" i="59"/>
  <c r="D55" i="49"/>
  <c r="D55" i="48"/>
  <c r="D55" i="39"/>
  <c r="D55" i="60"/>
  <c r="D55" i="62"/>
  <c r="D55" i="72"/>
  <c r="D55" i="73"/>
  <c r="D55" i="32"/>
  <c r="D55" i="31"/>
  <c r="D55" i="50"/>
  <c r="D55" i="51"/>
  <c r="D55" i="37"/>
  <c r="D55" i="66"/>
  <c r="D55" i="53"/>
  <c r="D55" i="55"/>
  <c r="D55" i="44"/>
  <c r="D55" i="70"/>
  <c r="D55" i="75"/>
  <c r="E73" i="22" a="1"/>
  <c r="E73" i="22" s="1"/>
  <c r="E37" i="67" a="1"/>
  <c r="E73" i="67" a="1"/>
  <c r="E73" i="67" s="1"/>
  <c r="P57" i="17" a="1"/>
  <c r="P57" i="17" s="1"/>
  <c r="R57" i="17" a="1"/>
  <c r="R57" i="17" s="1"/>
  <c r="T57" i="17" a="1"/>
  <c r="T57" i="17" s="1"/>
  <c r="V57" i="17" a="1"/>
  <c r="V57" i="17" s="1"/>
  <c r="N57" i="17" a="1"/>
  <c r="N57" i="17" s="1"/>
  <c r="X57" i="17" a="1"/>
  <c r="X57" i="17" s="1"/>
  <c r="Z57" i="17" a="1"/>
  <c r="Z57" i="17" s="1"/>
  <c r="AA57" i="17" a="1"/>
  <c r="AA57" i="17" s="1"/>
  <c r="AC57" i="17" a="1"/>
  <c r="AC57" i="17" s="1"/>
  <c r="AD57" i="17" a="1"/>
  <c r="AD57" i="17" s="1"/>
  <c r="AG57" i="17" a="1"/>
  <c r="AG57" i="17" s="1"/>
  <c r="AJ57" i="17" a="1"/>
  <c r="AJ57" i="17" s="1"/>
  <c r="F57" i="17" a="1"/>
  <c r="F57" i="17" s="1"/>
  <c r="H57" i="17" a="1"/>
  <c r="H57" i="17" s="1"/>
  <c r="I57" i="17" a="1"/>
  <c r="I57" i="17" s="1"/>
  <c r="G57" i="17" a="1"/>
  <c r="G57" i="17" s="1"/>
  <c r="M57" i="17" a="1"/>
  <c r="M57" i="17" s="1"/>
  <c r="O57" i="17" a="1"/>
  <c r="O57" i="17" s="1"/>
  <c r="Q57" i="17" a="1"/>
  <c r="Q57" i="17" s="1"/>
  <c r="S57" i="17" a="1"/>
  <c r="S57" i="17" s="1"/>
  <c r="U57" i="17" a="1"/>
  <c r="U57" i="17" s="1"/>
  <c r="Y57" i="17" a="1"/>
  <c r="Y57" i="17" s="1"/>
  <c r="AB57" i="17" a="1"/>
  <c r="AB57" i="17" s="1"/>
  <c r="AE57" i="17" a="1"/>
  <c r="AE57" i="17" s="1"/>
  <c r="W57" i="17" a="1"/>
  <c r="W57" i="17" s="1"/>
  <c r="J57" i="17" a="1"/>
  <c r="J57" i="17" s="1"/>
  <c r="L57" i="17" a="1"/>
  <c r="L57" i="17" s="1"/>
  <c r="AF57" i="17" a="1"/>
  <c r="AF57" i="17" s="1"/>
  <c r="AH57" i="17" a="1"/>
  <c r="AH57" i="17" s="1"/>
  <c r="AI57" i="17" a="1"/>
  <c r="AI57" i="17" s="1"/>
  <c r="AK57" i="17" a="1"/>
  <c r="AK57" i="17" s="1"/>
  <c r="AL57" i="17" a="1"/>
  <c r="AL57" i="17" s="1"/>
  <c r="AM57" i="17" a="1"/>
  <c r="AM57" i="17" s="1"/>
  <c r="AN57" i="17" a="1"/>
  <c r="AN57" i="17" s="1"/>
  <c r="K57" i="17" a="1"/>
  <c r="K57" i="17" s="1"/>
  <c r="E37" i="52" a="1"/>
  <c r="E21" i="27"/>
  <c r="E44" i="27"/>
  <c r="E21" i="65"/>
  <c r="E46" i="65"/>
  <c r="E44" i="89"/>
  <c r="E44" i="71"/>
  <c r="E40" i="50"/>
  <c r="E46" i="51"/>
  <c r="E21" i="53"/>
  <c r="E40" i="33"/>
  <c r="E37" i="88" a="1"/>
  <c r="E37" i="45" a="1"/>
  <c r="E6" i="75"/>
  <c r="E6" i="91"/>
  <c r="E40" i="27"/>
  <c r="E21" i="59"/>
  <c r="E46" i="59"/>
  <c r="E46" i="50"/>
  <c r="E6" i="32"/>
  <c r="E21" i="32"/>
  <c r="E6" i="57"/>
  <c r="E44" i="57"/>
  <c r="E6" i="51"/>
  <c r="E40" i="51"/>
  <c r="E44" i="62"/>
  <c r="E44" i="75"/>
  <c r="E44" i="91"/>
  <c r="E44" i="37"/>
  <c r="E44" i="59"/>
  <c r="E44" i="65"/>
  <c r="E6" i="24"/>
  <c r="E44" i="24"/>
  <c r="E46" i="32"/>
  <c r="E40" i="57"/>
  <c r="E44" i="55"/>
  <c r="E37" i="13" a="1"/>
  <c r="E37" i="25" a="1"/>
  <c r="E44" i="35"/>
  <c r="E21" i="35"/>
  <c r="E44" i="31"/>
  <c r="E44" i="74"/>
  <c r="E46" i="27"/>
  <c r="E6" i="48"/>
  <c r="E44" i="48"/>
  <c r="E46" i="48"/>
  <c r="E44" i="50"/>
  <c r="E21" i="50"/>
  <c r="E40" i="32"/>
  <c r="E44" i="33"/>
  <c r="E46" i="33"/>
  <c r="E44" i="23"/>
  <c r="E21" i="48"/>
  <c r="E6" i="59"/>
  <c r="E40" i="59"/>
  <c r="E6" i="39"/>
  <c r="E21" i="39"/>
  <c r="E46" i="39"/>
  <c r="E6" i="50"/>
  <c r="E44" i="32"/>
  <c r="E21" i="57"/>
  <c r="E46" i="57"/>
  <c r="E21" i="51"/>
  <c r="E46" i="53"/>
  <c r="E6" i="33"/>
  <c r="E21" i="33"/>
  <c r="E6" i="72"/>
  <c r="E44" i="72"/>
  <c r="E21" i="62"/>
  <c r="E44" i="68"/>
  <c r="E44" i="44"/>
  <c r="E21" i="71"/>
  <c r="E46" i="71"/>
  <c r="E44" i="49"/>
  <c r="E40" i="49"/>
  <c r="E6" i="49"/>
  <c r="E21" i="49"/>
  <c r="E44" i="56"/>
  <c r="E21" i="56"/>
  <c r="E46" i="56"/>
  <c r="E44" i="39"/>
  <c r="E40" i="39"/>
  <c r="E40" i="53"/>
  <c r="E21" i="63"/>
  <c r="E44" i="63"/>
  <c r="E44" i="66"/>
  <c r="E21" i="61"/>
  <c r="E44" i="61"/>
  <c r="E44" i="38"/>
  <c r="E6" i="27"/>
  <c r="E44" i="54"/>
  <c r="E46" i="54"/>
  <c r="E40" i="48"/>
  <c r="E40" i="71"/>
  <c r="E44" i="51"/>
  <c r="E6" i="53"/>
  <c r="E44" i="53"/>
  <c r="E44" i="30"/>
  <c r="E21" i="72" a="1"/>
  <c r="E46" i="72" a="1"/>
  <c r="E44" i="90"/>
  <c r="E6" i="73"/>
  <c r="E44" i="73"/>
  <c r="E22" i="22"/>
  <c r="E22" i="80"/>
  <c r="E22" i="81"/>
  <c r="E22" i="77"/>
  <c r="AG15" i="98"/>
  <c r="AF15" i="98"/>
  <c r="AH15" i="98"/>
  <c r="AG11" i="98"/>
  <c r="AF11" i="98"/>
  <c r="AH11" i="98"/>
  <c r="AF9" i="98"/>
  <c r="AG9" i="98"/>
  <c r="AH9" i="98"/>
  <c r="AF8" i="98"/>
  <c r="AG8" i="98"/>
  <c r="AH8" i="98"/>
  <c r="AG13" i="98"/>
  <c r="AH13" i="98"/>
  <c r="AF13" i="98"/>
  <c r="E72" i="91" a="1"/>
  <c r="E72" i="91" s="1"/>
  <c r="E72" i="90" a="1"/>
  <c r="E72" i="90" s="1"/>
  <c r="E72" i="89" a="1"/>
  <c r="E72" i="89" s="1"/>
  <c r="E72" i="88" a="1"/>
  <c r="E72" i="88" s="1"/>
  <c r="AH14" i="98"/>
  <c r="AG14" i="98"/>
  <c r="AF14" i="98"/>
  <c r="E67" i="91" a="1"/>
  <c r="E67" i="89" a="1"/>
  <c r="E67" i="90" a="1"/>
  <c r="AH11" i="100" a="1"/>
  <c r="AH11" i="100" s="1"/>
  <c r="V11" i="100" a="1"/>
  <c r="V11" i="100" s="1"/>
  <c r="J11" i="100" a="1"/>
  <c r="J11" i="100" s="1"/>
  <c r="O11" i="100" a="1"/>
  <c r="O11" i="100" s="1"/>
  <c r="AJ11" i="100" a="1"/>
  <c r="AJ11" i="100" s="1"/>
  <c r="AG11" i="100" a="1"/>
  <c r="AG11" i="100" s="1"/>
  <c r="U11" i="100" a="1"/>
  <c r="U11" i="100" s="1"/>
  <c r="I11" i="100" a="1"/>
  <c r="I11" i="100" s="1"/>
  <c r="Y11" i="100" a="1"/>
  <c r="Y11" i="100" s="1"/>
  <c r="W11" i="100" a="1"/>
  <c r="W11" i="100" s="1"/>
  <c r="AF11" i="100" a="1"/>
  <c r="AF11" i="100" s="1"/>
  <c r="T11" i="100" a="1"/>
  <c r="T11" i="100" s="1"/>
  <c r="H11" i="100" a="1"/>
  <c r="H11" i="100" s="1"/>
  <c r="AM11" i="100" a="1"/>
  <c r="AM11" i="100" s="1"/>
  <c r="AA11" i="100" a="1"/>
  <c r="AA11" i="100" s="1"/>
  <c r="AL11" i="100" a="1"/>
  <c r="AL11" i="100" s="1"/>
  <c r="X11" i="100" a="1"/>
  <c r="X11" i="100" s="1"/>
  <c r="AE11" i="100" a="1"/>
  <c r="AE11" i="100" s="1"/>
  <c r="S11" i="100" a="1"/>
  <c r="S11" i="100" s="1"/>
  <c r="G11" i="100" a="1"/>
  <c r="G11" i="100" s="1"/>
  <c r="AD11" i="100" a="1"/>
  <c r="AD11" i="100" s="1"/>
  <c r="R11" i="100" a="1"/>
  <c r="R11" i="100" s="1"/>
  <c r="F11" i="100" a="1"/>
  <c r="F11" i="100" s="1"/>
  <c r="N11" i="100" a="1"/>
  <c r="N11" i="100" s="1"/>
  <c r="AK11" i="100" a="1"/>
  <c r="AK11" i="100" s="1"/>
  <c r="L11" i="100" a="1"/>
  <c r="L11" i="100" s="1"/>
  <c r="AC11" i="100" a="1"/>
  <c r="AC11" i="100" s="1"/>
  <c r="Q11" i="100" a="1"/>
  <c r="Q11" i="100" s="1"/>
  <c r="M11" i="100" a="1"/>
  <c r="M11" i="100" s="1"/>
  <c r="AN11" i="100" a="1"/>
  <c r="AN11" i="100" s="1"/>
  <c r="AB11" i="100" a="1"/>
  <c r="AB11" i="100" s="1"/>
  <c r="P11" i="100" a="1"/>
  <c r="P11" i="100" s="1"/>
  <c r="Z11" i="100" a="1"/>
  <c r="Z11" i="100" s="1"/>
  <c r="AI11" i="100" a="1"/>
  <c r="AI11" i="100" s="1"/>
  <c r="K11" i="100" a="1"/>
  <c r="K11" i="100" s="1"/>
  <c r="E67" i="88" a="1"/>
  <c r="AH1" i="99" a="1"/>
  <c r="AH1" i="99" s="1"/>
  <c r="V1" i="99" a="1"/>
  <c r="V1" i="99" s="1"/>
  <c r="J1" i="99" a="1"/>
  <c r="J1" i="99" s="1"/>
  <c r="AI1" i="100" a="1"/>
  <c r="AI1" i="100" s="1"/>
  <c r="W1" i="100" a="1"/>
  <c r="W1" i="100" s="1"/>
  <c r="K1" i="100" a="1"/>
  <c r="K1" i="100" s="1"/>
  <c r="AB1" i="100" a="1"/>
  <c r="AB1" i="100" s="1"/>
  <c r="AK1" i="99" a="1"/>
  <c r="AK1" i="99" s="1"/>
  <c r="M1" i="99" a="1"/>
  <c r="M1" i="99" s="1"/>
  <c r="L1" i="99" a="1"/>
  <c r="L1" i="99" s="1"/>
  <c r="Y1" i="100" a="1"/>
  <c r="Y1" i="100" s="1"/>
  <c r="W1" i="99" a="1"/>
  <c r="W1" i="99" s="1"/>
  <c r="AG1" i="99" a="1"/>
  <c r="AG1" i="99" s="1"/>
  <c r="U1" i="99" a="1"/>
  <c r="U1" i="99" s="1"/>
  <c r="I1" i="99" a="1"/>
  <c r="I1" i="99" s="1"/>
  <c r="AH1" i="100" a="1"/>
  <c r="AH1" i="100" s="1"/>
  <c r="V1" i="100" a="1"/>
  <c r="V1" i="100" s="1"/>
  <c r="J1" i="100" a="1"/>
  <c r="J1" i="100" s="1"/>
  <c r="AA1" i="100" a="1"/>
  <c r="AA1" i="100" s="1"/>
  <c r="K1" i="99" a="1"/>
  <c r="K1" i="99" s="1"/>
  <c r="X1" i="100" a="1"/>
  <c r="X1" i="100" s="1"/>
  <c r="AF1" i="99" a="1"/>
  <c r="AF1" i="99" s="1"/>
  <c r="T1" i="99" a="1"/>
  <c r="T1" i="99" s="1"/>
  <c r="H1" i="99" a="1"/>
  <c r="H1" i="99" s="1"/>
  <c r="AG1" i="100" a="1"/>
  <c r="AG1" i="100" s="1"/>
  <c r="U1" i="100" a="1"/>
  <c r="U1" i="100" s="1"/>
  <c r="I1" i="100" a="1"/>
  <c r="I1" i="100" s="1"/>
  <c r="AM1" i="99" a="1"/>
  <c r="AM1" i="99" s="1"/>
  <c r="AN1" i="100" a="1"/>
  <c r="AN1" i="100" s="1"/>
  <c r="P1" i="100" a="1"/>
  <c r="P1" i="100" s="1"/>
  <c r="AK1" i="100" a="1"/>
  <c r="AK1" i="100" s="1"/>
  <c r="M1" i="100" a="1"/>
  <c r="M1" i="100" s="1"/>
  <c r="AE1" i="99" a="1"/>
  <c r="AE1" i="99" s="1"/>
  <c r="S1" i="99" a="1"/>
  <c r="S1" i="99" s="1"/>
  <c r="G1" i="99" a="1"/>
  <c r="G1" i="99" s="1"/>
  <c r="AF1" i="100" a="1"/>
  <c r="AF1" i="100" s="1"/>
  <c r="T1" i="100" a="1"/>
  <c r="T1" i="100" s="1"/>
  <c r="H1" i="100" a="1"/>
  <c r="H1" i="100" s="1"/>
  <c r="AL1" i="99" a="1"/>
  <c r="AL1" i="99" s="1"/>
  <c r="Z1" i="99" a="1"/>
  <c r="Z1" i="99" s="1"/>
  <c r="Y1" i="99" a="1"/>
  <c r="Y1" i="99" s="1"/>
  <c r="AD1" i="99" a="1"/>
  <c r="AD1" i="99" s="1"/>
  <c r="R1" i="99" a="1"/>
  <c r="R1" i="99" s="1"/>
  <c r="F1" i="99" a="1"/>
  <c r="F1" i="99" s="1"/>
  <c r="AE1" i="100" a="1"/>
  <c r="AE1" i="100" s="1"/>
  <c r="S1" i="100" a="1"/>
  <c r="S1" i="100" s="1"/>
  <c r="G1" i="100" a="1"/>
  <c r="G1" i="100" s="1"/>
  <c r="AM1" i="100" a="1"/>
  <c r="AM1" i="100" s="1"/>
  <c r="AL1" i="100" a="1"/>
  <c r="AL1" i="100" s="1"/>
  <c r="Z1" i="100" a="1"/>
  <c r="Z1" i="100" s="1"/>
  <c r="N1" i="100" a="1"/>
  <c r="N1" i="100" s="1"/>
  <c r="AI1" i="99" a="1"/>
  <c r="AI1" i="99" s="1"/>
  <c r="AC1" i="99" a="1"/>
  <c r="AC1" i="99" s="1"/>
  <c r="Q1" i="99" a="1"/>
  <c r="Q1" i="99" s="1"/>
  <c r="AD1" i="100" a="1"/>
  <c r="AD1" i="100" s="1"/>
  <c r="R1" i="100" a="1"/>
  <c r="R1" i="100" s="1"/>
  <c r="F1" i="100" a="1"/>
  <c r="F1" i="100" s="1"/>
  <c r="AA1" i="99" a="1"/>
  <c r="AA1" i="99" s="1"/>
  <c r="N1" i="99" a="1"/>
  <c r="N1" i="99" s="1"/>
  <c r="X1" i="99" a="1"/>
  <c r="X1" i="99" s="1"/>
  <c r="AN1" i="99" a="1"/>
  <c r="AN1" i="99" s="1"/>
  <c r="AB1" i="99" a="1"/>
  <c r="AB1" i="99" s="1"/>
  <c r="P1" i="99" a="1"/>
  <c r="P1" i="99" s="1"/>
  <c r="AC1" i="100" a="1"/>
  <c r="AC1" i="100" s="1"/>
  <c r="Q1" i="100" a="1"/>
  <c r="Q1" i="100" s="1"/>
  <c r="O1" i="99" a="1"/>
  <c r="O1" i="99" s="1"/>
  <c r="O1" i="100" a="1"/>
  <c r="O1" i="100" s="1"/>
  <c r="AJ1" i="99" a="1"/>
  <c r="AJ1" i="99" s="1"/>
  <c r="AJ1" i="100" a="1"/>
  <c r="AJ1" i="100" s="1"/>
  <c r="L1" i="100" a="1"/>
  <c r="L1" i="100" s="1"/>
  <c r="B4" i="96" a="1"/>
  <c r="B4" i="96" s="1"/>
  <c r="Q36" i="99"/>
  <c r="T36" i="99"/>
  <c r="V36" i="99"/>
  <c r="Y36" i="99"/>
  <c r="AB36" i="99"/>
  <c r="AH36" i="99"/>
  <c r="AN36" i="99"/>
  <c r="H36" i="99" a="1"/>
  <c r="H36" i="99" s="1"/>
  <c r="M36" i="99" a="1"/>
  <c r="M36" i="99" s="1"/>
  <c r="AM36" i="99"/>
  <c r="S36" i="100"/>
  <c r="V36" i="100"/>
  <c r="Y36" i="100"/>
  <c r="AA36" i="100"/>
  <c r="AH36" i="100"/>
  <c r="AK36" i="100"/>
  <c r="AN36" i="100"/>
  <c r="R36" i="99"/>
  <c r="U36" i="99"/>
  <c r="W36" i="99"/>
  <c r="AD36" i="99"/>
  <c r="F36" i="99" a="1"/>
  <c r="F36" i="99" s="1"/>
  <c r="T36" i="100"/>
  <c r="W36" i="100"/>
  <c r="AE36" i="100"/>
  <c r="AL36" i="100"/>
  <c r="J36" i="100" a="1"/>
  <c r="J36" i="100" s="1"/>
  <c r="M36" i="100" a="1"/>
  <c r="M36" i="100" s="1"/>
  <c r="I36" i="100" a="1"/>
  <c r="I36" i="100" s="1"/>
  <c r="P36" i="100" a="1"/>
  <c r="P36" i="100" s="1"/>
  <c r="N36" i="100" a="1"/>
  <c r="N36" i="100" s="1"/>
  <c r="I36" i="99" a="1"/>
  <c r="I36" i="99" s="1"/>
  <c r="L36" i="99" a="1"/>
  <c r="L36" i="99" s="1"/>
  <c r="U36" i="100"/>
  <c r="AC36" i="100"/>
  <c r="K36" i="99" a="1"/>
  <c r="K36" i="99" s="1"/>
  <c r="P36" i="99" a="1"/>
  <c r="P36" i="99" s="1"/>
  <c r="AD36" i="100"/>
  <c r="Z36" i="99"/>
  <c r="AJ36" i="99"/>
  <c r="O36" i="99" a="1"/>
  <c r="O36" i="99" s="1"/>
  <c r="R36" i="100"/>
  <c r="AB36" i="100"/>
  <c r="AI36" i="100"/>
  <c r="G36" i="100" a="1"/>
  <c r="G36" i="100" s="1"/>
  <c r="F36" i="100" a="1"/>
  <c r="F36" i="100" s="1"/>
  <c r="L36" i="100" a="1"/>
  <c r="L36" i="100" s="1"/>
  <c r="K36" i="100" a="1"/>
  <c r="K36" i="100" s="1"/>
  <c r="S36" i="99"/>
  <c r="X36" i="99"/>
  <c r="AF36" i="99"/>
  <c r="AK36" i="99"/>
  <c r="J36" i="99" a="1"/>
  <c r="J36" i="99" s="1"/>
  <c r="AC36" i="99"/>
  <c r="AE36" i="99"/>
  <c r="AG36" i="99"/>
  <c r="AL36" i="99"/>
  <c r="Q36" i="100"/>
  <c r="AG36" i="100"/>
  <c r="AM36" i="100"/>
  <c r="AI36" i="99"/>
  <c r="O36" i="100" a="1"/>
  <c r="O36" i="100" s="1"/>
  <c r="H36" i="100" a="1"/>
  <c r="H36" i="100" s="1"/>
  <c r="AA36" i="99"/>
  <c r="G36" i="99" a="1"/>
  <c r="G36" i="99" s="1"/>
  <c r="N36" i="99" a="1"/>
  <c r="N36" i="99" s="1"/>
  <c r="Z36" i="100"/>
  <c r="AJ36" i="100"/>
  <c r="AF36" i="100"/>
  <c r="X36" i="100"/>
  <c r="K58" i="99"/>
  <c r="X58" i="100"/>
  <c r="V58" i="99"/>
  <c r="J58" i="99"/>
  <c r="AA58" i="99"/>
  <c r="M58" i="99"/>
  <c r="AJ58" i="100"/>
  <c r="AE58" i="100"/>
  <c r="AB58" i="100"/>
  <c r="S58" i="100"/>
  <c r="AI58" i="99"/>
  <c r="X58" i="99"/>
  <c r="R58" i="99"/>
  <c r="H58" i="99"/>
  <c r="W58" i="99"/>
  <c r="AI58" i="100"/>
  <c r="AH58" i="99"/>
  <c r="AF58" i="100"/>
  <c r="R58" i="100"/>
  <c r="AE58" i="99"/>
  <c r="L58" i="99"/>
  <c r="Y58" i="99"/>
  <c r="I58" i="99"/>
  <c r="AC58" i="100"/>
  <c r="W58" i="100"/>
  <c r="S58" i="99"/>
  <c r="AL58" i="99"/>
  <c r="P58" i="99"/>
  <c r="Z58" i="99"/>
  <c r="AG58" i="99"/>
  <c r="AM58" i="99"/>
  <c r="H58" i="100"/>
  <c r="K58" i="100"/>
  <c r="M58" i="100"/>
  <c r="P58" i="100"/>
  <c r="I58" i="100"/>
  <c r="AD58" i="100"/>
  <c r="AK58" i="100"/>
  <c r="AK58" i="99"/>
  <c r="N58" i="99"/>
  <c r="AA58" i="100"/>
  <c r="T58" i="100"/>
  <c r="G58" i="100"/>
  <c r="AF58" i="99"/>
  <c r="Q58" i="99"/>
  <c r="AH58" i="100"/>
  <c r="N58" i="100"/>
  <c r="AD58" i="99"/>
  <c r="F58" i="99"/>
  <c r="U58" i="99"/>
  <c r="G58" i="99"/>
  <c r="AN58" i="100"/>
  <c r="Y58" i="100"/>
  <c r="AM58" i="100"/>
  <c r="AL58" i="100"/>
  <c r="AG58" i="100"/>
  <c r="U58" i="100"/>
  <c r="L58" i="100"/>
  <c r="F58" i="100"/>
  <c r="AJ58" i="99"/>
  <c r="AC58" i="99"/>
  <c r="O58" i="99"/>
  <c r="O58" i="100"/>
  <c r="Z58" i="100"/>
  <c r="V58" i="100"/>
  <c r="Q58" i="100"/>
  <c r="J58" i="100"/>
  <c r="AN58" i="99"/>
  <c r="T58" i="99"/>
  <c r="AB58" i="99"/>
  <c r="U48" i="99"/>
  <c r="X48" i="99"/>
  <c r="AI48" i="99"/>
  <c r="I48" i="99" a="1"/>
  <c r="I48" i="99" s="1"/>
  <c r="O48" i="99" a="1"/>
  <c r="O48" i="99" s="1"/>
  <c r="AJ48" i="99"/>
  <c r="T48" i="100"/>
  <c r="Y48" i="100"/>
  <c r="AE48" i="100"/>
  <c r="AI48" i="100"/>
  <c r="AN48" i="100"/>
  <c r="AE48" i="99"/>
  <c r="V48" i="99"/>
  <c r="S48" i="99"/>
  <c r="L48" i="100" a="1"/>
  <c r="L48" i="100" s="1"/>
  <c r="P48" i="100" a="1"/>
  <c r="P48" i="100" s="1"/>
  <c r="G48" i="99" a="1"/>
  <c r="G48" i="99" s="1"/>
  <c r="T48" i="99"/>
  <c r="R48" i="99"/>
  <c r="Z48" i="99"/>
  <c r="AH48" i="100"/>
  <c r="AD48" i="100"/>
  <c r="Z48" i="100"/>
  <c r="S48" i="100"/>
  <c r="AN48" i="99"/>
  <c r="AD48" i="99"/>
  <c r="L48" i="99" a="1"/>
  <c r="L48" i="99" s="1"/>
  <c r="H48" i="99" a="1"/>
  <c r="H48" i="99" s="1"/>
  <c r="AG48" i="99"/>
  <c r="G48" i="100" a="1"/>
  <c r="G48" i="100" s="1"/>
  <c r="H48" i="100" a="1"/>
  <c r="H48" i="100" s="1"/>
  <c r="K48" i="100" a="1"/>
  <c r="K48" i="100" s="1"/>
  <c r="AL48" i="99"/>
  <c r="W48" i="100"/>
  <c r="N48" i="99" a="1"/>
  <c r="N48" i="99" s="1"/>
  <c r="M48" i="100" a="1"/>
  <c r="M48" i="100" s="1"/>
  <c r="AC48" i="99"/>
  <c r="F48" i="99" a="1"/>
  <c r="F48" i="99" s="1"/>
  <c r="K48" i="99" a="1"/>
  <c r="K48" i="99" s="1"/>
  <c r="Y48" i="99"/>
  <c r="AF48" i="99"/>
  <c r="U48" i="100"/>
  <c r="AB48" i="100"/>
  <c r="AJ48" i="100"/>
  <c r="AM48" i="100"/>
  <c r="I48" i="100" a="1"/>
  <c r="I48" i="100" s="1"/>
  <c r="J48" i="100" a="1"/>
  <c r="J48" i="100" s="1"/>
  <c r="O48" i="100" a="1"/>
  <c r="O48" i="100" s="1"/>
  <c r="AA48" i="99"/>
  <c r="AK48" i="99"/>
  <c r="J48" i="99" a="1"/>
  <c r="J48" i="99" s="1"/>
  <c r="M48" i="99" a="1"/>
  <c r="M48" i="99" s="1"/>
  <c r="W48" i="99"/>
  <c r="AB48" i="99"/>
  <c r="AH48" i="99"/>
  <c r="R48" i="100"/>
  <c r="V48" i="100"/>
  <c r="AA48" i="100"/>
  <c r="AG48" i="100"/>
  <c r="AK48" i="100"/>
  <c r="AM48" i="99"/>
  <c r="F48" i="100" a="1"/>
  <c r="F48" i="100" s="1"/>
  <c r="P48" i="99" a="1"/>
  <c r="P48" i="99" s="1"/>
  <c r="Q48" i="100"/>
  <c r="X48" i="100"/>
  <c r="AF48" i="100"/>
  <c r="AL48" i="100"/>
  <c r="AC48" i="100"/>
  <c r="N48" i="100" a="1"/>
  <c r="N48" i="100" s="1"/>
  <c r="Q48" i="99"/>
  <c r="E4" i="88" a="1"/>
  <c r="B4" i="69" a="1"/>
  <c r="AP13" i="85" a="1"/>
  <c r="AP13" i="85" s="1"/>
  <c r="AP12" i="85" a="1"/>
  <c r="AP12" i="85" s="1"/>
  <c r="AP14" i="85" a="1"/>
  <c r="AP14" i="85" s="1"/>
  <c r="AP1" i="85" a="1"/>
  <c r="AP1" i="85" s="1"/>
  <c r="F10" i="84"/>
  <c r="M10" i="34" s="1"/>
  <c r="E10" i="34" s="1"/>
  <c r="H10" i="9"/>
  <c r="G10" i="84"/>
  <c r="N10" i="34" s="1"/>
  <c r="F10" i="34" s="1"/>
  <c r="H10" i="84"/>
  <c r="O10" i="34" s="1"/>
  <c r="G10" i="34" s="1"/>
  <c r="K44" i="34" a="1"/>
  <c r="K44" i="34" s="1"/>
  <c r="J44" i="34" a="1"/>
  <c r="J44" i="34" s="1"/>
  <c r="I44" i="34" a="1"/>
  <c r="I44" i="34" s="1"/>
  <c r="K40" i="34" a="1"/>
  <c r="K40" i="34" s="1"/>
  <c r="J40" i="34" a="1"/>
  <c r="J40" i="34" s="1"/>
  <c r="I40" i="34" a="1"/>
  <c r="I40" i="34" s="1"/>
  <c r="AP5" i="85" a="1"/>
  <c r="AP5" i="85" s="1"/>
  <c r="AP3" i="85" a="1"/>
  <c r="AP3" i="85" s="1"/>
  <c r="AP4" i="85" a="1"/>
  <c r="AP4" i="85" s="1"/>
  <c r="K37" i="34" a="1"/>
  <c r="K37" i="34" s="1"/>
  <c r="J37" i="34" a="1"/>
  <c r="J37" i="34" s="1"/>
  <c r="I37" i="34" a="1"/>
  <c r="I37" i="34" s="1"/>
  <c r="K38" i="34" a="1"/>
  <c r="K38" i="34" s="1"/>
  <c r="J38" i="34" a="1"/>
  <c r="J38" i="34" s="1"/>
  <c r="I38" i="34" a="1"/>
  <c r="I38" i="34" s="1"/>
  <c r="AR1" i="85" a="1"/>
  <c r="AR1" i="85" s="1"/>
  <c r="AQ1" i="85" a="1"/>
  <c r="AQ1" i="85" s="1"/>
  <c r="AR5" i="85" a="1"/>
  <c r="AR5" i="85" s="1"/>
  <c r="AQ5" i="85" a="1"/>
  <c r="AQ5" i="85" s="1"/>
  <c r="AR3" i="85" a="1"/>
  <c r="AR3" i="85" s="1"/>
  <c r="AR13" i="85" a="1"/>
  <c r="AR13" i="85" s="1"/>
  <c r="AQ3" i="85" a="1"/>
  <c r="AQ3" i="85" s="1"/>
  <c r="AQ13" i="85" a="1"/>
  <c r="AQ13" i="85" s="1"/>
  <c r="AR4" i="85" a="1"/>
  <c r="AR4" i="85" s="1"/>
  <c r="AQ4" i="85" a="1"/>
  <c r="AQ4" i="85" s="1"/>
  <c r="AR12" i="85" a="1"/>
  <c r="AR12" i="85" s="1"/>
  <c r="AQ12" i="85" a="1"/>
  <c r="AQ12" i="85" s="1"/>
  <c r="AR14" i="85" a="1"/>
  <c r="AR14" i="85" s="1"/>
  <c r="AQ14" i="85" a="1"/>
  <c r="AQ14" i="85" s="1"/>
  <c r="G10" i="85"/>
  <c r="R10" i="34" s="1"/>
  <c r="H10" i="85"/>
  <c r="S10" i="34" s="1"/>
  <c r="AA1" i="78"/>
  <c r="AA1" i="26" s="1"/>
  <c r="Z1" i="78"/>
  <c r="Z1" i="26" s="1"/>
  <c r="Y1" i="78"/>
  <c r="Y1" i="26" s="1"/>
  <c r="W1" i="78"/>
  <c r="W1" i="26" s="1"/>
  <c r="V1" i="78"/>
  <c r="V1" i="26" s="1"/>
  <c r="U1" i="78"/>
  <c r="U1" i="26" s="1"/>
  <c r="T1" i="78"/>
  <c r="T1" i="26" s="1"/>
  <c r="AJ1" i="78"/>
  <c r="AJ1" i="26" s="1"/>
  <c r="AI1" i="78"/>
  <c r="AI1" i="26" s="1"/>
  <c r="AH1" i="78"/>
  <c r="AH1" i="26" s="1"/>
  <c r="S1" i="78"/>
  <c r="S1" i="26" s="1"/>
  <c r="K1" i="78"/>
  <c r="K1" i="26" s="1"/>
  <c r="R1" i="78"/>
  <c r="R1" i="26" s="1"/>
  <c r="Q1" i="78"/>
  <c r="Q1" i="26" s="1"/>
  <c r="L1" i="78"/>
  <c r="L1" i="26" s="1"/>
  <c r="O1" i="78"/>
  <c r="O1" i="26" s="1"/>
  <c r="N1" i="78"/>
  <c r="N1" i="26" s="1"/>
  <c r="M1" i="78"/>
  <c r="M1" i="26" s="1"/>
  <c r="AG1" i="78"/>
  <c r="AG1" i="26" s="1"/>
  <c r="H1" i="78"/>
  <c r="H1" i="26" s="1"/>
  <c r="AF1" i="78"/>
  <c r="AF1" i="26" s="1"/>
  <c r="F1" i="78"/>
  <c r="F1" i="26" s="1"/>
  <c r="G1" i="78"/>
  <c r="G1" i="26" s="1"/>
  <c r="I1" i="78"/>
  <c r="I1" i="26" s="1"/>
  <c r="AL1" i="78"/>
  <c r="AL1" i="26" s="1"/>
  <c r="AM1" i="78"/>
  <c r="AM1" i="26" s="1"/>
  <c r="AN1" i="78"/>
  <c r="AN1" i="26" s="1"/>
  <c r="P1" i="78"/>
  <c r="P1" i="26" s="1"/>
  <c r="AK1" i="78"/>
  <c r="AK1" i="26" s="1"/>
  <c r="X1" i="78"/>
  <c r="X1" i="26" s="1"/>
  <c r="AE1" i="78"/>
  <c r="AE1" i="26" s="1"/>
  <c r="AD1" i="78"/>
  <c r="AD1" i="26" s="1"/>
  <c r="AC1" i="78"/>
  <c r="AC1" i="26" s="1"/>
  <c r="AB1" i="78"/>
  <c r="AB1" i="26" s="1"/>
  <c r="J1" i="78"/>
  <c r="J1" i="26" s="1"/>
  <c r="H11" i="81"/>
  <c r="G11" i="81"/>
  <c r="F11" i="81"/>
  <c r="AN11" i="81"/>
  <c r="AN12" i="81" s="1"/>
  <c r="J11" i="81"/>
  <c r="K11" i="81"/>
  <c r="L11" i="81"/>
  <c r="M11" i="81"/>
  <c r="N11" i="81"/>
  <c r="O11" i="81"/>
  <c r="P11" i="81"/>
  <c r="Q11" i="81"/>
  <c r="R11" i="81"/>
  <c r="S11" i="81"/>
  <c r="T11" i="81"/>
  <c r="U11" i="81"/>
  <c r="V11" i="81"/>
  <c r="W11" i="81"/>
  <c r="I11" i="81"/>
  <c r="X11" i="81"/>
  <c r="Y11" i="81"/>
  <c r="Z11" i="81"/>
  <c r="AA11" i="81"/>
  <c r="AB11" i="81"/>
  <c r="AC11" i="81"/>
  <c r="AD11" i="81"/>
  <c r="AE11" i="81"/>
  <c r="AF11" i="81"/>
  <c r="AG11" i="81"/>
  <c r="AH11" i="81"/>
  <c r="AI11" i="81"/>
  <c r="AJ11" i="81"/>
  <c r="AK11" i="81"/>
  <c r="AL11" i="81"/>
  <c r="AM11" i="81"/>
  <c r="Z11" i="79"/>
  <c r="W11" i="79"/>
  <c r="U11" i="79"/>
  <c r="Q11" i="79"/>
  <c r="N11" i="79"/>
  <c r="AB11" i="79"/>
  <c r="AG11" i="79"/>
  <c r="AM11" i="79"/>
  <c r="M11" i="79"/>
  <c r="L11" i="79"/>
  <c r="K11" i="79"/>
  <c r="J11" i="79"/>
  <c r="I11" i="79"/>
  <c r="H11" i="79"/>
  <c r="G11" i="79"/>
  <c r="F11" i="79"/>
  <c r="O11" i="79"/>
  <c r="R11" i="79"/>
  <c r="T11" i="79"/>
  <c r="V11" i="79"/>
  <c r="X11" i="79"/>
  <c r="AA11" i="79"/>
  <c r="AC11" i="79"/>
  <c r="AE11" i="79"/>
  <c r="AI11" i="79"/>
  <c r="AK11" i="79"/>
  <c r="AN11" i="79"/>
  <c r="AN12" i="79" s="1"/>
  <c r="AL11" i="79"/>
  <c r="AJ11" i="79"/>
  <c r="AH11" i="79"/>
  <c r="AF11" i="79"/>
  <c r="P11" i="79"/>
  <c r="S11" i="79"/>
  <c r="Y11" i="79"/>
  <c r="AD11" i="79"/>
  <c r="AM11" i="80"/>
  <c r="AJ11" i="80"/>
  <c r="AG11" i="80"/>
  <c r="AI11" i="80"/>
  <c r="Q11" i="80"/>
  <c r="J11" i="80"/>
  <c r="G11" i="80"/>
  <c r="I11" i="80"/>
  <c r="L11" i="80"/>
  <c r="AN11" i="80"/>
  <c r="AN12" i="80" s="1"/>
  <c r="AK11" i="80"/>
  <c r="AH11" i="80"/>
  <c r="AF11" i="80"/>
  <c r="AD11" i="80"/>
  <c r="AB11" i="80"/>
  <c r="Z11" i="80"/>
  <c r="Y11" i="80"/>
  <c r="V11" i="80"/>
  <c r="T11" i="80"/>
  <c r="U11" i="80"/>
  <c r="O11" i="80"/>
  <c r="AL11" i="80"/>
  <c r="R11" i="80"/>
  <c r="M11" i="80"/>
  <c r="K11" i="80"/>
  <c r="H11" i="80"/>
  <c r="F11" i="80"/>
  <c r="N11" i="80"/>
  <c r="P11" i="80"/>
  <c r="S11" i="80"/>
  <c r="W11" i="80"/>
  <c r="X11" i="80"/>
  <c r="AA11" i="80"/>
  <c r="AC11" i="80"/>
  <c r="AE11" i="80"/>
  <c r="M11" i="77"/>
  <c r="N10" i="77" s="1"/>
  <c r="L11" i="77"/>
  <c r="M10" i="77" s="1"/>
  <c r="K11" i="77"/>
  <c r="L10" i="77" s="1"/>
  <c r="J11" i="77"/>
  <c r="K10" i="77" s="1"/>
  <c r="I11" i="77"/>
  <c r="J10" i="77" s="1"/>
  <c r="H11" i="77"/>
  <c r="I10" i="77" s="1"/>
  <c r="G11" i="77"/>
  <c r="H10" i="77" s="1"/>
  <c r="F11" i="77"/>
  <c r="G10" i="77" s="1"/>
  <c r="R11" i="77"/>
  <c r="S10" i="77" s="1"/>
  <c r="S11" i="77"/>
  <c r="T10" i="77" s="1"/>
  <c r="T11" i="77"/>
  <c r="U10" i="77" s="1"/>
  <c r="U11" i="77"/>
  <c r="V10" i="77" s="1"/>
  <c r="V11" i="77"/>
  <c r="W10" i="77" s="1"/>
  <c r="W11" i="77"/>
  <c r="X10" i="77" s="1"/>
  <c r="Y11" i="77"/>
  <c r="Z10" i="77" s="1"/>
  <c r="Z11" i="77"/>
  <c r="AA10" i="77" s="1"/>
  <c r="AA11" i="77"/>
  <c r="AB10" i="77" s="1"/>
  <c r="AB11" i="77"/>
  <c r="AC10" i="77" s="1"/>
  <c r="AC11" i="77"/>
  <c r="AD10" i="77" s="1"/>
  <c r="AD11" i="77"/>
  <c r="AE10" i="77" s="1"/>
  <c r="AE11" i="77"/>
  <c r="AF10" i="77" s="1"/>
  <c r="AF11" i="77"/>
  <c r="AG10" i="77" s="1"/>
  <c r="AG11" i="77"/>
  <c r="AH10" i="77" s="1"/>
  <c r="AH11" i="77"/>
  <c r="AI10" i="77" s="1"/>
  <c r="AI11" i="77"/>
  <c r="AJ10" i="77" s="1"/>
  <c r="X11" i="77"/>
  <c r="Y10" i="77" s="1"/>
  <c r="AK11" i="77"/>
  <c r="AL10" i="77" s="1"/>
  <c r="AL11" i="77"/>
  <c r="AM10" i="77" s="1"/>
  <c r="AM11" i="77"/>
  <c r="AN10" i="77" s="1"/>
  <c r="AJ11" i="77"/>
  <c r="AK10" i="77" s="1"/>
  <c r="AN11" i="77"/>
  <c r="Q11" i="77"/>
  <c r="R10" i="77" s="1"/>
  <c r="P11" i="77"/>
  <c r="Q10" i="77" s="1"/>
  <c r="O11" i="77"/>
  <c r="P10" i="77" s="1"/>
  <c r="N11" i="77"/>
  <c r="O10" i="77" s="1"/>
  <c r="AN58" i="78"/>
  <c r="AL58" i="78"/>
  <c r="AI58" i="78"/>
  <c r="AG58" i="78"/>
  <c r="AE58" i="78"/>
  <c r="AC58" i="78"/>
  <c r="AA58" i="78"/>
  <c r="Y58" i="78"/>
  <c r="W58" i="78"/>
  <c r="T58" i="78"/>
  <c r="S58" i="78"/>
  <c r="Q58" i="78"/>
  <c r="O58" i="78"/>
  <c r="L58" i="78"/>
  <c r="J58" i="78"/>
  <c r="G58" i="78"/>
  <c r="F58" i="78"/>
  <c r="K58" i="78"/>
  <c r="AM58" i="78"/>
  <c r="AK58" i="78"/>
  <c r="AJ58" i="78"/>
  <c r="AH58" i="78"/>
  <c r="AF58" i="78"/>
  <c r="AD58" i="78"/>
  <c r="AB58" i="78"/>
  <c r="Z58" i="78"/>
  <c r="X58" i="78"/>
  <c r="V58" i="78"/>
  <c r="U58" i="78"/>
  <c r="R58" i="78"/>
  <c r="P58" i="78"/>
  <c r="N58" i="78"/>
  <c r="M58" i="78"/>
  <c r="I58" i="78"/>
  <c r="H58" i="78"/>
  <c r="E36" i="22"/>
  <c r="D56" i="17"/>
  <c r="AN36" i="78"/>
  <c r="AM36" i="78"/>
  <c r="AL36" i="78"/>
  <c r="AK36" i="78"/>
  <c r="AJ36" i="78"/>
  <c r="AI36" i="78"/>
  <c r="AH36" i="78"/>
  <c r="AG36" i="78"/>
  <c r="AF36" i="78"/>
  <c r="AE36" i="78"/>
  <c r="AD36" i="78"/>
  <c r="AC36" i="78"/>
  <c r="AB36" i="78"/>
  <c r="AA36" i="78"/>
  <c r="Z36" i="78"/>
  <c r="Y36" i="78"/>
  <c r="X36" i="78"/>
  <c r="W36" i="78"/>
  <c r="V36" i="78"/>
  <c r="U36" i="78"/>
  <c r="T36" i="78"/>
  <c r="S36" i="78"/>
  <c r="R36" i="78"/>
  <c r="Q36" i="78"/>
  <c r="P36" i="78"/>
  <c r="O36" i="78"/>
  <c r="N36" i="78"/>
  <c r="M36" i="78"/>
  <c r="L36" i="78"/>
  <c r="K36" i="78"/>
  <c r="J36" i="78"/>
  <c r="I36" i="78"/>
  <c r="H36" i="78"/>
  <c r="G36" i="78"/>
  <c r="F36" i="78"/>
  <c r="E37" i="17"/>
  <c r="E57" i="17" s="1" a="1"/>
  <c r="E57" i="17" s="1"/>
  <c r="M48" i="78"/>
  <c r="J48" i="78"/>
  <c r="G48" i="78"/>
  <c r="AL48" i="78"/>
  <c r="AG48" i="78"/>
  <c r="AC48" i="78"/>
  <c r="AN48" i="78"/>
  <c r="AJ48" i="78"/>
  <c r="X48" i="78"/>
  <c r="T48" i="78"/>
  <c r="P48" i="78"/>
  <c r="K48" i="78"/>
  <c r="AB48" i="78"/>
  <c r="Y48" i="78"/>
  <c r="V48" i="78"/>
  <c r="R48" i="78"/>
  <c r="AK48" i="78"/>
  <c r="AH48" i="78"/>
  <c r="AD48" i="78"/>
  <c r="Z48" i="78"/>
  <c r="W48" i="78"/>
  <c r="S48" i="78"/>
  <c r="I48" i="78"/>
  <c r="N48" i="78"/>
  <c r="Q48" i="78"/>
  <c r="AF48" i="78"/>
  <c r="O48" i="78"/>
  <c r="L48" i="78"/>
  <c r="F48" i="78"/>
  <c r="H48" i="78"/>
  <c r="U48" i="78"/>
  <c r="AM48" i="78"/>
  <c r="AI48" i="78"/>
  <c r="AE48" i="78"/>
  <c r="AA48" i="78"/>
  <c r="AN1" i="17"/>
  <c r="AL1" i="17"/>
  <c r="AJ1" i="17"/>
  <c r="AH1" i="17"/>
  <c r="AC1" i="17"/>
  <c r="AA1" i="17"/>
  <c r="Y1" i="17"/>
  <c r="W1" i="17"/>
  <c r="U1" i="17"/>
  <c r="S1" i="17"/>
  <c r="Q1" i="17"/>
  <c r="O1" i="17"/>
  <c r="M1" i="17"/>
  <c r="K1" i="17"/>
  <c r="I1" i="17"/>
  <c r="AM1" i="17"/>
  <c r="AK1" i="17"/>
  <c r="AI1" i="17"/>
  <c r="AG1" i="17"/>
  <c r="AD1" i="17"/>
  <c r="AB1" i="17"/>
  <c r="AF1" i="17"/>
  <c r="F1" i="17"/>
  <c r="Z1" i="17"/>
  <c r="X1" i="17"/>
  <c r="V1" i="17"/>
  <c r="T1" i="17"/>
  <c r="R1" i="17"/>
  <c r="P1" i="17"/>
  <c r="N1" i="17"/>
  <c r="L1" i="17"/>
  <c r="J1" i="17"/>
  <c r="G1" i="17"/>
  <c r="AE1" i="17"/>
  <c r="H1" i="17"/>
  <c r="AF9" i="17"/>
  <c r="AA9" i="17"/>
  <c r="V9" i="17"/>
  <c r="Q9" i="17"/>
  <c r="K9" i="17"/>
  <c r="F9" i="17"/>
  <c r="AN11" i="78"/>
  <c r="AG11" i="78"/>
  <c r="O9" i="17"/>
  <c r="H9" i="17"/>
  <c r="AM9" i="17"/>
  <c r="AJ9" i="17"/>
  <c r="AI9" i="17"/>
  <c r="AC9" i="17"/>
  <c r="X9" i="17"/>
  <c r="R9" i="17"/>
  <c r="L9" i="17"/>
  <c r="AJ11" i="78"/>
  <c r="AD11" i="78"/>
  <c r="Z11" i="78"/>
  <c r="S11" i="78"/>
  <c r="N11" i="78"/>
  <c r="I11" i="78"/>
  <c r="F11" i="78"/>
  <c r="AL9" i="17"/>
  <c r="AH9" i="17"/>
  <c r="AD9" i="17"/>
  <c r="U9" i="17"/>
  <c r="N9" i="17"/>
  <c r="J9" i="17"/>
  <c r="AK11" i="78"/>
  <c r="AF11" i="78"/>
  <c r="Y11" i="78"/>
  <c r="U11" i="78"/>
  <c r="M11" i="78"/>
  <c r="H11" i="78"/>
  <c r="R11" i="78"/>
  <c r="I9" i="17"/>
  <c r="AL11" i="78"/>
  <c r="AH11" i="78"/>
  <c r="AG9" i="17"/>
  <c r="AB9" i="17"/>
  <c r="Y9" i="17"/>
  <c r="T9" i="17"/>
  <c r="AE11" i="78"/>
  <c r="AA11" i="78"/>
  <c r="W11" i="78"/>
  <c r="P11" i="78"/>
  <c r="L11" i="78"/>
  <c r="G11" i="78"/>
  <c r="AK9" i="17"/>
  <c r="V11" i="78"/>
  <c r="AC11" i="78"/>
  <c r="Q11" i="78"/>
  <c r="J11" i="78"/>
  <c r="AN9" i="17"/>
  <c r="AE9" i="17"/>
  <c r="Z9" i="17"/>
  <c r="W9" i="17"/>
  <c r="S9" i="17"/>
  <c r="P9" i="17"/>
  <c r="M9" i="17"/>
  <c r="G9" i="17"/>
  <c r="AM11" i="78"/>
  <c r="AI11" i="78"/>
  <c r="AB11" i="78"/>
  <c r="X11" i="78"/>
  <c r="T11" i="78"/>
  <c r="O11" i="78"/>
  <c r="K11" i="78"/>
  <c r="AH56" i="70" l="1" a="1"/>
  <c r="AH56" i="70" s="1"/>
  <c r="N56" i="70" a="1"/>
  <c r="N56" i="70" s="1"/>
  <c r="O56" i="70" a="1"/>
  <c r="O56" i="70" s="1"/>
  <c r="P56" i="70" a="1"/>
  <c r="P56" i="70" s="1"/>
  <c r="Q56" i="70" a="1"/>
  <c r="Q56" i="70" s="1"/>
  <c r="R56" i="70" a="1"/>
  <c r="R56" i="70" s="1"/>
  <c r="T56" i="70" a="1"/>
  <c r="T56" i="70" s="1"/>
  <c r="S56" i="70" a="1"/>
  <c r="S56" i="70" s="1"/>
  <c r="U56" i="70" a="1"/>
  <c r="U56" i="70" s="1"/>
  <c r="V56" i="70" a="1"/>
  <c r="V56" i="70" s="1"/>
  <c r="W56" i="70" a="1"/>
  <c r="W56" i="70" s="1"/>
  <c r="X56" i="70" a="1"/>
  <c r="X56" i="70" s="1"/>
  <c r="Y56" i="70" a="1"/>
  <c r="Y56" i="70" s="1"/>
  <c r="Z56" i="70" a="1"/>
  <c r="Z56" i="70" s="1"/>
  <c r="AA56" i="70" a="1"/>
  <c r="AA56" i="70" s="1"/>
  <c r="AB56" i="70" a="1"/>
  <c r="AB56" i="70" s="1"/>
  <c r="K56" i="70" a="1"/>
  <c r="K56" i="70" s="1"/>
  <c r="AC56" i="70" a="1"/>
  <c r="AC56" i="70" s="1"/>
  <c r="AD56" i="70" a="1"/>
  <c r="AD56" i="70" s="1"/>
  <c r="AE56" i="70" a="1"/>
  <c r="AE56" i="70" s="1"/>
  <c r="AF56" i="70" a="1"/>
  <c r="AF56" i="70" s="1"/>
  <c r="AG56" i="70" a="1"/>
  <c r="AG56" i="70" s="1"/>
  <c r="AJ56" i="70" a="1"/>
  <c r="AJ56" i="70" s="1"/>
  <c r="AI56" i="70" a="1"/>
  <c r="AI56" i="70" s="1"/>
  <c r="AK56" i="70" a="1"/>
  <c r="AK56" i="70" s="1"/>
  <c r="AL56" i="70" a="1"/>
  <c r="AL56" i="70" s="1"/>
  <c r="AM56" i="70" a="1"/>
  <c r="AM56" i="70" s="1"/>
  <c r="AN56" i="70" a="1"/>
  <c r="AN56" i="70" s="1"/>
  <c r="L56" i="70" a="1"/>
  <c r="L56" i="70" s="1"/>
  <c r="M56" i="70" a="1"/>
  <c r="M56" i="70" s="1"/>
  <c r="O56" i="60" a="1"/>
  <c r="O56" i="60" s="1"/>
  <c r="Q56" i="60" a="1"/>
  <c r="Q56" i="60" s="1"/>
  <c r="T56" i="60" a="1"/>
  <c r="T56" i="60" s="1"/>
  <c r="V56" i="60" a="1"/>
  <c r="V56" i="60" s="1"/>
  <c r="X56" i="60" a="1"/>
  <c r="X56" i="60" s="1"/>
  <c r="Z56" i="60" a="1"/>
  <c r="Z56" i="60" s="1"/>
  <c r="AB56" i="60" a="1"/>
  <c r="AB56" i="60" s="1"/>
  <c r="AF56" i="60" a="1"/>
  <c r="AF56" i="60" s="1"/>
  <c r="AM56" i="60" a="1"/>
  <c r="AM56" i="60" s="1"/>
  <c r="AG56" i="60" a="1"/>
  <c r="AG56" i="60" s="1"/>
  <c r="AI56" i="60" a="1"/>
  <c r="AI56" i="60" s="1"/>
  <c r="AJ56" i="60" a="1"/>
  <c r="AJ56" i="60" s="1"/>
  <c r="AK56" i="60" a="1"/>
  <c r="AK56" i="60" s="1"/>
  <c r="AL56" i="60" a="1"/>
  <c r="AL56" i="60" s="1"/>
  <c r="AN56" i="60" a="1"/>
  <c r="AN56" i="60" s="1"/>
  <c r="L56" i="60" a="1"/>
  <c r="L56" i="60" s="1"/>
  <c r="N56" i="60" a="1"/>
  <c r="N56" i="60" s="1"/>
  <c r="P56" i="60" a="1"/>
  <c r="P56" i="60" s="1"/>
  <c r="R56" i="60" a="1"/>
  <c r="R56" i="60" s="1"/>
  <c r="S56" i="60" a="1"/>
  <c r="S56" i="60" s="1"/>
  <c r="U56" i="60" a="1"/>
  <c r="U56" i="60" s="1"/>
  <c r="W56" i="60" a="1"/>
  <c r="W56" i="60" s="1"/>
  <c r="Y56" i="60" a="1"/>
  <c r="Y56" i="60" s="1"/>
  <c r="AA56" i="60" a="1"/>
  <c r="AA56" i="60" s="1"/>
  <c r="AC56" i="60" a="1"/>
  <c r="AC56" i="60" s="1"/>
  <c r="AD56" i="60" a="1"/>
  <c r="AD56" i="60" s="1"/>
  <c r="AH56" i="60" a="1"/>
  <c r="AH56" i="60" s="1"/>
  <c r="AE56" i="60" a="1"/>
  <c r="AE56" i="60" s="1"/>
  <c r="K56" i="60" a="1"/>
  <c r="K56" i="60" s="1"/>
  <c r="M56" i="60" a="1"/>
  <c r="M56" i="60" s="1"/>
  <c r="AI56" i="19" a="1"/>
  <c r="AI56" i="19" s="1"/>
  <c r="AH56" i="19" a="1"/>
  <c r="AH56" i="19" s="1"/>
  <c r="AG56" i="19" a="1"/>
  <c r="AG56" i="19" s="1"/>
  <c r="AF56" i="19" a="1"/>
  <c r="AF56" i="19" s="1"/>
  <c r="AE56" i="19" a="1"/>
  <c r="AE56" i="19" s="1"/>
  <c r="AD56" i="19" a="1"/>
  <c r="AD56" i="19" s="1"/>
  <c r="AC56" i="19" a="1"/>
  <c r="AC56" i="19" s="1"/>
  <c r="AB56" i="19" a="1"/>
  <c r="AB56" i="19" s="1"/>
  <c r="AA56" i="19" a="1"/>
  <c r="AA56" i="19" s="1"/>
  <c r="Z56" i="19" a="1"/>
  <c r="Z56" i="19" s="1"/>
  <c r="Y56" i="19" a="1"/>
  <c r="Y56" i="19" s="1"/>
  <c r="X56" i="19" a="1"/>
  <c r="X56" i="19" s="1"/>
  <c r="W56" i="19" a="1"/>
  <c r="W56" i="19" s="1"/>
  <c r="V56" i="19" a="1"/>
  <c r="V56" i="19" s="1"/>
  <c r="U56" i="19" a="1"/>
  <c r="U56" i="19" s="1"/>
  <c r="T56" i="19" a="1"/>
  <c r="T56" i="19" s="1"/>
  <c r="S56" i="19" a="1"/>
  <c r="S56" i="19" s="1"/>
  <c r="R56" i="19" a="1"/>
  <c r="R56" i="19" s="1"/>
  <c r="Q56" i="19" a="1"/>
  <c r="Q56" i="19" s="1"/>
  <c r="P56" i="19" a="1"/>
  <c r="P56" i="19" s="1"/>
  <c r="N56" i="19" a="1"/>
  <c r="N56" i="19" s="1"/>
  <c r="M56" i="19" a="1"/>
  <c r="M56" i="19" s="1"/>
  <c r="L56" i="19" a="1"/>
  <c r="L56" i="19" s="1"/>
  <c r="K56" i="19" a="1"/>
  <c r="K56" i="19" s="1"/>
  <c r="AL56" i="19" a="1"/>
  <c r="AL56" i="19" s="1"/>
  <c r="AN56" i="19" a="1"/>
  <c r="AN56" i="19" s="1"/>
  <c r="AM56" i="19" a="1"/>
  <c r="AM56" i="19" s="1"/>
  <c r="O56" i="19" a="1"/>
  <c r="O56" i="19" s="1"/>
  <c r="AK56" i="19" a="1"/>
  <c r="AK56" i="19" s="1"/>
  <c r="AJ56" i="19" a="1"/>
  <c r="AJ56" i="19" s="1"/>
  <c r="X56" i="29" a="1"/>
  <c r="X56" i="29" s="1"/>
  <c r="O56" i="29" a="1"/>
  <c r="O56" i="29" s="1"/>
  <c r="P56" i="29" a="1"/>
  <c r="P56" i="29" s="1"/>
  <c r="Q56" i="29" a="1"/>
  <c r="Q56" i="29" s="1"/>
  <c r="R56" i="29" a="1"/>
  <c r="R56" i="29" s="1"/>
  <c r="S56" i="29" a="1"/>
  <c r="S56" i="29" s="1"/>
  <c r="T56" i="29" a="1"/>
  <c r="T56" i="29" s="1"/>
  <c r="U56" i="29" a="1"/>
  <c r="U56" i="29" s="1"/>
  <c r="V56" i="29" a="1"/>
  <c r="V56" i="29" s="1"/>
  <c r="W56" i="29" a="1"/>
  <c r="W56" i="29" s="1"/>
  <c r="AE56" i="29" a="1"/>
  <c r="AE56" i="29" s="1"/>
  <c r="Z56" i="29" a="1"/>
  <c r="Z56" i="29" s="1"/>
  <c r="AA56" i="29" a="1"/>
  <c r="AA56" i="29" s="1"/>
  <c r="Y56" i="29" a="1"/>
  <c r="Y56" i="29" s="1"/>
  <c r="K56" i="29" a="1"/>
  <c r="K56" i="29" s="1"/>
  <c r="L56" i="29" a="1"/>
  <c r="L56" i="29" s="1"/>
  <c r="M56" i="29" a="1"/>
  <c r="M56" i="29" s="1"/>
  <c r="N56" i="29" a="1"/>
  <c r="N56" i="29" s="1"/>
  <c r="AB56" i="29" a="1"/>
  <c r="AB56" i="29" s="1"/>
  <c r="AC56" i="29" a="1"/>
  <c r="AC56" i="29" s="1"/>
  <c r="AD56" i="29" a="1"/>
  <c r="AD56" i="29" s="1"/>
  <c r="AF56" i="29" a="1"/>
  <c r="AF56" i="29" s="1"/>
  <c r="AG56" i="29" a="1"/>
  <c r="AG56" i="29" s="1"/>
  <c r="AH56" i="29" a="1"/>
  <c r="AH56" i="29" s="1"/>
  <c r="AI56" i="29" a="1"/>
  <c r="AI56" i="29" s="1"/>
  <c r="AJ56" i="29" a="1"/>
  <c r="AJ56" i="29" s="1"/>
  <c r="AK56" i="29" a="1"/>
  <c r="AK56" i="29" s="1"/>
  <c r="AL56" i="29" a="1"/>
  <c r="AL56" i="29" s="1"/>
  <c r="AM56" i="29" a="1"/>
  <c r="AM56" i="29" s="1"/>
  <c r="AN56" i="29" a="1"/>
  <c r="AN56" i="29" s="1"/>
  <c r="Z56" i="67" a="1"/>
  <c r="Z56" i="67" s="1"/>
  <c r="AA56" i="67" a="1"/>
  <c r="AA56" i="67" s="1"/>
  <c r="AB56" i="67" a="1"/>
  <c r="AB56" i="67" s="1"/>
  <c r="AC56" i="67" a="1"/>
  <c r="AC56" i="67" s="1"/>
  <c r="AD56" i="67" a="1"/>
  <c r="AD56" i="67" s="1"/>
  <c r="AE56" i="67" a="1"/>
  <c r="AE56" i="67" s="1"/>
  <c r="AF56" i="67" a="1"/>
  <c r="AF56" i="67" s="1"/>
  <c r="AG56" i="67" a="1"/>
  <c r="AG56" i="67" s="1"/>
  <c r="AH56" i="67" a="1"/>
  <c r="AH56" i="67" s="1"/>
  <c r="AK56" i="67" a="1"/>
  <c r="AK56" i="67" s="1"/>
  <c r="AL56" i="67" a="1"/>
  <c r="AL56" i="67" s="1"/>
  <c r="AM56" i="67" a="1"/>
  <c r="AM56" i="67" s="1"/>
  <c r="AN56" i="67" a="1"/>
  <c r="AN56" i="67" s="1"/>
  <c r="L56" i="67" a="1"/>
  <c r="L56" i="67" s="1"/>
  <c r="K56" i="67" a="1"/>
  <c r="K56" i="67" s="1"/>
  <c r="W56" i="67" a="1"/>
  <c r="W56" i="67" s="1"/>
  <c r="M56" i="67" a="1"/>
  <c r="M56" i="67" s="1"/>
  <c r="N56" i="67" a="1"/>
  <c r="N56" i="67" s="1"/>
  <c r="O56" i="67" a="1"/>
  <c r="O56" i="67" s="1"/>
  <c r="P56" i="67" a="1"/>
  <c r="P56" i="67" s="1"/>
  <c r="Q56" i="67" a="1"/>
  <c r="Q56" i="67" s="1"/>
  <c r="R56" i="67" a="1"/>
  <c r="R56" i="67" s="1"/>
  <c r="S56" i="67" a="1"/>
  <c r="S56" i="67" s="1"/>
  <c r="T56" i="67" a="1"/>
  <c r="T56" i="67" s="1"/>
  <c r="U56" i="67" a="1"/>
  <c r="U56" i="67" s="1"/>
  <c r="V56" i="67" a="1"/>
  <c r="V56" i="67" s="1"/>
  <c r="X56" i="67" a="1"/>
  <c r="X56" i="67" s="1"/>
  <c r="Y56" i="67" a="1"/>
  <c r="Y56" i="67" s="1"/>
  <c r="AJ56" i="67" a="1"/>
  <c r="AJ56" i="67" s="1"/>
  <c r="AI56" i="67" a="1"/>
  <c r="AI56" i="67" s="1"/>
  <c r="AM56" i="52" a="1"/>
  <c r="AM56" i="52" s="1"/>
  <c r="AL56" i="52" a="1"/>
  <c r="AL56" i="52" s="1"/>
  <c r="AK56" i="52" a="1"/>
  <c r="AK56" i="52" s="1"/>
  <c r="AJ56" i="52" a="1"/>
  <c r="AJ56" i="52" s="1"/>
  <c r="AI56" i="52" a="1"/>
  <c r="AI56" i="52" s="1"/>
  <c r="AH56" i="52" a="1"/>
  <c r="AH56" i="52" s="1"/>
  <c r="M56" i="52" a="1"/>
  <c r="M56" i="52" s="1"/>
  <c r="AG56" i="52" a="1"/>
  <c r="AG56" i="52" s="1"/>
  <c r="AF56" i="52" a="1"/>
  <c r="AF56" i="52" s="1"/>
  <c r="AE56" i="52" a="1"/>
  <c r="AE56" i="52" s="1"/>
  <c r="AD56" i="52" a="1"/>
  <c r="AD56" i="52" s="1"/>
  <c r="AC56" i="52" a="1"/>
  <c r="AC56" i="52" s="1"/>
  <c r="AB56" i="52" a="1"/>
  <c r="AB56" i="52" s="1"/>
  <c r="AA56" i="52" a="1"/>
  <c r="AA56" i="52" s="1"/>
  <c r="Z56" i="52" a="1"/>
  <c r="Z56" i="52" s="1"/>
  <c r="Y56" i="52" a="1"/>
  <c r="Y56" i="52" s="1"/>
  <c r="X56" i="52" a="1"/>
  <c r="X56" i="52" s="1"/>
  <c r="W56" i="52" a="1"/>
  <c r="W56" i="52" s="1"/>
  <c r="V56" i="52" a="1"/>
  <c r="V56" i="52" s="1"/>
  <c r="U56" i="52" a="1"/>
  <c r="U56" i="52" s="1"/>
  <c r="T56" i="52" a="1"/>
  <c r="T56" i="52" s="1"/>
  <c r="AN56" i="52" a="1"/>
  <c r="AN56" i="52" s="1"/>
  <c r="S56" i="52" a="1"/>
  <c r="S56" i="52" s="1"/>
  <c r="R56" i="52" a="1"/>
  <c r="R56" i="52" s="1"/>
  <c r="Q56" i="52" a="1"/>
  <c r="Q56" i="52" s="1"/>
  <c r="P56" i="52" a="1"/>
  <c r="P56" i="52" s="1"/>
  <c r="O56" i="52" a="1"/>
  <c r="O56" i="52" s="1"/>
  <c r="N56" i="52" a="1"/>
  <c r="N56" i="52" s="1"/>
  <c r="L56" i="52" a="1"/>
  <c r="L56" i="52" s="1"/>
  <c r="K56" i="52" a="1"/>
  <c r="K56" i="52" s="1"/>
  <c r="AL56" i="88" a="1"/>
  <c r="AL56" i="88" s="1"/>
  <c r="AK56" i="88" a="1"/>
  <c r="AK56" i="88" s="1"/>
  <c r="AJ56" i="88" a="1"/>
  <c r="AJ56" i="88" s="1"/>
  <c r="AI56" i="88" a="1"/>
  <c r="AI56" i="88" s="1"/>
  <c r="AH56" i="88" a="1"/>
  <c r="AH56" i="88" s="1"/>
  <c r="AG56" i="88" a="1"/>
  <c r="AG56" i="88" s="1"/>
  <c r="AE56" i="88" a="1"/>
  <c r="AE56" i="88" s="1"/>
  <c r="AD56" i="88" a="1"/>
  <c r="AD56" i="88" s="1"/>
  <c r="AC56" i="88" a="1"/>
  <c r="AC56" i="88" s="1"/>
  <c r="AB56" i="88" a="1"/>
  <c r="AB56" i="88" s="1"/>
  <c r="AA56" i="88" a="1"/>
  <c r="AA56" i="88" s="1"/>
  <c r="Z56" i="88" a="1"/>
  <c r="Z56" i="88" s="1"/>
  <c r="Y56" i="88" a="1"/>
  <c r="Y56" i="88" s="1"/>
  <c r="X56" i="88" a="1"/>
  <c r="X56" i="88" s="1"/>
  <c r="W56" i="88" a="1"/>
  <c r="W56" i="88" s="1"/>
  <c r="V56" i="88" a="1"/>
  <c r="V56" i="88" s="1"/>
  <c r="U56" i="88" a="1"/>
  <c r="U56" i="88" s="1"/>
  <c r="T56" i="88" a="1"/>
  <c r="T56" i="88" s="1"/>
  <c r="S56" i="88" a="1"/>
  <c r="S56" i="88" s="1"/>
  <c r="R56" i="88" a="1"/>
  <c r="R56" i="88" s="1"/>
  <c r="Q56" i="88" a="1"/>
  <c r="Q56" i="88" s="1"/>
  <c r="P56" i="88" a="1"/>
  <c r="P56" i="88" s="1"/>
  <c r="O56" i="88" a="1"/>
  <c r="O56" i="88" s="1"/>
  <c r="N56" i="88" a="1"/>
  <c r="N56" i="88" s="1"/>
  <c r="M56" i="88" a="1"/>
  <c r="M56" i="88" s="1"/>
  <c r="L56" i="88" a="1"/>
  <c r="L56" i="88" s="1"/>
  <c r="K56" i="88" a="1"/>
  <c r="K56" i="88" s="1"/>
  <c r="AF56" i="88" a="1"/>
  <c r="AF56" i="88" s="1"/>
  <c r="AN56" i="88" a="1"/>
  <c r="AN56" i="88" s="1"/>
  <c r="AM56" i="88" a="1"/>
  <c r="AM56" i="88" s="1"/>
  <c r="V56" i="45" a="1"/>
  <c r="V56" i="45" s="1"/>
  <c r="R56" i="45" a="1"/>
  <c r="R56" i="45" s="1"/>
  <c r="AN56" i="45" a="1"/>
  <c r="AN56" i="45" s="1"/>
  <c r="W56" i="45" a="1"/>
  <c r="W56" i="45" s="1"/>
  <c r="Z56" i="45" a="1"/>
  <c r="Z56" i="45" s="1"/>
  <c r="AG56" i="45" a="1"/>
  <c r="AG56" i="45" s="1"/>
  <c r="AA56" i="45" a="1"/>
  <c r="AA56" i="45" s="1"/>
  <c r="AC56" i="45" a="1"/>
  <c r="AC56" i="45" s="1"/>
  <c r="AE56" i="45" a="1"/>
  <c r="AE56" i="45" s="1"/>
  <c r="AI56" i="45" a="1"/>
  <c r="AI56" i="45" s="1"/>
  <c r="AM56" i="45" a="1"/>
  <c r="AM56" i="45" s="1"/>
  <c r="N56" i="45" a="1"/>
  <c r="N56" i="45" s="1"/>
  <c r="AK56" i="45" a="1"/>
  <c r="AK56" i="45" s="1"/>
  <c r="T56" i="45" a="1"/>
  <c r="T56" i="45" s="1"/>
  <c r="AL56" i="45" a="1"/>
  <c r="AL56" i="45" s="1"/>
  <c r="AJ56" i="45" a="1"/>
  <c r="AJ56" i="45" s="1"/>
  <c r="AH56" i="45" a="1"/>
  <c r="AH56" i="45" s="1"/>
  <c r="AF56" i="45" a="1"/>
  <c r="AF56" i="45" s="1"/>
  <c r="AD56" i="45" a="1"/>
  <c r="AD56" i="45" s="1"/>
  <c r="AB56" i="45" a="1"/>
  <c r="AB56" i="45" s="1"/>
  <c r="Y56" i="45" a="1"/>
  <c r="Y56" i="45" s="1"/>
  <c r="X56" i="45" a="1"/>
  <c r="X56" i="45" s="1"/>
  <c r="K56" i="45" a="1"/>
  <c r="K56" i="45" s="1"/>
  <c r="U56" i="45" a="1"/>
  <c r="U56" i="45" s="1"/>
  <c r="S56" i="45" a="1"/>
  <c r="S56" i="45" s="1"/>
  <c r="L56" i="45" a="1"/>
  <c r="L56" i="45" s="1"/>
  <c r="M56" i="45" a="1"/>
  <c r="M56" i="45" s="1"/>
  <c r="O56" i="45" a="1"/>
  <c r="O56" i="45" s="1"/>
  <c r="P56" i="45" a="1"/>
  <c r="P56" i="45" s="1"/>
  <c r="Q56" i="45" a="1"/>
  <c r="Q56" i="45" s="1"/>
  <c r="AC56" i="13" a="1"/>
  <c r="AC56" i="13" s="1"/>
  <c r="AD56" i="13" a="1"/>
  <c r="AD56" i="13" s="1"/>
  <c r="AF56" i="13" a="1"/>
  <c r="AF56" i="13" s="1"/>
  <c r="AG56" i="13" a="1"/>
  <c r="AG56" i="13" s="1"/>
  <c r="AH56" i="13" a="1"/>
  <c r="AH56" i="13" s="1"/>
  <c r="AI56" i="13" a="1"/>
  <c r="AI56" i="13" s="1"/>
  <c r="AJ56" i="13" a="1"/>
  <c r="AJ56" i="13" s="1"/>
  <c r="AK56" i="13" a="1"/>
  <c r="AK56" i="13" s="1"/>
  <c r="AL56" i="13" a="1"/>
  <c r="AL56" i="13" s="1"/>
  <c r="AM56" i="13" a="1"/>
  <c r="AM56" i="13" s="1"/>
  <c r="AE56" i="13" a="1"/>
  <c r="AE56" i="13" s="1"/>
  <c r="AN56" i="13" a="1"/>
  <c r="AN56" i="13" s="1"/>
  <c r="K56" i="13" a="1"/>
  <c r="K56" i="13" s="1"/>
  <c r="L56" i="13" a="1"/>
  <c r="L56" i="13" s="1"/>
  <c r="M56" i="13" a="1"/>
  <c r="M56" i="13" s="1"/>
  <c r="T56" i="13" a="1"/>
  <c r="T56" i="13" s="1"/>
  <c r="N56" i="13" a="1"/>
  <c r="N56" i="13" s="1"/>
  <c r="O56" i="13" a="1"/>
  <c r="O56" i="13" s="1"/>
  <c r="P56" i="13" a="1"/>
  <c r="P56" i="13" s="1"/>
  <c r="Q56" i="13" a="1"/>
  <c r="Q56" i="13" s="1"/>
  <c r="R56" i="13" a="1"/>
  <c r="R56" i="13" s="1"/>
  <c r="S56" i="13" a="1"/>
  <c r="S56" i="13" s="1"/>
  <c r="U56" i="13" a="1"/>
  <c r="U56" i="13" s="1"/>
  <c r="V56" i="13" a="1"/>
  <c r="V56" i="13" s="1"/>
  <c r="W56" i="13" a="1"/>
  <c r="W56" i="13" s="1"/>
  <c r="X56" i="13" a="1"/>
  <c r="X56" i="13" s="1"/>
  <c r="Y56" i="13" a="1"/>
  <c r="Y56" i="13" s="1"/>
  <c r="Z56" i="13" a="1"/>
  <c r="Z56" i="13" s="1"/>
  <c r="AA56" i="13" a="1"/>
  <c r="AA56" i="13" s="1"/>
  <c r="AB56" i="13" a="1"/>
  <c r="AB56" i="13" s="1"/>
  <c r="O56" i="25" a="1"/>
  <c r="O56" i="25" s="1"/>
  <c r="P56" i="25" a="1"/>
  <c r="P56" i="25" s="1"/>
  <c r="Q56" i="25" a="1"/>
  <c r="Q56" i="25" s="1"/>
  <c r="R56" i="25" a="1"/>
  <c r="R56" i="25" s="1"/>
  <c r="S56" i="25" a="1"/>
  <c r="S56" i="25" s="1"/>
  <c r="T56" i="25" a="1"/>
  <c r="T56" i="25" s="1"/>
  <c r="U56" i="25" a="1"/>
  <c r="U56" i="25" s="1"/>
  <c r="V56" i="25" a="1"/>
  <c r="V56" i="25" s="1"/>
  <c r="W56" i="25" a="1"/>
  <c r="W56" i="25" s="1"/>
  <c r="X56" i="25" a="1"/>
  <c r="X56" i="25" s="1"/>
  <c r="Z56" i="25" a="1"/>
  <c r="Z56" i="25" s="1"/>
  <c r="AD56" i="25" a="1"/>
  <c r="AD56" i="25" s="1"/>
  <c r="AK56" i="25" a="1"/>
  <c r="AK56" i="25" s="1"/>
  <c r="AC56" i="25" a="1"/>
  <c r="AC56" i="25" s="1"/>
  <c r="AB56" i="25" a="1"/>
  <c r="AB56" i="25" s="1"/>
  <c r="Y56" i="25" a="1"/>
  <c r="Y56" i="25" s="1"/>
  <c r="AN56" i="25" a="1"/>
  <c r="AN56" i="25" s="1"/>
  <c r="AM56" i="25" a="1"/>
  <c r="AM56" i="25" s="1"/>
  <c r="N56" i="25" a="1"/>
  <c r="N56" i="25" s="1"/>
  <c r="AL56" i="25" a="1"/>
  <c r="AL56" i="25" s="1"/>
  <c r="AJ56" i="25" a="1"/>
  <c r="AJ56" i="25" s="1"/>
  <c r="M56" i="25" a="1"/>
  <c r="M56" i="25" s="1"/>
  <c r="AI56" i="25" a="1"/>
  <c r="AI56" i="25" s="1"/>
  <c r="AH56" i="25" a="1"/>
  <c r="AH56" i="25" s="1"/>
  <c r="AA56" i="25" a="1"/>
  <c r="AA56" i="25" s="1"/>
  <c r="AG56" i="25" a="1"/>
  <c r="AG56" i="25" s="1"/>
  <c r="AF56" i="25" a="1"/>
  <c r="AF56" i="25" s="1"/>
  <c r="L56" i="25" a="1"/>
  <c r="L56" i="25" s="1"/>
  <c r="K56" i="25" a="1"/>
  <c r="K56" i="25" s="1"/>
  <c r="AE56" i="25" a="1"/>
  <c r="AE56" i="25" s="1"/>
  <c r="AR16" i="85"/>
  <c r="AQ16" i="85"/>
  <c r="AP16" i="85"/>
  <c r="E21" i="73"/>
  <c r="E21" i="31"/>
  <c r="E6" i="31"/>
  <c r="E21" i="30"/>
  <c r="E6" i="30"/>
  <c r="E21" i="90"/>
  <c r="E6" i="90"/>
  <c r="E21" i="24"/>
  <c r="E21" i="89"/>
  <c r="E6" i="89"/>
  <c r="E6" i="23"/>
  <c r="E21" i="23"/>
  <c r="E21" i="88"/>
  <c r="E21" i="37"/>
  <c r="E6" i="37"/>
  <c r="E6" i="35"/>
  <c r="E37" i="41" a="1"/>
  <c r="E37" i="29"/>
  <c r="E37" i="70"/>
  <c r="E37" i="52"/>
  <c r="E37" i="67"/>
  <c r="E37" i="88"/>
  <c r="E37" i="45"/>
  <c r="E37" i="19"/>
  <c r="E37" i="60"/>
  <c r="E37" i="13"/>
  <c r="E37" i="25"/>
  <c r="E37" i="30" a="1"/>
  <c r="E37" i="23" a="1"/>
  <c r="E37" i="59" a="1"/>
  <c r="E37" i="39" a="1"/>
  <c r="E37" i="55" a="1"/>
  <c r="E21" i="72"/>
  <c r="E46" i="72"/>
  <c r="E37" i="24" a="1"/>
  <c r="E37" i="89" a="1"/>
  <c r="E37" i="66" a="1"/>
  <c r="E37" i="61" a="1"/>
  <c r="E37" i="62" a="1"/>
  <c r="E37" i="91" a="1"/>
  <c r="E37" i="74" a="1"/>
  <c r="E37" i="71" a="1"/>
  <c r="E37" i="53" a="1"/>
  <c r="E37" i="38" a="1"/>
  <c r="E37" i="37" a="1"/>
  <c r="E37" i="54" a="1"/>
  <c r="E37" i="56" a="1"/>
  <c r="E37" i="33" a="1"/>
  <c r="E37" i="44" a="1"/>
  <c r="E37" i="31" a="1"/>
  <c r="E37" i="48" a="1"/>
  <c r="E37" i="49" a="1"/>
  <c r="E37" i="63" a="1"/>
  <c r="E37" i="68" a="1"/>
  <c r="E37" i="65" a="1"/>
  <c r="E37" i="57" a="1"/>
  <c r="E37" i="72" a="1"/>
  <c r="E37" i="32" a="1"/>
  <c r="E37" i="50" a="1"/>
  <c r="E37" i="27" a="1"/>
  <c r="E37" i="35" a="1"/>
  <c r="E37" i="75" a="1"/>
  <c r="E37" i="51" a="1"/>
  <c r="E37" i="90" a="1"/>
  <c r="E37" i="73" a="1"/>
  <c r="U18" i="98"/>
  <c r="AE15" i="98"/>
  <c r="AI15" i="98" s="1"/>
  <c r="U14" i="98"/>
  <c r="AE11" i="98"/>
  <c r="AI11" i="98" s="1"/>
  <c r="U12" i="98"/>
  <c r="AE9" i="98"/>
  <c r="AI9" i="98" s="1"/>
  <c r="AE8" i="98"/>
  <c r="AI8" i="98" s="1"/>
  <c r="U11" i="98"/>
  <c r="U16" i="98"/>
  <c r="AE13" i="98"/>
  <c r="AI13" i="98" s="1"/>
  <c r="K42" i="34" a="1"/>
  <c r="K42" i="34" s="1"/>
  <c r="J42" i="34" a="1"/>
  <c r="J42" i="34" s="1"/>
  <c r="I42" i="34" a="1"/>
  <c r="I42" i="34" s="1"/>
  <c r="E72" i="66" a="1"/>
  <c r="E72" i="66" s="1"/>
  <c r="E72" i="39" a="1"/>
  <c r="E72" i="39" s="1"/>
  <c r="E67" i="90"/>
  <c r="E4" i="88"/>
  <c r="E67" i="89"/>
  <c r="E67" i="88"/>
  <c r="E67" i="91"/>
  <c r="E67" i="39" a="1"/>
  <c r="E4" i="91" a="1"/>
  <c r="EZ4" i="96" a="1"/>
  <c r="EZ4" i="96" s="1"/>
  <c r="E72" i="70" a="1"/>
  <c r="E72" i="70" s="1"/>
  <c r="M11" i="26"/>
  <c r="M12" i="26" s="1"/>
  <c r="L11" i="26"/>
  <c r="L12" i="26" s="1"/>
  <c r="J11" i="26"/>
  <c r="J12" i="26" s="1"/>
  <c r="K11" i="26"/>
  <c r="K12" i="26" s="1"/>
  <c r="I11" i="26"/>
  <c r="I12" i="26" s="1"/>
  <c r="F11" i="26"/>
  <c r="F12" i="26" s="1"/>
  <c r="H11" i="26"/>
  <c r="H12" i="26" s="1"/>
  <c r="P11" i="26"/>
  <c r="P12" i="26" s="1"/>
  <c r="G11" i="26"/>
  <c r="G12" i="26" s="1"/>
  <c r="O11" i="26"/>
  <c r="O12" i="26" s="1"/>
  <c r="H12" i="81"/>
  <c r="I10" i="81"/>
  <c r="G12" i="81"/>
  <c r="H10" i="81"/>
  <c r="F12" i="81"/>
  <c r="G10" i="81"/>
  <c r="J12" i="81"/>
  <c r="K10" i="81"/>
  <c r="K12" i="81"/>
  <c r="L10" i="81"/>
  <c r="L12" i="81"/>
  <c r="M10" i="81"/>
  <c r="M12" i="81"/>
  <c r="N10" i="81"/>
  <c r="N12" i="81"/>
  <c r="O10" i="81"/>
  <c r="O12" i="81"/>
  <c r="P10" i="81"/>
  <c r="P12" i="81"/>
  <c r="Q10" i="81"/>
  <c r="Q12" i="81"/>
  <c r="R10" i="81"/>
  <c r="R12" i="81"/>
  <c r="S10" i="81"/>
  <c r="S12" i="81"/>
  <c r="T10" i="81"/>
  <c r="T12" i="81"/>
  <c r="U10" i="81"/>
  <c r="U12" i="81"/>
  <c r="V10" i="81"/>
  <c r="V12" i="81"/>
  <c r="W10" i="81"/>
  <c r="W12" i="81"/>
  <c r="X10" i="81"/>
  <c r="I12" i="81"/>
  <c r="J10" i="81"/>
  <c r="X12" i="81"/>
  <c r="Y10" i="81"/>
  <c r="Y12" i="81"/>
  <c r="Z10" i="81"/>
  <c r="Z12" i="81"/>
  <c r="AA10" i="81"/>
  <c r="AA12" i="81"/>
  <c r="AB10" i="81"/>
  <c r="AB12" i="81"/>
  <c r="AC10" i="81"/>
  <c r="AC12" i="81"/>
  <c r="AD10" i="81"/>
  <c r="AD12" i="81"/>
  <c r="AE10" i="81"/>
  <c r="AE12" i="81"/>
  <c r="AF10" i="81"/>
  <c r="AF12" i="81"/>
  <c r="AG10" i="81"/>
  <c r="AG12" i="81"/>
  <c r="AH10" i="81"/>
  <c r="AH12" i="81"/>
  <c r="AI10" i="81"/>
  <c r="AI12" i="81"/>
  <c r="AJ10" i="81"/>
  <c r="AJ12" i="81"/>
  <c r="AK10" i="81"/>
  <c r="AK12" i="81"/>
  <c r="AL10" i="81"/>
  <c r="AL12" i="81"/>
  <c r="AM10" i="81"/>
  <c r="AM12" i="81"/>
  <c r="AN10" i="81"/>
  <c r="Z12" i="79"/>
  <c r="AA10" i="79"/>
  <c r="W12" i="79"/>
  <c r="X10" i="79"/>
  <c r="U12" i="79"/>
  <c r="V10" i="79"/>
  <c r="Q12" i="79"/>
  <c r="R10" i="79"/>
  <c r="N12" i="79"/>
  <c r="O10" i="79"/>
  <c r="AB12" i="79"/>
  <c r="AC10" i="79"/>
  <c r="AG12" i="79"/>
  <c r="AH10" i="79"/>
  <c r="AM12" i="79"/>
  <c r="AN10" i="79"/>
  <c r="M12" i="79"/>
  <c r="N10" i="79"/>
  <c r="L12" i="79"/>
  <c r="M10" i="79"/>
  <c r="K12" i="79"/>
  <c r="L10" i="79"/>
  <c r="J12" i="79"/>
  <c r="K10" i="79"/>
  <c r="I12" i="79"/>
  <c r="J10" i="79"/>
  <c r="H12" i="79"/>
  <c r="I10" i="79"/>
  <c r="G12" i="79"/>
  <c r="H10" i="79"/>
  <c r="F12" i="79"/>
  <c r="G10" i="79"/>
  <c r="O12" i="79"/>
  <c r="P10" i="79"/>
  <c r="R12" i="79"/>
  <c r="S10" i="79"/>
  <c r="T12" i="79"/>
  <c r="U10" i="79"/>
  <c r="V12" i="79"/>
  <c r="W10" i="79"/>
  <c r="X12" i="79"/>
  <c r="Y10" i="79"/>
  <c r="AA12" i="79"/>
  <c r="AB10" i="79"/>
  <c r="AC12" i="79"/>
  <c r="AD10" i="79"/>
  <c r="AE12" i="79"/>
  <c r="AF10" i="79"/>
  <c r="AI12" i="79"/>
  <c r="AJ10" i="79"/>
  <c r="AK12" i="79"/>
  <c r="AL10" i="79"/>
  <c r="AL12" i="79"/>
  <c r="AM10" i="79"/>
  <c r="AJ12" i="79"/>
  <c r="AK10" i="79"/>
  <c r="AH12" i="79"/>
  <c r="AI10" i="79"/>
  <c r="AF12" i="79"/>
  <c r="AG10" i="79"/>
  <c r="P12" i="79"/>
  <c r="Q10" i="79"/>
  <c r="S12" i="79"/>
  <c r="T10" i="79"/>
  <c r="Y12" i="79"/>
  <c r="Z10" i="79"/>
  <c r="AD12" i="79"/>
  <c r="AE10" i="79"/>
  <c r="AM12" i="80"/>
  <c r="AN10" i="80"/>
  <c r="AJ12" i="80"/>
  <c r="AK10" i="80"/>
  <c r="AG12" i="80"/>
  <c r="AH10" i="80"/>
  <c r="AI12" i="80"/>
  <c r="AJ10" i="80"/>
  <c r="Q12" i="80"/>
  <c r="R10" i="80"/>
  <c r="J12" i="80"/>
  <c r="K10" i="80"/>
  <c r="G12" i="80"/>
  <c r="H10" i="80"/>
  <c r="I12" i="80"/>
  <c r="J10" i="80"/>
  <c r="L12" i="80"/>
  <c r="M10" i="80"/>
  <c r="AK12" i="80"/>
  <c r="AL10" i="80"/>
  <c r="AH12" i="80"/>
  <c r="AI10" i="80"/>
  <c r="AF12" i="80"/>
  <c r="AG10" i="80"/>
  <c r="AD12" i="80"/>
  <c r="AE10" i="80"/>
  <c r="AB12" i="80"/>
  <c r="AC10" i="80"/>
  <c r="Z12" i="80"/>
  <c r="AA10" i="80"/>
  <c r="Y12" i="80"/>
  <c r="Z10" i="80"/>
  <c r="V12" i="80"/>
  <c r="W10" i="80"/>
  <c r="T12" i="80"/>
  <c r="U10" i="80"/>
  <c r="U12" i="80"/>
  <c r="V10" i="80"/>
  <c r="O12" i="80"/>
  <c r="P10" i="80"/>
  <c r="AL12" i="80"/>
  <c r="AM10" i="80"/>
  <c r="R12" i="80"/>
  <c r="S10" i="80"/>
  <c r="M12" i="80"/>
  <c r="N10" i="80"/>
  <c r="K12" i="80"/>
  <c r="L10" i="80"/>
  <c r="H12" i="80"/>
  <c r="I10" i="80"/>
  <c r="F12" i="80"/>
  <c r="G10" i="80"/>
  <c r="N12" i="80"/>
  <c r="O10" i="80"/>
  <c r="P12" i="80"/>
  <c r="Q10" i="80"/>
  <c r="S12" i="80"/>
  <c r="T10" i="80"/>
  <c r="W12" i="80"/>
  <c r="X10" i="80"/>
  <c r="X12" i="80"/>
  <c r="Y10" i="80"/>
  <c r="AA12" i="80"/>
  <c r="AB10" i="80"/>
  <c r="AC12" i="80"/>
  <c r="AD10" i="80"/>
  <c r="AE12" i="80"/>
  <c r="AF10" i="80"/>
  <c r="U17" i="98"/>
  <c r="AE14" i="98"/>
  <c r="AI14" i="98" s="1"/>
  <c r="N11" i="26"/>
  <c r="N12" i="26" s="1"/>
  <c r="E67" i="66" a="1"/>
  <c r="E67" i="70" a="1"/>
  <c r="AP14" i="98"/>
  <c r="AX14" i="98"/>
  <c r="AW14" i="98"/>
  <c r="AV14" i="98"/>
  <c r="E11" i="100" a="1"/>
  <c r="E11" i="100" s="1"/>
  <c r="AN14" i="98"/>
  <c r="EU4" i="96" a="1"/>
  <c r="EU4" i="96" s="1"/>
  <c r="E10" i="99" a="1"/>
  <c r="E10" i="99" s="1"/>
  <c r="E1" i="99" a="1"/>
  <c r="E1" i="99" s="1"/>
  <c r="E1" i="100" a="1"/>
  <c r="E1" i="100" s="1"/>
  <c r="AO14" i="98"/>
  <c r="E36" i="100" a="1"/>
  <c r="E36" i="100" s="1"/>
  <c r="E36" i="99" a="1"/>
  <c r="E36" i="99" s="1"/>
  <c r="BR4" i="96" a="1"/>
  <c r="BR4" i="96" s="1"/>
  <c r="E58" i="100"/>
  <c r="E58" i="99"/>
  <c r="E48" i="100" a="1"/>
  <c r="E48" i="100" s="1"/>
  <c r="AU14" i="98" s="1"/>
  <c r="CY4" i="96" a="1"/>
  <c r="CY4" i="96" s="1"/>
  <c r="E48" i="99" a="1"/>
  <c r="E48" i="99" s="1"/>
  <c r="AM14" i="98" s="1"/>
  <c r="B4" i="69"/>
  <c r="E4" i="90" a="1"/>
  <c r="E4" i="89" a="1"/>
  <c r="AP32" i="85"/>
  <c r="AP7" i="85"/>
  <c r="AP45" i="85"/>
  <c r="J43" i="34" a="1"/>
  <c r="J43" i="34" s="1"/>
  <c r="K43" i="34" a="1"/>
  <c r="K43" i="34" s="1"/>
  <c r="I43" i="34" a="1"/>
  <c r="I43" i="34" s="1"/>
  <c r="AL4" i="69" a="1"/>
  <c r="AM4" i="69" a="1"/>
  <c r="AK4" i="69" a="1"/>
  <c r="AR32" i="85"/>
  <c r="AQ32" i="85"/>
  <c r="AR7" i="85"/>
  <c r="AQ45" i="85"/>
  <c r="AQ7" i="85"/>
  <c r="AR45" i="85"/>
  <c r="AR1" i="26" a="1"/>
  <c r="AR1" i="26" s="1"/>
  <c r="AP1" i="26" a="1"/>
  <c r="AP1" i="26" s="1"/>
  <c r="AQ1" i="26" a="1"/>
  <c r="AQ1" i="26" s="1"/>
  <c r="E1" i="78"/>
  <c r="E1" i="26" s="1"/>
  <c r="AO4" i="69" a="1"/>
  <c r="V11" i="26"/>
  <c r="V12" i="26" s="1"/>
  <c r="AM11" i="26"/>
  <c r="AM12" i="26" s="1"/>
  <c r="AI11" i="26"/>
  <c r="AI12" i="26" s="1"/>
  <c r="AB11" i="26"/>
  <c r="AB12" i="26" s="1"/>
  <c r="X11" i="26"/>
  <c r="X12" i="26" s="1"/>
  <c r="T11" i="26"/>
  <c r="T12" i="26" s="1"/>
  <c r="E41" i="81" a="1"/>
  <c r="E41" i="79" a="1"/>
  <c r="AN11" i="26"/>
  <c r="AN12" i="26" s="1"/>
  <c r="AG11" i="26"/>
  <c r="AG12" i="26" s="1"/>
  <c r="AJ11" i="26"/>
  <c r="AJ12" i="26" s="1"/>
  <c r="AD11" i="26"/>
  <c r="AD12" i="26" s="1"/>
  <c r="Z11" i="26"/>
  <c r="Z12" i="26" s="1"/>
  <c r="S11" i="26"/>
  <c r="S12" i="26" s="1"/>
  <c r="AK11" i="26"/>
  <c r="AK12" i="26" s="1"/>
  <c r="AF11" i="26"/>
  <c r="AF12" i="26" s="1"/>
  <c r="Y11" i="26"/>
  <c r="Y12" i="26" s="1"/>
  <c r="U11" i="26"/>
  <c r="U12" i="26" s="1"/>
  <c r="R11" i="26"/>
  <c r="R12" i="26" s="1"/>
  <c r="AL11" i="26"/>
  <c r="AL12" i="26" s="1"/>
  <c r="AH11" i="26"/>
  <c r="AH12" i="26" s="1"/>
  <c r="AE11" i="26"/>
  <c r="AE12" i="26" s="1"/>
  <c r="AA11" i="26"/>
  <c r="AA12" i="26" s="1"/>
  <c r="W11" i="26"/>
  <c r="W12" i="26" s="1"/>
  <c r="E11" i="81"/>
  <c r="E11" i="79"/>
  <c r="E11" i="80"/>
  <c r="E11" i="77"/>
  <c r="F10" i="77" s="1"/>
  <c r="AC11" i="26"/>
  <c r="Q11" i="26"/>
  <c r="G1" i="34" a="1"/>
  <c r="G1" i="34" s="1"/>
  <c r="F1" i="34" a="1"/>
  <c r="F1" i="34" s="1"/>
  <c r="DU4" i="69" a="1"/>
  <c r="Y4" i="69" a="1"/>
  <c r="E58" i="78"/>
  <c r="AG4" i="69" a="1"/>
  <c r="E11" i="78"/>
  <c r="E11" i="26" s="1"/>
  <c r="E9" i="17"/>
  <c r="E36" i="78"/>
  <c r="E48" i="78"/>
  <c r="H56" i="19" l="1" a="1"/>
  <c r="H56" i="19" s="1"/>
  <c r="G56" i="19" a="1"/>
  <c r="G56" i="19" s="1"/>
  <c r="F56" i="19" a="1"/>
  <c r="F56" i="19" s="1"/>
  <c r="N56" i="41" a="1"/>
  <c r="N56" i="41" s="1"/>
  <c r="AF56" i="41" a="1"/>
  <c r="AF56" i="41" s="1"/>
  <c r="AG56" i="41" a="1"/>
  <c r="AG56" i="41" s="1"/>
  <c r="AH56" i="41" a="1"/>
  <c r="AH56" i="41" s="1"/>
  <c r="AI56" i="41" a="1"/>
  <c r="AI56" i="41" s="1"/>
  <c r="AJ56" i="41" a="1"/>
  <c r="AJ56" i="41" s="1"/>
  <c r="AK56" i="41" a="1"/>
  <c r="AK56" i="41" s="1"/>
  <c r="AD56" i="41" a="1"/>
  <c r="AD56" i="41" s="1"/>
  <c r="AC56" i="41" a="1"/>
  <c r="AC56" i="41" s="1"/>
  <c r="AB56" i="41" a="1"/>
  <c r="AB56" i="41" s="1"/>
  <c r="AA56" i="41" a="1"/>
  <c r="AA56" i="41" s="1"/>
  <c r="Z56" i="41" a="1"/>
  <c r="Z56" i="41" s="1"/>
  <c r="Y56" i="41" a="1"/>
  <c r="Y56" i="41" s="1"/>
  <c r="X56" i="41" a="1"/>
  <c r="X56" i="41" s="1"/>
  <c r="W56" i="41" a="1"/>
  <c r="W56" i="41" s="1"/>
  <c r="V56" i="41" a="1"/>
  <c r="V56" i="41" s="1"/>
  <c r="U56" i="41" a="1"/>
  <c r="U56" i="41" s="1"/>
  <c r="S56" i="41" a="1"/>
  <c r="S56" i="41" s="1"/>
  <c r="R56" i="41" a="1"/>
  <c r="R56" i="41" s="1"/>
  <c r="Q56" i="41" a="1"/>
  <c r="Q56" i="41" s="1"/>
  <c r="P56" i="41" a="1"/>
  <c r="P56" i="41" s="1"/>
  <c r="O56" i="41" a="1"/>
  <c r="O56" i="41" s="1"/>
  <c r="AL56" i="41" a="1"/>
  <c r="AL56" i="41" s="1"/>
  <c r="T56" i="41" a="1"/>
  <c r="T56" i="41" s="1"/>
  <c r="M56" i="41" a="1"/>
  <c r="M56" i="41" s="1"/>
  <c r="L56" i="41" a="1"/>
  <c r="L56" i="41" s="1"/>
  <c r="K56" i="41" a="1"/>
  <c r="K56" i="41" s="1"/>
  <c r="AN56" i="41" a="1"/>
  <c r="AN56" i="41" s="1"/>
  <c r="AM56" i="41" a="1"/>
  <c r="AM56" i="41" s="1"/>
  <c r="AE56" i="41" a="1"/>
  <c r="AE56" i="41" s="1"/>
  <c r="I56" i="29" a="1"/>
  <c r="I56" i="29" s="1"/>
  <c r="J56" i="29" a="1"/>
  <c r="J56" i="29" s="1"/>
  <c r="E56" i="29" a="1"/>
  <c r="E56" i="29" s="1"/>
  <c r="H56" i="29" a="1"/>
  <c r="H56" i="29" s="1"/>
  <c r="G56" i="29" a="1"/>
  <c r="G56" i="29" s="1"/>
  <c r="F56" i="29" a="1"/>
  <c r="F56" i="29" s="1"/>
  <c r="E56" i="70" a="1"/>
  <c r="E56" i="70" s="1"/>
  <c r="J56" i="70" a="1"/>
  <c r="J56" i="70" s="1"/>
  <c r="I56" i="70" a="1"/>
  <c r="I56" i="70" s="1"/>
  <c r="H56" i="70" a="1"/>
  <c r="H56" i="70" s="1"/>
  <c r="G56" i="70" a="1"/>
  <c r="G56" i="70" s="1"/>
  <c r="F56" i="70" a="1"/>
  <c r="F56" i="70" s="1"/>
  <c r="I56" i="52" a="1"/>
  <c r="I56" i="52" s="1"/>
  <c r="H56" i="52" a="1"/>
  <c r="H56" i="52" s="1"/>
  <c r="G56" i="52" a="1"/>
  <c r="G56" i="52" s="1"/>
  <c r="F56" i="52" a="1"/>
  <c r="F56" i="52" s="1"/>
  <c r="J56" i="52" a="1"/>
  <c r="J56" i="52" s="1"/>
  <c r="E56" i="52" a="1"/>
  <c r="E56" i="52" s="1"/>
  <c r="I56" i="67" a="1"/>
  <c r="I56" i="67" s="1"/>
  <c r="J56" i="67" a="1"/>
  <c r="J56" i="67" s="1"/>
  <c r="H56" i="67" a="1"/>
  <c r="H56" i="67" s="1"/>
  <c r="G56" i="67" a="1"/>
  <c r="G56" i="67" s="1"/>
  <c r="F56" i="67" a="1"/>
  <c r="F56" i="67" s="1"/>
  <c r="E56" i="67" a="1"/>
  <c r="E56" i="67" s="1"/>
  <c r="J56" i="88" a="1"/>
  <c r="J56" i="88" s="1"/>
  <c r="I56" i="88" a="1"/>
  <c r="I56" i="88" s="1"/>
  <c r="H56" i="88" a="1"/>
  <c r="H56" i="88" s="1"/>
  <c r="G56" i="88" a="1"/>
  <c r="G56" i="88" s="1"/>
  <c r="E56" i="88" a="1"/>
  <c r="E56" i="88" s="1"/>
  <c r="F56" i="88" a="1"/>
  <c r="F56" i="88" s="1"/>
  <c r="G56" i="45" a="1"/>
  <c r="G56" i="45" s="1"/>
  <c r="H56" i="45" a="1"/>
  <c r="H56" i="45" s="1"/>
  <c r="I56" i="45" a="1"/>
  <c r="I56" i="45" s="1"/>
  <c r="J56" i="45" a="1"/>
  <c r="J56" i="45" s="1"/>
  <c r="E56" i="45" a="1"/>
  <c r="E56" i="45" s="1"/>
  <c r="F56" i="45" a="1"/>
  <c r="F56" i="45" s="1"/>
  <c r="I56" i="19" a="1"/>
  <c r="I56" i="19" s="1"/>
  <c r="J56" i="19" a="1"/>
  <c r="J56" i="19" s="1"/>
  <c r="E56" i="19" a="1"/>
  <c r="E56" i="19" s="1"/>
  <c r="J56" i="60" a="1"/>
  <c r="J56" i="60" s="1"/>
  <c r="H56" i="60" a="1"/>
  <c r="H56" i="60" s="1"/>
  <c r="F56" i="60" a="1"/>
  <c r="F56" i="60" s="1"/>
  <c r="I56" i="60" a="1"/>
  <c r="I56" i="60" s="1"/>
  <c r="E56" i="60" a="1"/>
  <c r="E56" i="60" s="1"/>
  <c r="G56" i="60" a="1"/>
  <c r="G56" i="60" s="1"/>
  <c r="J56" i="13" a="1"/>
  <c r="J56" i="13" s="1"/>
  <c r="I56" i="13" a="1"/>
  <c r="I56" i="13" s="1"/>
  <c r="H56" i="13" a="1"/>
  <c r="H56" i="13" s="1"/>
  <c r="G56" i="13" a="1"/>
  <c r="G56" i="13" s="1"/>
  <c r="F56" i="13" a="1"/>
  <c r="F56" i="13" s="1"/>
  <c r="E56" i="13" a="1"/>
  <c r="E56" i="13" s="1"/>
  <c r="J56" i="25" a="1"/>
  <c r="J56" i="25" s="1"/>
  <c r="H56" i="25" a="1"/>
  <c r="H56" i="25" s="1"/>
  <c r="I56" i="25" a="1"/>
  <c r="I56" i="25" s="1"/>
  <c r="G56" i="25" a="1"/>
  <c r="G56" i="25" s="1"/>
  <c r="F56" i="25" a="1"/>
  <c r="F56" i="25" s="1"/>
  <c r="E56" i="25" a="1"/>
  <c r="E56" i="25" s="1"/>
  <c r="W56" i="30" a="1"/>
  <c r="W56" i="30" s="1"/>
  <c r="V56" i="30" a="1"/>
  <c r="V56" i="30" s="1"/>
  <c r="U56" i="30" a="1"/>
  <c r="U56" i="30" s="1"/>
  <c r="T56" i="30" a="1"/>
  <c r="T56" i="30" s="1"/>
  <c r="S56" i="30" a="1"/>
  <c r="S56" i="30" s="1"/>
  <c r="R56" i="30" a="1"/>
  <c r="R56" i="30" s="1"/>
  <c r="K56" i="30" a="1"/>
  <c r="K56" i="30" s="1"/>
  <c r="L56" i="30" a="1"/>
  <c r="L56" i="30" s="1"/>
  <c r="M56" i="30" a="1"/>
  <c r="M56" i="30" s="1"/>
  <c r="AD56" i="30" a="1"/>
  <c r="AD56" i="30" s="1"/>
  <c r="O56" i="30" a="1"/>
  <c r="O56" i="30" s="1"/>
  <c r="AN56" i="30" a="1"/>
  <c r="AN56" i="30" s="1"/>
  <c r="AM56" i="30" a="1"/>
  <c r="AM56" i="30" s="1"/>
  <c r="AL56" i="30" a="1"/>
  <c r="AL56" i="30" s="1"/>
  <c r="AK56" i="30" a="1"/>
  <c r="AK56" i="30" s="1"/>
  <c r="AJ56" i="30" a="1"/>
  <c r="AJ56" i="30" s="1"/>
  <c r="AI56" i="30" a="1"/>
  <c r="AI56" i="30" s="1"/>
  <c r="AH56" i="30" a="1"/>
  <c r="AH56" i="30" s="1"/>
  <c r="P56" i="30" a="1"/>
  <c r="P56" i="30" s="1"/>
  <c r="AF56" i="30" a="1"/>
  <c r="AF56" i="30" s="1"/>
  <c r="AB56" i="30" a="1"/>
  <c r="AB56" i="30" s="1"/>
  <c r="Q56" i="30" a="1"/>
  <c r="Q56" i="30" s="1"/>
  <c r="AA56" i="30" a="1"/>
  <c r="AA56" i="30" s="1"/>
  <c r="AG56" i="30" a="1"/>
  <c r="AG56" i="30" s="1"/>
  <c r="AE56" i="30" a="1"/>
  <c r="AE56" i="30" s="1"/>
  <c r="Z56" i="30" a="1"/>
  <c r="Z56" i="30" s="1"/>
  <c r="Y56" i="30" a="1"/>
  <c r="Y56" i="30" s="1"/>
  <c r="X56" i="30" a="1"/>
  <c r="X56" i="30" s="1"/>
  <c r="AC56" i="30" a="1"/>
  <c r="AC56" i="30" s="1"/>
  <c r="N56" i="30" a="1"/>
  <c r="N56" i="30" s="1"/>
  <c r="AB56" i="23" a="1"/>
  <c r="AB56" i="23" s="1"/>
  <c r="AA56" i="23" a="1"/>
  <c r="AA56" i="23" s="1"/>
  <c r="Z56" i="23" a="1"/>
  <c r="Z56" i="23" s="1"/>
  <c r="AI56" i="23" a="1"/>
  <c r="AI56" i="23" s="1"/>
  <c r="K56" i="23" a="1"/>
  <c r="K56" i="23" s="1"/>
  <c r="AN56" i="23" a="1"/>
  <c r="AN56" i="23" s="1"/>
  <c r="AM56" i="23" a="1"/>
  <c r="AM56" i="23" s="1"/>
  <c r="AL56" i="23" a="1"/>
  <c r="AL56" i="23" s="1"/>
  <c r="AK56" i="23" a="1"/>
  <c r="AK56" i="23" s="1"/>
  <c r="AJ56" i="23" a="1"/>
  <c r="AJ56" i="23" s="1"/>
  <c r="AH56" i="23" a="1"/>
  <c r="AH56" i="23" s="1"/>
  <c r="AG56" i="23" a="1"/>
  <c r="AG56" i="23" s="1"/>
  <c r="AF56" i="23" a="1"/>
  <c r="AF56" i="23" s="1"/>
  <c r="AE56" i="23" a="1"/>
  <c r="AE56" i="23" s="1"/>
  <c r="AD56" i="23" a="1"/>
  <c r="AD56" i="23" s="1"/>
  <c r="AC56" i="23" a="1"/>
  <c r="AC56" i="23" s="1"/>
  <c r="L56" i="23" a="1"/>
  <c r="L56" i="23" s="1"/>
  <c r="M56" i="23" a="1"/>
  <c r="M56" i="23" s="1"/>
  <c r="N56" i="23" a="1"/>
  <c r="N56" i="23" s="1"/>
  <c r="O56" i="23" a="1"/>
  <c r="O56" i="23" s="1"/>
  <c r="P56" i="23" a="1"/>
  <c r="P56" i="23" s="1"/>
  <c r="Q56" i="23" a="1"/>
  <c r="Q56" i="23" s="1"/>
  <c r="R56" i="23" a="1"/>
  <c r="R56" i="23" s="1"/>
  <c r="S56" i="23" a="1"/>
  <c r="S56" i="23" s="1"/>
  <c r="T56" i="23" a="1"/>
  <c r="T56" i="23" s="1"/>
  <c r="U56" i="23" a="1"/>
  <c r="U56" i="23" s="1"/>
  <c r="V56" i="23" a="1"/>
  <c r="V56" i="23" s="1"/>
  <c r="W56" i="23" a="1"/>
  <c r="W56" i="23" s="1"/>
  <c r="X56" i="23" a="1"/>
  <c r="X56" i="23" s="1"/>
  <c r="Y56" i="23" a="1"/>
  <c r="Y56" i="23" s="1"/>
  <c r="AF56" i="59" a="1"/>
  <c r="AF56" i="59" s="1"/>
  <c r="U56" i="59" a="1"/>
  <c r="U56" i="59" s="1"/>
  <c r="N56" i="59" a="1"/>
  <c r="N56" i="59" s="1"/>
  <c r="P56" i="59" a="1"/>
  <c r="P56" i="59" s="1"/>
  <c r="S56" i="59" a="1"/>
  <c r="S56" i="59" s="1"/>
  <c r="AG56" i="59" a="1"/>
  <c r="AG56" i="59" s="1"/>
  <c r="AH56" i="59" a="1"/>
  <c r="AH56" i="59" s="1"/>
  <c r="V56" i="59" a="1"/>
  <c r="V56" i="59" s="1"/>
  <c r="AI56" i="59" a="1"/>
  <c r="AI56" i="59" s="1"/>
  <c r="AJ56" i="59" a="1"/>
  <c r="AJ56" i="59" s="1"/>
  <c r="AK56" i="59" a="1"/>
  <c r="AK56" i="59" s="1"/>
  <c r="AL56" i="59" a="1"/>
  <c r="AL56" i="59" s="1"/>
  <c r="AM56" i="59" a="1"/>
  <c r="AM56" i="59" s="1"/>
  <c r="AN56" i="59" a="1"/>
  <c r="AN56" i="59" s="1"/>
  <c r="X56" i="59" a="1"/>
  <c r="X56" i="59" s="1"/>
  <c r="W56" i="59" a="1"/>
  <c r="W56" i="59" s="1"/>
  <c r="K56" i="59" a="1"/>
  <c r="K56" i="59" s="1"/>
  <c r="M56" i="59" a="1"/>
  <c r="M56" i="59" s="1"/>
  <c r="O56" i="59" a="1"/>
  <c r="O56" i="59" s="1"/>
  <c r="Q56" i="59" a="1"/>
  <c r="Q56" i="59" s="1"/>
  <c r="R56" i="59" a="1"/>
  <c r="R56" i="59" s="1"/>
  <c r="T56" i="59" a="1"/>
  <c r="T56" i="59" s="1"/>
  <c r="Y56" i="59" a="1"/>
  <c r="Y56" i="59" s="1"/>
  <c r="Z56" i="59" a="1"/>
  <c r="Z56" i="59" s="1"/>
  <c r="AA56" i="59" a="1"/>
  <c r="AA56" i="59" s="1"/>
  <c r="AB56" i="59" a="1"/>
  <c r="AB56" i="59" s="1"/>
  <c r="AC56" i="59" a="1"/>
  <c r="AC56" i="59" s="1"/>
  <c r="AD56" i="59" a="1"/>
  <c r="AD56" i="59" s="1"/>
  <c r="AE56" i="59" a="1"/>
  <c r="AE56" i="59" s="1"/>
  <c r="L56" i="59" a="1"/>
  <c r="L56" i="59" s="1"/>
  <c r="M56" i="39" a="1"/>
  <c r="M56" i="39" s="1"/>
  <c r="N56" i="39" a="1"/>
  <c r="N56" i="39" s="1"/>
  <c r="Y56" i="39" a="1"/>
  <c r="Y56" i="39" s="1"/>
  <c r="Z56" i="39" a="1"/>
  <c r="Z56" i="39" s="1"/>
  <c r="AA56" i="39" a="1"/>
  <c r="AA56" i="39" s="1"/>
  <c r="AB56" i="39" a="1"/>
  <c r="AB56" i="39" s="1"/>
  <c r="AC56" i="39" a="1"/>
  <c r="AC56" i="39" s="1"/>
  <c r="AL56" i="39" a="1"/>
  <c r="AL56" i="39" s="1"/>
  <c r="AD56" i="39" a="1"/>
  <c r="AD56" i="39" s="1"/>
  <c r="AM56" i="39" a="1"/>
  <c r="AM56" i="39" s="1"/>
  <c r="AN56" i="39" a="1"/>
  <c r="AN56" i="39" s="1"/>
  <c r="L56" i="39" a="1"/>
  <c r="L56" i="39" s="1"/>
  <c r="K56" i="39" a="1"/>
  <c r="K56" i="39" s="1"/>
  <c r="O56" i="39" a="1"/>
  <c r="O56" i="39" s="1"/>
  <c r="P56" i="39" a="1"/>
  <c r="P56" i="39" s="1"/>
  <c r="Q56" i="39" a="1"/>
  <c r="Q56" i="39" s="1"/>
  <c r="R56" i="39" a="1"/>
  <c r="R56" i="39" s="1"/>
  <c r="S56" i="39" a="1"/>
  <c r="S56" i="39" s="1"/>
  <c r="AE56" i="39" a="1"/>
  <c r="AE56" i="39" s="1"/>
  <c r="AF56" i="39" a="1"/>
  <c r="AF56" i="39" s="1"/>
  <c r="AG56" i="39" a="1"/>
  <c r="AG56" i="39" s="1"/>
  <c r="AH56" i="39" a="1"/>
  <c r="AH56" i="39" s="1"/>
  <c r="AI56" i="39" a="1"/>
  <c r="AI56" i="39" s="1"/>
  <c r="AJ56" i="39" a="1"/>
  <c r="AJ56" i="39" s="1"/>
  <c r="AK56" i="39" a="1"/>
  <c r="AK56" i="39" s="1"/>
  <c r="T56" i="39" a="1"/>
  <c r="T56" i="39" s="1"/>
  <c r="U56" i="39" a="1"/>
  <c r="U56" i="39" s="1"/>
  <c r="V56" i="39" a="1"/>
  <c r="V56" i="39" s="1"/>
  <c r="W56" i="39" a="1"/>
  <c r="W56" i="39" s="1"/>
  <c r="X56" i="39" a="1"/>
  <c r="X56" i="39" s="1"/>
  <c r="V56" i="55" a="1"/>
  <c r="V56" i="55" s="1"/>
  <c r="U56" i="55" a="1"/>
  <c r="U56" i="55" s="1"/>
  <c r="AN56" i="55" a="1"/>
  <c r="AN56" i="55" s="1"/>
  <c r="AM56" i="55" a="1"/>
  <c r="AM56" i="55" s="1"/>
  <c r="AL56" i="55" a="1"/>
  <c r="AL56" i="55" s="1"/>
  <c r="AK56" i="55" a="1"/>
  <c r="AK56" i="55" s="1"/>
  <c r="AJ56" i="55" a="1"/>
  <c r="AJ56" i="55" s="1"/>
  <c r="AI56" i="55" a="1"/>
  <c r="AI56" i="55" s="1"/>
  <c r="AH56" i="55" a="1"/>
  <c r="AH56" i="55" s="1"/>
  <c r="AG56" i="55" a="1"/>
  <c r="AG56" i="55" s="1"/>
  <c r="AF56" i="55" a="1"/>
  <c r="AF56" i="55" s="1"/>
  <c r="T56" i="55" a="1"/>
  <c r="T56" i="55" s="1"/>
  <c r="S56" i="55" a="1"/>
  <c r="S56" i="55" s="1"/>
  <c r="R56" i="55" a="1"/>
  <c r="R56" i="55" s="1"/>
  <c r="Q56" i="55" a="1"/>
  <c r="Q56" i="55" s="1"/>
  <c r="K56" i="55" a="1"/>
  <c r="K56" i="55" s="1"/>
  <c r="P56" i="55" a="1"/>
  <c r="P56" i="55" s="1"/>
  <c r="L56" i="55" a="1"/>
  <c r="L56" i="55" s="1"/>
  <c r="O56" i="55" a="1"/>
  <c r="O56" i="55" s="1"/>
  <c r="N56" i="55" a="1"/>
  <c r="N56" i="55" s="1"/>
  <c r="M56" i="55" a="1"/>
  <c r="M56" i="55" s="1"/>
  <c r="AE56" i="55" a="1"/>
  <c r="AE56" i="55" s="1"/>
  <c r="AD56" i="55" a="1"/>
  <c r="AD56" i="55" s="1"/>
  <c r="AC56" i="55" a="1"/>
  <c r="AC56" i="55" s="1"/>
  <c r="AB56" i="55" a="1"/>
  <c r="AB56" i="55" s="1"/>
  <c r="AA56" i="55" a="1"/>
  <c r="AA56" i="55" s="1"/>
  <c r="Z56" i="55" a="1"/>
  <c r="Z56" i="55" s="1"/>
  <c r="Y56" i="55" a="1"/>
  <c r="Y56" i="55" s="1"/>
  <c r="X56" i="55" a="1"/>
  <c r="X56" i="55" s="1"/>
  <c r="W56" i="55" a="1"/>
  <c r="W56" i="55" s="1"/>
  <c r="N56" i="24" a="1"/>
  <c r="N56" i="24" s="1"/>
  <c r="AJ56" i="24" a="1"/>
  <c r="AJ56" i="24" s="1"/>
  <c r="AN56" i="24" a="1"/>
  <c r="AN56" i="24" s="1"/>
  <c r="AM56" i="24" a="1"/>
  <c r="AM56" i="24" s="1"/>
  <c r="AL56" i="24" a="1"/>
  <c r="AL56" i="24" s="1"/>
  <c r="AK56" i="24" a="1"/>
  <c r="AK56" i="24" s="1"/>
  <c r="AI56" i="24" a="1"/>
  <c r="AI56" i="24" s="1"/>
  <c r="AH56" i="24" a="1"/>
  <c r="AH56" i="24" s="1"/>
  <c r="AG56" i="24" a="1"/>
  <c r="AG56" i="24" s="1"/>
  <c r="AF56" i="24" a="1"/>
  <c r="AF56" i="24" s="1"/>
  <c r="AE56" i="24" a="1"/>
  <c r="AE56" i="24" s="1"/>
  <c r="AD56" i="24" a="1"/>
  <c r="AD56" i="24" s="1"/>
  <c r="AC56" i="24" a="1"/>
  <c r="AC56" i="24" s="1"/>
  <c r="AB56" i="24" a="1"/>
  <c r="AB56" i="24" s="1"/>
  <c r="AA56" i="24" a="1"/>
  <c r="AA56" i="24" s="1"/>
  <c r="Z56" i="24" a="1"/>
  <c r="Z56" i="24" s="1"/>
  <c r="Y56" i="24" a="1"/>
  <c r="Y56" i="24" s="1"/>
  <c r="X56" i="24" a="1"/>
  <c r="X56" i="24" s="1"/>
  <c r="W56" i="24" a="1"/>
  <c r="W56" i="24" s="1"/>
  <c r="V56" i="24" a="1"/>
  <c r="V56" i="24" s="1"/>
  <c r="U56" i="24" a="1"/>
  <c r="U56" i="24" s="1"/>
  <c r="T56" i="24" a="1"/>
  <c r="T56" i="24" s="1"/>
  <c r="S56" i="24" a="1"/>
  <c r="S56" i="24" s="1"/>
  <c r="R56" i="24" a="1"/>
  <c r="R56" i="24" s="1"/>
  <c r="Q56" i="24" a="1"/>
  <c r="Q56" i="24" s="1"/>
  <c r="P56" i="24" a="1"/>
  <c r="P56" i="24" s="1"/>
  <c r="O56" i="24" a="1"/>
  <c r="O56" i="24" s="1"/>
  <c r="M56" i="24" a="1"/>
  <c r="M56" i="24" s="1"/>
  <c r="L56" i="24" a="1"/>
  <c r="L56" i="24" s="1"/>
  <c r="K56" i="24" a="1"/>
  <c r="K56" i="24" s="1"/>
  <c r="Q56" i="89" a="1"/>
  <c r="Q56" i="89" s="1"/>
  <c r="K56" i="89" a="1"/>
  <c r="K56" i="89" s="1"/>
  <c r="L56" i="89" a="1"/>
  <c r="L56" i="89" s="1"/>
  <c r="M56" i="89" a="1"/>
  <c r="M56" i="89" s="1"/>
  <c r="N56" i="89" a="1"/>
  <c r="N56" i="89" s="1"/>
  <c r="O56" i="89" a="1"/>
  <c r="O56" i="89" s="1"/>
  <c r="P56" i="89" a="1"/>
  <c r="P56" i="89" s="1"/>
  <c r="AC56" i="89" a="1"/>
  <c r="AC56" i="89" s="1"/>
  <c r="R56" i="89" a="1"/>
  <c r="R56" i="89" s="1"/>
  <c r="S56" i="89" a="1"/>
  <c r="S56" i="89" s="1"/>
  <c r="T56" i="89" a="1"/>
  <c r="T56" i="89" s="1"/>
  <c r="U56" i="89" a="1"/>
  <c r="U56" i="89" s="1"/>
  <c r="Y56" i="89" a="1"/>
  <c r="Y56" i="89" s="1"/>
  <c r="Z56" i="89" a="1"/>
  <c r="Z56" i="89" s="1"/>
  <c r="AA56" i="89" a="1"/>
  <c r="AA56" i="89" s="1"/>
  <c r="AB56" i="89" a="1"/>
  <c r="AB56" i="89" s="1"/>
  <c r="V56" i="89" a="1"/>
  <c r="V56" i="89" s="1"/>
  <c r="W56" i="89" a="1"/>
  <c r="W56" i="89" s="1"/>
  <c r="X56" i="89" a="1"/>
  <c r="X56" i="89" s="1"/>
  <c r="AD56" i="89" a="1"/>
  <c r="AD56" i="89" s="1"/>
  <c r="AE56" i="89" a="1"/>
  <c r="AE56" i="89" s="1"/>
  <c r="AF56" i="89" a="1"/>
  <c r="AF56" i="89" s="1"/>
  <c r="AG56" i="89" a="1"/>
  <c r="AG56" i="89" s="1"/>
  <c r="AH56" i="89" a="1"/>
  <c r="AH56" i="89" s="1"/>
  <c r="AI56" i="89" a="1"/>
  <c r="AI56" i="89" s="1"/>
  <c r="AJ56" i="89" a="1"/>
  <c r="AJ56" i="89" s="1"/>
  <c r="AK56" i="89" a="1"/>
  <c r="AK56" i="89" s="1"/>
  <c r="AL56" i="89" a="1"/>
  <c r="AL56" i="89" s="1"/>
  <c r="AM56" i="89" a="1"/>
  <c r="AM56" i="89" s="1"/>
  <c r="AN56" i="89" a="1"/>
  <c r="AN56" i="89" s="1"/>
  <c r="AC56" i="66" a="1"/>
  <c r="AC56" i="66" s="1"/>
  <c r="AD56" i="66" a="1"/>
  <c r="AD56" i="66" s="1"/>
  <c r="AE56" i="66" a="1"/>
  <c r="AE56" i="66" s="1"/>
  <c r="K56" i="66" a="1"/>
  <c r="K56" i="66" s="1"/>
  <c r="AF56" i="66" a="1"/>
  <c r="AF56" i="66" s="1"/>
  <c r="AG56" i="66" a="1"/>
  <c r="AG56" i="66" s="1"/>
  <c r="AH56" i="66" a="1"/>
  <c r="AH56" i="66" s="1"/>
  <c r="AI56" i="66" a="1"/>
  <c r="AI56" i="66" s="1"/>
  <c r="AJ56" i="66" a="1"/>
  <c r="AJ56" i="66" s="1"/>
  <c r="AK56" i="66" a="1"/>
  <c r="AK56" i="66" s="1"/>
  <c r="AL56" i="66" a="1"/>
  <c r="AL56" i="66" s="1"/>
  <c r="AM56" i="66" a="1"/>
  <c r="AM56" i="66" s="1"/>
  <c r="L56" i="66" a="1"/>
  <c r="L56" i="66" s="1"/>
  <c r="M56" i="66" a="1"/>
  <c r="M56" i="66" s="1"/>
  <c r="N56" i="66" a="1"/>
  <c r="N56" i="66" s="1"/>
  <c r="O56" i="66" a="1"/>
  <c r="O56" i="66" s="1"/>
  <c r="P56" i="66" a="1"/>
  <c r="P56" i="66" s="1"/>
  <c r="Q56" i="66" a="1"/>
  <c r="Q56" i="66" s="1"/>
  <c r="R56" i="66" a="1"/>
  <c r="R56" i="66" s="1"/>
  <c r="S56" i="66" a="1"/>
  <c r="S56" i="66" s="1"/>
  <c r="T56" i="66" a="1"/>
  <c r="T56" i="66" s="1"/>
  <c r="U56" i="66" a="1"/>
  <c r="U56" i="66" s="1"/>
  <c r="V56" i="66" a="1"/>
  <c r="V56" i="66" s="1"/>
  <c r="AN56" i="66" a="1"/>
  <c r="AN56" i="66" s="1"/>
  <c r="W56" i="66" a="1"/>
  <c r="W56" i="66" s="1"/>
  <c r="X56" i="66" a="1"/>
  <c r="X56" i="66" s="1"/>
  <c r="Y56" i="66" a="1"/>
  <c r="Y56" i="66" s="1"/>
  <c r="Z56" i="66" a="1"/>
  <c r="Z56" i="66" s="1"/>
  <c r="AA56" i="66" a="1"/>
  <c r="AA56" i="66" s="1"/>
  <c r="AB56" i="66" a="1"/>
  <c r="AB56" i="66" s="1"/>
  <c r="M56" i="61" a="1"/>
  <c r="M56" i="61" s="1"/>
  <c r="K56" i="61" a="1"/>
  <c r="K56" i="61" s="1"/>
  <c r="L56" i="61" a="1"/>
  <c r="L56" i="61" s="1"/>
  <c r="N56" i="61" a="1"/>
  <c r="N56" i="61" s="1"/>
  <c r="O56" i="61" a="1"/>
  <c r="O56" i="61" s="1"/>
  <c r="P56" i="61" a="1"/>
  <c r="P56" i="61" s="1"/>
  <c r="Q56" i="61" a="1"/>
  <c r="Q56" i="61" s="1"/>
  <c r="R56" i="61" a="1"/>
  <c r="R56" i="61" s="1"/>
  <c r="S56" i="61" a="1"/>
  <c r="S56" i="61" s="1"/>
  <c r="T56" i="61" a="1"/>
  <c r="T56" i="61" s="1"/>
  <c r="U56" i="61" a="1"/>
  <c r="U56" i="61" s="1"/>
  <c r="V56" i="61" a="1"/>
  <c r="V56" i="61" s="1"/>
  <c r="W56" i="61" a="1"/>
  <c r="W56" i="61" s="1"/>
  <c r="X56" i="61" a="1"/>
  <c r="X56" i="61" s="1"/>
  <c r="Y56" i="61" a="1"/>
  <c r="Y56" i="61" s="1"/>
  <c r="Z56" i="61" a="1"/>
  <c r="Z56" i="61" s="1"/>
  <c r="AA56" i="61" a="1"/>
  <c r="AA56" i="61" s="1"/>
  <c r="AB56" i="61" a="1"/>
  <c r="AB56" i="61" s="1"/>
  <c r="AC56" i="61" a="1"/>
  <c r="AC56" i="61" s="1"/>
  <c r="AD56" i="61" a="1"/>
  <c r="AD56" i="61" s="1"/>
  <c r="AE56" i="61" a="1"/>
  <c r="AE56" i="61" s="1"/>
  <c r="AF56" i="61" a="1"/>
  <c r="AF56" i="61" s="1"/>
  <c r="AG56" i="61" a="1"/>
  <c r="AG56" i="61" s="1"/>
  <c r="AH56" i="61" a="1"/>
  <c r="AH56" i="61" s="1"/>
  <c r="AI56" i="61" a="1"/>
  <c r="AI56" i="61" s="1"/>
  <c r="AJ56" i="61" a="1"/>
  <c r="AJ56" i="61" s="1"/>
  <c r="AK56" i="61" a="1"/>
  <c r="AK56" i="61" s="1"/>
  <c r="AL56" i="61" a="1"/>
  <c r="AL56" i="61" s="1"/>
  <c r="AM56" i="61" a="1"/>
  <c r="AM56" i="61" s="1"/>
  <c r="AN56" i="61" a="1"/>
  <c r="AN56" i="61" s="1"/>
  <c r="L56" i="62" a="1"/>
  <c r="L56" i="62" s="1"/>
  <c r="AG56" i="62" a="1"/>
  <c r="AG56" i="62" s="1"/>
  <c r="AN56" i="62" a="1"/>
  <c r="AN56" i="62" s="1"/>
  <c r="AM56" i="62" a="1"/>
  <c r="AM56" i="62" s="1"/>
  <c r="AL56" i="62" a="1"/>
  <c r="AL56" i="62" s="1"/>
  <c r="AK56" i="62" a="1"/>
  <c r="AK56" i="62" s="1"/>
  <c r="AJ56" i="62" a="1"/>
  <c r="AJ56" i="62" s="1"/>
  <c r="T56" i="62" a="1"/>
  <c r="T56" i="62" s="1"/>
  <c r="AI56" i="62" a="1"/>
  <c r="AI56" i="62" s="1"/>
  <c r="AH56" i="62" a="1"/>
  <c r="AH56" i="62" s="1"/>
  <c r="AF56" i="62" a="1"/>
  <c r="AF56" i="62" s="1"/>
  <c r="AD56" i="62" a="1"/>
  <c r="AD56" i="62" s="1"/>
  <c r="S56" i="62" a="1"/>
  <c r="S56" i="62" s="1"/>
  <c r="R56" i="62" a="1"/>
  <c r="R56" i="62" s="1"/>
  <c r="Q56" i="62" a="1"/>
  <c r="Q56" i="62" s="1"/>
  <c r="P56" i="62" a="1"/>
  <c r="P56" i="62" s="1"/>
  <c r="N56" i="62" a="1"/>
  <c r="N56" i="62" s="1"/>
  <c r="O56" i="62" a="1"/>
  <c r="O56" i="62" s="1"/>
  <c r="U56" i="62" a="1"/>
  <c r="U56" i="62" s="1"/>
  <c r="AE56" i="62" a="1"/>
  <c r="AE56" i="62" s="1"/>
  <c r="AC56" i="62" a="1"/>
  <c r="AC56" i="62" s="1"/>
  <c r="M56" i="62" a="1"/>
  <c r="M56" i="62" s="1"/>
  <c r="AB56" i="62" a="1"/>
  <c r="AB56" i="62" s="1"/>
  <c r="AA56" i="62" a="1"/>
  <c r="AA56" i="62" s="1"/>
  <c r="Z56" i="62" a="1"/>
  <c r="Z56" i="62" s="1"/>
  <c r="Y56" i="62" a="1"/>
  <c r="Y56" i="62" s="1"/>
  <c r="X56" i="62" a="1"/>
  <c r="X56" i="62" s="1"/>
  <c r="W56" i="62" a="1"/>
  <c r="W56" i="62" s="1"/>
  <c r="V56" i="62" a="1"/>
  <c r="V56" i="62" s="1"/>
  <c r="K56" i="62" a="1"/>
  <c r="K56" i="62" s="1"/>
  <c r="S56" i="91" a="1"/>
  <c r="S56" i="91" s="1"/>
  <c r="Q56" i="91" a="1"/>
  <c r="Q56" i="91" s="1"/>
  <c r="P56" i="91" a="1"/>
  <c r="P56" i="91" s="1"/>
  <c r="O56" i="91" a="1"/>
  <c r="O56" i="91" s="1"/>
  <c r="N56" i="91" a="1"/>
  <c r="N56" i="91" s="1"/>
  <c r="M56" i="91" a="1"/>
  <c r="M56" i="91" s="1"/>
  <c r="L56" i="91" a="1"/>
  <c r="L56" i="91" s="1"/>
  <c r="K56" i="91" a="1"/>
  <c r="K56" i="91" s="1"/>
  <c r="AF56" i="91" a="1"/>
  <c r="AF56" i="91" s="1"/>
  <c r="AG56" i="91" a="1"/>
  <c r="AG56" i="91" s="1"/>
  <c r="AJ56" i="91" a="1"/>
  <c r="AJ56" i="91" s="1"/>
  <c r="AK56" i="91" a="1"/>
  <c r="AK56" i="91" s="1"/>
  <c r="AL56" i="91" a="1"/>
  <c r="AL56" i="91" s="1"/>
  <c r="AM56" i="91" a="1"/>
  <c r="AM56" i="91" s="1"/>
  <c r="AN56" i="91" a="1"/>
  <c r="AN56" i="91" s="1"/>
  <c r="AI56" i="91" a="1"/>
  <c r="AI56" i="91" s="1"/>
  <c r="T56" i="91" a="1"/>
  <c r="T56" i="91" s="1"/>
  <c r="U56" i="91" a="1"/>
  <c r="U56" i="91" s="1"/>
  <c r="V56" i="91" a="1"/>
  <c r="V56" i="91" s="1"/>
  <c r="AH56" i="91" a="1"/>
  <c r="AH56" i="91" s="1"/>
  <c r="Y56" i="91" a="1"/>
  <c r="Y56" i="91" s="1"/>
  <c r="Z56" i="91" a="1"/>
  <c r="Z56" i="91" s="1"/>
  <c r="AA56" i="91" a="1"/>
  <c r="AA56" i="91" s="1"/>
  <c r="AB56" i="91" a="1"/>
  <c r="AB56" i="91" s="1"/>
  <c r="AC56" i="91" a="1"/>
  <c r="AC56" i="91" s="1"/>
  <c r="AD56" i="91" a="1"/>
  <c r="AD56" i="91" s="1"/>
  <c r="R56" i="91" a="1"/>
  <c r="R56" i="91" s="1"/>
  <c r="W56" i="91" a="1"/>
  <c r="W56" i="91" s="1"/>
  <c r="X56" i="91" a="1"/>
  <c r="X56" i="91" s="1"/>
  <c r="AE56" i="91" a="1"/>
  <c r="AE56" i="91" s="1"/>
  <c r="S56" i="74" a="1"/>
  <c r="S56" i="74" s="1"/>
  <c r="Q56" i="74" a="1"/>
  <c r="Q56" i="74" s="1"/>
  <c r="K56" i="74" a="1"/>
  <c r="K56" i="74" s="1"/>
  <c r="N56" i="74" a="1"/>
  <c r="N56" i="74" s="1"/>
  <c r="L56" i="74" a="1"/>
  <c r="L56" i="74" s="1"/>
  <c r="U56" i="74" a="1"/>
  <c r="U56" i="74" s="1"/>
  <c r="AM56" i="74" a="1"/>
  <c r="AM56" i="74" s="1"/>
  <c r="AK56" i="74" a="1"/>
  <c r="AK56" i="74" s="1"/>
  <c r="AA56" i="74" a="1"/>
  <c r="AA56" i="74" s="1"/>
  <c r="Y56" i="74" a="1"/>
  <c r="Y56" i="74" s="1"/>
  <c r="W56" i="74" a="1"/>
  <c r="W56" i="74" s="1"/>
  <c r="X56" i="74" a="1"/>
  <c r="X56" i="74" s="1"/>
  <c r="O56" i="74" a="1"/>
  <c r="O56" i="74" s="1"/>
  <c r="AI56" i="74" a="1"/>
  <c r="AI56" i="74" s="1"/>
  <c r="M56" i="74" a="1"/>
  <c r="M56" i="74" s="1"/>
  <c r="AG56" i="74" a="1"/>
  <c r="AG56" i="74" s="1"/>
  <c r="R56" i="74" a="1"/>
  <c r="R56" i="74" s="1"/>
  <c r="T56" i="74" a="1"/>
  <c r="T56" i="74" s="1"/>
  <c r="AE56" i="74" a="1"/>
  <c r="AE56" i="74" s="1"/>
  <c r="AH56" i="74" a="1"/>
  <c r="AH56" i="74" s="1"/>
  <c r="AJ56" i="74" a="1"/>
  <c r="AJ56" i="74" s="1"/>
  <c r="AL56" i="74" a="1"/>
  <c r="AL56" i="74" s="1"/>
  <c r="P56" i="74" a="1"/>
  <c r="P56" i="74" s="1"/>
  <c r="Z56" i="74" a="1"/>
  <c r="Z56" i="74" s="1"/>
  <c r="AB56" i="74" a="1"/>
  <c r="AB56" i="74" s="1"/>
  <c r="AD56" i="74" a="1"/>
  <c r="AD56" i="74" s="1"/>
  <c r="AF56" i="74" a="1"/>
  <c r="AF56" i="74" s="1"/>
  <c r="AN56" i="74" a="1"/>
  <c r="AN56" i="74" s="1"/>
  <c r="AC56" i="74" a="1"/>
  <c r="AC56" i="74" s="1"/>
  <c r="V56" i="74" a="1"/>
  <c r="V56" i="74" s="1"/>
  <c r="S56" i="71" a="1"/>
  <c r="S56" i="71" s="1"/>
  <c r="R56" i="71" a="1"/>
  <c r="R56" i="71" s="1"/>
  <c r="P56" i="71" a="1"/>
  <c r="P56" i="71" s="1"/>
  <c r="N56" i="71" a="1"/>
  <c r="N56" i="71" s="1"/>
  <c r="K56" i="71" a="1"/>
  <c r="K56" i="71" s="1"/>
  <c r="AE56" i="71" a="1"/>
  <c r="AE56" i="71" s="1"/>
  <c r="AC56" i="71" a="1"/>
  <c r="AC56" i="71" s="1"/>
  <c r="AN56" i="71" a="1"/>
  <c r="AN56" i="71" s="1"/>
  <c r="AM56" i="71" a="1"/>
  <c r="AM56" i="71" s="1"/>
  <c r="AL56" i="71" a="1"/>
  <c r="AL56" i="71" s="1"/>
  <c r="AK56" i="71" a="1"/>
  <c r="AK56" i="71" s="1"/>
  <c r="AJ56" i="71" a="1"/>
  <c r="AJ56" i="71" s="1"/>
  <c r="AI56" i="71" a="1"/>
  <c r="AI56" i="71" s="1"/>
  <c r="AH56" i="71" a="1"/>
  <c r="AH56" i="71" s="1"/>
  <c r="AG56" i="71" a="1"/>
  <c r="AG56" i="71" s="1"/>
  <c r="AF56" i="71" a="1"/>
  <c r="AF56" i="71" s="1"/>
  <c r="AD56" i="71" a="1"/>
  <c r="AD56" i="71" s="1"/>
  <c r="AA56" i="71" a="1"/>
  <c r="AA56" i="71" s="1"/>
  <c r="Z56" i="71" a="1"/>
  <c r="Z56" i="71" s="1"/>
  <c r="X56" i="71" a="1"/>
  <c r="X56" i="71" s="1"/>
  <c r="L56" i="71" a="1"/>
  <c r="L56" i="71" s="1"/>
  <c r="M56" i="71" a="1"/>
  <c r="M56" i="71" s="1"/>
  <c r="O56" i="71" a="1"/>
  <c r="O56" i="71" s="1"/>
  <c r="Q56" i="71" a="1"/>
  <c r="Q56" i="71" s="1"/>
  <c r="T56" i="71" a="1"/>
  <c r="T56" i="71" s="1"/>
  <c r="U56" i="71" a="1"/>
  <c r="U56" i="71" s="1"/>
  <c r="W56" i="71" a="1"/>
  <c r="W56" i="71" s="1"/>
  <c r="Y56" i="71" a="1"/>
  <c r="Y56" i="71" s="1"/>
  <c r="AB56" i="71" a="1"/>
  <c r="AB56" i="71" s="1"/>
  <c r="V56" i="71" a="1"/>
  <c r="V56" i="71" s="1"/>
  <c r="W56" i="53" a="1"/>
  <c r="W56" i="53" s="1"/>
  <c r="V56" i="53" a="1"/>
  <c r="V56" i="53" s="1"/>
  <c r="U56" i="53" a="1"/>
  <c r="U56" i="53" s="1"/>
  <c r="T56" i="53" a="1"/>
  <c r="T56" i="53" s="1"/>
  <c r="S56" i="53" a="1"/>
  <c r="S56" i="53" s="1"/>
  <c r="R56" i="53" a="1"/>
  <c r="R56" i="53" s="1"/>
  <c r="Q56" i="53" a="1"/>
  <c r="Q56" i="53" s="1"/>
  <c r="P56" i="53" a="1"/>
  <c r="P56" i="53" s="1"/>
  <c r="O56" i="53" a="1"/>
  <c r="O56" i="53" s="1"/>
  <c r="N56" i="53" a="1"/>
  <c r="N56" i="53" s="1"/>
  <c r="M56" i="53" a="1"/>
  <c r="M56" i="53" s="1"/>
  <c r="L56" i="53" a="1"/>
  <c r="L56" i="53" s="1"/>
  <c r="K56" i="53" a="1"/>
  <c r="K56" i="53" s="1"/>
  <c r="AM56" i="53" a="1"/>
  <c r="AM56" i="53" s="1"/>
  <c r="AL56" i="53" a="1"/>
  <c r="AL56" i="53" s="1"/>
  <c r="AK56" i="53" a="1"/>
  <c r="AK56" i="53" s="1"/>
  <c r="AJ56" i="53" a="1"/>
  <c r="AJ56" i="53" s="1"/>
  <c r="AI56" i="53" a="1"/>
  <c r="AI56" i="53" s="1"/>
  <c r="AH56" i="53" a="1"/>
  <c r="AH56" i="53" s="1"/>
  <c r="AG56" i="53" a="1"/>
  <c r="AG56" i="53" s="1"/>
  <c r="AF56" i="53" a="1"/>
  <c r="AF56" i="53" s="1"/>
  <c r="AN56" i="53" a="1"/>
  <c r="AN56" i="53" s="1"/>
  <c r="AD56" i="53" a="1"/>
  <c r="AD56" i="53" s="1"/>
  <c r="AC56" i="53" a="1"/>
  <c r="AC56" i="53" s="1"/>
  <c r="AB56" i="53" a="1"/>
  <c r="AB56" i="53" s="1"/>
  <c r="AA56" i="53" a="1"/>
  <c r="AA56" i="53" s="1"/>
  <c r="Z56" i="53" a="1"/>
  <c r="Z56" i="53" s="1"/>
  <c r="Y56" i="53" a="1"/>
  <c r="Y56" i="53" s="1"/>
  <c r="X56" i="53" a="1"/>
  <c r="X56" i="53" s="1"/>
  <c r="AE56" i="53" a="1"/>
  <c r="AE56" i="53" s="1"/>
  <c r="AJ56" i="38" a="1"/>
  <c r="AJ56" i="38" s="1"/>
  <c r="AI56" i="38" a="1"/>
  <c r="AI56" i="38" s="1"/>
  <c r="AH56" i="38" a="1"/>
  <c r="AH56" i="38" s="1"/>
  <c r="AG56" i="38" a="1"/>
  <c r="AG56" i="38" s="1"/>
  <c r="AF56" i="38" a="1"/>
  <c r="AF56" i="38" s="1"/>
  <c r="AE56" i="38" a="1"/>
  <c r="AE56" i="38" s="1"/>
  <c r="AD56" i="38" a="1"/>
  <c r="AD56" i="38" s="1"/>
  <c r="AC56" i="38" a="1"/>
  <c r="AC56" i="38" s="1"/>
  <c r="AB56" i="38" a="1"/>
  <c r="AB56" i="38" s="1"/>
  <c r="AA56" i="38" a="1"/>
  <c r="AA56" i="38" s="1"/>
  <c r="Z56" i="38" a="1"/>
  <c r="Z56" i="38" s="1"/>
  <c r="Y56" i="38" a="1"/>
  <c r="Y56" i="38" s="1"/>
  <c r="X56" i="38" a="1"/>
  <c r="X56" i="38" s="1"/>
  <c r="W56" i="38" a="1"/>
  <c r="W56" i="38" s="1"/>
  <c r="V56" i="38" a="1"/>
  <c r="V56" i="38" s="1"/>
  <c r="U56" i="38" a="1"/>
  <c r="U56" i="38" s="1"/>
  <c r="T56" i="38" a="1"/>
  <c r="T56" i="38" s="1"/>
  <c r="S56" i="38" a="1"/>
  <c r="S56" i="38" s="1"/>
  <c r="R56" i="38" a="1"/>
  <c r="R56" i="38" s="1"/>
  <c r="Q56" i="38" a="1"/>
  <c r="Q56" i="38" s="1"/>
  <c r="P56" i="38" a="1"/>
  <c r="P56" i="38" s="1"/>
  <c r="O56" i="38" a="1"/>
  <c r="O56" i="38" s="1"/>
  <c r="N56" i="38" a="1"/>
  <c r="N56" i="38" s="1"/>
  <c r="M56" i="38" a="1"/>
  <c r="M56" i="38" s="1"/>
  <c r="L56" i="38" a="1"/>
  <c r="L56" i="38" s="1"/>
  <c r="K56" i="38" a="1"/>
  <c r="K56" i="38" s="1"/>
  <c r="AN56" i="38" a="1"/>
  <c r="AN56" i="38" s="1"/>
  <c r="AM56" i="38" a="1"/>
  <c r="AM56" i="38" s="1"/>
  <c r="AL56" i="38" a="1"/>
  <c r="AL56" i="38" s="1"/>
  <c r="AK56" i="38" a="1"/>
  <c r="AK56" i="38" s="1"/>
  <c r="AF56" i="37" a="1"/>
  <c r="AF56" i="37" s="1"/>
  <c r="AC56" i="37" a="1"/>
  <c r="AC56" i="37" s="1"/>
  <c r="AD56" i="37" a="1"/>
  <c r="AD56" i="37" s="1"/>
  <c r="AE56" i="37" a="1"/>
  <c r="AE56" i="37" s="1"/>
  <c r="P56" i="37" a="1"/>
  <c r="P56" i="37" s="1"/>
  <c r="S56" i="37" a="1"/>
  <c r="S56" i="37" s="1"/>
  <c r="R56" i="37" a="1"/>
  <c r="R56" i="37" s="1"/>
  <c r="AL56" i="37" a="1"/>
  <c r="AL56" i="37" s="1"/>
  <c r="Q56" i="37" a="1"/>
  <c r="Q56" i="37" s="1"/>
  <c r="AM56" i="37" a="1"/>
  <c r="AM56" i="37" s="1"/>
  <c r="O56" i="37" a="1"/>
  <c r="O56" i="37" s="1"/>
  <c r="N56" i="37" a="1"/>
  <c r="N56" i="37" s="1"/>
  <c r="M56" i="37" a="1"/>
  <c r="M56" i="37" s="1"/>
  <c r="L56" i="37" a="1"/>
  <c r="L56" i="37" s="1"/>
  <c r="K56" i="37" a="1"/>
  <c r="K56" i="37" s="1"/>
  <c r="AN56" i="37" a="1"/>
  <c r="AN56" i="37" s="1"/>
  <c r="AK56" i="37" a="1"/>
  <c r="AK56" i="37" s="1"/>
  <c r="AJ56" i="37" a="1"/>
  <c r="AJ56" i="37" s="1"/>
  <c r="AI56" i="37" a="1"/>
  <c r="AI56" i="37" s="1"/>
  <c r="AH56" i="37" a="1"/>
  <c r="AH56" i="37" s="1"/>
  <c r="AG56" i="37" a="1"/>
  <c r="AG56" i="37" s="1"/>
  <c r="T56" i="37" a="1"/>
  <c r="T56" i="37" s="1"/>
  <c r="U56" i="37" a="1"/>
  <c r="U56" i="37" s="1"/>
  <c r="V56" i="37" a="1"/>
  <c r="V56" i="37" s="1"/>
  <c r="W56" i="37" a="1"/>
  <c r="W56" i="37" s="1"/>
  <c r="X56" i="37" a="1"/>
  <c r="X56" i="37" s="1"/>
  <c r="Y56" i="37" a="1"/>
  <c r="Y56" i="37" s="1"/>
  <c r="Z56" i="37" a="1"/>
  <c r="Z56" i="37" s="1"/>
  <c r="AA56" i="37" a="1"/>
  <c r="AA56" i="37" s="1"/>
  <c r="AB56" i="37" a="1"/>
  <c r="AB56" i="37" s="1"/>
  <c r="AB56" i="54" a="1"/>
  <c r="AB56" i="54" s="1"/>
  <c r="AC56" i="54" a="1"/>
  <c r="AC56" i="54" s="1"/>
  <c r="AD56" i="54" a="1"/>
  <c r="AD56" i="54" s="1"/>
  <c r="AE56" i="54" a="1"/>
  <c r="AE56" i="54" s="1"/>
  <c r="AF56" i="54" a="1"/>
  <c r="AF56" i="54" s="1"/>
  <c r="AG56" i="54" a="1"/>
  <c r="AG56" i="54" s="1"/>
  <c r="AN56" i="54" a="1"/>
  <c r="AN56" i="54" s="1"/>
  <c r="AM56" i="54" a="1"/>
  <c r="AM56" i="54" s="1"/>
  <c r="AL56" i="54" a="1"/>
  <c r="AL56" i="54" s="1"/>
  <c r="AK56" i="54" a="1"/>
  <c r="AK56" i="54" s="1"/>
  <c r="AJ56" i="54" a="1"/>
  <c r="AJ56" i="54" s="1"/>
  <c r="AI56" i="54" a="1"/>
  <c r="AI56" i="54" s="1"/>
  <c r="P56" i="54" a="1"/>
  <c r="P56" i="54" s="1"/>
  <c r="S56" i="54" a="1"/>
  <c r="S56" i="54" s="1"/>
  <c r="X56" i="54" a="1"/>
  <c r="X56" i="54" s="1"/>
  <c r="K56" i="54" a="1"/>
  <c r="K56" i="54" s="1"/>
  <c r="Z56" i="54" a="1"/>
  <c r="Z56" i="54" s="1"/>
  <c r="AH56" i="54" a="1"/>
  <c r="AH56" i="54" s="1"/>
  <c r="AA56" i="54" a="1"/>
  <c r="AA56" i="54" s="1"/>
  <c r="L56" i="54" a="1"/>
  <c r="L56" i="54" s="1"/>
  <c r="M56" i="54" a="1"/>
  <c r="M56" i="54" s="1"/>
  <c r="N56" i="54" a="1"/>
  <c r="N56" i="54" s="1"/>
  <c r="O56" i="54" a="1"/>
  <c r="O56" i="54" s="1"/>
  <c r="T56" i="54" a="1"/>
  <c r="T56" i="54" s="1"/>
  <c r="Q56" i="54" a="1"/>
  <c r="Q56" i="54" s="1"/>
  <c r="R56" i="54" a="1"/>
  <c r="R56" i="54" s="1"/>
  <c r="U56" i="54" a="1"/>
  <c r="U56" i="54" s="1"/>
  <c r="V56" i="54" a="1"/>
  <c r="V56" i="54" s="1"/>
  <c r="W56" i="54" a="1"/>
  <c r="W56" i="54" s="1"/>
  <c r="Y56" i="54" a="1"/>
  <c r="Y56" i="54" s="1"/>
  <c r="W56" i="56" a="1"/>
  <c r="W56" i="56" s="1"/>
  <c r="X56" i="56" a="1"/>
  <c r="X56" i="56" s="1"/>
  <c r="K56" i="56" a="1"/>
  <c r="K56" i="56" s="1"/>
  <c r="Z56" i="56" a="1"/>
  <c r="Z56" i="56" s="1"/>
  <c r="AJ56" i="56" a="1"/>
  <c r="AJ56" i="56" s="1"/>
  <c r="AI56" i="56" a="1"/>
  <c r="AI56" i="56" s="1"/>
  <c r="N56" i="56" a="1"/>
  <c r="N56" i="56" s="1"/>
  <c r="O56" i="56" a="1"/>
  <c r="O56" i="56" s="1"/>
  <c r="P56" i="56" a="1"/>
  <c r="P56" i="56" s="1"/>
  <c r="Q56" i="56" a="1"/>
  <c r="Q56" i="56" s="1"/>
  <c r="R56" i="56" a="1"/>
  <c r="R56" i="56" s="1"/>
  <c r="S56" i="56" a="1"/>
  <c r="S56" i="56" s="1"/>
  <c r="T56" i="56" a="1"/>
  <c r="T56" i="56" s="1"/>
  <c r="U56" i="56" a="1"/>
  <c r="U56" i="56" s="1"/>
  <c r="V56" i="56" a="1"/>
  <c r="V56" i="56" s="1"/>
  <c r="L56" i="56" a="1"/>
  <c r="L56" i="56" s="1"/>
  <c r="M56" i="56" a="1"/>
  <c r="M56" i="56" s="1"/>
  <c r="Y56" i="56" a="1"/>
  <c r="Y56" i="56" s="1"/>
  <c r="AA56" i="56" a="1"/>
  <c r="AA56" i="56" s="1"/>
  <c r="AH56" i="56" a="1"/>
  <c r="AH56" i="56" s="1"/>
  <c r="AB56" i="56" a="1"/>
  <c r="AB56" i="56" s="1"/>
  <c r="AC56" i="56" a="1"/>
  <c r="AC56" i="56" s="1"/>
  <c r="AD56" i="56" a="1"/>
  <c r="AD56" i="56" s="1"/>
  <c r="AE56" i="56" a="1"/>
  <c r="AE56" i="56" s="1"/>
  <c r="AF56" i="56" a="1"/>
  <c r="AF56" i="56" s="1"/>
  <c r="AG56" i="56" a="1"/>
  <c r="AG56" i="56" s="1"/>
  <c r="AN56" i="56" a="1"/>
  <c r="AN56" i="56" s="1"/>
  <c r="AM56" i="56" a="1"/>
  <c r="AM56" i="56" s="1"/>
  <c r="AL56" i="56" a="1"/>
  <c r="AL56" i="56" s="1"/>
  <c r="AK56" i="56" a="1"/>
  <c r="AK56" i="56" s="1"/>
  <c r="AG56" i="33" a="1"/>
  <c r="AG56" i="33" s="1"/>
  <c r="AH56" i="33" a="1"/>
  <c r="AH56" i="33" s="1"/>
  <c r="AI56" i="33" a="1"/>
  <c r="AI56" i="33" s="1"/>
  <c r="AJ56" i="33" a="1"/>
  <c r="AJ56" i="33" s="1"/>
  <c r="AK56" i="33" a="1"/>
  <c r="AK56" i="33" s="1"/>
  <c r="AL56" i="33" a="1"/>
  <c r="AL56" i="33" s="1"/>
  <c r="AM56" i="33" a="1"/>
  <c r="AM56" i="33" s="1"/>
  <c r="AN56" i="33" a="1"/>
  <c r="AN56" i="33" s="1"/>
  <c r="K56" i="33" a="1"/>
  <c r="K56" i="33" s="1"/>
  <c r="L56" i="33" a="1"/>
  <c r="L56" i="33" s="1"/>
  <c r="N56" i="33" a="1"/>
  <c r="N56" i="33" s="1"/>
  <c r="O56" i="33" a="1"/>
  <c r="O56" i="33" s="1"/>
  <c r="P56" i="33" a="1"/>
  <c r="P56" i="33" s="1"/>
  <c r="Q56" i="33" a="1"/>
  <c r="Q56" i="33" s="1"/>
  <c r="R56" i="33" a="1"/>
  <c r="R56" i="33" s="1"/>
  <c r="AD56" i="33" a="1"/>
  <c r="AD56" i="33" s="1"/>
  <c r="S56" i="33" a="1"/>
  <c r="S56" i="33" s="1"/>
  <c r="V56" i="33" a="1"/>
  <c r="V56" i="33" s="1"/>
  <c r="M56" i="33" a="1"/>
  <c r="M56" i="33" s="1"/>
  <c r="T56" i="33" a="1"/>
  <c r="T56" i="33" s="1"/>
  <c r="U56" i="33" a="1"/>
  <c r="U56" i="33" s="1"/>
  <c r="W56" i="33" a="1"/>
  <c r="W56" i="33" s="1"/>
  <c r="X56" i="33" a="1"/>
  <c r="X56" i="33" s="1"/>
  <c r="Y56" i="33" a="1"/>
  <c r="Y56" i="33" s="1"/>
  <c r="Z56" i="33" a="1"/>
  <c r="Z56" i="33" s="1"/>
  <c r="AA56" i="33" a="1"/>
  <c r="AA56" i="33" s="1"/>
  <c r="AB56" i="33" a="1"/>
  <c r="AB56" i="33" s="1"/>
  <c r="AC56" i="33" a="1"/>
  <c r="AC56" i="33" s="1"/>
  <c r="AE56" i="33" a="1"/>
  <c r="AE56" i="33" s="1"/>
  <c r="AF56" i="33" a="1"/>
  <c r="AF56" i="33" s="1"/>
  <c r="AL56" i="44" a="1"/>
  <c r="AL56" i="44" s="1"/>
  <c r="AJ56" i="44" a="1"/>
  <c r="AJ56" i="44" s="1"/>
  <c r="AH56" i="44" a="1"/>
  <c r="AH56" i="44" s="1"/>
  <c r="AD56" i="44" a="1"/>
  <c r="AD56" i="44" s="1"/>
  <c r="AB56" i="44" a="1"/>
  <c r="AB56" i="44" s="1"/>
  <c r="Z56" i="44" a="1"/>
  <c r="Z56" i="44" s="1"/>
  <c r="X56" i="44" a="1"/>
  <c r="X56" i="44" s="1"/>
  <c r="V56" i="44" a="1"/>
  <c r="V56" i="44" s="1"/>
  <c r="T56" i="44" a="1"/>
  <c r="T56" i="44" s="1"/>
  <c r="R56" i="44" a="1"/>
  <c r="R56" i="44" s="1"/>
  <c r="P56" i="44" a="1"/>
  <c r="P56" i="44" s="1"/>
  <c r="N56" i="44" a="1"/>
  <c r="N56" i="44" s="1"/>
  <c r="L56" i="44" a="1"/>
  <c r="L56" i="44" s="1"/>
  <c r="K56" i="44" a="1"/>
  <c r="K56" i="44" s="1"/>
  <c r="M56" i="44" a="1"/>
  <c r="M56" i="44" s="1"/>
  <c r="Q56" i="44" a="1"/>
  <c r="Q56" i="44" s="1"/>
  <c r="S56" i="44" a="1"/>
  <c r="S56" i="44" s="1"/>
  <c r="U56" i="44" a="1"/>
  <c r="U56" i="44" s="1"/>
  <c r="W56" i="44" a="1"/>
  <c r="W56" i="44" s="1"/>
  <c r="Y56" i="44" a="1"/>
  <c r="Y56" i="44" s="1"/>
  <c r="AA56" i="44" a="1"/>
  <c r="AA56" i="44" s="1"/>
  <c r="AC56" i="44" a="1"/>
  <c r="AC56" i="44" s="1"/>
  <c r="AE56" i="44" a="1"/>
  <c r="AE56" i="44" s="1"/>
  <c r="AG56" i="44" a="1"/>
  <c r="AG56" i="44" s="1"/>
  <c r="AI56" i="44" a="1"/>
  <c r="AI56" i="44" s="1"/>
  <c r="AK56" i="44" a="1"/>
  <c r="AK56" i="44" s="1"/>
  <c r="AN56" i="44" a="1"/>
  <c r="AN56" i="44" s="1"/>
  <c r="O56" i="44" a="1"/>
  <c r="O56" i="44" s="1"/>
  <c r="AF56" i="44" a="1"/>
  <c r="AF56" i="44" s="1"/>
  <c r="AM56" i="44" a="1"/>
  <c r="AM56" i="44" s="1"/>
  <c r="AD56" i="31" a="1"/>
  <c r="AD56" i="31" s="1"/>
  <c r="AC56" i="31" a="1"/>
  <c r="AC56" i="31" s="1"/>
  <c r="AB56" i="31" a="1"/>
  <c r="AB56" i="31" s="1"/>
  <c r="AA56" i="31" a="1"/>
  <c r="AA56" i="31" s="1"/>
  <c r="Z56" i="31" a="1"/>
  <c r="Z56" i="31" s="1"/>
  <c r="Y56" i="31" a="1"/>
  <c r="Y56" i="31" s="1"/>
  <c r="X56" i="31" a="1"/>
  <c r="X56" i="31" s="1"/>
  <c r="W56" i="31" a="1"/>
  <c r="W56" i="31" s="1"/>
  <c r="V56" i="31" a="1"/>
  <c r="V56" i="31" s="1"/>
  <c r="U56" i="31" a="1"/>
  <c r="U56" i="31" s="1"/>
  <c r="T56" i="31" a="1"/>
  <c r="T56" i="31" s="1"/>
  <c r="S56" i="31" a="1"/>
  <c r="S56" i="31" s="1"/>
  <c r="R56" i="31" a="1"/>
  <c r="R56" i="31" s="1"/>
  <c r="AE56" i="31" a="1"/>
  <c r="AE56" i="31" s="1"/>
  <c r="Q56" i="31" a="1"/>
  <c r="Q56" i="31" s="1"/>
  <c r="P56" i="31" a="1"/>
  <c r="P56" i="31" s="1"/>
  <c r="O56" i="31" a="1"/>
  <c r="O56" i="31" s="1"/>
  <c r="M56" i="31" a="1"/>
  <c r="M56" i="31" s="1"/>
  <c r="L56" i="31" a="1"/>
  <c r="L56" i="31" s="1"/>
  <c r="K56" i="31" a="1"/>
  <c r="K56" i="31" s="1"/>
  <c r="N56" i="31" a="1"/>
  <c r="N56" i="31" s="1"/>
  <c r="AN56" i="31" a="1"/>
  <c r="AN56" i="31" s="1"/>
  <c r="AM56" i="31" a="1"/>
  <c r="AM56" i="31" s="1"/>
  <c r="AL56" i="31" a="1"/>
  <c r="AL56" i="31" s="1"/>
  <c r="AK56" i="31" a="1"/>
  <c r="AK56" i="31" s="1"/>
  <c r="AJ56" i="31" a="1"/>
  <c r="AJ56" i="31" s="1"/>
  <c r="AI56" i="31" a="1"/>
  <c r="AI56" i="31" s="1"/>
  <c r="AH56" i="31" a="1"/>
  <c r="AH56" i="31" s="1"/>
  <c r="AG56" i="31" a="1"/>
  <c r="AG56" i="31" s="1"/>
  <c r="AF56" i="31" a="1"/>
  <c r="AF56" i="31" s="1"/>
  <c r="R56" i="48" a="1"/>
  <c r="R56" i="48" s="1"/>
  <c r="U56" i="48" a="1"/>
  <c r="U56" i="48" s="1"/>
  <c r="Q56" i="48" a="1"/>
  <c r="Q56" i="48" s="1"/>
  <c r="V56" i="48" a="1"/>
  <c r="V56" i="48" s="1"/>
  <c r="Y56" i="48" a="1"/>
  <c r="Y56" i="48" s="1"/>
  <c r="X56" i="48" a="1"/>
  <c r="X56" i="48" s="1"/>
  <c r="AB56" i="48" a="1"/>
  <c r="AB56" i="48" s="1"/>
  <c r="AN56" i="48" a="1"/>
  <c r="AN56" i="48" s="1"/>
  <c r="AD56" i="48" a="1"/>
  <c r="AD56" i="48" s="1"/>
  <c r="M56" i="48" a="1"/>
  <c r="M56" i="48" s="1"/>
  <c r="N56" i="48" a="1"/>
  <c r="N56" i="48" s="1"/>
  <c r="K56" i="48" a="1"/>
  <c r="K56" i="48" s="1"/>
  <c r="O56" i="48" a="1"/>
  <c r="O56" i="48" s="1"/>
  <c r="P56" i="48" a="1"/>
  <c r="P56" i="48" s="1"/>
  <c r="S56" i="48" a="1"/>
  <c r="S56" i="48" s="1"/>
  <c r="L56" i="48" a="1"/>
  <c r="L56" i="48" s="1"/>
  <c r="AK56" i="48" a="1"/>
  <c r="AK56" i="48" s="1"/>
  <c r="T56" i="48" a="1"/>
  <c r="T56" i="48" s="1"/>
  <c r="W56" i="48" a="1"/>
  <c r="W56" i="48" s="1"/>
  <c r="Z56" i="48" a="1"/>
  <c r="Z56" i="48" s="1"/>
  <c r="AA56" i="48" a="1"/>
  <c r="AA56" i="48" s="1"/>
  <c r="AJ56" i="48" a="1"/>
  <c r="AJ56" i="48" s="1"/>
  <c r="AL56" i="48" a="1"/>
  <c r="AL56" i="48" s="1"/>
  <c r="AH56" i="48" a="1"/>
  <c r="AH56" i="48" s="1"/>
  <c r="AM56" i="48" a="1"/>
  <c r="AM56" i="48" s="1"/>
  <c r="AG56" i="48" a="1"/>
  <c r="AG56" i="48" s="1"/>
  <c r="AF56" i="48" a="1"/>
  <c r="AF56" i="48" s="1"/>
  <c r="AE56" i="48" a="1"/>
  <c r="AE56" i="48" s="1"/>
  <c r="AC56" i="48" a="1"/>
  <c r="AC56" i="48" s="1"/>
  <c r="AI56" i="48" a="1"/>
  <c r="AI56" i="48" s="1"/>
  <c r="L56" i="49" a="1"/>
  <c r="L56" i="49" s="1"/>
  <c r="K56" i="49" a="1"/>
  <c r="K56" i="49" s="1"/>
  <c r="AE56" i="49" a="1"/>
  <c r="AE56" i="49" s="1"/>
  <c r="AD56" i="49" a="1"/>
  <c r="AD56" i="49" s="1"/>
  <c r="AC56" i="49" a="1"/>
  <c r="AC56" i="49" s="1"/>
  <c r="AB56" i="49" a="1"/>
  <c r="AB56" i="49" s="1"/>
  <c r="AA56" i="49" a="1"/>
  <c r="AA56" i="49" s="1"/>
  <c r="AG56" i="49" a="1"/>
  <c r="AG56" i="49" s="1"/>
  <c r="AH56" i="49" a="1"/>
  <c r="AH56" i="49" s="1"/>
  <c r="AI56" i="49" a="1"/>
  <c r="AI56" i="49" s="1"/>
  <c r="AJ56" i="49" a="1"/>
  <c r="AJ56" i="49" s="1"/>
  <c r="AK56" i="49" a="1"/>
  <c r="AK56" i="49" s="1"/>
  <c r="AL56" i="49" a="1"/>
  <c r="AL56" i="49" s="1"/>
  <c r="AM56" i="49" a="1"/>
  <c r="AM56" i="49" s="1"/>
  <c r="AN56" i="49" a="1"/>
  <c r="AN56" i="49" s="1"/>
  <c r="Y56" i="49" a="1"/>
  <c r="Y56" i="49" s="1"/>
  <c r="Z56" i="49" a="1"/>
  <c r="Z56" i="49" s="1"/>
  <c r="X56" i="49" a="1"/>
  <c r="X56" i="49" s="1"/>
  <c r="W56" i="49" a="1"/>
  <c r="W56" i="49" s="1"/>
  <c r="V56" i="49" a="1"/>
  <c r="V56" i="49" s="1"/>
  <c r="U56" i="49" a="1"/>
  <c r="U56" i="49" s="1"/>
  <c r="T56" i="49" a="1"/>
  <c r="T56" i="49" s="1"/>
  <c r="S56" i="49" a="1"/>
  <c r="S56" i="49" s="1"/>
  <c r="R56" i="49" a="1"/>
  <c r="R56" i="49" s="1"/>
  <c r="Q56" i="49" a="1"/>
  <c r="Q56" i="49" s="1"/>
  <c r="P56" i="49" a="1"/>
  <c r="P56" i="49" s="1"/>
  <c r="AF56" i="49" a="1"/>
  <c r="AF56" i="49" s="1"/>
  <c r="O56" i="49" a="1"/>
  <c r="O56" i="49" s="1"/>
  <c r="N56" i="49" a="1"/>
  <c r="N56" i="49" s="1"/>
  <c r="M56" i="49" a="1"/>
  <c r="M56" i="49" s="1"/>
  <c r="AF56" i="63" a="1"/>
  <c r="AF56" i="63" s="1"/>
  <c r="P56" i="63" a="1"/>
  <c r="P56" i="63" s="1"/>
  <c r="AB56" i="63" a="1"/>
  <c r="AB56" i="63" s="1"/>
  <c r="AA56" i="63" a="1"/>
  <c r="AA56" i="63" s="1"/>
  <c r="AC56" i="63" a="1"/>
  <c r="AC56" i="63" s="1"/>
  <c r="AD56" i="63" a="1"/>
  <c r="AD56" i="63" s="1"/>
  <c r="AE56" i="63" a="1"/>
  <c r="AE56" i="63" s="1"/>
  <c r="N56" i="63" a="1"/>
  <c r="N56" i="63" s="1"/>
  <c r="Z56" i="63" a="1"/>
  <c r="Z56" i="63" s="1"/>
  <c r="K56" i="63" a="1"/>
  <c r="K56" i="63" s="1"/>
  <c r="X56" i="63" a="1"/>
  <c r="X56" i="63" s="1"/>
  <c r="W56" i="63" a="1"/>
  <c r="W56" i="63" s="1"/>
  <c r="V56" i="63" a="1"/>
  <c r="V56" i="63" s="1"/>
  <c r="O56" i="63" a="1"/>
  <c r="O56" i="63" s="1"/>
  <c r="U56" i="63" a="1"/>
  <c r="U56" i="63" s="1"/>
  <c r="M56" i="63" a="1"/>
  <c r="M56" i="63" s="1"/>
  <c r="L56" i="63" a="1"/>
  <c r="L56" i="63" s="1"/>
  <c r="AN56" i="63" a="1"/>
  <c r="AN56" i="63" s="1"/>
  <c r="T56" i="63" a="1"/>
  <c r="T56" i="63" s="1"/>
  <c r="S56" i="63" a="1"/>
  <c r="S56" i="63" s="1"/>
  <c r="R56" i="63" a="1"/>
  <c r="R56" i="63" s="1"/>
  <c r="Q56" i="63" a="1"/>
  <c r="Q56" i="63" s="1"/>
  <c r="AM56" i="63" a="1"/>
  <c r="AM56" i="63" s="1"/>
  <c r="AL56" i="63" a="1"/>
  <c r="AL56" i="63" s="1"/>
  <c r="AK56" i="63" a="1"/>
  <c r="AK56" i="63" s="1"/>
  <c r="Y56" i="63" a="1"/>
  <c r="Y56" i="63" s="1"/>
  <c r="AJ56" i="63" a="1"/>
  <c r="AJ56" i="63" s="1"/>
  <c r="AI56" i="63" a="1"/>
  <c r="AI56" i="63" s="1"/>
  <c r="AH56" i="63" a="1"/>
  <c r="AH56" i="63" s="1"/>
  <c r="AG56" i="63" a="1"/>
  <c r="AG56" i="63" s="1"/>
  <c r="AE56" i="68" a="1"/>
  <c r="AE56" i="68" s="1"/>
  <c r="P56" i="68" a="1"/>
  <c r="P56" i="68" s="1"/>
  <c r="N56" i="68" a="1"/>
  <c r="N56" i="68" s="1"/>
  <c r="AC56" i="68" a="1"/>
  <c r="AC56" i="68" s="1"/>
  <c r="O56" i="68" a="1"/>
  <c r="O56" i="68" s="1"/>
  <c r="AB56" i="68" a="1"/>
  <c r="AB56" i="68" s="1"/>
  <c r="AA56" i="68" a="1"/>
  <c r="AA56" i="68" s="1"/>
  <c r="Q56" i="68" a="1"/>
  <c r="Q56" i="68" s="1"/>
  <c r="Z56" i="68" a="1"/>
  <c r="Z56" i="68" s="1"/>
  <c r="Y56" i="68" a="1"/>
  <c r="Y56" i="68" s="1"/>
  <c r="X56" i="68" a="1"/>
  <c r="X56" i="68" s="1"/>
  <c r="V56" i="68" a="1"/>
  <c r="V56" i="68" s="1"/>
  <c r="U56" i="68" a="1"/>
  <c r="U56" i="68" s="1"/>
  <c r="T56" i="68" a="1"/>
  <c r="T56" i="68" s="1"/>
  <c r="S56" i="68" a="1"/>
  <c r="S56" i="68" s="1"/>
  <c r="R56" i="68" a="1"/>
  <c r="R56" i="68" s="1"/>
  <c r="AN56" i="68" a="1"/>
  <c r="AN56" i="68" s="1"/>
  <c r="AM56" i="68" a="1"/>
  <c r="AM56" i="68" s="1"/>
  <c r="AL56" i="68" a="1"/>
  <c r="AL56" i="68" s="1"/>
  <c r="AK56" i="68" a="1"/>
  <c r="AK56" i="68" s="1"/>
  <c r="AJ56" i="68" a="1"/>
  <c r="AJ56" i="68" s="1"/>
  <c r="AI56" i="68" a="1"/>
  <c r="AI56" i="68" s="1"/>
  <c r="AH56" i="68" a="1"/>
  <c r="AH56" i="68" s="1"/>
  <c r="AG56" i="68" a="1"/>
  <c r="AG56" i="68" s="1"/>
  <c r="AF56" i="68" a="1"/>
  <c r="AF56" i="68" s="1"/>
  <c r="AD56" i="68" a="1"/>
  <c r="AD56" i="68" s="1"/>
  <c r="K56" i="68" a="1"/>
  <c r="K56" i="68" s="1"/>
  <c r="L56" i="68" a="1"/>
  <c r="L56" i="68" s="1"/>
  <c r="M56" i="68" a="1"/>
  <c r="M56" i="68" s="1"/>
  <c r="W56" i="68" a="1"/>
  <c r="W56" i="68" s="1"/>
  <c r="Y56" i="65" a="1"/>
  <c r="Y56" i="65" s="1"/>
  <c r="Z56" i="65" a="1"/>
  <c r="Z56" i="65" s="1"/>
  <c r="AA56" i="65" a="1"/>
  <c r="AA56" i="65" s="1"/>
  <c r="AB56" i="65" a="1"/>
  <c r="AB56" i="65" s="1"/>
  <c r="AC56" i="65" a="1"/>
  <c r="AC56" i="65" s="1"/>
  <c r="AD56" i="65" a="1"/>
  <c r="AD56" i="65" s="1"/>
  <c r="AE56" i="65" a="1"/>
  <c r="AE56" i="65" s="1"/>
  <c r="AF56" i="65" a="1"/>
  <c r="AF56" i="65" s="1"/>
  <c r="AG56" i="65" a="1"/>
  <c r="AG56" i="65" s="1"/>
  <c r="AI56" i="65" a="1"/>
  <c r="AI56" i="65" s="1"/>
  <c r="AJ56" i="65" a="1"/>
  <c r="AJ56" i="65" s="1"/>
  <c r="AK56" i="65" a="1"/>
  <c r="AK56" i="65" s="1"/>
  <c r="AL56" i="65" a="1"/>
  <c r="AL56" i="65" s="1"/>
  <c r="AM56" i="65" a="1"/>
  <c r="AM56" i="65" s="1"/>
  <c r="AN56" i="65" a="1"/>
  <c r="AN56" i="65" s="1"/>
  <c r="AH56" i="65" a="1"/>
  <c r="AH56" i="65" s="1"/>
  <c r="K56" i="65" a="1"/>
  <c r="K56" i="65" s="1"/>
  <c r="L56" i="65" a="1"/>
  <c r="L56" i="65" s="1"/>
  <c r="M56" i="65" a="1"/>
  <c r="M56" i="65" s="1"/>
  <c r="N56" i="65" a="1"/>
  <c r="N56" i="65" s="1"/>
  <c r="O56" i="65" a="1"/>
  <c r="O56" i="65" s="1"/>
  <c r="P56" i="65" a="1"/>
  <c r="P56" i="65" s="1"/>
  <c r="Q56" i="65" a="1"/>
  <c r="Q56" i="65" s="1"/>
  <c r="R56" i="65" a="1"/>
  <c r="R56" i="65" s="1"/>
  <c r="S56" i="65" a="1"/>
  <c r="S56" i="65" s="1"/>
  <c r="T56" i="65" a="1"/>
  <c r="T56" i="65" s="1"/>
  <c r="U56" i="65" a="1"/>
  <c r="U56" i="65" s="1"/>
  <c r="V56" i="65" a="1"/>
  <c r="V56" i="65" s="1"/>
  <c r="W56" i="65" a="1"/>
  <c r="W56" i="65" s="1"/>
  <c r="X56" i="65" a="1"/>
  <c r="X56" i="65" s="1"/>
  <c r="AH56" i="57" a="1"/>
  <c r="AH56" i="57" s="1"/>
  <c r="AG56" i="57" a="1"/>
  <c r="AG56" i="57" s="1"/>
  <c r="AE56" i="57" a="1"/>
  <c r="AE56" i="57" s="1"/>
  <c r="AD56" i="57" a="1"/>
  <c r="AD56" i="57" s="1"/>
  <c r="AC56" i="57" a="1"/>
  <c r="AC56" i="57" s="1"/>
  <c r="AB56" i="57" a="1"/>
  <c r="AB56" i="57" s="1"/>
  <c r="M56" i="57" a="1"/>
  <c r="M56" i="57" s="1"/>
  <c r="AA56" i="57" a="1"/>
  <c r="AA56" i="57" s="1"/>
  <c r="L56" i="57" a="1"/>
  <c r="L56" i="57" s="1"/>
  <c r="Z56" i="57" a="1"/>
  <c r="Z56" i="57" s="1"/>
  <c r="Y56" i="57" a="1"/>
  <c r="Y56" i="57" s="1"/>
  <c r="X56" i="57" a="1"/>
  <c r="X56" i="57" s="1"/>
  <c r="W56" i="57" a="1"/>
  <c r="W56" i="57" s="1"/>
  <c r="V56" i="57" a="1"/>
  <c r="V56" i="57" s="1"/>
  <c r="U56" i="57" a="1"/>
  <c r="U56" i="57" s="1"/>
  <c r="AF56" i="57" a="1"/>
  <c r="AF56" i="57" s="1"/>
  <c r="K56" i="57" a="1"/>
  <c r="K56" i="57" s="1"/>
  <c r="T56" i="57" a="1"/>
  <c r="T56" i="57" s="1"/>
  <c r="S56" i="57" a="1"/>
  <c r="S56" i="57" s="1"/>
  <c r="R56" i="57" a="1"/>
  <c r="R56" i="57" s="1"/>
  <c r="Q56" i="57" a="1"/>
  <c r="Q56" i="57" s="1"/>
  <c r="P56" i="57" a="1"/>
  <c r="P56" i="57" s="1"/>
  <c r="O56" i="57" a="1"/>
  <c r="O56" i="57" s="1"/>
  <c r="N56" i="57" a="1"/>
  <c r="N56" i="57" s="1"/>
  <c r="AN56" i="57" a="1"/>
  <c r="AN56" i="57" s="1"/>
  <c r="AM56" i="57" a="1"/>
  <c r="AM56" i="57" s="1"/>
  <c r="AL56" i="57" a="1"/>
  <c r="AL56" i="57" s="1"/>
  <c r="AK56" i="57" a="1"/>
  <c r="AK56" i="57" s="1"/>
  <c r="AJ56" i="57" a="1"/>
  <c r="AJ56" i="57" s="1"/>
  <c r="AI56" i="57" a="1"/>
  <c r="AI56" i="57" s="1"/>
  <c r="M56" i="72" a="1"/>
  <c r="M56" i="72" s="1"/>
  <c r="N56" i="72" a="1"/>
  <c r="N56" i="72" s="1"/>
  <c r="P56" i="72" a="1"/>
  <c r="P56" i="72" s="1"/>
  <c r="R56" i="72" a="1"/>
  <c r="R56" i="72" s="1"/>
  <c r="T56" i="72" a="1"/>
  <c r="T56" i="72" s="1"/>
  <c r="AF56" i="72" a="1"/>
  <c r="AF56" i="72" s="1"/>
  <c r="AD56" i="72" a="1"/>
  <c r="AD56" i="72" s="1"/>
  <c r="AB56" i="72" a="1"/>
  <c r="AB56" i="72" s="1"/>
  <c r="W56" i="72" a="1"/>
  <c r="W56" i="72" s="1"/>
  <c r="Z56" i="72" a="1"/>
  <c r="Z56" i="72" s="1"/>
  <c r="AA56" i="72" a="1"/>
  <c r="AA56" i="72" s="1"/>
  <c r="AC56" i="72" a="1"/>
  <c r="AC56" i="72" s="1"/>
  <c r="AE56" i="72" a="1"/>
  <c r="AE56" i="72" s="1"/>
  <c r="AK56" i="72" a="1"/>
  <c r="AK56" i="72" s="1"/>
  <c r="AM56" i="72" a="1"/>
  <c r="AM56" i="72" s="1"/>
  <c r="V56" i="72" a="1"/>
  <c r="V56" i="72" s="1"/>
  <c r="Y56" i="72" a="1"/>
  <c r="Y56" i="72" s="1"/>
  <c r="AN56" i="72" a="1"/>
  <c r="AN56" i="72" s="1"/>
  <c r="AL56" i="72" a="1"/>
  <c r="AL56" i="72" s="1"/>
  <c r="AJ56" i="72" a="1"/>
  <c r="AJ56" i="72" s="1"/>
  <c r="AI56" i="72" a="1"/>
  <c r="AI56" i="72" s="1"/>
  <c r="AH56" i="72" a="1"/>
  <c r="AH56" i="72" s="1"/>
  <c r="AG56" i="72" a="1"/>
  <c r="AG56" i="72" s="1"/>
  <c r="K56" i="72" a="1"/>
  <c r="K56" i="72" s="1"/>
  <c r="X56" i="72" a="1"/>
  <c r="X56" i="72" s="1"/>
  <c r="U56" i="72" a="1"/>
  <c r="U56" i="72" s="1"/>
  <c r="L56" i="72" a="1"/>
  <c r="L56" i="72" s="1"/>
  <c r="O56" i="72" a="1"/>
  <c r="O56" i="72" s="1"/>
  <c r="Q56" i="72" a="1"/>
  <c r="Q56" i="72" s="1"/>
  <c r="S56" i="72" a="1"/>
  <c r="S56" i="72" s="1"/>
  <c r="AL56" i="32" a="1"/>
  <c r="AL56" i="32" s="1"/>
  <c r="AK56" i="32" a="1"/>
  <c r="AK56" i="32" s="1"/>
  <c r="AJ56" i="32" a="1"/>
  <c r="AJ56" i="32" s="1"/>
  <c r="AI56" i="32" a="1"/>
  <c r="AI56" i="32" s="1"/>
  <c r="AH56" i="32" a="1"/>
  <c r="AH56" i="32" s="1"/>
  <c r="AG56" i="32" a="1"/>
  <c r="AG56" i="32" s="1"/>
  <c r="AF56" i="32" a="1"/>
  <c r="AF56" i="32" s="1"/>
  <c r="AE56" i="32" a="1"/>
  <c r="AE56" i="32" s="1"/>
  <c r="AC56" i="32" a="1"/>
  <c r="AC56" i="32" s="1"/>
  <c r="AB56" i="32" a="1"/>
  <c r="AB56" i="32" s="1"/>
  <c r="AA56" i="32" a="1"/>
  <c r="AA56" i="32" s="1"/>
  <c r="Z56" i="32" a="1"/>
  <c r="Z56" i="32" s="1"/>
  <c r="Y56" i="32" a="1"/>
  <c r="Y56" i="32" s="1"/>
  <c r="X56" i="32" a="1"/>
  <c r="X56" i="32" s="1"/>
  <c r="W56" i="32" a="1"/>
  <c r="W56" i="32" s="1"/>
  <c r="V56" i="32" a="1"/>
  <c r="V56" i="32" s="1"/>
  <c r="U56" i="32" a="1"/>
  <c r="U56" i="32" s="1"/>
  <c r="AN56" i="32" a="1"/>
  <c r="AN56" i="32" s="1"/>
  <c r="AM56" i="32" a="1"/>
  <c r="AM56" i="32" s="1"/>
  <c r="K56" i="32" a="1"/>
  <c r="K56" i="32" s="1"/>
  <c r="L56" i="32" a="1"/>
  <c r="L56" i="32" s="1"/>
  <c r="M56" i="32" a="1"/>
  <c r="M56" i="32" s="1"/>
  <c r="N56" i="32" a="1"/>
  <c r="N56" i="32" s="1"/>
  <c r="O56" i="32" a="1"/>
  <c r="O56" i="32" s="1"/>
  <c r="AD56" i="32" a="1"/>
  <c r="AD56" i="32" s="1"/>
  <c r="P56" i="32" a="1"/>
  <c r="P56" i="32" s="1"/>
  <c r="Q56" i="32" a="1"/>
  <c r="Q56" i="32" s="1"/>
  <c r="R56" i="32" a="1"/>
  <c r="R56" i="32" s="1"/>
  <c r="S56" i="32" a="1"/>
  <c r="S56" i="32" s="1"/>
  <c r="T56" i="32" a="1"/>
  <c r="T56" i="32" s="1"/>
  <c r="AF56" i="50" a="1"/>
  <c r="AF56" i="50" s="1"/>
  <c r="AG56" i="50" a="1"/>
  <c r="AG56" i="50" s="1"/>
  <c r="K56" i="50" a="1"/>
  <c r="K56" i="50" s="1"/>
  <c r="AJ56" i="50" a="1"/>
  <c r="AJ56" i="50" s="1"/>
  <c r="AK56" i="50" a="1"/>
  <c r="AK56" i="50" s="1"/>
  <c r="AL56" i="50" a="1"/>
  <c r="AL56" i="50" s="1"/>
  <c r="AM56" i="50" a="1"/>
  <c r="AM56" i="50" s="1"/>
  <c r="AN56" i="50" a="1"/>
  <c r="AN56" i="50" s="1"/>
  <c r="L56" i="50" a="1"/>
  <c r="L56" i="50" s="1"/>
  <c r="M56" i="50" a="1"/>
  <c r="M56" i="50" s="1"/>
  <c r="N56" i="50" a="1"/>
  <c r="N56" i="50" s="1"/>
  <c r="O56" i="50" a="1"/>
  <c r="O56" i="50" s="1"/>
  <c r="P56" i="50" a="1"/>
  <c r="P56" i="50" s="1"/>
  <c r="Q56" i="50" a="1"/>
  <c r="Q56" i="50" s="1"/>
  <c r="R56" i="50" a="1"/>
  <c r="R56" i="50" s="1"/>
  <c r="Y56" i="50" a="1"/>
  <c r="Y56" i="50" s="1"/>
  <c r="Z56" i="50" a="1"/>
  <c r="Z56" i="50" s="1"/>
  <c r="AA56" i="50" a="1"/>
  <c r="AA56" i="50" s="1"/>
  <c r="AB56" i="50" a="1"/>
  <c r="AB56" i="50" s="1"/>
  <c r="AC56" i="50" a="1"/>
  <c r="AC56" i="50" s="1"/>
  <c r="AD56" i="50" a="1"/>
  <c r="AD56" i="50" s="1"/>
  <c r="AE56" i="50" a="1"/>
  <c r="AE56" i="50" s="1"/>
  <c r="AH56" i="50" a="1"/>
  <c r="AH56" i="50" s="1"/>
  <c r="S56" i="50" a="1"/>
  <c r="S56" i="50" s="1"/>
  <c r="T56" i="50" a="1"/>
  <c r="T56" i="50" s="1"/>
  <c r="U56" i="50" a="1"/>
  <c r="U56" i="50" s="1"/>
  <c r="V56" i="50" a="1"/>
  <c r="V56" i="50" s="1"/>
  <c r="W56" i="50" a="1"/>
  <c r="W56" i="50" s="1"/>
  <c r="X56" i="50" a="1"/>
  <c r="X56" i="50" s="1"/>
  <c r="AI56" i="50" a="1"/>
  <c r="AI56" i="50" s="1"/>
  <c r="M56" i="27" a="1"/>
  <c r="M56" i="27" s="1"/>
  <c r="L56" i="27" a="1"/>
  <c r="L56" i="27" s="1"/>
  <c r="K56" i="27" a="1"/>
  <c r="K56" i="27" s="1"/>
  <c r="AN56" i="27" a="1"/>
  <c r="AN56" i="27" s="1"/>
  <c r="AM56" i="27" a="1"/>
  <c r="AM56" i="27" s="1"/>
  <c r="AL56" i="27" a="1"/>
  <c r="AL56" i="27" s="1"/>
  <c r="AK56" i="27" a="1"/>
  <c r="AK56" i="27" s="1"/>
  <c r="AJ56" i="27" a="1"/>
  <c r="AJ56" i="27" s="1"/>
  <c r="AI56" i="27" a="1"/>
  <c r="AI56" i="27" s="1"/>
  <c r="AH56" i="27" a="1"/>
  <c r="AH56" i="27" s="1"/>
  <c r="AG56" i="27" a="1"/>
  <c r="AG56" i="27" s="1"/>
  <c r="AF56" i="27" a="1"/>
  <c r="AF56" i="27" s="1"/>
  <c r="AE56" i="27" a="1"/>
  <c r="AE56" i="27" s="1"/>
  <c r="AD56" i="27" a="1"/>
  <c r="AD56" i="27" s="1"/>
  <c r="AC56" i="27" a="1"/>
  <c r="AC56" i="27" s="1"/>
  <c r="AB56" i="27" a="1"/>
  <c r="AB56" i="27" s="1"/>
  <c r="AA56" i="27" a="1"/>
  <c r="AA56" i="27" s="1"/>
  <c r="Z56" i="27" a="1"/>
  <c r="Z56" i="27" s="1"/>
  <c r="Y56" i="27" a="1"/>
  <c r="Y56" i="27" s="1"/>
  <c r="X56" i="27" a="1"/>
  <c r="X56" i="27" s="1"/>
  <c r="W56" i="27" a="1"/>
  <c r="W56" i="27" s="1"/>
  <c r="V56" i="27" a="1"/>
  <c r="V56" i="27" s="1"/>
  <c r="U56" i="27" a="1"/>
  <c r="U56" i="27" s="1"/>
  <c r="T56" i="27" a="1"/>
  <c r="T56" i="27" s="1"/>
  <c r="S56" i="27" a="1"/>
  <c r="S56" i="27" s="1"/>
  <c r="R56" i="27" a="1"/>
  <c r="R56" i="27" s="1"/>
  <c r="Q56" i="27" a="1"/>
  <c r="Q56" i="27" s="1"/>
  <c r="P56" i="27" a="1"/>
  <c r="P56" i="27" s="1"/>
  <c r="O56" i="27" a="1"/>
  <c r="O56" i="27" s="1"/>
  <c r="N56" i="27" a="1"/>
  <c r="N56" i="27" s="1"/>
  <c r="N56" i="35" a="1"/>
  <c r="N56" i="35" s="1"/>
  <c r="M56" i="35" a="1"/>
  <c r="M56" i="35" s="1"/>
  <c r="Y56" i="35" a="1"/>
  <c r="Y56" i="35" s="1"/>
  <c r="Z56" i="35" a="1"/>
  <c r="Z56" i="35" s="1"/>
  <c r="AA56" i="35" a="1"/>
  <c r="AA56" i="35" s="1"/>
  <c r="AB56" i="35" a="1"/>
  <c r="AB56" i="35" s="1"/>
  <c r="AD56" i="35" a="1"/>
  <c r="AD56" i="35" s="1"/>
  <c r="AE56" i="35" a="1"/>
  <c r="AE56" i="35" s="1"/>
  <c r="AF56" i="35" a="1"/>
  <c r="AF56" i="35" s="1"/>
  <c r="AG56" i="35" a="1"/>
  <c r="AG56" i="35" s="1"/>
  <c r="AH56" i="35" a="1"/>
  <c r="AH56" i="35" s="1"/>
  <c r="L56" i="35" a="1"/>
  <c r="L56" i="35" s="1"/>
  <c r="AI56" i="35" a="1"/>
  <c r="AI56" i="35" s="1"/>
  <c r="K56" i="35" a="1"/>
  <c r="K56" i="35" s="1"/>
  <c r="AJ56" i="35" a="1"/>
  <c r="AJ56" i="35" s="1"/>
  <c r="AK56" i="35" a="1"/>
  <c r="AK56" i="35" s="1"/>
  <c r="AL56" i="35" a="1"/>
  <c r="AL56" i="35" s="1"/>
  <c r="AM56" i="35" a="1"/>
  <c r="AM56" i="35" s="1"/>
  <c r="R56" i="35" a="1"/>
  <c r="R56" i="35" s="1"/>
  <c r="AN56" i="35" a="1"/>
  <c r="AN56" i="35" s="1"/>
  <c r="Q56" i="35" a="1"/>
  <c r="Q56" i="35" s="1"/>
  <c r="P56" i="35" a="1"/>
  <c r="P56" i="35" s="1"/>
  <c r="AC56" i="35" a="1"/>
  <c r="AC56" i="35" s="1"/>
  <c r="O56" i="35" a="1"/>
  <c r="O56" i="35" s="1"/>
  <c r="X56" i="35" a="1"/>
  <c r="X56" i="35" s="1"/>
  <c r="W56" i="35" a="1"/>
  <c r="W56" i="35" s="1"/>
  <c r="V56" i="35" a="1"/>
  <c r="V56" i="35" s="1"/>
  <c r="U56" i="35" a="1"/>
  <c r="U56" i="35" s="1"/>
  <c r="T56" i="35" a="1"/>
  <c r="T56" i="35" s="1"/>
  <c r="S56" i="35" a="1"/>
  <c r="S56" i="35" s="1"/>
  <c r="AC56" i="75" a="1"/>
  <c r="AC56" i="75" s="1"/>
  <c r="AB56" i="75" a="1"/>
  <c r="AB56" i="75" s="1"/>
  <c r="AA56" i="75" a="1"/>
  <c r="AA56" i="75" s="1"/>
  <c r="Z56" i="75" a="1"/>
  <c r="Z56" i="75" s="1"/>
  <c r="Y56" i="75" a="1"/>
  <c r="Y56" i="75" s="1"/>
  <c r="X56" i="75" a="1"/>
  <c r="X56" i="75" s="1"/>
  <c r="V56" i="75" a="1"/>
  <c r="V56" i="75" s="1"/>
  <c r="U56" i="75" a="1"/>
  <c r="U56" i="75" s="1"/>
  <c r="T56" i="75" a="1"/>
  <c r="T56" i="75" s="1"/>
  <c r="S56" i="75" a="1"/>
  <c r="S56" i="75" s="1"/>
  <c r="R56" i="75" a="1"/>
  <c r="R56" i="75" s="1"/>
  <c r="Q56" i="75" a="1"/>
  <c r="Q56" i="75" s="1"/>
  <c r="P56" i="75" a="1"/>
  <c r="P56" i="75" s="1"/>
  <c r="O56" i="75" a="1"/>
  <c r="O56" i="75" s="1"/>
  <c r="N56" i="75" a="1"/>
  <c r="N56" i="75" s="1"/>
  <c r="M56" i="75" a="1"/>
  <c r="M56" i="75" s="1"/>
  <c r="L56" i="75" a="1"/>
  <c r="L56" i="75" s="1"/>
  <c r="AN56" i="75" a="1"/>
  <c r="AN56" i="75" s="1"/>
  <c r="AD56" i="75" a="1"/>
  <c r="AD56" i="75" s="1"/>
  <c r="AG56" i="75" a="1"/>
  <c r="AG56" i="75" s="1"/>
  <c r="AJ56" i="75" a="1"/>
  <c r="AJ56" i="75" s="1"/>
  <c r="AH56" i="75" a="1"/>
  <c r="AH56" i="75" s="1"/>
  <c r="AE56" i="75" a="1"/>
  <c r="AE56" i="75" s="1"/>
  <c r="AM56" i="75" a="1"/>
  <c r="AM56" i="75" s="1"/>
  <c r="AK56" i="75" a="1"/>
  <c r="AK56" i="75" s="1"/>
  <c r="W56" i="75" a="1"/>
  <c r="W56" i="75" s="1"/>
  <c r="AL56" i="75" a="1"/>
  <c r="AL56" i="75" s="1"/>
  <c r="AI56" i="75" a="1"/>
  <c r="AI56" i="75" s="1"/>
  <c r="AF56" i="75" a="1"/>
  <c r="AF56" i="75" s="1"/>
  <c r="K56" i="75" a="1"/>
  <c r="K56" i="75" s="1"/>
  <c r="T56" i="51" a="1"/>
  <c r="T56" i="51" s="1"/>
  <c r="S56" i="51" a="1"/>
  <c r="S56" i="51" s="1"/>
  <c r="AF56" i="51" a="1"/>
  <c r="AF56" i="51" s="1"/>
  <c r="AE56" i="51" a="1"/>
  <c r="AE56" i="51" s="1"/>
  <c r="AH56" i="51" a="1"/>
  <c r="AH56" i="51" s="1"/>
  <c r="Q56" i="51" a="1"/>
  <c r="Q56" i="51" s="1"/>
  <c r="AI56" i="51" a="1"/>
  <c r="AI56" i="51" s="1"/>
  <c r="AN56" i="51" a="1"/>
  <c r="AN56" i="51" s="1"/>
  <c r="AJ56" i="51" a="1"/>
  <c r="AJ56" i="51" s="1"/>
  <c r="AK56" i="51" a="1"/>
  <c r="AK56" i="51" s="1"/>
  <c r="AL56" i="51" a="1"/>
  <c r="AL56" i="51" s="1"/>
  <c r="AM56" i="51" a="1"/>
  <c r="AM56" i="51" s="1"/>
  <c r="AD56" i="51" a="1"/>
  <c r="AD56" i="51" s="1"/>
  <c r="AC56" i="51" a="1"/>
  <c r="AC56" i="51" s="1"/>
  <c r="AB56" i="51" a="1"/>
  <c r="AB56" i="51" s="1"/>
  <c r="R56" i="51" a="1"/>
  <c r="R56" i="51" s="1"/>
  <c r="K56" i="51" a="1"/>
  <c r="K56" i="51" s="1"/>
  <c r="L56" i="51" a="1"/>
  <c r="L56" i="51" s="1"/>
  <c r="AG56" i="51" a="1"/>
  <c r="AG56" i="51" s="1"/>
  <c r="M56" i="51" a="1"/>
  <c r="M56" i="51" s="1"/>
  <c r="N56" i="51" a="1"/>
  <c r="N56" i="51" s="1"/>
  <c r="O56" i="51" a="1"/>
  <c r="O56" i="51" s="1"/>
  <c r="P56" i="51" a="1"/>
  <c r="P56" i="51" s="1"/>
  <c r="AA56" i="51" a="1"/>
  <c r="AA56" i="51" s="1"/>
  <c r="Z56" i="51" a="1"/>
  <c r="Z56" i="51" s="1"/>
  <c r="Y56" i="51" a="1"/>
  <c r="Y56" i="51" s="1"/>
  <c r="X56" i="51" a="1"/>
  <c r="X56" i="51" s="1"/>
  <c r="W56" i="51" a="1"/>
  <c r="W56" i="51" s="1"/>
  <c r="V56" i="51" a="1"/>
  <c r="V56" i="51" s="1"/>
  <c r="U56" i="51" a="1"/>
  <c r="U56" i="51" s="1"/>
  <c r="Q56" i="90" a="1"/>
  <c r="Q56" i="90" s="1"/>
  <c r="AN56" i="90" a="1"/>
  <c r="AN56" i="90" s="1"/>
  <c r="AM56" i="90" a="1"/>
  <c r="AM56" i="90" s="1"/>
  <c r="AL56" i="90" a="1"/>
  <c r="AL56" i="90" s="1"/>
  <c r="AK56" i="90" a="1"/>
  <c r="AK56" i="90" s="1"/>
  <c r="AJ56" i="90" a="1"/>
  <c r="AJ56" i="90" s="1"/>
  <c r="AI56" i="90" a="1"/>
  <c r="AI56" i="90" s="1"/>
  <c r="AH56" i="90" a="1"/>
  <c r="AH56" i="90" s="1"/>
  <c r="AG56" i="90" a="1"/>
  <c r="AG56" i="90" s="1"/>
  <c r="AF56" i="90" a="1"/>
  <c r="AF56" i="90" s="1"/>
  <c r="AE56" i="90" a="1"/>
  <c r="AE56" i="90" s="1"/>
  <c r="AD56" i="90" a="1"/>
  <c r="AD56" i="90" s="1"/>
  <c r="AC56" i="90" a="1"/>
  <c r="AC56" i="90" s="1"/>
  <c r="AB56" i="90" a="1"/>
  <c r="AB56" i="90" s="1"/>
  <c r="AA56" i="90" a="1"/>
  <c r="AA56" i="90" s="1"/>
  <c r="Z56" i="90" a="1"/>
  <c r="Z56" i="90" s="1"/>
  <c r="Y56" i="90" a="1"/>
  <c r="Y56" i="90" s="1"/>
  <c r="X56" i="90" a="1"/>
  <c r="X56" i="90" s="1"/>
  <c r="W56" i="90" a="1"/>
  <c r="W56" i="90" s="1"/>
  <c r="V56" i="90" a="1"/>
  <c r="V56" i="90" s="1"/>
  <c r="U56" i="90" a="1"/>
  <c r="U56" i="90" s="1"/>
  <c r="T56" i="90" a="1"/>
  <c r="T56" i="90" s="1"/>
  <c r="S56" i="90" a="1"/>
  <c r="S56" i="90" s="1"/>
  <c r="R56" i="90" a="1"/>
  <c r="R56" i="90" s="1"/>
  <c r="P56" i="90" a="1"/>
  <c r="P56" i="90" s="1"/>
  <c r="O56" i="90" a="1"/>
  <c r="O56" i="90" s="1"/>
  <c r="N56" i="90" a="1"/>
  <c r="N56" i="90" s="1"/>
  <c r="M56" i="90" a="1"/>
  <c r="M56" i="90" s="1"/>
  <c r="L56" i="90" a="1"/>
  <c r="L56" i="90" s="1"/>
  <c r="K56" i="90" a="1"/>
  <c r="K56" i="90" s="1"/>
  <c r="Y56" i="73" a="1"/>
  <c r="Y56" i="73" s="1"/>
  <c r="U56" i="73" a="1"/>
  <c r="U56" i="73" s="1"/>
  <c r="AF56" i="73" a="1"/>
  <c r="AF56" i="73" s="1"/>
  <c r="AH56" i="73" a="1"/>
  <c r="AH56" i="73" s="1"/>
  <c r="AI56" i="73" a="1"/>
  <c r="AI56" i="73" s="1"/>
  <c r="AJ56" i="73" a="1"/>
  <c r="AJ56" i="73" s="1"/>
  <c r="AK56" i="73" a="1"/>
  <c r="AK56" i="73" s="1"/>
  <c r="AM56" i="73" a="1"/>
  <c r="AM56" i="73" s="1"/>
  <c r="L56" i="73" a="1"/>
  <c r="L56" i="73" s="1"/>
  <c r="M56" i="73" a="1"/>
  <c r="M56" i="73" s="1"/>
  <c r="N56" i="73" a="1"/>
  <c r="N56" i="73" s="1"/>
  <c r="O56" i="73" a="1"/>
  <c r="O56" i="73" s="1"/>
  <c r="P56" i="73" a="1"/>
  <c r="P56" i="73" s="1"/>
  <c r="Q56" i="73" a="1"/>
  <c r="Q56" i="73" s="1"/>
  <c r="R56" i="73" a="1"/>
  <c r="R56" i="73" s="1"/>
  <c r="S56" i="73" a="1"/>
  <c r="S56" i="73" s="1"/>
  <c r="T56" i="73" a="1"/>
  <c r="T56" i="73" s="1"/>
  <c r="V56" i="73" a="1"/>
  <c r="V56" i="73" s="1"/>
  <c r="X56" i="73" a="1"/>
  <c r="X56" i="73" s="1"/>
  <c r="K56" i="73" a="1"/>
  <c r="K56" i="73" s="1"/>
  <c r="Z56" i="73" a="1"/>
  <c r="Z56" i="73" s="1"/>
  <c r="AB56" i="73" a="1"/>
  <c r="AB56" i="73" s="1"/>
  <c r="AD56" i="73" a="1"/>
  <c r="AD56" i="73" s="1"/>
  <c r="AE56" i="73" a="1"/>
  <c r="AE56" i="73" s="1"/>
  <c r="AL56" i="73" a="1"/>
  <c r="AL56" i="73" s="1"/>
  <c r="AG56" i="73" a="1"/>
  <c r="AG56" i="73" s="1"/>
  <c r="AC56" i="73" a="1"/>
  <c r="AC56" i="73" s="1"/>
  <c r="AA56" i="73" a="1"/>
  <c r="AA56" i="73" s="1"/>
  <c r="AN56" i="73" a="1"/>
  <c r="AN56" i="73" s="1"/>
  <c r="W56" i="73" a="1"/>
  <c r="W56" i="73" s="1"/>
  <c r="G14" i="85" a="1"/>
  <c r="G14" i="85" s="1"/>
  <c r="R14" i="34" s="1"/>
  <c r="F14" i="85" a="1"/>
  <c r="F14" i="85" s="1"/>
  <c r="Q14" i="34" s="1"/>
  <c r="H14" i="85" a="1"/>
  <c r="H14" i="85" s="1"/>
  <c r="S14" i="34" s="1"/>
  <c r="R14" i="85" a="1"/>
  <c r="R14" i="85" s="1"/>
  <c r="K14" i="85" a="1"/>
  <c r="K14" i="85" s="1"/>
  <c r="T14" i="85" a="1"/>
  <c r="T14" i="85" s="1"/>
  <c r="S14" i="85" a="1"/>
  <c r="S14" i="85" s="1"/>
  <c r="L14" i="85" a="1"/>
  <c r="L14" i="85" s="1"/>
  <c r="P14" i="85" a="1"/>
  <c r="P14" i="85" s="1"/>
  <c r="O14" i="85" a="1"/>
  <c r="O14" i="85" s="1"/>
  <c r="N14" i="85" a="1"/>
  <c r="N14" i="85" s="1"/>
  <c r="J14" i="85" a="1"/>
  <c r="J14" i="85" s="1"/>
  <c r="R13" i="85" a="1"/>
  <c r="R13" i="85" s="1"/>
  <c r="N13" i="85" a="1"/>
  <c r="N13" i="85" s="1"/>
  <c r="T13" i="85" a="1"/>
  <c r="T13" i="85" s="1"/>
  <c r="K13" i="85" a="1"/>
  <c r="K13" i="85" s="1"/>
  <c r="O13" i="85" a="1"/>
  <c r="O13" i="85" s="1"/>
  <c r="P13" i="85" a="1"/>
  <c r="P13" i="85" s="1"/>
  <c r="S13" i="85" a="1"/>
  <c r="S13" i="85" s="1"/>
  <c r="J13" i="85" a="1"/>
  <c r="J13" i="85" s="1"/>
  <c r="L13" i="85" a="1"/>
  <c r="L13" i="85" s="1"/>
  <c r="AN51" i="85" a="1"/>
  <c r="AN51" i="85" s="1"/>
  <c r="AJ51" i="85" a="1"/>
  <c r="AJ51" i="85" s="1"/>
  <c r="AF51" i="85" a="1"/>
  <c r="AF51" i="85" s="1"/>
  <c r="T51" i="85" s="1"/>
  <c r="AD51" i="85" a="1"/>
  <c r="AD51" i="85" s="1"/>
  <c r="R51" i="85" s="1"/>
  <c r="Z51" i="85" a="1"/>
  <c r="Z51" i="85" s="1"/>
  <c r="V51" i="85" a="1"/>
  <c r="V51" i="85" s="1"/>
  <c r="R51" i="84" a="1"/>
  <c r="R51" i="84" s="1"/>
  <c r="S51" i="84" a="1"/>
  <c r="S51" i="84" s="1"/>
  <c r="L51" i="84" a="1"/>
  <c r="L51" i="84" s="1"/>
  <c r="X51" i="84" a="1"/>
  <c r="X51" i="84" s="1"/>
  <c r="W51" i="84" a="1"/>
  <c r="W51" i="84" s="1"/>
  <c r="T51" i="84" a="1"/>
  <c r="T51" i="84" s="1"/>
  <c r="J51" i="84" a="1"/>
  <c r="J51" i="84" s="1"/>
  <c r="K51" i="84" a="1"/>
  <c r="K51" i="84" s="1"/>
  <c r="V51" i="84" a="1"/>
  <c r="V51" i="84" s="1"/>
  <c r="AA51" i="85" a="1"/>
  <c r="AA51" i="85" s="1"/>
  <c r="X51" i="85" a="1"/>
  <c r="X51" i="85" s="1"/>
  <c r="AH51" i="85" a="1"/>
  <c r="AH51" i="85" s="1"/>
  <c r="AM51" i="85" a="1"/>
  <c r="AM51" i="85" s="1"/>
  <c r="AI51" i="85" a="1"/>
  <c r="AI51" i="85" s="1"/>
  <c r="AL51" i="85" a="1"/>
  <c r="AL51" i="85" s="1"/>
  <c r="AE51" i="85" a="1"/>
  <c r="AE51" i="85" s="1"/>
  <c r="S51" i="85" s="1"/>
  <c r="AB51" i="85" a="1"/>
  <c r="AB51" i="85" s="1"/>
  <c r="W51" i="85" a="1"/>
  <c r="W51" i="85" s="1"/>
  <c r="R43" i="84" a="1"/>
  <c r="R43" i="84" s="1"/>
  <c r="L43" i="84" a="1"/>
  <c r="L43" i="84" s="1"/>
  <c r="K43" i="84" a="1"/>
  <c r="K43" i="84" s="1"/>
  <c r="V43" i="85" a="1"/>
  <c r="V43" i="85" s="1"/>
  <c r="AE43" i="85" a="1"/>
  <c r="AE43" i="85" s="1"/>
  <c r="S43" i="85" s="1"/>
  <c r="AJ43" i="85" a="1"/>
  <c r="AJ43" i="85" s="1"/>
  <c r="AD43" i="85" a="1"/>
  <c r="AD43" i="85" s="1"/>
  <c r="R43" i="85" s="1"/>
  <c r="Y17" i="98" s="1"/>
  <c r="X43" i="85" a="1"/>
  <c r="X43" i="85" s="1"/>
  <c r="Z43" i="85" a="1"/>
  <c r="Z43" i="85" s="1"/>
  <c r="AI43" i="85" a="1"/>
  <c r="AI43" i="85" s="1"/>
  <c r="AB43" i="85" a="1"/>
  <c r="AB43" i="85" s="1"/>
  <c r="AL43" i="85" a="1"/>
  <c r="AL43" i="85" s="1"/>
  <c r="X43" i="84" a="1"/>
  <c r="X43" i="84" s="1"/>
  <c r="V43" i="84" a="1"/>
  <c r="V43" i="84" s="1"/>
  <c r="AM43" i="85" a="1"/>
  <c r="AM43" i="85" s="1"/>
  <c r="AF43" i="85" a="1"/>
  <c r="AF43" i="85" s="1"/>
  <c r="T43" i="85" s="1"/>
  <c r="S43" i="84" a="1"/>
  <c r="S43" i="84" s="1"/>
  <c r="W43" i="85" a="1"/>
  <c r="W43" i="85" s="1"/>
  <c r="J43" i="84" a="1"/>
  <c r="J43" i="84" s="1"/>
  <c r="W43" i="84" a="1"/>
  <c r="W43" i="84" s="1"/>
  <c r="T43" i="84" a="1"/>
  <c r="T43" i="84" s="1"/>
  <c r="AN43" i="85" a="1"/>
  <c r="AN43" i="85" s="1"/>
  <c r="AH43" i="85" a="1"/>
  <c r="AH43" i="85" s="1"/>
  <c r="AA43" i="85" a="1"/>
  <c r="AA43" i="85" s="1"/>
  <c r="E37" i="41"/>
  <c r="E37" i="30"/>
  <c r="E37" i="23"/>
  <c r="E37" i="59"/>
  <c r="E37" i="39"/>
  <c r="E37" i="55"/>
  <c r="E37" i="24"/>
  <c r="E37" i="89"/>
  <c r="E37" i="66"/>
  <c r="E37" i="61"/>
  <c r="E37" i="62"/>
  <c r="E37" i="91"/>
  <c r="E37" i="74"/>
  <c r="E37" i="71"/>
  <c r="E37" i="53"/>
  <c r="E37" i="38"/>
  <c r="E37" i="37"/>
  <c r="E37" i="54"/>
  <c r="E37" i="56"/>
  <c r="E37" i="33"/>
  <c r="E37" i="44"/>
  <c r="E37" i="31"/>
  <c r="E37" i="48"/>
  <c r="E37" i="49"/>
  <c r="E37" i="63"/>
  <c r="E37" i="68"/>
  <c r="E37" i="65"/>
  <c r="E37" i="57"/>
  <c r="E37" i="72"/>
  <c r="E37" i="32"/>
  <c r="E37" i="50"/>
  <c r="E37" i="27"/>
  <c r="E37" i="35"/>
  <c r="E37" i="75"/>
  <c r="E37" i="51"/>
  <c r="E37" i="90"/>
  <c r="E37" i="73"/>
  <c r="E4" i="91"/>
  <c r="E72" i="29" a="1"/>
  <c r="E72" i="29" s="1"/>
  <c r="AA10" i="99" a="1"/>
  <c r="AA10" i="99" s="1"/>
  <c r="X10" i="99" a="1"/>
  <c r="X10" i="99" s="1"/>
  <c r="V10" i="99" a="1"/>
  <c r="V10" i="99" s="1"/>
  <c r="R10" i="99" a="1"/>
  <c r="R10" i="99" s="1"/>
  <c r="O10" i="99" a="1"/>
  <c r="O10" i="99" s="1"/>
  <c r="AC10" i="99" a="1"/>
  <c r="AC10" i="99" s="1"/>
  <c r="AH10" i="99" a="1"/>
  <c r="AH10" i="99" s="1"/>
  <c r="AN10" i="99" a="1"/>
  <c r="AN10" i="99" s="1"/>
  <c r="N10" i="99" a="1"/>
  <c r="N10" i="99" s="1"/>
  <c r="M10" i="99" a="1"/>
  <c r="M10" i="99" s="1"/>
  <c r="L10" i="99" a="1"/>
  <c r="L10" i="99" s="1"/>
  <c r="K10" i="99" a="1"/>
  <c r="K10" i="99" s="1"/>
  <c r="J10" i="99" a="1"/>
  <c r="J10" i="99" s="1"/>
  <c r="I10" i="99" a="1"/>
  <c r="I10" i="99" s="1"/>
  <c r="E72" i="23" a="1"/>
  <c r="E72" i="23" s="1"/>
  <c r="E67" i="66"/>
  <c r="E72" i="73" a="1"/>
  <c r="E72" i="73" s="1"/>
  <c r="E72" i="37" a="1"/>
  <c r="E72" i="37" s="1"/>
  <c r="E67" i="51" a="1"/>
  <c r="E72" i="61" a="1"/>
  <c r="E72" i="61" s="1"/>
  <c r="E72" i="75" a="1"/>
  <c r="E72" i="75" s="1"/>
  <c r="E67" i="48" a="1"/>
  <c r="E72" i="48" a="1"/>
  <c r="E72" i="48" s="1"/>
  <c r="E67" i="24" a="1"/>
  <c r="E67" i="35" a="1"/>
  <c r="E67" i="57" a="1"/>
  <c r="E67" i="45" a="1"/>
  <c r="E67" i="71" a="1"/>
  <c r="E72" i="55" a="1"/>
  <c r="E72" i="55" s="1"/>
  <c r="E67" i="31" a="1"/>
  <c r="E72" i="31" a="1"/>
  <c r="E72" i="31" s="1"/>
  <c r="E72" i="72" a="1"/>
  <c r="E72" i="72" s="1"/>
  <c r="E67" i="37" a="1"/>
  <c r="E72" i="51" a="1"/>
  <c r="E72" i="51" s="1"/>
  <c r="E67" i="32" a="1"/>
  <c r="E72" i="32" a="1"/>
  <c r="E72" i="32" s="1"/>
  <c r="E72" i="49" a="1"/>
  <c r="E72" i="49" s="1"/>
  <c r="E67" i="61" a="1"/>
  <c r="E72" i="38" a="1"/>
  <c r="E72" i="38" s="1"/>
  <c r="E67" i="75" a="1"/>
  <c r="E72" i="33" a="1"/>
  <c r="E72" i="33" s="1"/>
  <c r="E67" i="63" a="1"/>
  <c r="E72" i="63" a="1"/>
  <c r="E72" i="63" s="1"/>
  <c r="E72" i="56" a="1"/>
  <c r="E72" i="56" s="1"/>
  <c r="E72" i="35" a="1"/>
  <c r="E72" i="35" s="1"/>
  <c r="E67" i="62" a="1"/>
  <c r="E67" i="29" a="1"/>
  <c r="E72" i="41" a="1"/>
  <c r="E72" i="41" s="1"/>
  <c r="E67" i="41" a="1"/>
  <c r="E67" i="70"/>
  <c r="E67" i="59" a="1"/>
  <c r="E72" i="59" a="1"/>
  <c r="E72" i="59" s="1"/>
  <c r="E72" i="52" a="1"/>
  <c r="E72" i="52" s="1"/>
  <c r="E67" i="52" a="1"/>
  <c r="E72" i="50" a="1"/>
  <c r="E72" i="50" s="1"/>
  <c r="E67" i="50" a="1"/>
  <c r="E67" i="25" a="1"/>
  <c r="E72" i="25" a="1"/>
  <c r="E72" i="25" s="1"/>
  <c r="E67" i="60" a="1"/>
  <c r="E72" i="60" a="1"/>
  <c r="E72" i="60" s="1"/>
  <c r="E72" i="65" a="1"/>
  <c r="E72" i="65" s="1"/>
  <c r="E72" i="24" a="1"/>
  <c r="E72" i="24" s="1"/>
  <c r="E72" i="57" a="1"/>
  <c r="E72" i="57" s="1"/>
  <c r="E72" i="45" a="1"/>
  <c r="E72" i="45" s="1"/>
  <c r="E72" i="71" a="1"/>
  <c r="E72" i="71" s="1"/>
  <c r="E67" i="55" a="1"/>
  <c r="E72" i="67" a="1"/>
  <c r="E72" i="67" s="1"/>
  <c r="E67" i="67" a="1"/>
  <c r="E67" i="53" a="1"/>
  <c r="E72" i="53" a="1"/>
  <c r="E72" i="53" s="1"/>
  <c r="E72" i="54" a="1"/>
  <c r="E72" i="54" s="1"/>
  <c r="E67" i="19" a="1"/>
  <c r="E72" i="19" a="1"/>
  <c r="E72" i="19" s="1"/>
  <c r="E72" i="30" a="1"/>
  <c r="E72" i="30" s="1"/>
  <c r="E67" i="30" a="1"/>
  <c r="E72" i="74" a="1"/>
  <c r="E72" i="74" s="1"/>
  <c r="E72" i="68" a="1"/>
  <c r="E72" i="68" s="1"/>
  <c r="E72" i="44" a="1"/>
  <c r="E72" i="44" s="1"/>
  <c r="E72" i="62" a="1"/>
  <c r="E72" i="62" s="1"/>
  <c r="E72" i="13" a="1"/>
  <c r="E72" i="13" s="1"/>
  <c r="E67" i="13" a="1"/>
  <c r="E72" i="27" a="1"/>
  <c r="E72" i="27" s="1"/>
  <c r="E67" i="27" a="1"/>
  <c r="CC4" i="69" a="1"/>
  <c r="E4" i="90"/>
  <c r="E4" i="89"/>
  <c r="E67" i="39"/>
  <c r="H10" i="99" a="1"/>
  <c r="H10" i="99" s="1"/>
  <c r="G10" i="99" a="1"/>
  <c r="G10" i="99" s="1"/>
  <c r="P10" i="99" a="1"/>
  <c r="P10" i="99" s="1"/>
  <c r="S10" i="99" a="1"/>
  <c r="S10" i="99" s="1"/>
  <c r="U10" i="99" a="1"/>
  <c r="U10" i="99" s="1"/>
  <c r="W10" i="99" a="1"/>
  <c r="W10" i="99" s="1"/>
  <c r="Y10" i="99" a="1"/>
  <c r="Y10" i="99" s="1"/>
  <c r="AB10" i="99" a="1"/>
  <c r="AB10" i="99" s="1"/>
  <c r="AD10" i="99" a="1"/>
  <c r="AD10" i="99" s="1"/>
  <c r="AF10" i="99" a="1"/>
  <c r="AF10" i="99" s="1"/>
  <c r="AJ10" i="99" a="1"/>
  <c r="AJ10" i="99" s="1"/>
  <c r="AL10" i="99" a="1"/>
  <c r="AL10" i="99" s="1"/>
  <c r="AM10" i="99" a="1"/>
  <c r="AM10" i="99" s="1"/>
  <c r="AK10" i="99" a="1"/>
  <c r="AK10" i="99" s="1"/>
  <c r="AI10" i="99" a="1"/>
  <c r="AI10" i="99" s="1"/>
  <c r="AG10" i="99" a="1"/>
  <c r="AG10" i="99" s="1"/>
  <c r="Q10" i="99" a="1"/>
  <c r="Q10" i="99" s="1"/>
  <c r="T10" i="99" a="1"/>
  <c r="T10" i="99" s="1"/>
  <c r="Z10" i="99" a="1"/>
  <c r="Z10" i="99" s="1"/>
  <c r="AE10" i="99" a="1"/>
  <c r="AE10" i="99" s="1"/>
  <c r="E67" i="23" a="1"/>
  <c r="AA28" i="100" a="1"/>
  <c r="AA28" i="100" s="1"/>
  <c r="AG28" i="100" a="1"/>
  <c r="AG28" i="100" s="1"/>
  <c r="Q28" i="100" a="1"/>
  <c r="Q28" i="100" s="1"/>
  <c r="S28" i="100" a="1"/>
  <c r="S28" i="100" s="1"/>
  <c r="T28" i="100" a="1"/>
  <c r="T28" i="100" s="1"/>
  <c r="R28" i="100" a="1"/>
  <c r="R28" i="100" s="1"/>
  <c r="X28" i="100" a="1"/>
  <c r="X28" i="100" s="1"/>
  <c r="AC28" i="100" a="1"/>
  <c r="AC28" i="100" s="1"/>
  <c r="AK28" i="100" a="1"/>
  <c r="AK28" i="100" s="1"/>
  <c r="AM28" i="100" a="1"/>
  <c r="AM28" i="100" s="1"/>
  <c r="AI28" i="100" a="1"/>
  <c r="AI28" i="100" s="1"/>
  <c r="AF28" i="100" a="1"/>
  <c r="AF28" i="100" s="1"/>
  <c r="V28" i="100" a="1"/>
  <c r="V28" i="100" s="1"/>
  <c r="AB28" i="100" a="1"/>
  <c r="AB28" i="100" s="1"/>
  <c r="Y28" i="100" a="1"/>
  <c r="Y28" i="100" s="1"/>
  <c r="AD28" i="100" a="1"/>
  <c r="AD28" i="100" s="1"/>
  <c r="AH28" i="100" a="1"/>
  <c r="AH28" i="100" s="1"/>
  <c r="AN28" i="100" a="1"/>
  <c r="AN28" i="100" s="1"/>
  <c r="AJ28" i="100" a="1"/>
  <c r="AJ28" i="100" s="1"/>
  <c r="AE28" i="100" a="1"/>
  <c r="AE28" i="100" s="1"/>
  <c r="Z28" i="100" a="1"/>
  <c r="Z28" i="100" s="1"/>
  <c r="U28" i="100" a="1"/>
  <c r="U28" i="100" s="1"/>
  <c r="AL28" i="100" a="1"/>
  <c r="AL28" i="100" s="1"/>
  <c r="W28" i="100" a="1"/>
  <c r="W28" i="100" s="1"/>
  <c r="AK27" i="100" a="1"/>
  <c r="AK27" i="100" s="1"/>
  <c r="AG27" i="100" a="1"/>
  <c r="AG27" i="100" s="1"/>
  <c r="AL27" i="100" a="1"/>
  <c r="AL27" i="100" s="1"/>
  <c r="Q27" i="100" a="1"/>
  <c r="Q27" i="100" s="1"/>
  <c r="Z27" i="100" a="1"/>
  <c r="Z27" i="100" s="1"/>
  <c r="U27" i="100" a="1"/>
  <c r="U27" i="100" s="1"/>
  <c r="AA27" i="100" a="1"/>
  <c r="AA27" i="100" s="1"/>
  <c r="AF27" i="100" a="1"/>
  <c r="AF27" i="100" s="1"/>
  <c r="R27" i="100" a="1"/>
  <c r="R27" i="100" s="1"/>
  <c r="W27" i="100" a="1"/>
  <c r="W27" i="100" s="1"/>
  <c r="AC27" i="100" a="1"/>
  <c r="AC27" i="100" s="1"/>
  <c r="AH27" i="100" a="1"/>
  <c r="AH27" i="100" s="1"/>
  <c r="AM27" i="100" a="1"/>
  <c r="AM27" i="100" s="1"/>
  <c r="V27" i="100" a="1"/>
  <c r="V27" i="100" s="1"/>
  <c r="AB27" i="100" a="1"/>
  <c r="AB27" i="100" s="1"/>
  <c r="AJ27" i="100" a="1"/>
  <c r="AJ27" i="100" s="1"/>
  <c r="AE27" i="100" a="1"/>
  <c r="AE27" i="100" s="1"/>
  <c r="Y27" i="100" a="1"/>
  <c r="Y27" i="100" s="1"/>
  <c r="T27" i="100" a="1"/>
  <c r="T27" i="100" s="1"/>
  <c r="AN27" i="100" a="1"/>
  <c r="AN27" i="100" s="1"/>
  <c r="AI27" i="100" a="1"/>
  <c r="AI27" i="100" s="1"/>
  <c r="AD27" i="100" a="1"/>
  <c r="AD27" i="100" s="1"/>
  <c r="X27" i="100" a="1"/>
  <c r="X27" i="100" s="1"/>
  <c r="S27" i="100" a="1"/>
  <c r="S27" i="100" s="1"/>
  <c r="X30" i="100" a="1"/>
  <c r="X30" i="100" s="1"/>
  <c r="AB30" i="100" a="1"/>
  <c r="AB30" i="100" s="1"/>
  <c r="AF30" i="100" a="1"/>
  <c r="AF30" i="100" s="1"/>
  <c r="Y30" i="100" a="1"/>
  <c r="Y30" i="100" s="1"/>
  <c r="U30" i="100" a="1"/>
  <c r="U30" i="100" s="1"/>
  <c r="Q30" i="100" a="1"/>
  <c r="Q30" i="100" s="1"/>
  <c r="V30" i="100" a="1"/>
  <c r="V30" i="100" s="1"/>
  <c r="Z30" i="100" a="1"/>
  <c r="Z30" i="100" s="1"/>
  <c r="AE30" i="100" a="1"/>
  <c r="AE30" i="100" s="1"/>
  <c r="AI30" i="100" a="1"/>
  <c r="AI30" i="100" s="1"/>
  <c r="AN30" i="100" a="1"/>
  <c r="AN30" i="100" s="1"/>
  <c r="AL30" i="100" a="1"/>
  <c r="AL30" i="100" s="1"/>
  <c r="AH30" i="100" a="1"/>
  <c r="AH30" i="100" s="1"/>
  <c r="R30" i="100" a="1"/>
  <c r="R30" i="100" s="1"/>
  <c r="S30" i="100" a="1"/>
  <c r="S30" i="100" s="1"/>
  <c r="W30" i="100" a="1"/>
  <c r="W30" i="100" s="1"/>
  <c r="AA30" i="100" a="1"/>
  <c r="AA30" i="100" s="1"/>
  <c r="AG30" i="100" a="1"/>
  <c r="AG30" i="100" s="1"/>
  <c r="AK30" i="100" a="1"/>
  <c r="AK30" i="100" s="1"/>
  <c r="AC30" i="100" a="1"/>
  <c r="AC30" i="100" s="1"/>
  <c r="AM30" i="100" a="1"/>
  <c r="AM30" i="100" s="1"/>
  <c r="AD30" i="100" a="1"/>
  <c r="AD30" i="100" s="1"/>
  <c r="T30" i="100" a="1"/>
  <c r="T30" i="100" s="1"/>
  <c r="AJ30" i="100" a="1"/>
  <c r="AJ30" i="100" s="1"/>
  <c r="AH23" i="100" a="1"/>
  <c r="AH23" i="100" s="1"/>
  <c r="AL23" i="100" a="1"/>
  <c r="AL23" i="100" s="1"/>
  <c r="G23" i="100" a="1"/>
  <c r="G23" i="100" s="1"/>
  <c r="AE23" i="100" a="1"/>
  <c r="AE23" i="100" s="1"/>
  <c r="AC23" i="100" a="1"/>
  <c r="AC23" i="100" s="1"/>
  <c r="AA23" i="100" a="1"/>
  <c r="AA23" i="100" s="1"/>
  <c r="Y23" i="100" a="1"/>
  <c r="Y23" i="100" s="1"/>
  <c r="W23" i="100" a="1"/>
  <c r="W23" i="100" s="1"/>
  <c r="U23" i="100" a="1"/>
  <c r="U23" i="100" s="1"/>
  <c r="S23" i="100" a="1"/>
  <c r="S23" i="100" s="1"/>
  <c r="Q23" i="100" a="1"/>
  <c r="Q23" i="100" s="1"/>
  <c r="O23" i="100" a="1"/>
  <c r="O23" i="100" s="1"/>
  <c r="M23" i="100" a="1"/>
  <c r="M23" i="100" s="1"/>
  <c r="K23" i="100" a="1"/>
  <c r="K23" i="100" s="1"/>
  <c r="I23" i="100" a="1"/>
  <c r="I23" i="100" s="1"/>
  <c r="AN23" i="100" a="1"/>
  <c r="AN23" i="100" s="1"/>
  <c r="AM23" i="100" a="1"/>
  <c r="AM23" i="100" s="1"/>
  <c r="AK23" i="100" a="1"/>
  <c r="AK23" i="100" s="1"/>
  <c r="AJ23" i="100" a="1"/>
  <c r="AJ23" i="100" s="1"/>
  <c r="AI23" i="100" a="1"/>
  <c r="AI23" i="100" s="1"/>
  <c r="AG23" i="100" a="1"/>
  <c r="AG23" i="100" s="1"/>
  <c r="AF23" i="100" a="1"/>
  <c r="AF23" i="100" s="1"/>
  <c r="AD23" i="100" a="1"/>
  <c r="AD23" i="100" s="1"/>
  <c r="AB23" i="100" a="1"/>
  <c r="AB23" i="100" s="1"/>
  <c r="Z23" i="100" a="1"/>
  <c r="Z23" i="100" s="1"/>
  <c r="X23" i="100" a="1"/>
  <c r="X23" i="100" s="1"/>
  <c r="V23" i="100" a="1"/>
  <c r="V23" i="100" s="1"/>
  <c r="T23" i="100" a="1"/>
  <c r="T23" i="100" s="1"/>
  <c r="R23" i="100" a="1"/>
  <c r="R23" i="100" s="1"/>
  <c r="P23" i="100" a="1"/>
  <c r="P23" i="100" s="1"/>
  <c r="N23" i="100" a="1"/>
  <c r="N23" i="100" s="1"/>
  <c r="L23" i="100" a="1"/>
  <c r="L23" i="100" s="1"/>
  <c r="J23" i="100" a="1"/>
  <c r="J23" i="100" s="1"/>
  <c r="H23" i="100" a="1"/>
  <c r="H23" i="100" s="1"/>
  <c r="F23" i="100" a="1"/>
  <c r="F23" i="100" s="1"/>
  <c r="Z29" i="100" a="1"/>
  <c r="Z29" i="100" s="1"/>
  <c r="AD29" i="100" a="1"/>
  <c r="AD29" i="100" s="1"/>
  <c r="Q29" i="100" a="1"/>
  <c r="Q29" i="100" s="1"/>
  <c r="V29" i="100" a="1"/>
  <c r="V29" i="100" s="1"/>
  <c r="AK29" i="100" a="1"/>
  <c r="AK29" i="100" s="1"/>
  <c r="AG29" i="100" a="1"/>
  <c r="AG29" i="100" s="1"/>
  <c r="AL29" i="100" a="1"/>
  <c r="AL29" i="100" s="1"/>
  <c r="AE29" i="100" a="1"/>
  <c r="AE29" i="100" s="1"/>
  <c r="R29" i="100" a="1"/>
  <c r="R29" i="100" s="1"/>
  <c r="AJ29" i="100" a="1"/>
  <c r="AJ29" i="100" s="1"/>
  <c r="AM29" i="100" a="1"/>
  <c r="AM29" i="100" s="1"/>
  <c r="Y29" i="100" a="1"/>
  <c r="Y29" i="100" s="1"/>
  <c r="AH29" i="100" a="1"/>
  <c r="AH29" i="100" s="1"/>
  <c r="AA29" i="100" a="1"/>
  <c r="AA29" i="100" s="1"/>
  <c r="W29" i="100" a="1"/>
  <c r="W29" i="100" s="1"/>
  <c r="T29" i="100" a="1"/>
  <c r="T29" i="100" s="1"/>
  <c r="U29" i="100" a="1"/>
  <c r="U29" i="100" s="1"/>
  <c r="AF29" i="100" a="1"/>
  <c r="AF29" i="100" s="1"/>
  <c r="AC29" i="100" a="1"/>
  <c r="AC29" i="100" s="1"/>
  <c r="X29" i="100" a="1"/>
  <c r="X29" i="100" s="1"/>
  <c r="S29" i="100" a="1"/>
  <c r="S29" i="100" s="1"/>
  <c r="AB29" i="100" a="1"/>
  <c r="AB29" i="100" s="1"/>
  <c r="AN29" i="100" a="1"/>
  <c r="AN29" i="100" s="1"/>
  <c r="AI29" i="100" a="1"/>
  <c r="AI29" i="100" s="1"/>
  <c r="AJ26" i="100" a="1"/>
  <c r="AJ26" i="100" s="1"/>
  <c r="AB26" i="100" a="1"/>
  <c r="AB26" i="100" s="1"/>
  <c r="AN26" i="100" a="1"/>
  <c r="AN26" i="100" s="1"/>
  <c r="AH26" i="100" a="1"/>
  <c r="AH26" i="100" s="1"/>
  <c r="AC26" i="100" a="1"/>
  <c r="AC26" i="100" s="1"/>
  <c r="AI26" i="100" a="1"/>
  <c r="AI26" i="100" s="1"/>
  <c r="Q26" i="100" a="1"/>
  <c r="Q26" i="100" s="1"/>
  <c r="U26" i="100" a="1"/>
  <c r="U26" i="100" s="1"/>
  <c r="AL26" i="100" a="1"/>
  <c r="AL26" i="100" s="1"/>
  <c r="AF26" i="100" a="1"/>
  <c r="AF26" i="100" s="1"/>
  <c r="Y26" i="100" a="1"/>
  <c r="Y26" i="100" s="1"/>
  <c r="AM26" i="100" a="1"/>
  <c r="AM26" i="100" s="1"/>
  <c r="W26" i="100" a="1"/>
  <c r="W26" i="100" s="1"/>
  <c r="AG26" i="100" a="1"/>
  <c r="AG26" i="100" s="1"/>
  <c r="V26" i="100" a="1"/>
  <c r="V26" i="100" s="1"/>
  <c r="AA26" i="100" a="1"/>
  <c r="AA26" i="100" s="1"/>
  <c r="R26" i="100" a="1"/>
  <c r="R26" i="100" s="1"/>
  <c r="X26" i="100" a="1"/>
  <c r="X26" i="100" s="1"/>
  <c r="AD26" i="100" a="1"/>
  <c r="AD26" i="100" s="1"/>
  <c r="AK26" i="100" a="1"/>
  <c r="AK26" i="100" s="1"/>
  <c r="T26" i="100" a="1"/>
  <c r="T26" i="100" s="1"/>
  <c r="S26" i="100" a="1"/>
  <c r="S26" i="100" s="1"/>
  <c r="Z26" i="100" a="1"/>
  <c r="Z26" i="100" s="1"/>
  <c r="AE26" i="100" a="1"/>
  <c r="AE26" i="100" s="1"/>
  <c r="E12" i="81"/>
  <c r="F10" i="81"/>
  <c r="E12" i="79"/>
  <c r="F10" i="79"/>
  <c r="E12" i="80"/>
  <c r="F10" i="80"/>
  <c r="AI23" i="99" a="1"/>
  <c r="AI23" i="99" s="1"/>
  <c r="AM23" i="99" a="1"/>
  <c r="AM23" i="99" s="1"/>
  <c r="AK23" i="99" a="1"/>
  <c r="AK23" i="99" s="1"/>
  <c r="AH23" i="99" a="1"/>
  <c r="AH23" i="99" s="1"/>
  <c r="AE23" i="99" a="1"/>
  <c r="AE23" i="99" s="1"/>
  <c r="AA23" i="99" a="1"/>
  <c r="AA23" i="99" s="1"/>
  <c r="X23" i="99" a="1"/>
  <c r="X23" i="99" s="1"/>
  <c r="T23" i="99" a="1"/>
  <c r="T23" i="99" s="1"/>
  <c r="P23" i="99" a="1"/>
  <c r="P23" i="99" s="1"/>
  <c r="L23" i="99" a="1"/>
  <c r="L23" i="99" s="1"/>
  <c r="H23" i="99" a="1"/>
  <c r="H23" i="99" s="1"/>
  <c r="AC23" i="99" a="1"/>
  <c r="AC23" i="99" s="1"/>
  <c r="V23" i="99" a="1"/>
  <c r="V23" i="99" s="1"/>
  <c r="Q23" i="99" a="1"/>
  <c r="Q23" i="99" s="1"/>
  <c r="N23" i="99" a="1"/>
  <c r="N23" i="99" s="1"/>
  <c r="K23" i="99" a="1"/>
  <c r="K23" i="99" s="1"/>
  <c r="F23" i="99" a="1"/>
  <c r="F23" i="99" s="1"/>
  <c r="AN23" i="99" a="1"/>
  <c r="AN23" i="99" s="1"/>
  <c r="AG23" i="99" a="1"/>
  <c r="AG23" i="99" s="1"/>
  <c r="AD23" i="99" a="1"/>
  <c r="AD23" i="99" s="1"/>
  <c r="Y23" i="99" a="1"/>
  <c r="Y23" i="99" s="1"/>
  <c r="U23" i="99" a="1"/>
  <c r="U23" i="99" s="1"/>
  <c r="S23" i="99" a="1"/>
  <c r="S23" i="99" s="1"/>
  <c r="O23" i="99" a="1"/>
  <c r="O23" i="99" s="1"/>
  <c r="J23" i="99" a="1"/>
  <c r="J23" i="99" s="1"/>
  <c r="G23" i="99" a="1"/>
  <c r="G23" i="99" s="1"/>
  <c r="AL23" i="99" a="1"/>
  <c r="AL23" i="99" s="1"/>
  <c r="AJ23" i="99" a="1"/>
  <c r="AJ23" i="99" s="1"/>
  <c r="AF23" i="99" a="1"/>
  <c r="AF23" i="99" s="1"/>
  <c r="AB23" i="99" a="1"/>
  <c r="AB23" i="99" s="1"/>
  <c r="Z23" i="99" a="1"/>
  <c r="Z23" i="99" s="1"/>
  <c r="W23" i="99" a="1"/>
  <c r="W23" i="99" s="1"/>
  <c r="R23" i="99" a="1"/>
  <c r="R23" i="99" s="1"/>
  <c r="M23" i="99" a="1"/>
  <c r="M23" i="99" s="1"/>
  <c r="I23" i="99" a="1"/>
  <c r="I23" i="99" s="1"/>
  <c r="E67" i="68" a="1"/>
  <c r="E67" i="49" a="1"/>
  <c r="E67" i="33" a="1"/>
  <c r="E67" i="44" a="1"/>
  <c r="E67" i="54" a="1"/>
  <c r="E67" i="72" a="1"/>
  <c r="E67" i="74" a="1"/>
  <c r="E67" i="56" a="1"/>
  <c r="E67" i="65" a="1"/>
  <c r="ES4" i="69" a="1"/>
  <c r="ES4" i="69" s="1"/>
  <c r="E67" i="38" a="1"/>
  <c r="E67" i="73" a="1"/>
  <c r="AY14" i="98"/>
  <c r="AH11" i="99" a="1"/>
  <c r="AH11" i="99" s="1"/>
  <c r="V11" i="99" a="1"/>
  <c r="V11" i="99" s="1"/>
  <c r="J11" i="99" a="1"/>
  <c r="J11" i="99" s="1"/>
  <c r="AG10" i="100" a="1"/>
  <c r="AG10" i="100" s="1"/>
  <c r="U10" i="100" a="1"/>
  <c r="U10" i="100" s="1"/>
  <c r="I10" i="100" a="1"/>
  <c r="I10" i="100" s="1"/>
  <c r="AA11" i="99" a="1"/>
  <c r="AA11" i="99" s="1"/>
  <c r="Z10" i="100" a="1"/>
  <c r="Z10" i="100" s="1"/>
  <c r="AK11" i="99" a="1"/>
  <c r="AK11" i="99" s="1"/>
  <c r="L11" i="99" a="1"/>
  <c r="L11" i="99" s="1"/>
  <c r="AI10" i="100" a="1"/>
  <c r="AI10" i="100" s="1"/>
  <c r="K10" i="100" a="1"/>
  <c r="K10" i="100" s="1"/>
  <c r="K11" i="99" a="1"/>
  <c r="K11" i="99" s="1"/>
  <c r="AG11" i="99" a="1"/>
  <c r="AG11" i="99" s="1"/>
  <c r="U11" i="99" a="1"/>
  <c r="U11" i="99" s="1"/>
  <c r="I11" i="99" a="1"/>
  <c r="I11" i="99" s="1"/>
  <c r="AF10" i="100" a="1"/>
  <c r="AF10" i="100" s="1"/>
  <c r="T10" i="100" a="1"/>
  <c r="T10" i="100" s="1"/>
  <c r="H10" i="100" a="1"/>
  <c r="H10" i="100" s="1"/>
  <c r="Z11" i="99" a="1"/>
  <c r="Z11" i="99" s="1"/>
  <c r="AK10" i="100" a="1"/>
  <c r="AK10" i="100" s="1"/>
  <c r="X11" i="99" a="1"/>
  <c r="X11" i="99" s="1"/>
  <c r="AI11" i="99" a="1"/>
  <c r="AI11" i="99" s="1"/>
  <c r="AH10" i="100" a="1"/>
  <c r="AH10" i="100" s="1"/>
  <c r="J10" i="100" a="1"/>
  <c r="J10" i="100" s="1"/>
  <c r="AF11" i="99" a="1"/>
  <c r="AF11" i="99" s="1"/>
  <c r="T11" i="99" a="1"/>
  <c r="T11" i="99" s="1"/>
  <c r="H11" i="99" a="1"/>
  <c r="H11" i="99" s="1"/>
  <c r="AE10" i="100" a="1"/>
  <c r="AE10" i="100" s="1"/>
  <c r="S10" i="100" a="1"/>
  <c r="S10" i="100" s="1"/>
  <c r="G10" i="100" a="1"/>
  <c r="G10" i="100" s="1"/>
  <c r="AL10" i="100" a="1"/>
  <c r="AL10" i="100" s="1"/>
  <c r="N10" i="100" a="1"/>
  <c r="N10" i="100" s="1"/>
  <c r="Y11" i="99" a="1"/>
  <c r="Y11" i="99" s="1"/>
  <c r="AJ11" i="99" a="1"/>
  <c r="AJ11" i="99" s="1"/>
  <c r="W10" i="100" a="1"/>
  <c r="W10" i="100" s="1"/>
  <c r="AE11" i="99" a="1"/>
  <c r="AE11" i="99" s="1"/>
  <c r="S11" i="99" a="1"/>
  <c r="S11" i="99" s="1"/>
  <c r="G11" i="99" a="1"/>
  <c r="G11" i="99" s="1"/>
  <c r="AD10" i="100" a="1"/>
  <c r="AD10" i="100" s="1"/>
  <c r="R10" i="100" a="1"/>
  <c r="R10" i="100" s="1"/>
  <c r="F10" i="100" a="1"/>
  <c r="F10" i="100" s="1"/>
  <c r="AL11" i="99" a="1"/>
  <c r="AL11" i="99" s="1"/>
  <c r="Y10" i="100" a="1"/>
  <c r="Y10" i="100" s="1"/>
  <c r="M11" i="99" a="1"/>
  <c r="M11" i="99" s="1"/>
  <c r="AD11" i="99" a="1"/>
  <c r="AD11" i="99" s="1"/>
  <c r="R11" i="99" a="1"/>
  <c r="R11" i="99" s="1"/>
  <c r="F11" i="99" a="1"/>
  <c r="F11" i="99" s="1"/>
  <c r="AC10" i="100" a="1"/>
  <c r="AC10" i="100" s="1"/>
  <c r="Q10" i="100" a="1"/>
  <c r="Q10" i="100" s="1"/>
  <c r="AM11" i="99" a="1"/>
  <c r="AM11" i="99" s="1"/>
  <c r="AJ10" i="100" a="1"/>
  <c r="AJ10" i="100" s="1"/>
  <c r="X10" i="100" a="1"/>
  <c r="X10" i="100" s="1"/>
  <c r="L10" i="100" a="1"/>
  <c r="L10" i="100" s="1"/>
  <c r="W11" i="99" a="1"/>
  <c r="W11" i="99" s="1"/>
  <c r="AC11" i="99" a="1"/>
  <c r="AC11" i="99" s="1"/>
  <c r="Q11" i="99" a="1"/>
  <c r="Q11" i="99" s="1"/>
  <c r="AN10" i="100" a="1"/>
  <c r="AN10" i="100" s="1"/>
  <c r="AB10" i="100" a="1"/>
  <c r="AB10" i="100" s="1"/>
  <c r="P10" i="100" a="1"/>
  <c r="P10" i="100" s="1"/>
  <c r="N11" i="99" a="1"/>
  <c r="N11" i="99" s="1"/>
  <c r="AN11" i="99" a="1"/>
  <c r="AN11" i="99" s="1"/>
  <c r="AB11" i="99" a="1"/>
  <c r="AB11" i="99" s="1"/>
  <c r="P11" i="99" a="1"/>
  <c r="P11" i="99" s="1"/>
  <c r="AM10" i="100" a="1"/>
  <c r="AM10" i="100" s="1"/>
  <c r="AA10" i="100" a="1"/>
  <c r="AA10" i="100" s="1"/>
  <c r="O10" i="100" a="1"/>
  <c r="O10" i="100" s="1"/>
  <c r="O11" i="99" a="1"/>
  <c r="O11" i="99" s="1"/>
  <c r="M10" i="100" a="1"/>
  <c r="M10" i="100" s="1"/>
  <c r="V10" i="100" a="1"/>
  <c r="V10" i="100" s="1"/>
  <c r="BC16" i="98" a="1"/>
  <c r="BC15" i="98" a="1"/>
  <c r="BC17" i="98" a="1"/>
  <c r="BC18" i="98" a="1"/>
  <c r="BC19" i="98" a="1"/>
  <c r="E72" i="22" a="1"/>
  <c r="E72" i="22" s="1"/>
  <c r="EA4" i="96" a="1"/>
  <c r="EA4" i="96" s="1"/>
  <c r="AQ14" i="98"/>
  <c r="AP47" i="85"/>
  <c r="AP48" i="85" s="1"/>
  <c r="E75" i="91" a="1"/>
  <c r="E75" i="91" s="1"/>
  <c r="D58" i="100"/>
  <c r="D58" i="99"/>
  <c r="I47" i="100" a="1"/>
  <c r="I47" i="100" s="1"/>
  <c r="AK47" i="100"/>
  <c r="AE47" i="100"/>
  <c r="AA47" i="100"/>
  <c r="V47" i="100"/>
  <c r="Q47" i="100"/>
  <c r="Z47" i="99"/>
  <c r="M47" i="99" a="1"/>
  <c r="M47" i="99" s="1"/>
  <c r="AM47" i="99"/>
  <c r="AE47" i="99"/>
  <c r="AA47" i="99"/>
  <c r="U47" i="99"/>
  <c r="M47" i="100" a="1"/>
  <c r="M47" i="100" s="1"/>
  <c r="L47" i="100" a="1"/>
  <c r="L47" i="100" s="1"/>
  <c r="H47" i="100" a="1"/>
  <c r="H47" i="100" s="1"/>
  <c r="O47" i="100" a="1"/>
  <c r="O47" i="100" s="1"/>
  <c r="K47" i="100" a="1"/>
  <c r="K47" i="100" s="1"/>
  <c r="X47" i="100"/>
  <c r="F47" i="100" a="1"/>
  <c r="F47" i="100" s="1"/>
  <c r="N47" i="100" a="1"/>
  <c r="N47" i="100" s="1"/>
  <c r="J47" i="100" a="1"/>
  <c r="J47" i="100" s="1"/>
  <c r="G47" i="100" a="1"/>
  <c r="G47" i="100" s="1"/>
  <c r="AD47" i="100"/>
  <c r="AG47" i="100"/>
  <c r="AJ47" i="100"/>
  <c r="F47" i="99" a="1"/>
  <c r="F47" i="99" s="1"/>
  <c r="T47" i="99"/>
  <c r="Z47" i="100"/>
  <c r="S47" i="99"/>
  <c r="H47" i="99" a="1"/>
  <c r="H47" i="99" s="1"/>
  <c r="P47" i="99" a="1"/>
  <c r="P47" i="99" s="1"/>
  <c r="X47" i="99"/>
  <c r="AL47" i="99"/>
  <c r="T47" i="100"/>
  <c r="AN47" i="100"/>
  <c r="AC47" i="100"/>
  <c r="W47" i="100"/>
  <c r="AI47" i="100"/>
  <c r="AM47" i="100"/>
  <c r="W47" i="99"/>
  <c r="AI47" i="99"/>
  <c r="N47" i="99" a="1"/>
  <c r="N47" i="99" s="1"/>
  <c r="V47" i="99"/>
  <c r="AF47" i="99"/>
  <c r="S47" i="100"/>
  <c r="AB47" i="100"/>
  <c r="AF47" i="100"/>
  <c r="AL47" i="100"/>
  <c r="Y47" i="99"/>
  <c r="AG47" i="99"/>
  <c r="L47" i="99" a="1"/>
  <c r="L47" i="99" s="1"/>
  <c r="AD47" i="99"/>
  <c r="R47" i="100"/>
  <c r="R47" i="99"/>
  <c r="I47" i="99" a="1"/>
  <c r="I47" i="99" s="1"/>
  <c r="O47" i="99" a="1"/>
  <c r="O47" i="99" s="1"/>
  <c r="AJ47" i="99"/>
  <c r="AC47" i="99"/>
  <c r="AK47" i="99"/>
  <c r="K47" i="99" a="1"/>
  <c r="K47" i="99" s="1"/>
  <c r="Q47" i="99"/>
  <c r="AB47" i="99"/>
  <c r="AN47" i="99"/>
  <c r="U47" i="100"/>
  <c r="Y47" i="100"/>
  <c r="P47" i="100" a="1"/>
  <c r="P47" i="100" s="1"/>
  <c r="G47" i="99" a="1"/>
  <c r="G47" i="99" s="1"/>
  <c r="J47" i="99" a="1"/>
  <c r="J47" i="99" s="1"/>
  <c r="AH47" i="99"/>
  <c r="AH47" i="100"/>
  <c r="M45" i="100" a="1"/>
  <c r="M45" i="100" s="1"/>
  <c r="P45" i="100" a="1"/>
  <c r="P45" i="100" s="1"/>
  <c r="G45" i="100" a="1"/>
  <c r="G45" i="100" s="1"/>
  <c r="I45" i="100" a="1"/>
  <c r="I45" i="100" s="1"/>
  <c r="L45" i="100" a="1"/>
  <c r="L45" i="100" s="1"/>
  <c r="O45" i="100" a="1"/>
  <c r="O45" i="100" s="1"/>
  <c r="H45" i="100" a="1"/>
  <c r="H45" i="100" s="1"/>
  <c r="K45" i="100" a="1"/>
  <c r="K45" i="100" s="1"/>
  <c r="AE45" i="99"/>
  <c r="AC45" i="99"/>
  <c r="AA45" i="99"/>
  <c r="Y45" i="99"/>
  <c r="X45" i="100"/>
  <c r="V45" i="100"/>
  <c r="F45" i="100" a="1"/>
  <c r="F45" i="100" s="1"/>
  <c r="N45" i="100" a="1"/>
  <c r="N45" i="100" s="1"/>
  <c r="Q45" i="99"/>
  <c r="S45" i="99"/>
  <c r="U45" i="99"/>
  <c r="AN45" i="100"/>
  <c r="AM45" i="100"/>
  <c r="AL45" i="100"/>
  <c r="AK45" i="100"/>
  <c r="AJ45" i="100"/>
  <c r="AI45" i="100"/>
  <c r="AH45" i="100"/>
  <c r="AG45" i="100"/>
  <c r="AF45" i="100"/>
  <c r="AE45" i="100"/>
  <c r="AD45" i="100"/>
  <c r="AC45" i="100"/>
  <c r="AB45" i="100"/>
  <c r="AA45" i="100"/>
  <c r="Z45" i="100"/>
  <c r="Y45" i="100"/>
  <c r="W45" i="99"/>
  <c r="W45" i="100"/>
  <c r="J45" i="100" a="1"/>
  <c r="J45" i="100" s="1"/>
  <c r="U45" i="100"/>
  <c r="T45" i="100"/>
  <c r="S45" i="100"/>
  <c r="R45" i="100"/>
  <c r="Q45" i="100"/>
  <c r="AN45" i="99"/>
  <c r="AK45" i="99"/>
  <c r="AI45" i="99"/>
  <c r="AG45" i="99"/>
  <c r="AF45" i="99"/>
  <c r="AD45" i="99"/>
  <c r="AB45" i="99"/>
  <c r="Z45" i="99"/>
  <c r="X45" i="99"/>
  <c r="V45" i="99"/>
  <c r="T45" i="99"/>
  <c r="R45" i="99"/>
  <c r="P45" i="99" a="1"/>
  <c r="P45" i="99" s="1"/>
  <c r="O45" i="99" a="1"/>
  <c r="O45" i="99" s="1"/>
  <c r="N45" i="99" a="1"/>
  <c r="N45" i="99" s="1"/>
  <c r="M45" i="99" a="1"/>
  <c r="M45" i="99" s="1"/>
  <c r="L45" i="99" a="1"/>
  <c r="L45" i="99" s="1"/>
  <c r="K45" i="99" a="1"/>
  <c r="K45" i="99" s="1"/>
  <c r="J45" i="99" a="1"/>
  <c r="J45" i="99" s="1"/>
  <c r="I45" i="99" a="1"/>
  <c r="I45" i="99" s="1"/>
  <c r="H45" i="99" a="1"/>
  <c r="H45" i="99" s="1"/>
  <c r="G45" i="99" a="1"/>
  <c r="G45" i="99" s="1"/>
  <c r="F45" i="99" a="1"/>
  <c r="F45" i="99" s="1"/>
  <c r="AM45" i="99"/>
  <c r="AL45" i="99"/>
  <c r="AJ45" i="99"/>
  <c r="AH45" i="99"/>
  <c r="AN42" i="100"/>
  <c r="AM42" i="100"/>
  <c r="AL42" i="100"/>
  <c r="L42" i="100" a="1"/>
  <c r="L42" i="100" s="1"/>
  <c r="O42" i="100" a="1"/>
  <c r="O42" i="100" s="1"/>
  <c r="G42" i="100" a="1"/>
  <c r="G42" i="100" s="1"/>
  <c r="AJ42" i="100"/>
  <c r="I42" i="100" a="1"/>
  <c r="I42" i="100" s="1"/>
  <c r="AK42" i="100"/>
  <c r="AA42" i="100"/>
  <c r="AM42" i="99"/>
  <c r="F42" i="99" a="1"/>
  <c r="F42" i="99" s="1"/>
  <c r="G42" i="99" a="1"/>
  <c r="G42" i="99" s="1"/>
  <c r="H42" i="99" a="1"/>
  <c r="H42" i="99" s="1"/>
  <c r="I42" i="99" a="1"/>
  <c r="I42" i="99" s="1"/>
  <c r="J42" i="99" a="1"/>
  <c r="J42" i="99" s="1"/>
  <c r="K42" i="99" a="1"/>
  <c r="K42" i="99" s="1"/>
  <c r="L42" i="99" a="1"/>
  <c r="L42" i="99" s="1"/>
  <c r="F42" i="100" a="1"/>
  <c r="F42" i="100" s="1"/>
  <c r="M42" i="99" a="1"/>
  <c r="M42" i="99" s="1"/>
  <c r="N42" i="99" a="1"/>
  <c r="N42" i="99" s="1"/>
  <c r="O42" i="99" a="1"/>
  <c r="O42" i="99" s="1"/>
  <c r="P42" i="99" a="1"/>
  <c r="P42" i="99" s="1"/>
  <c r="R42" i="99"/>
  <c r="S42" i="99"/>
  <c r="U42" i="99"/>
  <c r="K42" i="100" a="1"/>
  <c r="K42" i="100" s="1"/>
  <c r="J42" i="100" a="1"/>
  <c r="J42" i="100" s="1"/>
  <c r="Z42" i="100"/>
  <c r="Y42" i="99"/>
  <c r="AB42" i="99"/>
  <c r="AD42" i="99"/>
  <c r="AF42" i="99"/>
  <c r="AH42" i="99"/>
  <c r="M42" i="100" a="1"/>
  <c r="M42" i="100" s="1"/>
  <c r="P42" i="100" a="1"/>
  <c r="P42" i="100" s="1"/>
  <c r="AJ42" i="99"/>
  <c r="H42" i="100" a="1"/>
  <c r="H42" i="100" s="1"/>
  <c r="AL42" i="99"/>
  <c r="N42" i="100" a="1"/>
  <c r="N42" i="100" s="1"/>
  <c r="Q42" i="99"/>
  <c r="T42" i="99"/>
  <c r="V42" i="99"/>
  <c r="X42" i="99"/>
  <c r="Z42" i="99"/>
  <c r="AA42" i="99"/>
  <c r="AC42" i="99"/>
  <c r="AE42" i="99"/>
  <c r="AG42" i="99"/>
  <c r="AI42" i="99"/>
  <c r="AN42" i="99"/>
  <c r="Q42" i="100"/>
  <c r="R42" i="100"/>
  <c r="S42" i="100"/>
  <c r="T42" i="100"/>
  <c r="AK42" i="99"/>
  <c r="U42" i="100"/>
  <c r="V42" i="100"/>
  <c r="W42" i="100"/>
  <c r="X42" i="100"/>
  <c r="Y42" i="100"/>
  <c r="AB42" i="100"/>
  <c r="AC42" i="100"/>
  <c r="AD42" i="100"/>
  <c r="AE42" i="100"/>
  <c r="AF42" i="100"/>
  <c r="AG42" i="100"/>
  <c r="AH42" i="100"/>
  <c r="AI42" i="100"/>
  <c r="W42" i="99"/>
  <c r="G29" i="100" a="1"/>
  <c r="G29" i="100" s="1"/>
  <c r="J29" i="100" a="1"/>
  <c r="J29" i="100" s="1"/>
  <c r="M29" i="100" a="1"/>
  <c r="M29" i="100" s="1"/>
  <c r="AB29" i="99"/>
  <c r="Q29" i="99"/>
  <c r="S29" i="99"/>
  <c r="T29" i="99"/>
  <c r="V29" i="99"/>
  <c r="X29" i="99"/>
  <c r="Z29" i="99"/>
  <c r="R29" i="99"/>
  <c r="P29" i="100" a="1"/>
  <c r="P29" i="100" s="1"/>
  <c r="N29" i="100" a="1"/>
  <c r="N29" i="100" s="1"/>
  <c r="L29" i="100" a="1"/>
  <c r="L29" i="100" s="1"/>
  <c r="I29" i="100" a="1"/>
  <c r="I29" i="100" s="1"/>
  <c r="F29" i="100" a="1"/>
  <c r="F29" i="100" s="1"/>
  <c r="U29" i="99"/>
  <c r="O29" i="100" a="1"/>
  <c r="O29" i="100" s="1"/>
  <c r="N29" i="99" a="1"/>
  <c r="N29" i="99" s="1"/>
  <c r="K29" i="99" a="1"/>
  <c r="K29" i="99" s="1"/>
  <c r="H29" i="99" a="1"/>
  <c r="H29" i="99" s="1"/>
  <c r="F29" i="99" a="1"/>
  <c r="F29" i="99" s="1"/>
  <c r="AH29" i="99"/>
  <c r="AF29" i="99"/>
  <c r="AD29" i="99"/>
  <c r="W29" i="99"/>
  <c r="Y29" i="99"/>
  <c r="AA29" i="99"/>
  <c r="AC29" i="99"/>
  <c r="AE29" i="99"/>
  <c r="AG29" i="99"/>
  <c r="P29" i="99" a="1"/>
  <c r="P29" i="99" s="1"/>
  <c r="L29" i="99" a="1"/>
  <c r="L29" i="99" s="1"/>
  <c r="H29" i="100" a="1"/>
  <c r="H29" i="100" s="1"/>
  <c r="K29" i="100" a="1"/>
  <c r="K29" i="100" s="1"/>
  <c r="AJ29" i="99"/>
  <c r="AK29" i="99"/>
  <c r="AL29" i="99"/>
  <c r="AM29" i="99"/>
  <c r="AN29" i="99"/>
  <c r="G29" i="99" a="1"/>
  <c r="G29" i="99" s="1"/>
  <c r="I29" i="99" a="1"/>
  <c r="I29" i="99" s="1"/>
  <c r="O29" i="99" a="1"/>
  <c r="O29" i="99" s="1"/>
  <c r="J29" i="99" a="1"/>
  <c r="J29" i="99" s="1"/>
  <c r="M29" i="99" a="1"/>
  <c r="M29" i="99" s="1"/>
  <c r="AI29" i="99"/>
  <c r="V26" i="99"/>
  <c r="U26" i="99"/>
  <c r="T26" i="99"/>
  <c r="S26" i="99"/>
  <c r="R26" i="99"/>
  <c r="Q26" i="99"/>
  <c r="AH26" i="99"/>
  <c r="AG26" i="99"/>
  <c r="AF26" i="99"/>
  <c r="AE26" i="99"/>
  <c r="AD26" i="99"/>
  <c r="AC26" i="99"/>
  <c r="I26" i="99" a="1"/>
  <c r="I26" i="99" s="1"/>
  <c r="J26" i="99" a="1"/>
  <c r="J26" i="99" s="1"/>
  <c r="K26" i="99" a="1"/>
  <c r="K26" i="99" s="1"/>
  <c r="L26" i="99" a="1"/>
  <c r="L26" i="99" s="1"/>
  <c r="M26" i="99" a="1"/>
  <c r="M26" i="99" s="1"/>
  <c r="N26" i="99" a="1"/>
  <c r="N26" i="99" s="1"/>
  <c r="O26" i="100" a="1"/>
  <c r="O26" i="100" s="1"/>
  <c r="M26" i="100" a="1"/>
  <c r="M26" i="100" s="1"/>
  <c r="Y26" i="99"/>
  <c r="X26" i="99"/>
  <c r="AI26" i="99"/>
  <c r="H26" i="99" a="1"/>
  <c r="H26" i="99" s="1"/>
  <c r="G26" i="99" a="1"/>
  <c r="G26" i="99" s="1"/>
  <c r="F26" i="99" a="1"/>
  <c r="F26" i="99" s="1"/>
  <c r="AN26" i="99"/>
  <c r="AM26" i="99"/>
  <c r="AL26" i="99"/>
  <c r="AK26" i="99"/>
  <c r="AJ26" i="99"/>
  <c r="O26" i="99" a="1"/>
  <c r="O26" i="99" s="1"/>
  <c r="Z26" i="99"/>
  <c r="AA26" i="99"/>
  <c r="AB26" i="99"/>
  <c r="F26" i="100" a="1"/>
  <c r="F26" i="100" s="1"/>
  <c r="G26" i="100" a="1"/>
  <c r="G26" i="100" s="1"/>
  <c r="P26" i="99" a="1"/>
  <c r="P26" i="99" s="1"/>
  <c r="H26" i="100" a="1"/>
  <c r="H26" i="100" s="1"/>
  <c r="I26" i="100" a="1"/>
  <c r="I26" i="100" s="1"/>
  <c r="J26" i="100" a="1"/>
  <c r="J26" i="100" s="1"/>
  <c r="K26" i="100" a="1"/>
  <c r="K26" i="100" s="1"/>
  <c r="L26" i="100" a="1"/>
  <c r="L26" i="100" s="1"/>
  <c r="W26" i="99"/>
  <c r="N26" i="100" a="1"/>
  <c r="N26" i="100" s="1"/>
  <c r="P26" i="100" a="1"/>
  <c r="P26" i="100" s="1"/>
  <c r="F28" i="100" a="1"/>
  <c r="F28" i="100" s="1"/>
  <c r="G28" i="100" a="1"/>
  <c r="G28" i="100" s="1"/>
  <c r="H28" i="100" a="1"/>
  <c r="H28" i="100" s="1"/>
  <c r="I28" i="100" a="1"/>
  <c r="I28" i="100" s="1"/>
  <c r="J28" i="100" a="1"/>
  <c r="J28" i="100" s="1"/>
  <c r="K28" i="100" a="1"/>
  <c r="K28" i="100" s="1"/>
  <c r="L28" i="100" a="1"/>
  <c r="L28" i="100" s="1"/>
  <c r="M28" i="100" a="1"/>
  <c r="M28" i="100" s="1"/>
  <c r="N28" i="100" a="1"/>
  <c r="N28" i="100" s="1"/>
  <c r="O28" i="100" a="1"/>
  <c r="O28" i="100" s="1"/>
  <c r="P28" i="100" a="1"/>
  <c r="P28" i="100" s="1"/>
  <c r="Q28" i="99"/>
  <c r="R28" i="99"/>
  <c r="S28" i="99"/>
  <c r="T28" i="99"/>
  <c r="U28" i="99"/>
  <c r="V28" i="99"/>
  <c r="W28" i="99"/>
  <c r="X28" i="99"/>
  <c r="Y28" i="99"/>
  <c r="Z28" i="99"/>
  <c r="AA28" i="99"/>
  <c r="AB28" i="99"/>
  <c r="AC28" i="99"/>
  <c r="AD28" i="99"/>
  <c r="AE28" i="99"/>
  <c r="AF28" i="99"/>
  <c r="AG28" i="99"/>
  <c r="AH28" i="99"/>
  <c r="AI28" i="99"/>
  <c r="AJ28" i="99"/>
  <c r="AK28" i="99"/>
  <c r="AL28" i="99"/>
  <c r="AM28" i="99"/>
  <c r="AN28" i="99"/>
  <c r="F28" i="99" a="1"/>
  <c r="F28" i="99" s="1"/>
  <c r="G28" i="99" a="1"/>
  <c r="G28" i="99" s="1"/>
  <c r="H28" i="99" a="1"/>
  <c r="H28" i="99" s="1"/>
  <c r="I28" i="99" a="1"/>
  <c r="I28" i="99" s="1"/>
  <c r="J28" i="99" a="1"/>
  <c r="J28" i="99" s="1"/>
  <c r="K28" i="99" a="1"/>
  <c r="K28" i="99" s="1"/>
  <c r="L28" i="99" a="1"/>
  <c r="L28" i="99" s="1"/>
  <c r="M28" i="99" a="1"/>
  <c r="M28" i="99" s="1"/>
  <c r="N28" i="99" a="1"/>
  <c r="N28" i="99" s="1"/>
  <c r="O28" i="99" a="1"/>
  <c r="O28" i="99" s="1"/>
  <c r="P28" i="99" a="1"/>
  <c r="P28" i="99" s="1"/>
  <c r="AH27" i="99"/>
  <c r="AL27" i="99"/>
  <c r="Q27" i="99"/>
  <c r="R27" i="99"/>
  <c r="S27" i="99"/>
  <c r="U27" i="99"/>
  <c r="Y27" i="99"/>
  <c r="AC27" i="99"/>
  <c r="AF27" i="99"/>
  <c r="AJ27" i="99"/>
  <c r="AN27" i="99"/>
  <c r="I27" i="99" a="1"/>
  <c r="I27" i="99" s="1"/>
  <c r="F27" i="100" a="1"/>
  <c r="F27" i="100" s="1"/>
  <c r="G27" i="100" a="1"/>
  <c r="G27" i="100" s="1"/>
  <c r="H27" i="100" a="1"/>
  <c r="H27" i="100" s="1"/>
  <c r="I27" i="100" a="1"/>
  <c r="I27" i="100" s="1"/>
  <c r="J27" i="100" a="1"/>
  <c r="J27" i="100" s="1"/>
  <c r="K27" i="100" a="1"/>
  <c r="K27" i="100" s="1"/>
  <c r="L27" i="100" a="1"/>
  <c r="L27" i="100" s="1"/>
  <c r="M27" i="100" a="1"/>
  <c r="M27" i="100" s="1"/>
  <c r="N27" i="100" a="1"/>
  <c r="N27" i="100" s="1"/>
  <c r="O27" i="100" a="1"/>
  <c r="O27" i="100" s="1"/>
  <c r="P27" i="100" a="1"/>
  <c r="P27" i="100" s="1"/>
  <c r="G27" i="99" a="1"/>
  <c r="G27" i="99" s="1"/>
  <c r="L27" i="99" a="1"/>
  <c r="L27" i="99" s="1"/>
  <c r="P27" i="99" a="1"/>
  <c r="P27" i="99" s="1"/>
  <c r="AI27" i="99"/>
  <c r="AE27" i="99"/>
  <c r="AB27" i="99"/>
  <c r="V27" i="99"/>
  <c r="M27" i="99" a="1"/>
  <c r="M27" i="99" s="1"/>
  <c r="J27" i="99" a="1"/>
  <c r="J27" i="99" s="1"/>
  <c r="F27" i="99" a="1"/>
  <c r="F27" i="99" s="1"/>
  <c r="AK27" i="99"/>
  <c r="AG27" i="99"/>
  <c r="Z27" i="99"/>
  <c r="X27" i="99"/>
  <c r="T27" i="99"/>
  <c r="O27" i="99" a="1"/>
  <c r="O27" i="99" s="1"/>
  <c r="N27" i="99" a="1"/>
  <c r="N27" i="99" s="1"/>
  <c r="H27" i="99" a="1"/>
  <c r="H27" i="99" s="1"/>
  <c r="AM27" i="99"/>
  <c r="W27" i="99"/>
  <c r="AA27" i="99"/>
  <c r="AD27" i="99"/>
  <c r="K27" i="99" a="1"/>
  <c r="K27" i="99" s="1"/>
  <c r="P43" i="100" a="1"/>
  <c r="P43" i="100" s="1"/>
  <c r="O43" i="100" a="1"/>
  <c r="O43" i="100" s="1"/>
  <c r="N43" i="100" a="1"/>
  <c r="N43" i="100" s="1"/>
  <c r="M43" i="100" a="1"/>
  <c r="M43" i="100" s="1"/>
  <c r="L43" i="100" a="1"/>
  <c r="L43" i="100" s="1"/>
  <c r="K43" i="100" a="1"/>
  <c r="K43" i="100" s="1"/>
  <c r="J43" i="100" a="1"/>
  <c r="J43" i="100" s="1"/>
  <c r="I43" i="100" a="1"/>
  <c r="I43" i="100" s="1"/>
  <c r="H43" i="100" a="1"/>
  <c r="H43" i="100" s="1"/>
  <c r="G43" i="100" a="1"/>
  <c r="G43" i="100" s="1"/>
  <c r="F43" i="100" a="1"/>
  <c r="F43" i="100" s="1"/>
  <c r="AN43" i="100"/>
  <c r="AM43" i="100"/>
  <c r="AL43" i="100"/>
  <c r="AK43" i="100"/>
  <c r="AJ43" i="100"/>
  <c r="AI43" i="100"/>
  <c r="AH43" i="100"/>
  <c r="AG43" i="100"/>
  <c r="AF43" i="100"/>
  <c r="AE43" i="100"/>
  <c r="AD43" i="100"/>
  <c r="AC43" i="100"/>
  <c r="AB43" i="100"/>
  <c r="AA43" i="100"/>
  <c r="Z43" i="100"/>
  <c r="Y43" i="100"/>
  <c r="X43" i="100"/>
  <c r="W43" i="100"/>
  <c r="V43" i="100"/>
  <c r="U43" i="100"/>
  <c r="T43" i="100"/>
  <c r="S43" i="100"/>
  <c r="R43" i="100"/>
  <c r="Q43" i="100"/>
  <c r="P43" i="99" a="1"/>
  <c r="P43" i="99" s="1"/>
  <c r="O43" i="99" a="1"/>
  <c r="O43" i="99" s="1"/>
  <c r="N43" i="99" a="1"/>
  <c r="N43" i="99" s="1"/>
  <c r="M43" i="99" a="1"/>
  <c r="M43" i="99" s="1"/>
  <c r="L43" i="99" a="1"/>
  <c r="L43" i="99" s="1"/>
  <c r="K43" i="99" a="1"/>
  <c r="K43" i="99" s="1"/>
  <c r="J43" i="99" a="1"/>
  <c r="J43" i="99" s="1"/>
  <c r="I43" i="99" a="1"/>
  <c r="I43" i="99" s="1"/>
  <c r="H43" i="99" a="1"/>
  <c r="H43" i="99" s="1"/>
  <c r="G43" i="99" a="1"/>
  <c r="G43" i="99" s="1"/>
  <c r="F43" i="99" a="1"/>
  <c r="F43" i="99" s="1"/>
  <c r="AN43" i="99"/>
  <c r="AM43" i="99"/>
  <c r="AL43" i="99"/>
  <c r="AK43" i="99"/>
  <c r="AJ43" i="99"/>
  <c r="AI43" i="99"/>
  <c r="AH43" i="99"/>
  <c r="AG43" i="99"/>
  <c r="AF43" i="99"/>
  <c r="AE43" i="99"/>
  <c r="AD43" i="99"/>
  <c r="AC43" i="99"/>
  <c r="AB43" i="99"/>
  <c r="AA43" i="99"/>
  <c r="Z43" i="99"/>
  <c r="Y43" i="99"/>
  <c r="X43" i="99"/>
  <c r="W43" i="99"/>
  <c r="V43" i="99"/>
  <c r="U43" i="99"/>
  <c r="T43" i="99"/>
  <c r="S43" i="99"/>
  <c r="R43" i="99"/>
  <c r="Q43" i="99"/>
  <c r="E41" i="79"/>
  <c r="E50" i="79" a="1"/>
  <c r="E41" i="81"/>
  <c r="E50" i="81" a="1"/>
  <c r="AL4" i="69"/>
  <c r="AM4" i="69"/>
  <c r="AF14" i="85" a="1"/>
  <c r="AF14" i="85" s="1"/>
  <c r="X14" i="85" a="1"/>
  <c r="X14" i="85" s="1"/>
  <c r="W14" i="85" a="1"/>
  <c r="W14" i="85" s="1"/>
  <c r="AA14" i="85" a="1"/>
  <c r="AA14" i="85" s="1"/>
  <c r="AB14" i="85" a="1"/>
  <c r="AB14" i="85" s="1"/>
  <c r="AJ14" i="85" a="1"/>
  <c r="AJ14" i="85" s="1"/>
  <c r="AI14" i="85" a="1"/>
  <c r="AI14" i="85" s="1"/>
  <c r="AM14" i="85" a="1"/>
  <c r="AM14" i="85" s="1"/>
  <c r="AN14" i="85" a="1"/>
  <c r="AN14" i="85" s="1"/>
  <c r="V14" i="84" a="1"/>
  <c r="V14" i="84" s="1"/>
  <c r="X14" i="84" a="1"/>
  <c r="X14" i="84" s="1"/>
  <c r="W14" i="84" a="1"/>
  <c r="W14" i="84" s="1"/>
  <c r="AE14" i="85" a="1"/>
  <c r="AE14" i="85" s="1"/>
  <c r="AD14" i="85" a="1"/>
  <c r="AD14" i="85" s="1"/>
  <c r="V14" i="85" a="1"/>
  <c r="V14" i="85" s="1"/>
  <c r="Z14" i="85" a="1"/>
  <c r="Z14" i="85" s="1"/>
  <c r="AH14" i="85" a="1"/>
  <c r="AH14" i="85" s="1"/>
  <c r="AL14" i="85" a="1"/>
  <c r="AL14" i="85" s="1"/>
  <c r="AK4" i="69"/>
  <c r="AR47" i="85"/>
  <c r="AR48" i="85" s="1"/>
  <c r="AQ47" i="85"/>
  <c r="AQ48" i="85" s="1"/>
  <c r="V1" i="84" a="1"/>
  <c r="V1" i="84" s="1"/>
  <c r="AD1" i="85" a="1"/>
  <c r="AD1" i="85" s="1"/>
  <c r="AH1" i="85" a="1"/>
  <c r="AH1" i="85" s="1"/>
  <c r="AI1" i="85" a="1"/>
  <c r="AI1" i="85" s="1"/>
  <c r="Z1" i="85" a="1"/>
  <c r="Z1" i="85" s="1"/>
  <c r="AN1" i="85" a="1"/>
  <c r="AN1" i="85" s="1"/>
  <c r="V1" i="85" a="1"/>
  <c r="V1" i="85" s="1"/>
  <c r="AJ1" i="85" a="1"/>
  <c r="AJ1" i="85" s="1"/>
  <c r="AM1" i="85" a="1"/>
  <c r="AM1" i="85" s="1"/>
  <c r="X1" i="85" a="1"/>
  <c r="X1" i="85" s="1"/>
  <c r="W1" i="85" a="1"/>
  <c r="W1" i="85" s="1"/>
  <c r="AB1" i="85" a="1"/>
  <c r="AB1" i="85" s="1"/>
  <c r="AA1" i="85" a="1"/>
  <c r="AA1" i="85" s="1"/>
  <c r="AF1" i="85" a="1"/>
  <c r="AF1" i="85" s="1"/>
  <c r="W1" i="84" a="1"/>
  <c r="W1" i="84" s="1"/>
  <c r="AL1" i="85" a="1"/>
  <c r="AL1" i="85" s="1"/>
  <c r="T1" i="84" a="1"/>
  <c r="T1" i="84" s="1"/>
  <c r="X1" i="84" a="1"/>
  <c r="X1" i="84" s="1"/>
  <c r="AE1" i="85" a="1"/>
  <c r="AE1" i="85" s="1"/>
  <c r="AM13" i="85" a="1"/>
  <c r="AM13" i="85" s="1"/>
  <c r="AH13" i="85" a="1"/>
  <c r="AH13" i="85" s="1"/>
  <c r="W13" i="84" a="1"/>
  <c r="W13" i="84" s="1"/>
  <c r="AD13" i="85" a="1"/>
  <c r="AD13" i="85" s="1"/>
  <c r="AN13" i="85" a="1"/>
  <c r="AN13" i="85" s="1"/>
  <c r="AB13" i="85" a="1"/>
  <c r="AB13" i="85" s="1"/>
  <c r="AI13" i="85" a="1"/>
  <c r="AI13" i="85" s="1"/>
  <c r="AA13" i="85" a="1"/>
  <c r="AA13" i="85" s="1"/>
  <c r="X13" i="85" a="1"/>
  <c r="X13" i="85" s="1"/>
  <c r="AE13" i="85" a="1"/>
  <c r="AE13" i="85" s="1"/>
  <c r="V13" i="85" a="1"/>
  <c r="V13" i="85" s="1"/>
  <c r="Z13" i="85" a="1"/>
  <c r="Z13" i="85" s="1"/>
  <c r="AJ13" i="85" a="1"/>
  <c r="AJ13" i="85" s="1"/>
  <c r="X13" i="84" a="1"/>
  <c r="X13" i="84" s="1"/>
  <c r="W13" i="85" a="1"/>
  <c r="W13" i="85" s="1"/>
  <c r="AF13" i="85" a="1"/>
  <c r="AF13" i="85" s="1"/>
  <c r="V13" i="84" a="1"/>
  <c r="V13" i="84" s="1"/>
  <c r="AL13" i="85" a="1"/>
  <c r="AL13" i="85" s="1"/>
  <c r="AR11" i="26" a="1"/>
  <c r="AR11" i="26" s="1"/>
  <c r="AR12" i="26" s="1"/>
  <c r="AC12" i="26"/>
  <c r="AQ11" i="26" a="1"/>
  <c r="AQ11" i="26" s="1"/>
  <c r="AQ12" i="26" s="1"/>
  <c r="Q12" i="26"/>
  <c r="AO4" i="69"/>
  <c r="E4" i="70" a="1"/>
  <c r="E4" i="49" a="1"/>
  <c r="E4" i="72" a="1"/>
  <c r="E4" i="66" a="1"/>
  <c r="E4" i="30" a="1"/>
  <c r="E4" i="45" a="1"/>
  <c r="E1" i="34" a="1"/>
  <c r="E1" i="34" s="1"/>
  <c r="DU4" i="69"/>
  <c r="Y4" i="69"/>
  <c r="D58" i="78"/>
  <c r="D58" i="26" s="1"/>
  <c r="E4" i="22" a="1"/>
  <c r="AG4" i="69"/>
  <c r="E41" i="77" a="1"/>
  <c r="E4" i="73" a="1"/>
  <c r="E4" i="39" a="1"/>
  <c r="R1" i="84" a="1"/>
  <c r="R1" i="84" s="1"/>
  <c r="S1" i="84" a="1"/>
  <c r="S1" i="84" s="1"/>
  <c r="L1" i="85" a="1"/>
  <c r="L1" i="85" s="1"/>
  <c r="P1" i="85" a="1"/>
  <c r="P1" i="85" s="1"/>
  <c r="K1" i="85" a="1"/>
  <c r="K1" i="85" s="1"/>
  <c r="S1" i="85" a="1"/>
  <c r="S1" i="85" s="1"/>
  <c r="M12" i="9" a="1"/>
  <c r="M12" i="9" s="1"/>
  <c r="N12" i="9" a="1"/>
  <c r="N12" i="9" s="1"/>
  <c r="O12" i="9" a="1"/>
  <c r="O12" i="9" s="1"/>
  <c r="L12" i="9" a="1"/>
  <c r="L12" i="9" s="1"/>
  <c r="O1" i="85" a="1"/>
  <c r="O1" i="85" s="1"/>
  <c r="T1" i="85" a="1"/>
  <c r="T1" i="85" s="1"/>
  <c r="S13" i="84" a="1"/>
  <c r="S13" i="84" s="1"/>
  <c r="T13" i="84" a="1"/>
  <c r="T13" i="84" s="1"/>
  <c r="R13" i="84" a="1"/>
  <c r="R13" i="84" s="1"/>
  <c r="M14" i="9" a="1"/>
  <c r="M14" i="9" s="1"/>
  <c r="L14" i="9" a="1"/>
  <c r="L14" i="9" s="1"/>
  <c r="N14" i="9" a="1"/>
  <c r="N14" i="9" s="1"/>
  <c r="O14" i="9" a="1"/>
  <c r="O14" i="9" s="1"/>
  <c r="I56" i="41" l="1" a="1"/>
  <c r="I56" i="41" s="1"/>
  <c r="J56" i="41" a="1"/>
  <c r="J56" i="41" s="1"/>
  <c r="H56" i="41" a="1"/>
  <c r="H56" i="41" s="1"/>
  <c r="G56" i="41" a="1"/>
  <c r="G56" i="41" s="1"/>
  <c r="F56" i="41" a="1"/>
  <c r="F56" i="41" s="1"/>
  <c r="E56" i="41" a="1"/>
  <c r="E56" i="41" s="1"/>
  <c r="G56" i="30" a="1"/>
  <c r="G56" i="30" s="1"/>
  <c r="H56" i="30" a="1"/>
  <c r="H56" i="30" s="1"/>
  <c r="I56" i="30" a="1"/>
  <c r="I56" i="30" s="1"/>
  <c r="J56" i="30" a="1"/>
  <c r="J56" i="30" s="1"/>
  <c r="F56" i="30" a="1"/>
  <c r="F56" i="30" s="1"/>
  <c r="E56" i="30" a="1"/>
  <c r="E56" i="30" s="1"/>
  <c r="G56" i="23" a="1"/>
  <c r="G56" i="23" s="1"/>
  <c r="E56" i="23" a="1"/>
  <c r="E56" i="23" s="1"/>
  <c r="F56" i="23" a="1"/>
  <c r="F56" i="23" s="1"/>
  <c r="J56" i="23" a="1"/>
  <c r="J56" i="23" s="1"/>
  <c r="I56" i="23" a="1"/>
  <c r="I56" i="23" s="1"/>
  <c r="H56" i="23" a="1"/>
  <c r="H56" i="23" s="1"/>
  <c r="G56" i="59" a="1"/>
  <c r="G56" i="59" s="1"/>
  <c r="E56" i="59" a="1"/>
  <c r="E56" i="59" s="1"/>
  <c r="F56" i="59" a="1"/>
  <c r="F56" i="59" s="1"/>
  <c r="H56" i="59" a="1"/>
  <c r="H56" i="59" s="1"/>
  <c r="J56" i="59" a="1"/>
  <c r="J56" i="59" s="1"/>
  <c r="I56" i="59" a="1"/>
  <c r="I56" i="59" s="1"/>
  <c r="H56" i="39" a="1"/>
  <c r="H56" i="39" s="1"/>
  <c r="I56" i="39" a="1"/>
  <c r="I56" i="39" s="1"/>
  <c r="J56" i="39" a="1"/>
  <c r="J56" i="39" s="1"/>
  <c r="E56" i="39" a="1"/>
  <c r="E56" i="39" s="1"/>
  <c r="F56" i="39" a="1"/>
  <c r="F56" i="39" s="1"/>
  <c r="G56" i="39" a="1"/>
  <c r="G56" i="39" s="1"/>
  <c r="G56" i="55" a="1"/>
  <c r="G56" i="55" s="1"/>
  <c r="F56" i="55" a="1"/>
  <c r="F56" i="55" s="1"/>
  <c r="E56" i="55" a="1"/>
  <c r="E56" i="55" s="1"/>
  <c r="J56" i="55" a="1"/>
  <c r="J56" i="55" s="1"/>
  <c r="I56" i="55" a="1"/>
  <c r="I56" i="55" s="1"/>
  <c r="H56" i="55" a="1"/>
  <c r="H56" i="55" s="1"/>
  <c r="H56" i="24" a="1"/>
  <c r="H56" i="24" s="1"/>
  <c r="I56" i="24" a="1"/>
  <c r="I56" i="24" s="1"/>
  <c r="J56" i="24" a="1"/>
  <c r="J56" i="24" s="1"/>
  <c r="E56" i="24" a="1"/>
  <c r="E56" i="24" s="1"/>
  <c r="F56" i="24" a="1"/>
  <c r="F56" i="24" s="1"/>
  <c r="G56" i="24" a="1"/>
  <c r="G56" i="24" s="1"/>
  <c r="H56" i="89" a="1"/>
  <c r="H56" i="89" s="1"/>
  <c r="I56" i="89" a="1"/>
  <c r="I56" i="89" s="1"/>
  <c r="J56" i="89" a="1"/>
  <c r="J56" i="89" s="1"/>
  <c r="G56" i="89" a="1"/>
  <c r="G56" i="89" s="1"/>
  <c r="E56" i="89" a="1"/>
  <c r="E56" i="89" s="1"/>
  <c r="F56" i="89" a="1"/>
  <c r="F56" i="89" s="1"/>
  <c r="J56" i="66" a="1"/>
  <c r="J56" i="66" s="1"/>
  <c r="G56" i="66" a="1"/>
  <c r="G56" i="66" s="1"/>
  <c r="H56" i="66" a="1"/>
  <c r="H56" i="66" s="1"/>
  <c r="E56" i="66" a="1"/>
  <c r="E56" i="66" s="1"/>
  <c r="I56" i="66" a="1"/>
  <c r="I56" i="66" s="1"/>
  <c r="F56" i="66" a="1"/>
  <c r="F56" i="66" s="1"/>
  <c r="E56" i="61" a="1"/>
  <c r="E56" i="61" s="1"/>
  <c r="J56" i="61" a="1"/>
  <c r="J56" i="61" s="1"/>
  <c r="F56" i="61" a="1"/>
  <c r="F56" i="61" s="1"/>
  <c r="G56" i="61" a="1"/>
  <c r="G56" i="61" s="1"/>
  <c r="H56" i="61" a="1"/>
  <c r="H56" i="61" s="1"/>
  <c r="I56" i="61" a="1"/>
  <c r="I56" i="61" s="1"/>
  <c r="F56" i="62" a="1"/>
  <c r="F56" i="62" s="1"/>
  <c r="G56" i="62" a="1"/>
  <c r="G56" i="62" s="1"/>
  <c r="I56" i="62" a="1"/>
  <c r="I56" i="62" s="1"/>
  <c r="J56" i="62" a="1"/>
  <c r="J56" i="62" s="1"/>
  <c r="E56" i="62" a="1"/>
  <c r="E56" i="62" s="1"/>
  <c r="H56" i="62" a="1"/>
  <c r="H56" i="62" s="1"/>
  <c r="H56" i="91" a="1"/>
  <c r="H56" i="91" s="1"/>
  <c r="G56" i="91" a="1"/>
  <c r="G56" i="91" s="1"/>
  <c r="E56" i="91" a="1"/>
  <c r="E56" i="91" s="1"/>
  <c r="F56" i="91" a="1"/>
  <c r="F56" i="91" s="1"/>
  <c r="J56" i="91" a="1"/>
  <c r="J56" i="91" s="1"/>
  <c r="I56" i="91" a="1"/>
  <c r="I56" i="91" s="1"/>
  <c r="I56" i="74" a="1"/>
  <c r="I56" i="74" s="1"/>
  <c r="E56" i="74" a="1"/>
  <c r="E56" i="74" s="1"/>
  <c r="F56" i="74" a="1"/>
  <c r="F56" i="74" s="1"/>
  <c r="G56" i="74" a="1"/>
  <c r="G56" i="74" s="1"/>
  <c r="H56" i="74" a="1"/>
  <c r="H56" i="74" s="1"/>
  <c r="J56" i="74" a="1"/>
  <c r="J56" i="74" s="1"/>
  <c r="G56" i="71" a="1"/>
  <c r="G56" i="71" s="1"/>
  <c r="H56" i="71" a="1"/>
  <c r="H56" i="71" s="1"/>
  <c r="F56" i="71" a="1"/>
  <c r="F56" i="71" s="1"/>
  <c r="I56" i="71" a="1"/>
  <c r="I56" i="71" s="1"/>
  <c r="E56" i="71" a="1"/>
  <c r="E56" i="71" s="1"/>
  <c r="J56" i="71" a="1"/>
  <c r="J56" i="71" s="1"/>
  <c r="E56" i="53" a="1"/>
  <c r="E56" i="53" s="1"/>
  <c r="F56" i="53" a="1"/>
  <c r="F56" i="53" s="1"/>
  <c r="I56" i="53" a="1"/>
  <c r="I56" i="53" s="1"/>
  <c r="H56" i="53" a="1"/>
  <c r="H56" i="53" s="1"/>
  <c r="G56" i="53" a="1"/>
  <c r="G56" i="53" s="1"/>
  <c r="J56" i="53" a="1"/>
  <c r="J56" i="53" s="1"/>
  <c r="F56" i="38" a="1"/>
  <c r="F56" i="38" s="1"/>
  <c r="H56" i="38" a="1"/>
  <c r="H56" i="38" s="1"/>
  <c r="I56" i="38" a="1"/>
  <c r="I56" i="38" s="1"/>
  <c r="J56" i="38" a="1"/>
  <c r="J56" i="38" s="1"/>
  <c r="E56" i="38" a="1"/>
  <c r="E56" i="38" s="1"/>
  <c r="G56" i="38" a="1"/>
  <c r="G56" i="38" s="1"/>
  <c r="J56" i="37" a="1"/>
  <c r="J56" i="37" s="1"/>
  <c r="I56" i="37" a="1"/>
  <c r="I56" i="37" s="1"/>
  <c r="F56" i="37" a="1"/>
  <c r="F56" i="37" s="1"/>
  <c r="E56" i="37" a="1"/>
  <c r="E56" i="37" s="1"/>
  <c r="H56" i="37" a="1"/>
  <c r="H56" i="37" s="1"/>
  <c r="G56" i="37" a="1"/>
  <c r="G56" i="37" s="1"/>
  <c r="G56" i="54" a="1"/>
  <c r="G56" i="54" s="1"/>
  <c r="H56" i="54" a="1"/>
  <c r="H56" i="54" s="1"/>
  <c r="I56" i="54" a="1"/>
  <c r="I56" i="54" s="1"/>
  <c r="F56" i="54" a="1"/>
  <c r="F56" i="54" s="1"/>
  <c r="J56" i="54" a="1"/>
  <c r="J56" i="54" s="1"/>
  <c r="E56" i="54" a="1"/>
  <c r="E56" i="54" s="1"/>
  <c r="H56" i="56" a="1"/>
  <c r="H56" i="56" s="1"/>
  <c r="G56" i="56" a="1"/>
  <c r="G56" i="56" s="1"/>
  <c r="E56" i="56" a="1"/>
  <c r="E56" i="56" s="1"/>
  <c r="F56" i="56" a="1"/>
  <c r="F56" i="56" s="1"/>
  <c r="J56" i="56" a="1"/>
  <c r="J56" i="56" s="1"/>
  <c r="I56" i="56" a="1"/>
  <c r="I56" i="56" s="1"/>
  <c r="G56" i="33" a="1"/>
  <c r="G56" i="33" s="1"/>
  <c r="H56" i="33" a="1"/>
  <c r="H56" i="33" s="1"/>
  <c r="I56" i="33" a="1"/>
  <c r="I56" i="33" s="1"/>
  <c r="J56" i="33" a="1"/>
  <c r="J56" i="33" s="1"/>
  <c r="F56" i="33" a="1"/>
  <c r="F56" i="33" s="1"/>
  <c r="E56" i="33" a="1"/>
  <c r="E56" i="33" s="1"/>
  <c r="E56" i="44" a="1"/>
  <c r="E56" i="44" s="1"/>
  <c r="G56" i="44" a="1"/>
  <c r="G56" i="44" s="1"/>
  <c r="I56" i="44" a="1"/>
  <c r="I56" i="44" s="1"/>
  <c r="J56" i="44" a="1"/>
  <c r="J56" i="44" s="1"/>
  <c r="H56" i="44" a="1"/>
  <c r="H56" i="44" s="1"/>
  <c r="F56" i="44" a="1"/>
  <c r="F56" i="44" s="1"/>
  <c r="J56" i="31" a="1"/>
  <c r="J56" i="31" s="1"/>
  <c r="H56" i="31" a="1"/>
  <c r="H56" i="31" s="1"/>
  <c r="G56" i="31" a="1"/>
  <c r="G56" i="31" s="1"/>
  <c r="F56" i="31" a="1"/>
  <c r="F56" i="31" s="1"/>
  <c r="E56" i="31" a="1"/>
  <c r="E56" i="31" s="1"/>
  <c r="I56" i="31" a="1"/>
  <c r="I56" i="31" s="1"/>
  <c r="J56" i="48" a="1"/>
  <c r="J56" i="48" s="1"/>
  <c r="E56" i="48" a="1"/>
  <c r="E56" i="48" s="1"/>
  <c r="G56" i="48" a="1"/>
  <c r="G56" i="48" s="1"/>
  <c r="I56" i="48" a="1"/>
  <c r="I56" i="48" s="1"/>
  <c r="F56" i="48" a="1"/>
  <c r="F56" i="48" s="1"/>
  <c r="H56" i="48" a="1"/>
  <c r="H56" i="48" s="1"/>
  <c r="E56" i="49" a="1"/>
  <c r="E56" i="49" s="1"/>
  <c r="F56" i="49" a="1"/>
  <c r="F56" i="49" s="1"/>
  <c r="G56" i="49" a="1"/>
  <c r="G56" i="49" s="1"/>
  <c r="H56" i="49" a="1"/>
  <c r="H56" i="49" s="1"/>
  <c r="I56" i="49" a="1"/>
  <c r="I56" i="49" s="1"/>
  <c r="J56" i="49" a="1"/>
  <c r="J56" i="49" s="1"/>
  <c r="G56" i="63" a="1"/>
  <c r="G56" i="63" s="1"/>
  <c r="J56" i="63" a="1"/>
  <c r="J56" i="63" s="1"/>
  <c r="H56" i="63" a="1"/>
  <c r="H56" i="63" s="1"/>
  <c r="F56" i="63" a="1"/>
  <c r="F56" i="63" s="1"/>
  <c r="E56" i="63" a="1"/>
  <c r="E56" i="63" s="1"/>
  <c r="I56" i="63" a="1"/>
  <c r="I56" i="63" s="1"/>
  <c r="J56" i="68" a="1"/>
  <c r="J56" i="68" s="1"/>
  <c r="I56" i="68" a="1"/>
  <c r="I56" i="68" s="1"/>
  <c r="H56" i="68" a="1"/>
  <c r="H56" i="68" s="1"/>
  <c r="E56" i="68" a="1"/>
  <c r="E56" i="68" s="1"/>
  <c r="F56" i="68" a="1"/>
  <c r="F56" i="68" s="1"/>
  <c r="G56" i="68" a="1"/>
  <c r="G56" i="68" s="1"/>
  <c r="F56" i="65" a="1"/>
  <c r="F56" i="65" s="1"/>
  <c r="G56" i="65" a="1"/>
  <c r="G56" i="65" s="1"/>
  <c r="E56" i="65" a="1"/>
  <c r="E56" i="65" s="1"/>
  <c r="H56" i="65" a="1"/>
  <c r="H56" i="65" s="1"/>
  <c r="I56" i="65" a="1"/>
  <c r="I56" i="65" s="1"/>
  <c r="J56" i="65" a="1"/>
  <c r="J56" i="65" s="1"/>
  <c r="E56" i="57" a="1"/>
  <c r="E56" i="57" s="1"/>
  <c r="G56" i="57" a="1"/>
  <c r="G56" i="57" s="1"/>
  <c r="H56" i="57" a="1"/>
  <c r="H56" i="57" s="1"/>
  <c r="I56" i="57" a="1"/>
  <c r="I56" i="57" s="1"/>
  <c r="J56" i="57" a="1"/>
  <c r="J56" i="57" s="1"/>
  <c r="F56" i="57" a="1"/>
  <c r="F56" i="57" s="1"/>
  <c r="I56" i="72" a="1"/>
  <c r="I56" i="72" s="1"/>
  <c r="H56" i="72" a="1"/>
  <c r="H56" i="72" s="1"/>
  <c r="F56" i="72" a="1"/>
  <c r="F56" i="72" s="1"/>
  <c r="E56" i="72" a="1"/>
  <c r="E56" i="72" s="1"/>
  <c r="J56" i="72" a="1"/>
  <c r="J56" i="72" s="1"/>
  <c r="G56" i="72" a="1"/>
  <c r="G56" i="72" s="1"/>
  <c r="G56" i="32" a="1"/>
  <c r="G56" i="32" s="1"/>
  <c r="F56" i="32" a="1"/>
  <c r="F56" i="32" s="1"/>
  <c r="E56" i="32" a="1"/>
  <c r="E56" i="32" s="1"/>
  <c r="I56" i="32" a="1"/>
  <c r="I56" i="32" s="1"/>
  <c r="J56" i="32" a="1"/>
  <c r="J56" i="32" s="1"/>
  <c r="H56" i="32" a="1"/>
  <c r="H56" i="32" s="1"/>
  <c r="F56" i="50" a="1"/>
  <c r="F56" i="50" s="1"/>
  <c r="G56" i="50" a="1"/>
  <c r="G56" i="50" s="1"/>
  <c r="H56" i="50" a="1"/>
  <c r="H56" i="50" s="1"/>
  <c r="I56" i="50" a="1"/>
  <c r="I56" i="50" s="1"/>
  <c r="J56" i="50" a="1"/>
  <c r="J56" i="50" s="1"/>
  <c r="E56" i="50" a="1"/>
  <c r="E56" i="50" s="1"/>
  <c r="G56" i="27" a="1"/>
  <c r="G56" i="27" s="1"/>
  <c r="H56" i="27" a="1"/>
  <c r="H56" i="27" s="1"/>
  <c r="I56" i="27" a="1"/>
  <c r="I56" i="27" s="1"/>
  <c r="J56" i="27" a="1"/>
  <c r="J56" i="27" s="1"/>
  <c r="E56" i="27" a="1"/>
  <c r="E56" i="27" s="1"/>
  <c r="F56" i="27" a="1"/>
  <c r="F56" i="27" s="1"/>
  <c r="E56" i="35" a="1"/>
  <c r="E56" i="35" s="1"/>
  <c r="J56" i="35" a="1"/>
  <c r="J56" i="35" s="1"/>
  <c r="I56" i="35" a="1"/>
  <c r="I56" i="35" s="1"/>
  <c r="G56" i="35" a="1"/>
  <c r="G56" i="35" s="1"/>
  <c r="F56" i="35" a="1"/>
  <c r="F56" i="35" s="1"/>
  <c r="H56" i="35" a="1"/>
  <c r="H56" i="35" s="1"/>
  <c r="J56" i="75" a="1"/>
  <c r="J56" i="75" s="1"/>
  <c r="I56" i="75" a="1"/>
  <c r="I56" i="75" s="1"/>
  <c r="H56" i="75" a="1"/>
  <c r="H56" i="75" s="1"/>
  <c r="E56" i="75" a="1"/>
  <c r="E56" i="75" s="1"/>
  <c r="F56" i="75" a="1"/>
  <c r="F56" i="75" s="1"/>
  <c r="G56" i="75" a="1"/>
  <c r="G56" i="75" s="1"/>
  <c r="F56" i="51" a="1"/>
  <c r="F56" i="51" s="1"/>
  <c r="H56" i="51" a="1"/>
  <c r="H56" i="51" s="1"/>
  <c r="E56" i="51" a="1"/>
  <c r="E56" i="51" s="1"/>
  <c r="I56" i="51" a="1"/>
  <c r="I56" i="51" s="1"/>
  <c r="J56" i="51" a="1"/>
  <c r="J56" i="51" s="1"/>
  <c r="G56" i="51" a="1"/>
  <c r="G56" i="51" s="1"/>
  <c r="J56" i="90" a="1"/>
  <c r="J56" i="90" s="1"/>
  <c r="H56" i="90" a="1"/>
  <c r="H56" i="90" s="1"/>
  <c r="G56" i="90" a="1"/>
  <c r="G56" i="90" s="1"/>
  <c r="F56" i="90" a="1"/>
  <c r="F56" i="90" s="1"/>
  <c r="E56" i="90" a="1"/>
  <c r="E56" i="90" s="1"/>
  <c r="I56" i="90" a="1"/>
  <c r="I56" i="90" s="1"/>
  <c r="J56" i="73" a="1"/>
  <c r="J56" i="73" s="1"/>
  <c r="I56" i="73" a="1"/>
  <c r="I56" i="73" s="1"/>
  <c r="E56" i="73" a="1"/>
  <c r="E56" i="73" s="1"/>
  <c r="H56" i="73" a="1"/>
  <c r="H56" i="73" s="1"/>
  <c r="G56" i="73" a="1"/>
  <c r="G56" i="73" s="1"/>
  <c r="F56" i="73" a="1"/>
  <c r="F56" i="73" s="1"/>
  <c r="CC4" i="69"/>
  <c r="R27" i="84" a="1"/>
  <c r="R27" i="84" s="1"/>
  <c r="T27" i="84" a="1"/>
  <c r="T27" i="84" s="1"/>
  <c r="W27" i="84" a="1"/>
  <c r="W27" i="84" s="1"/>
  <c r="X27" i="84" a="1"/>
  <c r="X27" i="84" s="1"/>
  <c r="S27" i="84" a="1"/>
  <c r="S27" i="84" s="1"/>
  <c r="V27" i="84" a="1"/>
  <c r="V27" i="84" s="1"/>
  <c r="O14" i="84" a="1"/>
  <c r="O14" i="84" s="1"/>
  <c r="P14" i="84" a="1"/>
  <c r="P14" i="84" s="1"/>
  <c r="N14" i="84" a="1"/>
  <c r="N14" i="84" s="1"/>
  <c r="O13" i="84" a="1"/>
  <c r="O13" i="84" s="1"/>
  <c r="P13" i="84" a="1"/>
  <c r="P13" i="84" s="1"/>
  <c r="N13" i="84" a="1"/>
  <c r="N13" i="84" s="1"/>
  <c r="N51" i="84" a="1"/>
  <c r="N51" i="84" s="1"/>
  <c r="F51" i="84" s="1"/>
  <c r="P51" i="84" a="1"/>
  <c r="P51" i="84" s="1"/>
  <c r="H51" i="84" s="1"/>
  <c r="O51" i="84" a="1"/>
  <c r="O51" i="84" s="1"/>
  <c r="G51" i="84" s="1"/>
  <c r="P43" i="84" a="1"/>
  <c r="P43" i="84" s="1"/>
  <c r="H43" i="84" s="1"/>
  <c r="O43" i="34" s="1"/>
  <c r="N43" i="84" a="1"/>
  <c r="N43" i="84" s="1"/>
  <c r="F43" i="84" s="1"/>
  <c r="V17" i="98" s="1"/>
  <c r="O43" i="84" a="1"/>
  <c r="O43" i="84" s="1"/>
  <c r="G43" i="84" s="1"/>
  <c r="N43" i="34" s="1"/>
  <c r="E75" i="88" a="1"/>
  <c r="E75" i="88" s="1"/>
  <c r="E75" i="90" a="1"/>
  <c r="E75" i="90" s="1"/>
  <c r="E75" i="89" a="1"/>
  <c r="E75" i="89" s="1"/>
  <c r="Z9" i="98"/>
  <c r="E67" i="23"/>
  <c r="E67" i="68"/>
  <c r="E67" i="49"/>
  <c r="E67" i="33"/>
  <c r="E67" i="54"/>
  <c r="E67" i="72"/>
  <c r="E67" i="74"/>
  <c r="E67" i="65"/>
  <c r="E67" i="38"/>
  <c r="E67" i="73"/>
  <c r="D22" i="22"/>
  <c r="E67" i="44"/>
  <c r="E67" i="56"/>
  <c r="BC16" i="98"/>
  <c r="BG16" i="98" s="1"/>
  <c r="BC17" i="98"/>
  <c r="BG17" i="98" s="1"/>
  <c r="BC18" i="98"/>
  <c r="BG18" i="98" s="1"/>
  <c r="BC19" i="98"/>
  <c r="BG19" i="98" s="1"/>
  <c r="EO4" i="69" a="1"/>
  <c r="EO4" i="69" s="1"/>
  <c r="E4" i="70"/>
  <c r="E4" i="72"/>
  <c r="DQ4" i="69" a="1"/>
  <c r="E37" i="80" a="1"/>
  <c r="E4" i="49"/>
  <c r="E4" i="30"/>
  <c r="E4" i="73"/>
  <c r="D22" i="81"/>
  <c r="E37" i="81" a="1"/>
  <c r="E4" i="45"/>
  <c r="E50" i="79"/>
  <c r="E50" i="81"/>
  <c r="E37" i="79" a="1"/>
  <c r="E4" i="66"/>
  <c r="E4" i="57" a="1"/>
  <c r="E4" i="65" a="1"/>
  <c r="E4" i="29" a="1"/>
  <c r="E4" i="61" a="1"/>
  <c r="E4" i="19" a="1"/>
  <c r="E4" i="25" a="1"/>
  <c r="E4" i="35" a="1"/>
  <c r="BM4" i="96" a="1"/>
  <c r="BM4" i="96" s="1"/>
  <c r="CK4" i="69" a="1"/>
  <c r="E67" i="22" a="1"/>
  <c r="BY4" i="69" a="1"/>
  <c r="BC4" i="96" a="1"/>
  <c r="BC4" i="96" s="1"/>
  <c r="E4" i="41" a="1"/>
  <c r="E4" i="63" a="1"/>
  <c r="E4" i="62" a="1"/>
  <c r="E4" i="38" a="1"/>
  <c r="E4" i="59" a="1"/>
  <c r="E4" i="55" a="1"/>
  <c r="E4" i="68" a="1"/>
  <c r="E4" i="54" a="1"/>
  <c r="E4" i="24" a="1"/>
  <c r="E4" i="60" a="1"/>
  <c r="E4" i="33" a="1"/>
  <c r="E4" i="32" a="1"/>
  <c r="E4" i="44" a="1"/>
  <c r="E4" i="50" a="1"/>
  <c r="E4" i="31" a="1"/>
  <c r="E41" i="80" a="1"/>
  <c r="E4" i="23" a="1"/>
  <c r="E4" i="71" a="1"/>
  <c r="E4" i="67" a="1"/>
  <c r="E4" i="48" a="1"/>
  <c r="E4" i="56" a="1"/>
  <c r="E4" i="13" a="1"/>
  <c r="E67" i="51"/>
  <c r="E67" i="45"/>
  <c r="E67" i="31"/>
  <c r="E67" i="37"/>
  <c r="E67" i="75"/>
  <c r="E67" i="63"/>
  <c r="E67" i="29"/>
  <c r="E67" i="53"/>
  <c r="E67" i="32"/>
  <c r="E67" i="59"/>
  <c r="E67" i="30"/>
  <c r="E67" i="13"/>
  <c r="E67" i="27"/>
  <c r="E67" i="24"/>
  <c r="E67" i="61"/>
  <c r="E67" i="67"/>
  <c r="E67" i="48"/>
  <c r="E67" i="62"/>
  <c r="E67" i="52"/>
  <c r="E67" i="55"/>
  <c r="E67" i="57"/>
  <c r="E67" i="41"/>
  <c r="E67" i="25"/>
  <c r="E67" i="71"/>
  <c r="E67" i="50"/>
  <c r="E67" i="35"/>
  <c r="E67" i="60"/>
  <c r="E67" i="19"/>
  <c r="D62" i="96" a="1"/>
  <c r="E23" i="99" a="1"/>
  <c r="E23" i="99" s="1"/>
  <c r="E23" i="100" a="1"/>
  <c r="E23" i="100" s="1"/>
  <c r="E41" i="22" a="1"/>
  <c r="E4" i="27" a="1"/>
  <c r="F10" i="99" a="1"/>
  <c r="F10" i="99" s="1"/>
  <c r="AV9" i="98"/>
  <c r="AW9" i="98"/>
  <c r="AO9" i="98"/>
  <c r="AP11" i="98"/>
  <c r="G13" i="85"/>
  <c r="R13" i="34" s="1"/>
  <c r="AX9" i="98"/>
  <c r="AW11" i="98"/>
  <c r="AP9" i="98"/>
  <c r="AP8" i="98"/>
  <c r="AW13" i="98"/>
  <c r="BC15" i="98"/>
  <c r="BD21" i="98"/>
  <c r="BE21" i="98"/>
  <c r="BF21" i="98"/>
  <c r="DV4" i="96" a="1"/>
  <c r="DV4" i="96" s="1"/>
  <c r="L51" i="85"/>
  <c r="AO8" i="98"/>
  <c r="AN11" i="98"/>
  <c r="AX11" i="98"/>
  <c r="AX8" i="98"/>
  <c r="AW8" i="98"/>
  <c r="AN9" i="98"/>
  <c r="AV8" i="98"/>
  <c r="AN8" i="98"/>
  <c r="AO11" i="98"/>
  <c r="AO13" i="98"/>
  <c r="E10" i="100" a="1"/>
  <c r="E10" i="100" s="1"/>
  <c r="E11" i="99" a="1"/>
  <c r="E11" i="99" s="1"/>
  <c r="E4" i="96" a="1"/>
  <c r="AP13" i="98"/>
  <c r="AN13" i="98"/>
  <c r="AX13" i="98"/>
  <c r="AV13" i="98"/>
  <c r="AV11" i="98"/>
  <c r="E47" i="99" a="1"/>
  <c r="E47" i="99" s="1"/>
  <c r="AM13" i="98" s="1"/>
  <c r="E47" i="100" a="1"/>
  <c r="E47" i="100" s="1"/>
  <c r="AU13" i="98" s="1"/>
  <c r="CU4" i="96" a="1"/>
  <c r="CU4" i="96" s="1"/>
  <c r="E45" i="100" a="1"/>
  <c r="E45" i="100" s="1"/>
  <c r="AU11" i="98" s="1"/>
  <c r="E45" i="99" a="1"/>
  <c r="E45" i="99" s="1"/>
  <c r="AM11" i="98" s="1"/>
  <c r="CM4" i="96" a="1"/>
  <c r="CM4" i="96" s="1"/>
  <c r="E42" i="99" a="1"/>
  <c r="E42" i="99" s="1"/>
  <c r="AM8" i="98" s="1"/>
  <c r="E42" i="100" a="1"/>
  <c r="E42" i="100" s="1"/>
  <c r="AU8" i="98" s="1"/>
  <c r="CA4" i="96" a="1"/>
  <c r="CA4" i="96" s="1"/>
  <c r="E29" i="99" a="1"/>
  <c r="E29" i="99" s="1"/>
  <c r="AN4" i="96" a="1"/>
  <c r="AN4" i="96" s="1"/>
  <c r="E29" i="100" a="1"/>
  <c r="E29" i="100" s="1"/>
  <c r="E26" i="99" a="1"/>
  <c r="E26" i="99" s="1"/>
  <c r="E26" i="100" a="1"/>
  <c r="E26" i="100" s="1"/>
  <c r="Y4" i="96" a="1"/>
  <c r="Y4" i="96" s="1"/>
  <c r="E28" i="99" a="1"/>
  <c r="E28" i="99" s="1"/>
  <c r="AI4" i="96" a="1"/>
  <c r="AI4" i="96" s="1"/>
  <c r="E28" i="100" a="1"/>
  <c r="E28" i="100" s="1"/>
  <c r="E27" i="99" a="1"/>
  <c r="E27" i="99" s="1"/>
  <c r="AD4" i="96" a="1"/>
  <c r="AD4" i="96" s="1"/>
  <c r="E27" i="100" a="1"/>
  <c r="E27" i="100" s="1"/>
  <c r="E43" i="100" a="1"/>
  <c r="E43" i="100" s="1"/>
  <c r="AU9" i="98" s="1"/>
  <c r="E43" i="99" a="1"/>
  <c r="E43" i="99" s="1"/>
  <c r="AM9" i="98" s="1"/>
  <c r="CE4" i="96" a="1"/>
  <c r="K51" i="85"/>
  <c r="O51" i="85"/>
  <c r="E41" i="77"/>
  <c r="E50" i="77" s="1" a="1"/>
  <c r="E4" i="22"/>
  <c r="N51" i="85"/>
  <c r="O43" i="85"/>
  <c r="N43" i="85"/>
  <c r="X17" i="98" s="1"/>
  <c r="L54" i="34"/>
  <c r="P54" i="34"/>
  <c r="AC4" i="69" a="1"/>
  <c r="J51" i="85"/>
  <c r="J43" i="85"/>
  <c r="W17" i="98" s="1"/>
  <c r="L1" i="84"/>
  <c r="K13" i="84"/>
  <c r="J1" i="84"/>
  <c r="C12" i="9" s="1" a="1"/>
  <c r="C12" i="9" s="1"/>
  <c r="H12" i="9" s="1"/>
  <c r="J13" i="84"/>
  <c r="C14" i="9" s="1" a="1"/>
  <c r="C14" i="9" s="1"/>
  <c r="H14" i="9" s="1"/>
  <c r="P43" i="85"/>
  <c r="L13" i="84"/>
  <c r="L43" i="85"/>
  <c r="K1" i="84"/>
  <c r="P51" i="85"/>
  <c r="K43" i="85"/>
  <c r="P1" i="84" a="1"/>
  <c r="P1" i="84" s="1"/>
  <c r="O1" i="84" a="1"/>
  <c r="O1" i="84" s="1"/>
  <c r="N1" i="84" a="1"/>
  <c r="N1" i="84" s="1"/>
  <c r="J12" i="9" s="1" a="1"/>
  <c r="J12" i="9" s="1"/>
  <c r="AP11" i="26" a="1"/>
  <c r="AP11" i="26" s="1"/>
  <c r="AP12" i="26" s="1"/>
  <c r="E12" i="26"/>
  <c r="H1" i="85"/>
  <c r="G1" i="85"/>
  <c r="H13" i="85"/>
  <c r="S13" i="34" s="1"/>
  <c r="E4" i="37" a="1"/>
  <c r="H54" i="34"/>
  <c r="DA4" i="69" a="1"/>
  <c r="DI4" i="69" a="1"/>
  <c r="CW4" i="69" a="1"/>
  <c r="E4" i="74" a="1"/>
  <c r="E4" i="75" a="1"/>
  <c r="E4" i="51" a="1"/>
  <c r="E4" i="52" a="1"/>
  <c r="E4" i="53" a="1"/>
  <c r="E4" i="39"/>
  <c r="DQ4" i="69" l="1"/>
  <c r="AJ42" i="85" a="1"/>
  <c r="AJ42" i="85" s="1"/>
  <c r="AB42" i="85" a="1"/>
  <c r="AB42" i="85" s="1"/>
  <c r="X42" i="84" a="1"/>
  <c r="X42" i="84" s="1"/>
  <c r="S42" i="84" a="1"/>
  <c r="S42" i="84" s="1"/>
  <c r="R42" i="84" a="1"/>
  <c r="R42" i="84" s="1"/>
  <c r="AD42" i="85" a="1"/>
  <c r="AD42" i="85" s="1"/>
  <c r="Z42" i="85" a="1"/>
  <c r="Z42" i="85" s="1"/>
  <c r="V42" i="84" a="1"/>
  <c r="V42" i="84" s="1"/>
  <c r="L42" i="84" a="1"/>
  <c r="L42" i="84" s="1"/>
  <c r="AL42" i="85" a="1"/>
  <c r="AL42" i="85" s="1"/>
  <c r="AH42" i="85" a="1"/>
  <c r="AH42" i="85" s="1"/>
  <c r="W42" i="84" a="1"/>
  <c r="W42" i="84" s="1"/>
  <c r="T42" i="84" a="1"/>
  <c r="T42" i="84" s="1"/>
  <c r="AE42" i="85" a="1"/>
  <c r="AE42" i="85" s="1"/>
  <c r="AN42" i="85" a="1"/>
  <c r="AN42" i="85" s="1"/>
  <c r="AF42" i="85" a="1"/>
  <c r="AF42" i="85" s="1"/>
  <c r="X42" i="85" a="1"/>
  <c r="X42" i="85" s="1"/>
  <c r="K42" i="84" a="1"/>
  <c r="K42" i="84" s="1"/>
  <c r="AM42" i="85" a="1"/>
  <c r="AM42" i="85" s="1"/>
  <c r="W42" i="85" a="1"/>
  <c r="W42" i="85" s="1"/>
  <c r="V42" i="85" a="1"/>
  <c r="V42" i="85" s="1"/>
  <c r="AI42" i="85" a="1"/>
  <c r="AI42" i="85" s="1"/>
  <c r="AA42" i="85" a="1"/>
  <c r="AA42" i="85" s="1"/>
  <c r="J42" i="84" a="1"/>
  <c r="J42" i="84" s="1"/>
  <c r="CK4" i="69"/>
  <c r="V29" i="84" a="1"/>
  <c r="V29" i="84" s="1"/>
  <c r="W29" i="84" a="1"/>
  <c r="W29" i="84" s="1"/>
  <c r="R29" i="84" a="1"/>
  <c r="R29" i="84" s="1"/>
  <c r="S29" i="84" a="1"/>
  <c r="S29" i="84" s="1"/>
  <c r="T29" i="84" a="1"/>
  <c r="T29" i="84" s="1"/>
  <c r="X29" i="84" a="1"/>
  <c r="X29" i="84" s="1"/>
  <c r="BY4" i="69"/>
  <c r="V26" i="84" a="1"/>
  <c r="V26" i="84" s="1"/>
  <c r="R26" i="84" a="1"/>
  <c r="R26" i="84" s="1"/>
  <c r="S26" i="84" a="1"/>
  <c r="S26" i="84" s="1"/>
  <c r="T26" i="84" a="1"/>
  <c r="T26" i="84" s="1"/>
  <c r="W26" i="84" a="1"/>
  <c r="W26" i="84" s="1"/>
  <c r="X26" i="84" a="1"/>
  <c r="X26" i="84" s="1"/>
  <c r="R12" i="85" a="1"/>
  <c r="R12" i="85" s="1"/>
  <c r="L12" i="85" a="1"/>
  <c r="L12" i="85" s="1"/>
  <c r="K12" i="85" a="1"/>
  <c r="K12" i="85" s="1"/>
  <c r="N12" i="85" a="1"/>
  <c r="N12" i="85" s="1"/>
  <c r="O12" i="85" a="1"/>
  <c r="O12" i="85" s="1"/>
  <c r="S12" i="85" a="1"/>
  <c r="S12" i="85" s="1"/>
  <c r="J12" i="85" a="1"/>
  <c r="J12" i="85" s="1"/>
  <c r="P12" i="85" a="1"/>
  <c r="P12" i="85" s="1"/>
  <c r="T12" i="85" a="1"/>
  <c r="T12" i="85" s="1"/>
  <c r="L38" i="84" a="1"/>
  <c r="L38" i="84" s="1"/>
  <c r="AI38" i="85" a="1"/>
  <c r="AI38" i="85" s="1"/>
  <c r="X38" i="85" a="1"/>
  <c r="X38" i="85" s="1"/>
  <c r="AF38" i="85" a="1"/>
  <c r="AF38" i="85" s="1"/>
  <c r="T38" i="85" s="1"/>
  <c r="X38" i="84" a="1"/>
  <c r="X38" i="84" s="1"/>
  <c r="W38" i="84" a="1"/>
  <c r="W38" i="84" s="1"/>
  <c r="AD38" i="85" a="1"/>
  <c r="AD38" i="85" s="1"/>
  <c r="R38" i="85" s="1"/>
  <c r="Y12" i="98" s="1"/>
  <c r="W38" i="85" a="1"/>
  <c r="W38" i="85" s="1"/>
  <c r="AJ38" i="85" a="1"/>
  <c r="AJ38" i="85" s="1"/>
  <c r="AA38" i="85" a="1"/>
  <c r="AA38" i="85" s="1"/>
  <c r="K38" i="84" a="1"/>
  <c r="K38" i="84" s="1"/>
  <c r="AH38" i="85" a="1"/>
  <c r="AH38" i="85" s="1"/>
  <c r="AL38" i="85" a="1"/>
  <c r="AL38" i="85" s="1"/>
  <c r="AM38" i="85" a="1"/>
  <c r="AM38" i="85" s="1"/>
  <c r="Z38" i="85" a="1"/>
  <c r="Z38" i="85" s="1"/>
  <c r="T38" i="84" a="1"/>
  <c r="T38" i="84" s="1"/>
  <c r="R38" i="84" a="1"/>
  <c r="R38" i="84" s="1"/>
  <c r="AN38" i="85" a="1"/>
  <c r="AN38" i="85" s="1"/>
  <c r="AE38" i="85" a="1"/>
  <c r="AE38" i="85" s="1"/>
  <c r="S38" i="85" s="1"/>
  <c r="V38" i="85" a="1"/>
  <c r="V38" i="85" s="1"/>
  <c r="S38" i="84" a="1"/>
  <c r="S38" i="84" s="1"/>
  <c r="J38" i="84" a="1"/>
  <c r="J38" i="84" s="1"/>
  <c r="AB38" i="85" a="1"/>
  <c r="AB38" i="85" s="1"/>
  <c r="V38" i="84" a="1"/>
  <c r="V38" i="84" s="1"/>
  <c r="AJ40" i="85" a="1"/>
  <c r="AJ40" i="85" s="1"/>
  <c r="AB40" i="85" a="1"/>
  <c r="AB40" i="85" s="1"/>
  <c r="X40" i="84" a="1"/>
  <c r="X40" i="84" s="1"/>
  <c r="J40" i="84" a="1"/>
  <c r="J40" i="84" s="1"/>
  <c r="AN40" i="85" a="1"/>
  <c r="AN40" i="85" s="1"/>
  <c r="AF40" i="85" a="1"/>
  <c r="AF40" i="85" s="1"/>
  <c r="T40" i="85" s="1"/>
  <c r="X40" i="85" a="1"/>
  <c r="X40" i="85" s="1"/>
  <c r="W40" i="85" a="1"/>
  <c r="W40" i="85" s="1"/>
  <c r="W40" i="84" a="1"/>
  <c r="W40" i="84" s="1"/>
  <c r="R40" i="84" a="1"/>
  <c r="R40" i="84" s="1"/>
  <c r="K40" i="84" a="1"/>
  <c r="K40" i="84" s="1"/>
  <c r="AA40" i="85" a="1"/>
  <c r="AA40" i="85" s="1"/>
  <c r="AI40" i="85" a="1"/>
  <c r="AI40" i="85" s="1"/>
  <c r="Z40" i="85" a="1"/>
  <c r="Z40" i="85" s="1"/>
  <c r="L40" i="84" a="1"/>
  <c r="L40" i="84" s="1"/>
  <c r="AM40" i="85" a="1"/>
  <c r="AM40" i="85" s="1"/>
  <c r="AD40" i="85" a="1"/>
  <c r="AD40" i="85" s="1"/>
  <c r="R40" i="85" s="1"/>
  <c r="Y14" i="98" s="1"/>
  <c r="T40" i="84" a="1"/>
  <c r="T40" i="84" s="1"/>
  <c r="V40" i="84" a="1"/>
  <c r="V40" i="84" s="1"/>
  <c r="V40" i="85" a="1"/>
  <c r="V40" i="85" s="1"/>
  <c r="AH40" i="85" a="1"/>
  <c r="AH40" i="85" s="1"/>
  <c r="AL40" i="85" a="1"/>
  <c r="AL40" i="85" s="1"/>
  <c r="AE40" i="85" a="1"/>
  <c r="AE40" i="85" s="1"/>
  <c r="S40" i="85" s="1"/>
  <c r="S40" i="84" a="1"/>
  <c r="S40" i="84" s="1"/>
  <c r="AE37" i="85" a="1"/>
  <c r="AE37" i="85" s="1"/>
  <c r="S37" i="85" s="1"/>
  <c r="AD37" i="85" a="1"/>
  <c r="AD37" i="85" s="1"/>
  <c r="R37" i="85" s="1"/>
  <c r="Y11" i="98" s="1"/>
  <c r="W37" i="85" a="1"/>
  <c r="W37" i="85" s="1"/>
  <c r="S37" i="84" a="1"/>
  <c r="S37" i="84" s="1"/>
  <c r="W37" i="84" a="1"/>
  <c r="W37" i="84" s="1"/>
  <c r="AH37" i="85" a="1"/>
  <c r="AH37" i="85" s="1"/>
  <c r="AL37" i="85" a="1"/>
  <c r="AL37" i="85" s="1"/>
  <c r="AM37" i="85" a="1"/>
  <c r="AM37" i="85" s="1"/>
  <c r="L37" i="84" a="1"/>
  <c r="L37" i="84" s="1"/>
  <c r="AI37" i="85" a="1"/>
  <c r="AI37" i="85" s="1"/>
  <c r="X37" i="84" a="1"/>
  <c r="X37" i="84" s="1"/>
  <c r="K37" i="84" a="1"/>
  <c r="K37" i="84" s="1"/>
  <c r="AF37" i="85" a="1"/>
  <c r="AF37" i="85" s="1"/>
  <c r="T37" i="85" s="1"/>
  <c r="T37" i="84" a="1"/>
  <c r="T37" i="84" s="1"/>
  <c r="AB37" i="85" a="1"/>
  <c r="AB37" i="85" s="1"/>
  <c r="Z37" i="85" a="1"/>
  <c r="Z37" i="85" s="1"/>
  <c r="AN37" i="85" a="1"/>
  <c r="AN37" i="85" s="1"/>
  <c r="R37" i="84" a="1"/>
  <c r="R37" i="84" s="1"/>
  <c r="J37" i="84" a="1"/>
  <c r="J37" i="84" s="1"/>
  <c r="V37" i="85" a="1"/>
  <c r="V37" i="85" s="1"/>
  <c r="X37" i="85" a="1"/>
  <c r="X37" i="85" s="1"/>
  <c r="AA37" i="85" a="1"/>
  <c r="AA37" i="85" s="1"/>
  <c r="AJ37" i="85" a="1"/>
  <c r="AJ37" i="85" s="1"/>
  <c r="V37" i="84" a="1"/>
  <c r="V37" i="84" s="1"/>
  <c r="N20" i="98" a="1"/>
  <c r="N20" i="98" s="1"/>
  <c r="O20" i="98" a="1"/>
  <c r="O20" i="98" s="1"/>
  <c r="P20" i="98" a="1"/>
  <c r="P20" i="98" s="1"/>
  <c r="N21" i="98" a="1"/>
  <c r="N21" i="98" s="1"/>
  <c r="P21" i="98" a="1"/>
  <c r="P21" i="98" s="1"/>
  <c r="M21" i="98" a="1"/>
  <c r="M21" i="98" s="1"/>
  <c r="O21" i="98" a="1"/>
  <c r="O21" i="98" s="1"/>
  <c r="R56" i="80" a="1"/>
  <c r="R56" i="80" s="1"/>
  <c r="AC56" i="80" a="1"/>
  <c r="AC56" i="80" s="1"/>
  <c r="AF56" i="80" a="1"/>
  <c r="AF56" i="80" s="1"/>
  <c r="AG56" i="80" a="1"/>
  <c r="AG56" i="80" s="1"/>
  <c r="AM56" i="80" a="1"/>
  <c r="AM56" i="80" s="1"/>
  <c r="AJ56" i="80" a="1"/>
  <c r="AJ56" i="80" s="1"/>
  <c r="AK56" i="80" a="1"/>
  <c r="AK56" i="80" s="1"/>
  <c r="AD56" i="80" a="1"/>
  <c r="AD56" i="80" s="1"/>
  <c r="W56" i="80" a="1"/>
  <c r="W56" i="80" s="1"/>
  <c r="V56" i="80" a="1"/>
  <c r="V56" i="80" s="1"/>
  <c r="U56" i="80" a="1"/>
  <c r="U56" i="80" s="1"/>
  <c r="T56" i="80" a="1"/>
  <c r="T56" i="80" s="1"/>
  <c r="S56" i="80" a="1"/>
  <c r="S56" i="80" s="1"/>
  <c r="Z56" i="80" a="1"/>
  <c r="Z56" i="80" s="1"/>
  <c r="Q56" i="80" a="1"/>
  <c r="Q56" i="80" s="1"/>
  <c r="P56" i="80" a="1"/>
  <c r="P56" i="80" s="1"/>
  <c r="O56" i="80" a="1"/>
  <c r="O56" i="80" s="1"/>
  <c r="N56" i="80" a="1"/>
  <c r="N56" i="80" s="1"/>
  <c r="M56" i="80" a="1"/>
  <c r="M56" i="80" s="1"/>
  <c r="L56" i="80" a="1"/>
  <c r="L56" i="80" s="1"/>
  <c r="K56" i="80" a="1"/>
  <c r="K56" i="80" s="1"/>
  <c r="J56" i="80" a="1"/>
  <c r="J56" i="80" s="1"/>
  <c r="I56" i="80" a="1"/>
  <c r="I56" i="80" s="1"/>
  <c r="H56" i="80" a="1"/>
  <c r="H56" i="80" s="1"/>
  <c r="G56" i="80" a="1"/>
  <c r="G56" i="80" s="1"/>
  <c r="F56" i="80" a="1"/>
  <c r="F56" i="80" s="1"/>
  <c r="X56" i="80" a="1"/>
  <c r="X56" i="80" s="1"/>
  <c r="AA56" i="80" a="1"/>
  <c r="AA56" i="80" s="1"/>
  <c r="AH56" i="80" a="1"/>
  <c r="AH56" i="80" s="1"/>
  <c r="AB56" i="80" a="1"/>
  <c r="AB56" i="80" s="1"/>
  <c r="AE56" i="80" a="1"/>
  <c r="AE56" i="80" s="1"/>
  <c r="AI56" i="80" a="1"/>
  <c r="AI56" i="80" s="1"/>
  <c r="AN56" i="80" a="1"/>
  <c r="AN56" i="80" s="1"/>
  <c r="AL56" i="80" a="1"/>
  <c r="AL56" i="80" s="1"/>
  <c r="Y56" i="80" a="1"/>
  <c r="Y56" i="80" s="1"/>
  <c r="AE56" i="81" a="1"/>
  <c r="AE56" i="81" s="1"/>
  <c r="V56" i="81" a="1"/>
  <c r="V56" i="81" s="1"/>
  <c r="Q56" i="81" a="1"/>
  <c r="Q56" i="81" s="1"/>
  <c r="J56" i="81" a="1"/>
  <c r="J56" i="81" s="1"/>
  <c r="F56" i="81" a="1"/>
  <c r="F56" i="81" s="1"/>
  <c r="P56" i="81" a="1"/>
  <c r="P56" i="81" s="1"/>
  <c r="M56" i="81" a="1"/>
  <c r="M56" i="81" s="1"/>
  <c r="G56" i="81" a="1"/>
  <c r="G56" i="81" s="1"/>
  <c r="AL56" i="81" a="1"/>
  <c r="AL56" i="81" s="1"/>
  <c r="AG56" i="81" a="1"/>
  <c r="AG56" i="81" s="1"/>
  <c r="AA56" i="81" a="1"/>
  <c r="AA56" i="81" s="1"/>
  <c r="W56" i="81" a="1"/>
  <c r="W56" i="81" s="1"/>
  <c r="R56" i="81" a="1"/>
  <c r="R56" i="81" s="1"/>
  <c r="N56" i="81" a="1"/>
  <c r="N56" i="81" s="1"/>
  <c r="H56" i="81" a="1"/>
  <c r="H56" i="81" s="1"/>
  <c r="K56" i="81" a="1"/>
  <c r="K56" i="81" s="1"/>
  <c r="U56" i="81" a="1"/>
  <c r="U56" i="81" s="1"/>
  <c r="AJ56" i="81" a="1"/>
  <c r="AJ56" i="81" s="1"/>
  <c r="AN56" i="81" a="1"/>
  <c r="AN56" i="81" s="1"/>
  <c r="AI56" i="81" a="1"/>
  <c r="AI56" i="81" s="1"/>
  <c r="AD56" i="81" a="1"/>
  <c r="AD56" i="81" s="1"/>
  <c r="Z56" i="81" a="1"/>
  <c r="Z56" i="81" s="1"/>
  <c r="O56" i="81" a="1"/>
  <c r="O56" i="81" s="1"/>
  <c r="L56" i="81" a="1"/>
  <c r="L56" i="81" s="1"/>
  <c r="I56" i="81" a="1"/>
  <c r="I56" i="81" s="1"/>
  <c r="AK56" i="81" a="1"/>
  <c r="AK56" i="81" s="1"/>
  <c r="AF56" i="81" a="1"/>
  <c r="AF56" i="81" s="1"/>
  <c r="AB56" i="81" a="1"/>
  <c r="AB56" i="81" s="1"/>
  <c r="X56" i="81" a="1"/>
  <c r="X56" i="81" s="1"/>
  <c r="S56" i="81" a="1"/>
  <c r="S56" i="81" s="1"/>
  <c r="AM56" i="81" a="1"/>
  <c r="AM56" i="81" s="1"/>
  <c r="AH56" i="81" a="1"/>
  <c r="AH56" i="81" s="1"/>
  <c r="AC56" i="81" a="1"/>
  <c r="AC56" i="81" s="1"/>
  <c r="Y56" i="81" a="1"/>
  <c r="Y56" i="81" s="1"/>
  <c r="T56" i="81" a="1"/>
  <c r="T56" i="81" s="1"/>
  <c r="AN56" i="79" a="1"/>
  <c r="AN56" i="79" s="1"/>
  <c r="AM56" i="79" a="1"/>
  <c r="AM56" i="79" s="1"/>
  <c r="AL56" i="79" a="1"/>
  <c r="AL56" i="79" s="1"/>
  <c r="AK56" i="79" a="1"/>
  <c r="AK56" i="79" s="1"/>
  <c r="AJ56" i="79" a="1"/>
  <c r="AJ56" i="79" s="1"/>
  <c r="AI56" i="79" a="1"/>
  <c r="AI56" i="79" s="1"/>
  <c r="AH56" i="79" a="1"/>
  <c r="AH56" i="79" s="1"/>
  <c r="AG56" i="79" a="1"/>
  <c r="AG56" i="79" s="1"/>
  <c r="AF56" i="79" a="1"/>
  <c r="AF56" i="79" s="1"/>
  <c r="AE56" i="79" a="1"/>
  <c r="AE56" i="79" s="1"/>
  <c r="AD56" i="79" a="1"/>
  <c r="AD56" i="79" s="1"/>
  <c r="V56" i="79" a="1"/>
  <c r="V56" i="79" s="1"/>
  <c r="W56" i="79" a="1"/>
  <c r="W56" i="79" s="1"/>
  <c r="N56" i="79" a="1"/>
  <c r="N56" i="79" s="1"/>
  <c r="I56" i="79" a="1"/>
  <c r="I56" i="79" s="1"/>
  <c r="H56" i="79" a="1"/>
  <c r="H56" i="79" s="1"/>
  <c r="G56" i="79" a="1"/>
  <c r="G56" i="79" s="1"/>
  <c r="O56" i="79" a="1"/>
  <c r="O56" i="79" s="1"/>
  <c r="P56" i="79" a="1"/>
  <c r="P56" i="79" s="1"/>
  <c r="Q56" i="79" a="1"/>
  <c r="Q56" i="79" s="1"/>
  <c r="R56" i="79" a="1"/>
  <c r="R56" i="79" s="1"/>
  <c r="AA56" i="79" a="1"/>
  <c r="AA56" i="79" s="1"/>
  <c r="X56" i="79" a="1"/>
  <c r="X56" i="79" s="1"/>
  <c r="Y56" i="79" a="1"/>
  <c r="Y56" i="79" s="1"/>
  <c r="Z56" i="79" a="1"/>
  <c r="Z56" i="79" s="1"/>
  <c r="F56" i="79" a="1"/>
  <c r="F56" i="79" s="1"/>
  <c r="M56" i="79" a="1"/>
  <c r="M56" i="79" s="1"/>
  <c r="L56" i="79" a="1"/>
  <c r="L56" i="79" s="1"/>
  <c r="K56" i="79" a="1"/>
  <c r="K56" i="79" s="1"/>
  <c r="J56" i="79" a="1"/>
  <c r="J56" i="79" s="1"/>
  <c r="S56" i="79" a="1"/>
  <c r="S56" i="79" s="1"/>
  <c r="T56" i="79" a="1"/>
  <c r="T56" i="79" s="1"/>
  <c r="AB56" i="79" a="1"/>
  <c r="AB56" i="79" s="1"/>
  <c r="AC56" i="79" a="1"/>
  <c r="AC56" i="79" s="1"/>
  <c r="U56" i="79" a="1"/>
  <c r="U56" i="79" s="1"/>
  <c r="E4" i="71"/>
  <c r="E4" i="67"/>
  <c r="E4" i="27"/>
  <c r="E41" i="80"/>
  <c r="E50" i="80" s="1" a="1"/>
  <c r="E4" i="13"/>
  <c r="E37" i="80"/>
  <c r="E56" i="80" s="1" a="1"/>
  <c r="E56" i="80" s="1"/>
  <c r="E37" i="81"/>
  <c r="E56" i="81" s="1" a="1"/>
  <c r="E56" i="81" s="1"/>
  <c r="E37" i="79"/>
  <c r="E56" i="79" s="1" a="1"/>
  <c r="E56" i="79" s="1"/>
  <c r="E4" i="57"/>
  <c r="E4" i="65"/>
  <c r="E4" i="29"/>
  <c r="E4" i="61"/>
  <c r="E4" i="19"/>
  <c r="E4" i="25"/>
  <c r="E4" i="35"/>
  <c r="E67" i="22"/>
  <c r="Z5" i="98" s="1"/>
  <c r="E4" i="41"/>
  <c r="E4" i="63"/>
  <c r="E4" i="62"/>
  <c r="E4" i="38"/>
  <c r="E4" i="59"/>
  <c r="E4" i="55"/>
  <c r="E4" i="68"/>
  <c r="E4" i="54"/>
  <c r="E4" i="24"/>
  <c r="E4" i="60"/>
  <c r="E4" i="33"/>
  <c r="E4" i="32"/>
  <c r="E4" i="44"/>
  <c r="E4" i="50"/>
  <c r="E4" i="31"/>
  <c r="E4" i="23"/>
  <c r="E4" i="48"/>
  <c r="E4" i="56"/>
  <c r="D62" i="96"/>
  <c r="E41" i="22"/>
  <c r="E50" i="77"/>
  <c r="E4" i="37"/>
  <c r="O19" i="98" a="1"/>
  <c r="O19" i="98" s="1"/>
  <c r="P19" i="98" a="1"/>
  <c r="P19" i="98" s="1"/>
  <c r="P18" i="98" a="1"/>
  <c r="P18" i="98" s="1"/>
  <c r="M18" i="98" a="1"/>
  <c r="M18" i="98" s="1"/>
  <c r="M19" i="98" a="1"/>
  <c r="M19" i="98" s="1"/>
  <c r="O18" i="98" a="1"/>
  <c r="O18" i="98" s="1"/>
  <c r="M20" i="98" a="1"/>
  <c r="M20" i="98" s="1"/>
  <c r="N18" i="98" a="1"/>
  <c r="N18" i="98" s="1"/>
  <c r="N19" i="98" a="1"/>
  <c r="N19" i="98" s="1"/>
  <c r="Y31" i="100" a="1"/>
  <c r="Y31" i="100" s="1"/>
  <c r="AG31" i="100" a="1"/>
  <c r="AG31" i="100" s="1"/>
  <c r="R31" i="100" a="1"/>
  <c r="R31" i="100" s="1"/>
  <c r="AH31" i="100" a="1"/>
  <c r="AH31" i="100" s="1"/>
  <c r="AI31" i="100" a="1"/>
  <c r="AI31" i="100" s="1"/>
  <c r="AC31" i="100" a="1"/>
  <c r="AC31" i="100" s="1"/>
  <c r="AK31" i="100" a="1"/>
  <c r="AK31" i="100" s="1"/>
  <c r="AA31" i="100" a="1"/>
  <c r="AA31" i="100" s="1"/>
  <c r="AM31" i="100" a="1"/>
  <c r="AM31" i="100" s="1"/>
  <c r="W31" i="100" a="1"/>
  <c r="W31" i="100" s="1"/>
  <c r="AB31" i="100" a="1"/>
  <c r="AB31" i="100" s="1"/>
  <c r="Z31" i="100" a="1"/>
  <c r="Z31" i="100" s="1"/>
  <c r="AN31" i="100" a="1"/>
  <c r="AN31" i="100" s="1"/>
  <c r="AE31" i="100" a="1"/>
  <c r="AE31" i="100" s="1"/>
  <c r="S31" i="100" a="1"/>
  <c r="S31" i="100" s="1"/>
  <c r="X31" i="100" a="1"/>
  <c r="X31" i="100" s="1"/>
  <c r="Q31" i="100" a="1"/>
  <c r="Q31" i="100" s="1"/>
  <c r="T31" i="100" a="1"/>
  <c r="T31" i="100" s="1"/>
  <c r="AJ31" i="100" a="1"/>
  <c r="AJ31" i="100" s="1"/>
  <c r="AF31" i="100" a="1"/>
  <c r="AF31" i="100" s="1"/>
  <c r="U31" i="100" a="1"/>
  <c r="U31" i="100" s="1"/>
  <c r="AD31" i="100" a="1"/>
  <c r="AD31" i="100" s="1"/>
  <c r="AL31" i="100" a="1"/>
  <c r="AL31" i="100" s="1"/>
  <c r="AD12" i="100" a="1"/>
  <c r="AD12" i="100" s="1"/>
  <c r="V31" i="100" a="1"/>
  <c r="V31" i="100" s="1"/>
  <c r="I31" i="100" a="1"/>
  <c r="I31" i="100" s="1"/>
  <c r="F31" i="99" a="1"/>
  <c r="F31" i="99" s="1"/>
  <c r="AN31" i="99"/>
  <c r="AM31" i="99"/>
  <c r="AK31" i="99"/>
  <c r="AJ31" i="99"/>
  <c r="AI31" i="99"/>
  <c r="AH31" i="99"/>
  <c r="AG31" i="99"/>
  <c r="AF31" i="99"/>
  <c r="AE31" i="99"/>
  <c r="AD31" i="99"/>
  <c r="AC31" i="99"/>
  <c r="AB31" i="99"/>
  <c r="AA31" i="99"/>
  <c r="Z31" i="99"/>
  <c r="Y31" i="99"/>
  <c r="X31" i="99"/>
  <c r="W31" i="99"/>
  <c r="V31" i="99"/>
  <c r="AK32" i="100" a="1"/>
  <c r="AK32" i="100" s="1"/>
  <c r="AG32" i="100" a="1"/>
  <c r="AG32" i="100" s="1"/>
  <c r="AM32" i="100" a="1"/>
  <c r="AM32" i="100" s="1"/>
  <c r="U31" i="99"/>
  <c r="T31" i="99"/>
  <c r="S31" i="99"/>
  <c r="R31" i="99"/>
  <c r="Q31" i="99"/>
  <c r="AL31" i="99"/>
  <c r="G31" i="99" a="1"/>
  <c r="G31" i="99" s="1"/>
  <c r="H31" i="99" a="1"/>
  <c r="H31" i="99" s="1"/>
  <c r="I31" i="99" a="1"/>
  <c r="I31" i="99" s="1"/>
  <c r="J31" i="99" a="1"/>
  <c r="J31" i="99" s="1"/>
  <c r="K31" i="99" a="1"/>
  <c r="K31" i="99" s="1"/>
  <c r="L31" i="99" a="1"/>
  <c r="L31" i="99" s="1"/>
  <c r="M31" i="99" a="1"/>
  <c r="M31" i="99" s="1"/>
  <c r="N31" i="99" a="1"/>
  <c r="N31" i="99" s="1"/>
  <c r="P31" i="99" a="1"/>
  <c r="P31" i="99" s="1"/>
  <c r="O31" i="100" a="1"/>
  <c r="O31" i="100" s="1"/>
  <c r="P31" i="100" a="1"/>
  <c r="P31" i="100" s="1"/>
  <c r="F31" i="100" a="1"/>
  <c r="F31" i="100" s="1"/>
  <c r="AH32" i="100" a="1"/>
  <c r="AH32" i="100" s="1"/>
  <c r="R32" i="100" a="1"/>
  <c r="R32" i="100" s="1"/>
  <c r="AL32" i="100" a="1"/>
  <c r="AL32" i="100" s="1"/>
  <c r="Y32" i="100" a="1"/>
  <c r="Y32" i="100" s="1"/>
  <c r="U32" i="100" a="1"/>
  <c r="U32" i="100" s="1"/>
  <c r="AJ32" i="100" a="1"/>
  <c r="AJ32" i="100" s="1"/>
  <c r="AF32" i="100" a="1"/>
  <c r="AF32" i="100" s="1"/>
  <c r="O31" i="99" a="1"/>
  <c r="O31" i="99" s="1"/>
  <c r="G31" i="100" a="1"/>
  <c r="G31" i="100" s="1"/>
  <c r="H31" i="100" a="1"/>
  <c r="H31" i="100" s="1"/>
  <c r="J31" i="100" a="1"/>
  <c r="J31" i="100" s="1"/>
  <c r="K31" i="100" a="1"/>
  <c r="K31" i="100" s="1"/>
  <c r="L31" i="100" a="1"/>
  <c r="L31" i="100" s="1"/>
  <c r="AE32" i="100" a="1"/>
  <c r="AE32" i="100" s="1"/>
  <c r="X32" i="100" a="1"/>
  <c r="X32" i="100" s="1"/>
  <c r="T32" i="100" a="1"/>
  <c r="T32" i="100" s="1"/>
  <c r="AC32" i="100" a="1"/>
  <c r="AC32" i="100" s="1"/>
  <c r="R32" i="99"/>
  <c r="Q32" i="99"/>
  <c r="O32" i="100" a="1"/>
  <c r="O32" i="100" s="1"/>
  <c r="L32" i="100" a="1"/>
  <c r="L32" i="100" s="1"/>
  <c r="M32" i="100" a="1"/>
  <c r="M32" i="100" s="1"/>
  <c r="N32" i="100" a="1"/>
  <c r="N32" i="100" s="1"/>
  <c r="P32" i="100" a="1"/>
  <c r="P32" i="100" s="1"/>
  <c r="P32" i="99" a="1"/>
  <c r="P32" i="99" s="1"/>
  <c r="N32" i="99" a="1"/>
  <c r="N32" i="99" s="1"/>
  <c r="L32" i="99" a="1"/>
  <c r="L32" i="99" s="1"/>
  <c r="I32" i="99" a="1"/>
  <c r="I32" i="99" s="1"/>
  <c r="H32" i="99" a="1"/>
  <c r="H32" i="99" s="1"/>
  <c r="G32" i="99" a="1"/>
  <c r="G32" i="99" s="1"/>
  <c r="J32" i="100" a="1"/>
  <c r="J32" i="100" s="1"/>
  <c r="O32" i="99" a="1"/>
  <c r="O32" i="99" s="1"/>
  <c r="M32" i="99" a="1"/>
  <c r="M32" i="99" s="1"/>
  <c r="K32" i="99" a="1"/>
  <c r="K32" i="99" s="1"/>
  <c r="AA32" i="99"/>
  <c r="Z32" i="99"/>
  <c r="Y32" i="99"/>
  <c r="X32" i="99"/>
  <c r="W32" i="99"/>
  <c r="V32" i="99"/>
  <c r="U32" i="99"/>
  <c r="T32" i="99"/>
  <c r="R12" i="100" a="1"/>
  <c r="R12" i="100" s="1"/>
  <c r="M31" i="100" a="1"/>
  <c r="M31" i="100" s="1"/>
  <c r="N31" i="100" a="1"/>
  <c r="N31" i="100" s="1"/>
  <c r="Q32" i="100" a="1"/>
  <c r="Q32" i="100" s="1"/>
  <c r="AI32" i="100" a="1"/>
  <c r="AI32" i="100" s="1"/>
  <c r="S32" i="100" a="1"/>
  <c r="S32" i="100" s="1"/>
  <c r="AA32" i="100" a="1"/>
  <c r="AA32" i="100" s="1"/>
  <c r="W32" i="100" a="1"/>
  <c r="W32" i="100" s="1"/>
  <c r="AB32" i="100" a="1"/>
  <c r="AB32" i="100" s="1"/>
  <c r="AN32" i="100" a="1"/>
  <c r="AN32" i="100" s="1"/>
  <c r="AD32" i="100" a="1"/>
  <c r="AD32" i="100" s="1"/>
  <c r="V32" i="100" a="1"/>
  <c r="V32" i="100" s="1"/>
  <c r="Z32" i="100" a="1"/>
  <c r="Z32" i="100" s="1"/>
  <c r="H32" i="100" a="1"/>
  <c r="H32" i="100" s="1"/>
  <c r="I32" i="100" a="1"/>
  <c r="I32" i="100" s="1"/>
  <c r="F32" i="99" a="1"/>
  <c r="F32" i="99" s="1"/>
  <c r="J32" i="99" a="1"/>
  <c r="J32" i="99" s="1"/>
  <c r="AB32" i="99"/>
  <c r="AC32" i="99"/>
  <c r="AD32" i="99"/>
  <c r="AE32" i="99"/>
  <c r="AF32" i="99"/>
  <c r="AG32" i="99"/>
  <c r="AH32" i="99"/>
  <c r="AI32" i="99"/>
  <c r="AJ32" i="99"/>
  <c r="AK32" i="99"/>
  <c r="AL32" i="99"/>
  <c r="AM32" i="99"/>
  <c r="S32" i="99"/>
  <c r="AN32" i="99"/>
  <c r="K32" i="100" a="1"/>
  <c r="K32" i="100" s="1"/>
  <c r="F32" i="100" a="1"/>
  <c r="F32" i="100" s="1"/>
  <c r="G32" i="100" a="1"/>
  <c r="G32" i="100" s="1"/>
  <c r="V12" i="100" a="1"/>
  <c r="V12" i="100" s="1"/>
  <c r="M12" i="100" a="1"/>
  <c r="M12" i="100" s="1"/>
  <c r="EP4" i="96" a="1"/>
  <c r="EP4" i="96" s="1"/>
  <c r="EK4" i="96" a="1"/>
  <c r="EK4" i="96" s="1"/>
  <c r="D12" i="98" s="1" a="1"/>
  <c r="D12" i="98" s="1"/>
  <c r="P34" i="99" a="1"/>
  <c r="P34" i="99" s="1"/>
  <c r="N34" i="99" a="1"/>
  <c r="N34" i="99" s="1"/>
  <c r="AH34" i="100" a="1"/>
  <c r="AH34" i="100" s="1"/>
  <c r="U34" i="100" a="1"/>
  <c r="U34" i="100" s="1"/>
  <c r="AM34" i="100" a="1"/>
  <c r="AM34" i="100" s="1"/>
  <c r="AA34" i="100" a="1"/>
  <c r="AA34" i="100" s="1"/>
  <c r="Y34" i="100" a="1"/>
  <c r="Y34" i="100" s="1"/>
  <c r="W34" i="100" a="1"/>
  <c r="W34" i="100" s="1"/>
  <c r="AF34" i="100" a="1"/>
  <c r="AF34" i="100" s="1"/>
  <c r="T34" i="100" a="1"/>
  <c r="T34" i="100" s="1"/>
  <c r="AE34" i="100" a="1"/>
  <c r="AE34" i="100" s="1"/>
  <c r="S34" i="100" a="1"/>
  <c r="S34" i="100" s="1"/>
  <c r="AK34" i="100" a="1"/>
  <c r="AK34" i="100" s="1"/>
  <c r="AC34" i="100" a="1"/>
  <c r="AC34" i="100" s="1"/>
  <c r="Q34" i="100" a="1"/>
  <c r="Q34" i="100" s="1"/>
  <c r="AL34" i="100" a="1"/>
  <c r="AL34" i="100" s="1"/>
  <c r="Z34" i="100" a="1"/>
  <c r="Z34" i="100" s="1"/>
  <c r="AN34" i="100" a="1"/>
  <c r="AN34" i="100" s="1"/>
  <c r="AB34" i="100" a="1"/>
  <c r="AB34" i="100" s="1"/>
  <c r="AI34" i="100" a="1"/>
  <c r="AI34" i="100" s="1"/>
  <c r="L34" i="99" a="1"/>
  <c r="L34" i="99" s="1"/>
  <c r="U34" i="99"/>
  <c r="J34" i="99" a="1"/>
  <c r="J34" i="99" s="1"/>
  <c r="H34" i="99" a="1"/>
  <c r="H34" i="99" s="1"/>
  <c r="F34" i="99" a="1"/>
  <c r="F34" i="99" s="1"/>
  <c r="O34" i="99" a="1"/>
  <c r="O34" i="99" s="1"/>
  <c r="O34" i="100" a="1"/>
  <c r="O34" i="100" s="1"/>
  <c r="N34" i="100" a="1"/>
  <c r="N34" i="100" s="1"/>
  <c r="M34" i="100" a="1"/>
  <c r="M34" i="100" s="1"/>
  <c r="L34" i="100" a="1"/>
  <c r="L34" i="100" s="1"/>
  <c r="K34" i="100" a="1"/>
  <c r="K34" i="100" s="1"/>
  <c r="J34" i="100" a="1"/>
  <c r="J34" i="100" s="1"/>
  <c r="I34" i="100" a="1"/>
  <c r="I34" i="100" s="1"/>
  <c r="AJ34" i="99"/>
  <c r="H34" i="100" a="1"/>
  <c r="H34" i="100" s="1"/>
  <c r="G34" i="100" a="1"/>
  <c r="G34" i="100" s="1"/>
  <c r="F34" i="100" a="1"/>
  <c r="F34" i="100" s="1"/>
  <c r="S34" i="99"/>
  <c r="AN34" i="99"/>
  <c r="AM34" i="99"/>
  <c r="AL34" i="99"/>
  <c r="AK34" i="99"/>
  <c r="Y34" i="99"/>
  <c r="AI34" i="99"/>
  <c r="AH34" i="99"/>
  <c r="AG34" i="99"/>
  <c r="AF34" i="99"/>
  <c r="AE34" i="99"/>
  <c r="AD34" i="99"/>
  <c r="AC34" i="99"/>
  <c r="AB34" i="99"/>
  <c r="AA34" i="99"/>
  <c r="Z34" i="99"/>
  <c r="X34" i="99"/>
  <c r="W34" i="99"/>
  <c r="V34" i="99"/>
  <c r="T34" i="99"/>
  <c r="R34" i="99"/>
  <c r="Q34" i="99"/>
  <c r="P34" i="100" a="1"/>
  <c r="P34" i="100" s="1"/>
  <c r="M34" i="99" a="1"/>
  <c r="M34" i="99" s="1"/>
  <c r="K34" i="99" a="1"/>
  <c r="K34" i="99" s="1"/>
  <c r="I34" i="99" a="1"/>
  <c r="I34" i="99" s="1"/>
  <c r="G34" i="99" a="1"/>
  <c r="G34" i="99" s="1"/>
  <c r="T12" i="100" a="1"/>
  <c r="T12" i="100" s="1"/>
  <c r="AH12" i="100" a="1"/>
  <c r="AH12" i="100" s="1"/>
  <c r="AY9" i="98"/>
  <c r="E8" i="99" a="1"/>
  <c r="E8" i="99" s="1"/>
  <c r="AN8" i="99" a="1"/>
  <c r="AN8" i="99" s="1"/>
  <c r="AB8" i="99" a="1"/>
  <c r="AB8" i="99" s="1"/>
  <c r="P8" i="99" a="1"/>
  <c r="P8" i="99" s="1"/>
  <c r="AM7" i="99" a="1"/>
  <c r="AM7" i="99" s="1"/>
  <c r="AA7" i="99" a="1"/>
  <c r="AA7" i="99" s="1"/>
  <c r="O7" i="99" a="1"/>
  <c r="O7" i="99" s="1"/>
  <c r="AL8" i="100" a="1"/>
  <c r="AL8" i="100" s="1"/>
  <c r="Z8" i="100" a="1"/>
  <c r="Z8" i="100" s="1"/>
  <c r="N8" i="100" a="1"/>
  <c r="N8" i="100" s="1"/>
  <c r="AK7" i="100" a="1"/>
  <c r="AK7" i="100" s="1"/>
  <c r="Y7" i="100" a="1"/>
  <c r="Y7" i="100" s="1"/>
  <c r="M7" i="100" a="1"/>
  <c r="M7" i="100" s="1"/>
  <c r="AM8" i="99" a="1"/>
  <c r="AM8" i="99" s="1"/>
  <c r="AA8" i="99" a="1"/>
  <c r="AA8" i="99" s="1"/>
  <c r="O8" i="99" a="1"/>
  <c r="O8" i="99" s="1"/>
  <c r="AL7" i="99" a="1"/>
  <c r="AL7" i="99" s="1"/>
  <c r="Z7" i="99" a="1"/>
  <c r="Z7" i="99" s="1"/>
  <c r="N7" i="99" a="1"/>
  <c r="N7" i="99" s="1"/>
  <c r="AK8" i="100" a="1"/>
  <c r="AK8" i="100" s="1"/>
  <c r="Y8" i="100" a="1"/>
  <c r="Y8" i="100" s="1"/>
  <c r="M8" i="100" a="1"/>
  <c r="M8" i="100" s="1"/>
  <c r="AJ7" i="100" a="1"/>
  <c r="AJ7" i="100" s="1"/>
  <c r="X7" i="100" a="1"/>
  <c r="X7" i="100" s="1"/>
  <c r="L7" i="100" a="1"/>
  <c r="L7" i="100" s="1"/>
  <c r="AF8" i="99" a="1"/>
  <c r="AF8" i="99" s="1"/>
  <c r="F8" i="100" a="1"/>
  <c r="F8" i="100" s="1"/>
  <c r="G8" i="99" a="1"/>
  <c r="G8" i="99" s="1"/>
  <c r="R8" i="99" a="1"/>
  <c r="R8" i="99" s="1"/>
  <c r="AC7" i="99" a="1"/>
  <c r="AC7" i="99" s="1"/>
  <c r="AN8" i="100" a="1"/>
  <c r="AN8" i="100" s="1"/>
  <c r="P8" i="100" a="1"/>
  <c r="P8" i="100" s="1"/>
  <c r="AA7" i="100" a="1"/>
  <c r="AA7" i="100" s="1"/>
  <c r="Q8" i="99" a="1"/>
  <c r="Q8" i="99" s="1"/>
  <c r="AL8" i="99" a="1"/>
  <c r="AL8" i="99" s="1"/>
  <c r="Z8" i="99" a="1"/>
  <c r="Z8" i="99" s="1"/>
  <c r="N8" i="99" a="1"/>
  <c r="N8" i="99" s="1"/>
  <c r="AK7" i="99" a="1"/>
  <c r="AK7" i="99" s="1"/>
  <c r="Y7" i="99" a="1"/>
  <c r="Y7" i="99" s="1"/>
  <c r="M7" i="99" a="1"/>
  <c r="M7" i="99" s="1"/>
  <c r="AJ8" i="100" a="1"/>
  <c r="AJ8" i="100" s="1"/>
  <c r="X8" i="100" a="1"/>
  <c r="X8" i="100" s="1"/>
  <c r="L8" i="100" a="1"/>
  <c r="L8" i="100" s="1"/>
  <c r="AI7" i="100" a="1"/>
  <c r="AI7" i="100" s="1"/>
  <c r="W7" i="100" a="1"/>
  <c r="W7" i="100" s="1"/>
  <c r="K7" i="100" a="1"/>
  <c r="K7" i="100" s="1"/>
  <c r="T8" i="99" a="1"/>
  <c r="T8" i="99" s="1"/>
  <c r="G7" i="99" a="1"/>
  <c r="G7" i="99" s="1"/>
  <c r="AC7" i="100" a="1"/>
  <c r="AC7" i="100" s="1"/>
  <c r="S8" i="99" a="1"/>
  <c r="S8" i="99" s="1"/>
  <c r="AD7" i="99" a="1"/>
  <c r="AD7" i="99" s="1"/>
  <c r="F7" i="99" a="1"/>
  <c r="F7" i="99" s="1"/>
  <c r="Q8" i="100" a="1"/>
  <c r="Q8" i="100" s="1"/>
  <c r="AB7" i="100" a="1"/>
  <c r="AB7" i="100" s="1"/>
  <c r="AK8" i="99" a="1"/>
  <c r="AK8" i="99" s="1"/>
  <c r="Y8" i="99" a="1"/>
  <c r="Y8" i="99" s="1"/>
  <c r="M8" i="99" a="1"/>
  <c r="M8" i="99" s="1"/>
  <c r="AJ7" i="99" a="1"/>
  <c r="AJ7" i="99" s="1"/>
  <c r="X7" i="99" a="1"/>
  <c r="X7" i="99" s="1"/>
  <c r="L7" i="99" a="1"/>
  <c r="L7" i="99" s="1"/>
  <c r="AI8" i="100" a="1"/>
  <c r="AI8" i="100" s="1"/>
  <c r="W8" i="100" a="1"/>
  <c r="W8" i="100" s="1"/>
  <c r="K8" i="100" a="1"/>
  <c r="K8" i="100" s="1"/>
  <c r="AH7" i="100" a="1"/>
  <c r="AH7" i="100" s="1"/>
  <c r="V7" i="100" a="1"/>
  <c r="V7" i="100" s="1"/>
  <c r="J7" i="100" a="1"/>
  <c r="J7" i="100" s="1"/>
  <c r="AE7" i="99" a="1"/>
  <c r="AE7" i="99" s="1"/>
  <c r="P7" i="99" a="1"/>
  <c r="P7" i="99" s="1"/>
  <c r="AJ8" i="99" a="1"/>
  <c r="AJ8" i="99" s="1"/>
  <c r="X8" i="99" a="1"/>
  <c r="X8" i="99" s="1"/>
  <c r="L8" i="99" a="1"/>
  <c r="L8" i="99" s="1"/>
  <c r="AI7" i="99" a="1"/>
  <c r="AI7" i="99" s="1"/>
  <c r="W7" i="99" a="1"/>
  <c r="W7" i="99" s="1"/>
  <c r="K7" i="99" a="1"/>
  <c r="K7" i="99" s="1"/>
  <c r="AH8" i="100" a="1"/>
  <c r="AH8" i="100" s="1"/>
  <c r="V8" i="100" a="1"/>
  <c r="V8" i="100" s="1"/>
  <c r="J8" i="100" a="1"/>
  <c r="J8" i="100" s="1"/>
  <c r="AG7" i="100" a="1"/>
  <c r="AG7" i="100" s="1"/>
  <c r="U7" i="100" a="1"/>
  <c r="U7" i="100" s="1"/>
  <c r="I7" i="100" a="1"/>
  <c r="I7" i="100" s="1"/>
  <c r="AI8" i="99" a="1"/>
  <c r="AI8" i="99" s="1"/>
  <c r="W8" i="99" a="1"/>
  <c r="W8" i="99" s="1"/>
  <c r="K8" i="99" a="1"/>
  <c r="K8" i="99" s="1"/>
  <c r="AH7" i="99" a="1"/>
  <c r="AH7" i="99" s="1"/>
  <c r="V7" i="99" a="1"/>
  <c r="V7" i="99" s="1"/>
  <c r="J7" i="99" a="1"/>
  <c r="J7" i="99" s="1"/>
  <c r="AG8" i="100" a="1"/>
  <c r="AG8" i="100" s="1"/>
  <c r="U8" i="100" a="1"/>
  <c r="U8" i="100" s="1"/>
  <c r="I8" i="100" a="1"/>
  <c r="I8" i="100" s="1"/>
  <c r="AF7" i="100" a="1"/>
  <c r="AF7" i="100" s="1"/>
  <c r="T7" i="100" a="1"/>
  <c r="T7" i="100" s="1"/>
  <c r="H7" i="100" a="1"/>
  <c r="H7" i="100" s="1"/>
  <c r="S7" i="99" a="1"/>
  <c r="S7" i="99" s="1"/>
  <c r="AD8" i="100" a="1"/>
  <c r="AD8" i="100" s="1"/>
  <c r="Q7" i="100" a="1"/>
  <c r="Q7" i="100" s="1"/>
  <c r="AH8" i="99" a="1"/>
  <c r="AH8" i="99" s="1"/>
  <c r="V8" i="99" a="1"/>
  <c r="V8" i="99" s="1"/>
  <c r="J8" i="99" a="1"/>
  <c r="J8" i="99" s="1"/>
  <c r="AG7" i="99" a="1"/>
  <c r="AG7" i="99" s="1"/>
  <c r="U7" i="99" a="1"/>
  <c r="U7" i="99" s="1"/>
  <c r="I7" i="99" a="1"/>
  <c r="I7" i="99" s="1"/>
  <c r="AF8" i="100" a="1"/>
  <c r="AF8" i="100" s="1"/>
  <c r="T8" i="100" a="1"/>
  <c r="T8" i="100" s="1"/>
  <c r="H8" i="100" a="1"/>
  <c r="H8" i="100" s="1"/>
  <c r="AE7" i="100" a="1"/>
  <c r="AE7" i="100" s="1"/>
  <c r="S7" i="100" a="1"/>
  <c r="S7" i="100" s="1"/>
  <c r="G7" i="100" a="1"/>
  <c r="G7" i="100" s="1"/>
  <c r="H8" i="99" a="1"/>
  <c r="H8" i="99" s="1"/>
  <c r="R8" i="100" a="1"/>
  <c r="R8" i="100" s="1"/>
  <c r="E8" i="100" a="1"/>
  <c r="E8" i="100" s="1"/>
  <c r="AE8" i="99" a="1"/>
  <c r="AE8" i="99" s="1"/>
  <c r="R7" i="99" a="1"/>
  <c r="R7" i="99" s="1"/>
  <c r="AC8" i="100" a="1"/>
  <c r="AC8" i="100" s="1"/>
  <c r="AN7" i="100" a="1"/>
  <c r="AN7" i="100" s="1"/>
  <c r="P7" i="100" a="1"/>
  <c r="P7" i="100" s="1"/>
  <c r="AD8" i="99" a="1"/>
  <c r="AD8" i="99" s="1"/>
  <c r="F8" i="99" a="1"/>
  <c r="F8" i="99" s="1"/>
  <c r="Q7" i="99" a="1"/>
  <c r="Q7" i="99" s="1"/>
  <c r="AB8" i="100" a="1"/>
  <c r="AB8" i="100" s="1"/>
  <c r="AM7" i="100" a="1"/>
  <c r="AM7" i="100" s="1"/>
  <c r="O7" i="100" a="1"/>
  <c r="O7" i="100" s="1"/>
  <c r="AC8" i="99" a="1"/>
  <c r="AC8" i="99" s="1"/>
  <c r="AN7" i="99" a="1"/>
  <c r="AN7" i="99" s="1"/>
  <c r="AB7" i="99" a="1"/>
  <c r="AB7" i="99" s="1"/>
  <c r="AM8" i="100" a="1"/>
  <c r="AM8" i="100" s="1"/>
  <c r="O8" i="100" a="1"/>
  <c r="O8" i="100" s="1"/>
  <c r="AL7" i="100" a="1"/>
  <c r="AL7" i="100" s="1"/>
  <c r="N7" i="100" a="1"/>
  <c r="N7" i="100" s="1"/>
  <c r="AG8" i="99" a="1"/>
  <c r="AG8" i="99" s="1"/>
  <c r="U8" i="99" a="1"/>
  <c r="U8" i="99" s="1"/>
  <c r="I8" i="99" a="1"/>
  <c r="I8" i="99" s="1"/>
  <c r="AF7" i="99" a="1"/>
  <c r="AF7" i="99" s="1"/>
  <c r="T7" i="99" a="1"/>
  <c r="T7" i="99" s="1"/>
  <c r="H7" i="99" a="1"/>
  <c r="H7" i="99" s="1"/>
  <c r="AE8" i="100" a="1"/>
  <c r="AE8" i="100" s="1"/>
  <c r="S8" i="100" a="1"/>
  <c r="S8" i="100" s="1"/>
  <c r="G8" i="100" a="1"/>
  <c r="G8" i="100" s="1"/>
  <c r="AD7" i="100" a="1"/>
  <c r="AD7" i="100" s="1"/>
  <c r="R7" i="100" a="1"/>
  <c r="R7" i="100" s="1"/>
  <c r="F7" i="100" a="1"/>
  <c r="F7" i="100" s="1"/>
  <c r="AA8" i="100" a="1"/>
  <c r="AA8" i="100" s="1"/>
  <c r="Z7" i="100" a="1"/>
  <c r="Z7" i="100" s="1"/>
  <c r="EW4" i="69" a="1"/>
  <c r="AY11" i="98"/>
  <c r="G51" i="85"/>
  <c r="F51" i="85"/>
  <c r="P12" i="100" a="1"/>
  <c r="P12" i="100" s="1"/>
  <c r="AB12" i="100" a="1"/>
  <c r="AB12" i="100" s="1"/>
  <c r="Z12" i="100" a="1"/>
  <c r="Z12" i="100" s="1"/>
  <c r="I12" i="100" a="1"/>
  <c r="I12" i="100" s="1"/>
  <c r="K12" i="100" a="1"/>
  <c r="K12" i="100" s="1"/>
  <c r="N12" i="100" a="1"/>
  <c r="N12" i="100" s="1"/>
  <c r="AN12" i="100" a="1"/>
  <c r="AN12" i="100" s="1"/>
  <c r="AL12" i="100" a="1"/>
  <c r="AL12" i="100" s="1"/>
  <c r="U12" i="100" a="1"/>
  <c r="U12" i="100" s="1"/>
  <c r="W12" i="100" a="1"/>
  <c r="W12" i="100" s="1"/>
  <c r="AF12" i="100" a="1"/>
  <c r="AF12" i="100" s="1"/>
  <c r="AK12" i="100" a="1"/>
  <c r="AK12" i="100" s="1"/>
  <c r="AY8" i="98"/>
  <c r="AA12" i="100" a="1"/>
  <c r="AA12" i="100" s="1"/>
  <c r="AG12" i="100" a="1"/>
  <c r="AG12" i="100" s="1"/>
  <c r="AI12" i="100" a="1"/>
  <c r="AI12" i="100" s="1"/>
  <c r="G12" i="100" a="1"/>
  <c r="G12" i="100" s="1"/>
  <c r="L12" i="100" a="1"/>
  <c r="L12" i="100" s="1"/>
  <c r="X12" i="100" a="1"/>
  <c r="X12" i="100" s="1"/>
  <c r="S12" i="100" a="1"/>
  <c r="S12" i="100" s="1"/>
  <c r="AJ12" i="100" a="1"/>
  <c r="AJ12" i="100" s="1"/>
  <c r="Y12" i="100" a="1"/>
  <c r="Y12" i="100" s="1"/>
  <c r="Q12" i="100" a="1"/>
  <c r="Q12" i="100" s="1"/>
  <c r="AE12" i="100" a="1"/>
  <c r="AE12" i="100" s="1"/>
  <c r="O12" i="100" a="1"/>
  <c r="O12" i="100" s="1"/>
  <c r="AQ9" i="98"/>
  <c r="AC12" i="100" a="1"/>
  <c r="AC12" i="100" s="1"/>
  <c r="AM12" i="100" a="1"/>
  <c r="AM12" i="100" s="1"/>
  <c r="J12" i="100" a="1"/>
  <c r="J12" i="100" s="1"/>
  <c r="F12" i="100" a="1"/>
  <c r="F12" i="100" s="1"/>
  <c r="H12" i="100" a="1"/>
  <c r="H12" i="100" s="1"/>
  <c r="R34" i="100" a="1"/>
  <c r="R34" i="100" s="1"/>
  <c r="AG34" i="100" a="1"/>
  <c r="AG34" i="100" s="1"/>
  <c r="BC21" i="98"/>
  <c r="BG15" i="98"/>
  <c r="BG21" i="98" s="1"/>
  <c r="AQ8" i="98"/>
  <c r="AQ11" i="98"/>
  <c r="AD34" i="100" a="1"/>
  <c r="AD34" i="100" s="1"/>
  <c r="X34" i="100" a="1"/>
  <c r="X34" i="100" s="1"/>
  <c r="AA17" i="98"/>
  <c r="AJ34" i="100" a="1"/>
  <c r="AJ34" i="100" s="1"/>
  <c r="V34" i="100" a="1"/>
  <c r="V34" i="100" s="1"/>
  <c r="H51" i="85"/>
  <c r="AY13" i="98"/>
  <c r="AQ13" i="98"/>
  <c r="H43" i="85"/>
  <c r="S43" i="34" s="1"/>
  <c r="G43" i="34" s="1"/>
  <c r="E4" i="96"/>
  <c r="D29" i="98" a="1"/>
  <c r="D28" i="98" a="1"/>
  <c r="D27" i="98" a="1"/>
  <c r="F30" i="100" a="1"/>
  <c r="F30" i="100" s="1"/>
  <c r="G30" i="100" a="1"/>
  <c r="G30" i="100" s="1"/>
  <c r="H30" i="100" a="1"/>
  <c r="H30" i="100" s="1"/>
  <c r="I30" i="100" a="1"/>
  <c r="I30" i="100" s="1"/>
  <c r="J30" i="100" a="1"/>
  <c r="J30" i="100" s="1"/>
  <c r="K30" i="100" a="1"/>
  <c r="K30" i="100" s="1"/>
  <c r="P30" i="100" a="1"/>
  <c r="P30" i="100" s="1"/>
  <c r="O30" i="100" a="1"/>
  <c r="O30" i="100" s="1"/>
  <c r="L30" i="100" a="1"/>
  <c r="L30" i="100" s="1"/>
  <c r="N30" i="100" a="1"/>
  <c r="N30" i="100" s="1"/>
  <c r="V30" i="99"/>
  <c r="Z30" i="99"/>
  <c r="AC30" i="99"/>
  <c r="X30" i="99"/>
  <c r="AA30" i="99"/>
  <c r="AD30" i="99"/>
  <c r="Q30" i="99"/>
  <c r="T30" i="99"/>
  <c r="W30" i="99"/>
  <c r="Y30" i="99"/>
  <c r="AB30" i="99"/>
  <c r="R30" i="99"/>
  <c r="S30" i="99"/>
  <c r="U30" i="99"/>
  <c r="M30" i="100" a="1"/>
  <c r="M30" i="100" s="1"/>
  <c r="AE30" i="99"/>
  <c r="AF30" i="99"/>
  <c r="AG30" i="99"/>
  <c r="AH30" i="99"/>
  <c r="AI30" i="99"/>
  <c r="AJ30" i="99"/>
  <c r="AK30" i="99"/>
  <c r="AL30" i="99"/>
  <c r="AM30" i="99"/>
  <c r="AN30" i="99"/>
  <c r="F30" i="99" a="1"/>
  <c r="F30" i="99" s="1"/>
  <c r="G30" i="99" a="1"/>
  <c r="G30" i="99" s="1"/>
  <c r="H30" i="99" a="1"/>
  <c r="H30" i="99" s="1"/>
  <c r="I30" i="99" a="1"/>
  <c r="I30" i="99" s="1"/>
  <c r="J30" i="99" a="1"/>
  <c r="J30" i="99" s="1"/>
  <c r="K30" i="99" a="1"/>
  <c r="K30" i="99" s="1"/>
  <c r="L30" i="99" a="1"/>
  <c r="L30" i="99" s="1"/>
  <c r="M30" i="99" a="1"/>
  <c r="M30" i="99" s="1"/>
  <c r="N30" i="99" a="1"/>
  <c r="N30" i="99" s="1"/>
  <c r="O30" i="99" a="1"/>
  <c r="O30" i="99" s="1"/>
  <c r="P30" i="99" a="1"/>
  <c r="P30" i="99" s="1"/>
  <c r="V41" i="100"/>
  <c r="U41" i="100"/>
  <c r="T41" i="100"/>
  <c r="S41" i="100"/>
  <c r="R41" i="100"/>
  <c r="Q41" i="100"/>
  <c r="P41" i="99" a="1"/>
  <c r="P41" i="99" s="1"/>
  <c r="N41" i="99" a="1"/>
  <c r="N41" i="99" s="1"/>
  <c r="L41" i="99" a="1"/>
  <c r="L41" i="99" s="1"/>
  <c r="I41" i="99" a="1"/>
  <c r="I41" i="99" s="1"/>
  <c r="G41" i="99" a="1"/>
  <c r="G41" i="99" s="1"/>
  <c r="Z41" i="100"/>
  <c r="O41" i="99" a="1"/>
  <c r="O41" i="99" s="1"/>
  <c r="M41" i="99" a="1"/>
  <c r="M41" i="99" s="1"/>
  <c r="K41" i="99" a="1"/>
  <c r="K41" i="99" s="1"/>
  <c r="J41" i="99" a="1"/>
  <c r="J41" i="99" s="1"/>
  <c r="H41" i="99" a="1"/>
  <c r="H41" i="99" s="1"/>
  <c r="F41" i="99" a="1"/>
  <c r="F41" i="99" s="1"/>
  <c r="AN41" i="99"/>
  <c r="AM41" i="99"/>
  <c r="AL41" i="99"/>
  <c r="AK41" i="99"/>
  <c r="AJ41" i="99"/>
  <c r="AI41" i="99"/>
  <c r="AG41" i="99"/>
  <c r="AF41" i="99"/>
  <c r="AE41" i="99"/>
  <c r="AD41" i="99"/>
  <c r="AC41" i="99"/>
  <c r="AB41" i="99"/>
  <c r="AA41" i="99"/>
  <c r="Z41" i="99"/>
  <c r="Y41" i="99"/>
  <c r="X41" i="99"/>
  <c r="W41" i="99"/>
  <c r="V41" i="99"/>
  <c r="U41" i="99"/>
  <c r="T41" i="99"/>
  <c r="S41" i="99"/>
  <c r="R41" i="99"/>
  <c r="Q41" i="99"/>
  <c r="P41" i="100" a="1"/>
  <c r="P41" i="100" s="1"/>
  <c r="O41" i="100" a="1"/>
  <c r="O41" i="100" s="1"/>
  <c r="N41" i="100" a="1"/>
  <c r="N41" i="100" s="1"/>
  <c r="M41" i="100" a="1"/>
  <c r="M41" i="100" s="1"/>
  <c r="L41" i="100" a="1"/>
  <c r="L41" i="100" s="1"/>
  <c r="K41" i="100" a="1"/>
  <c r="K41" i="100" s="1"/>
  <c r="J41" i="100" a="1"/>
  <c r="J41" i="100" s="1"/>
  <c r="AH41" i="99"/>
  <c r="I41" i="100" a="1"/>
  <c r="I41" i="100" s="1"/>
  <c r="H41" i="100" a="1"/>
  <c r="H41" i="100" s="1"/>
  <c r="G41" i="100" a="1"/>
  <c r="G41" i="100" s="1"/>
  <c r="F41" i="100" a="1"/>
  <c r="F41" i="100" s="1"/>
  <c r="AN41" i="100"/>
  <c r="AM41" i="100"/>
  <c r="AL41" i="100"/>
  <c r="AK41" i="100"/>
  <c r="AJ41" i="100"/>
  <c r="AI41" i="100"/>
  <c r="AH41" i="100"/>
  <c r="AG41" i="100"/>
  <c r="AF41" i="100"/>
  <c r="AE41" i="100"/>
  <c r="AD41" i="100"/>
  <c r="AC41" i="100"/>
  <c r="AB41" i="100"/>
  <c r="AA41" i="100"/>
  <c r="Y41" i="100"/>
  <c r="X41" i="100"/>
  <c r="W41" i="100"/>
  <c r="CE4" i="96"/>
  <c r="F43" i="85"/>
  <c r="Q43" i="34" s="1"/>
  <c r="M43" i="34"/>
  <c r="G43" i="85"/>
  <c r="R43" i="34" s="1"/>
  <c r="F43" i="34" s="1"/>
  <c r="M4" i="69" a="1"/>
  <c r="W12" i="85" a="1"/>
  <c r="W12" i="85" s="1"/>
  <c r="AI12" i="85" a="1"/>
  <c r="AI12" i="85" s="1"/>
  <c r="AE12" i="85" a="1"/>
  <c r="AE12" i="85" s="1"/>
  <c r="AH12" i="85" a="1"/>
  <c r="AH12" i="85" s="1"/>
  <c r="V12" i="85" a="1"/>
  <c r="V12" i="85" s="1"/>
  <c r="W12" i="84" a="1"/>
  <c r="W12" i="84" s="1"/>
  <c r="V12" i="84" a="1"/>
  <c r="V12" i="84" s="1"/>
  <c r="AF12" i="85" a="1"/>
  <c r="AF12" i="85" s="1"/>
  <c r="AN12" i="85" a="1"/>
  <c r="AN12" i="85" s="1"/>
  <c r="AB12" i="85" a="1"/>
  <c r="AB12" i="85" s="1"/>
  <c r="AC4" i="69"/>
  <c r="AL12" i="85" a="1"/>
  <c r="AL12" i="85" s="1"/>
  <c r="Z12" i="85" a="1"/>
  <c r="Z12" i="85" s="1"/>
  <c r="AD12" i="85" a="1"/>
  <c r="AD12" i="85" s="1"/>
  <c r="X12" i="84" a="1"/>
  <c r="X12" i="84" s="1"/>
  <c r="AJ12" i="85" a="1"/>
  <c r="AJ12" i="85" s="1"/>
  <c r="AM12" i="85" a="1"/>
  <c r="AM12" i="85" s="1"/>
  <c r="AA12" i="85" a="1"/>
  <c r="AA12" i="85" s="1"/>
  <c r="X12" i="85" a="1"/>
  <c r="X12" i="85" s="1"/>
  <c r="S1" i="34"/>
  <c r="R1" i="34"/>
  <c r="H1" i="84"/>
  <c r="G13" i="84"/>
  <c r="N13" i="34" s="1"/>
  <c r="F13" i="34" s="1"/>
  <c r="F1" i="84"/>
  <c r="F13" i="84"/>
  <c r="M13" i="34" s="1"/>
  <c r="H13" i="84"/>
  <c r="O13" i="34" s="1"/>
  <c r="G13" i="34" s="1"/>
  <c r="G1" i="84"/>
  <c r="O13" i="9" a="1"/>
  <c r="O13" i="9" s="1"/>
  <c r="T12" i="84" a="1"/>
  <c r="T12" i="84" s="1"/>
  <c r="N13" i="9" a="1"/>
  <c r="N13" i="9" s="1"/>
  <c r="R12" i="84" a="1"/>
  <c r="R12" i="84" s="1"/>
  <c r="L13" i="9" a="1"/>
  <c r="L13" i="9" s="1"/>
  <c r="S12" i="84" a="1"/>
  <c r="S12" i="84" s="1"/>
  <c r="M13" i="9" a="1"/>
  <c r="M13" i="9" s="1"/>
  <c r="T14" i="84" a="1"/>
  <c r="T14" i="84" s="1"/>
  <c r="L14" i="84" s="1"/>
  <c r="H14" i="84" s="1"/>
  <c r="O14" i="34" s="1"/>
  <c r="G14" i="34" s="1"/>
  <c r="M15" i="9" a="1"/>
  <c r="M15" i="9" s="1"/>
  <c r="L15" i="9" a="1"/>
  <c r="L15" i="9" s="1"/>
  <c r="O15" i="9" a="1"/>
  <c r="O15" i="9" s="1"/>
  <c r="S14" i="84" a="1"/>
  <c r="S14" i="84" s="1"/>
  <c r="K14" i="84" s="1"/>
  <c r="G14" i="84" s="1"/>
  <c r="N14" i="34" s="1"/>
  <c r="F14" i="34" s="1"/>
  <c r="R14" i="84" a="1"/>
  <c r="R14" i="84" s="1"/>
  <c r="J14" i="84" s="1"/>
  <c r="F14" i="84" s="1"/>
  <c r="M14" i="34" s="1"/>
  <c r="E14" i="34" s="1"/>
  <c r="N15" i="9" a="1"/>
  <c r="N15" i="9" s="1"/>
  <c r="DA4" i="69"/>
  <c r="DI4" i="69"/>
  <c r="CW4" i="69"/>
  <c r="E4" i="74"/>
  <c r="E4" i="75"/>
  <c r="E4" i="52"/>
  <c r="E4" i="53"/>
  <c r="E4" i="51"/>
  <c r="D26" i="98" l="1" a="1"/>
  <c r="O22" i="98"/>
  <c r="O42" i="84" a="1"/>
  <c r="O42" i="84" s="1"/>
  <c r="P42" i="84" a="1"/>
  <c r="P42" i="84" s="1"/>
  <c r="N42" i="84" a="1"/>
  <c r="N42" i="84" s="1"/>
  <c r="K4" i="85" a="1"/>
  <c r="K4" i="85" s="1"/>
  <c r="M7" i="9" a="1"/>
  <c r="M7" i="9" s="1"/>
  <c r="P4" i="85" a="1"/>
  <c r="P4" i="85" s="1"/>
  <c r="L7" i="9" a="1"/>
  <c r="L7" i="9" s="1"/>
  <c r="R4" i="85" a="1"/>
  <c r="R4" i="85" s="1"/>
  <c r="T4" i="85" a="1"/>
  <c r="T4" i="85" s="1"/>
  <c r="N4" i="85" a="1"/>
  <c r="N4" i="85" s="1"/>
  <c r="O7" i="9" a="1"/>
  <c r="O7" i="9" s="1"/>
  <c r="S4" i="85" a="1"/>
  <c r="S4" i="85" s="1"/>
  <c r="O4" i="85" a="1"/>
  <c r="O4" i="85" s="1"/>
  <c r="N7" i="9" a="1"/>
  <c r="N7" i="9" s="1"/>
  <c r="L4" i="85" a="1"/>
  <c r="L4" i="85" s="1"/>
  <c r="J4" i="85" a="1"/>
  <c r="J4" i="85" s="1"/>
  <c r="N12" i="84" a="1"/>
  <c r="N12" i="84" s="1"/>
  <c r="O12" i="84" a="1"/>
  <c r="O12" i="84" s="1"/>
  <c r="P12" i="84" a="1"/>
  <c r="P12" i="84" s="1"/>
  <c r="N38" i="84" a="1"/>
  <c r="N38" i="84" s="1"/>
  <c r="F38" i="84" s="1"/>
  <c r="V12" i="98" s="1"/>
  <c r="P38" i="84" a="1"/>
  <c r="P38" i="84" s="1"/>
  <c r="H38" i="84" s="1"/>
  <c r="O38" i="34" s="1"/>
  <c r="O38" i="84" a="1"/>
  <c r="O38" i="84" s="1"/>
  <c r="G38" i="84" s="1"/>
  <c r="N38" i="34" s="1"/>
  <c r="N40" i="84" a="1"/>
  <c r="N40" i="84" s="1"/>
  <c r="F40" i="84" s="1"/>
  <c r="V14" i="98" s="1"/>
  <c r="O40" i="84" a="1"/>
  <c r="O40" i="84" s="1"/>
  <c r="G40" i="84" s="1"/>
  <c r="N40" i="34" s="1"/>
  <c r="P40" i="84" a="1"/>
  <c r="P40" i="84" s="1"/>
  <c r="H40" i="84" s="1"/>
  <c r="O40" i="34" s="1"/>
  <c r="O37" i="84" a="1"/>
  <c r="O37" i="84" s="1"/>
  <c r="G37" i="84" s="1"/>
  <c r="N37" i="34" s="1"/>
  <c r="N37" i="84" a="1"/>
  <c r="N37" i="84" s="1"/>
  <c r="F37" i="84" s="1"/>
  <c r="V11" i="98" s="1"/>
  <c r="P37" i="84" a="1"/>
  <c r="P37" i="84" s="1"/>
  <c r="H37" i="84" s="1"/>
  <c r="O37" i="34" s="1"/>
  <c r="Q21" i="98"/>
  <c r="E50" i="80"/>
  <c r="E44" i="22" a="1"/>
  <c r="E40" i="22" a="1"/>
  <c r="E46" i="22" a="1"/>
  <c r="E75" i="59" a="1"/>
  <c r="E75" i="59" s="1"/>
  <c r="E75" i="41" a="1"/>
  <c r="E75" i="41" s="1"/>
  <c r="E75" i="57" a="1"/>
  <c r="E75" i="57" s="1"/>
  <c r="E75" i="73" a="1"/>
  <c r="E75" i="73" s="1"/>
  <c r="N22" i="98"/>
  <c r="P22" i="98"/>
  <c r="Q18" i="98"/>
  <c r="M22" i="98"/>
  <c r="I4" i="69" a="1"/>
  <c r="E75" i="39" a="1"/>
  <c r="E75" i="39" s="1"/>
  <c r="E75" i="66" a="1"/>
  <c r="E75" i="66" s="1"/>
  <c r="E75" i="70" a="1"/>
  <c r="E75" i="70" s="1"/>
  <c r="Q19" i="98"/>
  <c r="Q20" i="98"/>
  <c r="D29" i="98"/>
  <c r="H29" i="98" s="1"/>
  <c r="D28" i="98"/>
  <c r="H28" i="98" s="1"/>
  <c r="D27" i="98"/>
  <c r="H27" i="98" s="1"/>
  <c r="E75" i="31" a="1"/>
  <c r="E75" i="31" s="1"/>
  <c r="DG4" i="96" a="1"/>
  <c r="DG4" i="96" s="1"/>
  <c r="G7" i="98"/>
  <c r="F7" i="98"/>
  <c r="E7" i="98"/>
  <c r="G6" i="98"/>
  <c r="F6" i="98"/>
  <c r="E6" i="98"/>
  <c r="G5" i="98"/>
  <c r="F5" i="98"/>
  <c r="E5" i="98"/>
  <c r="D7" i="98"/>
  <c r="D6" i="98"/>
  <c r="D5" i="98"/>
  <c r="G4" i="98"/>
  <c r="F4" i="98"/>
  <c r="E4" i="98"/>
  <c r="D4" i="98"/>
  <c r="E32" i="100" a="1"/>
  <c r="E32" i="100" s="1"/>
  <c r="E32" i="99" a="1"/>
  <c r="E32" i="99" s="1"/>
  <c r="E41" i="100" a="1"/>
  <c r="E41" i="100" s="1"/>
  <c r="AU7" i="98" s="1"/>
  <c r="E12" i="100" a="1"/>
  <c r="E12" i="100" s="1"/>
  <c r="E6" i="22" a="1"/>
  <c r="E21" i="22" a="1"/>
  <c r="E7" i="100" a="1"/>
  <c r="E7" i="100" s="1"/>
  <c r="E7" i="99" a="1"/>
  <c r="E7" i="99" s="1"/>
  <c r="EF4" i="96" a="1"/>
  <c r="EF4" i="96" s="1"/>
  <c r="D11" i="98" s="1" a="1"/>
  <c r="D11" i="98" s="1"/>
  <c r="EW4" i="69"/>
  <c r="E43" i="34"/>
  <c r="AO7" i="98"/>
  <c r="P38" i="85"/>
  <c r="AN7" i="98"/>
  <c r="AV7" i="98"/>
  <c r="E41" i="99" a="1"/>
  <c r="E41" i="99" s="1"/>
  <c r="AM7" i="98" s="1"/>
  <c r="AW7" i="98"/>
  <c r="AX7" i="98"/>
  <c r="AP7" i="98"/>
  <c r="D26" i="98"/>
  <c r="E30" i="98"/>
  <c r="F30" i="98"/>
  <c r="G30" i="98"/>
  <c r="E31" i="99" a="1"/>
  <c r="E31" i="99" s="1"/>
  <c r="E31" i="100" a="1"/>
  <c r="E31" i="100" s="1"/>
  <c r="AX4" i="96" a="1"/>
  <c r="AX4" i="96" s="1"/>
  <c r="E75" i="23" a="1"/>
  <c r="E75" i="23" s="1"/>
  <c r="E75" i="13" a="1"/>
  <c r="E75" i="13" s="1"/>
  <c r="E30" i="100" a="1"/>
  <c r="E30" i="100" s="1"/>
  <c r="E22" i="100" s="1" a="1"/>
  <c r="E22" i="100" s="1"/>
  <c r="AS4" i="96" a="1"/>
  <c r="AS4" i="96" s="1"/>
  <c r="J4" i="96" s="1" a="1"/>
  <c r="E30" i="99" a="1"/>
  <c r="E30" i="99" s="1"/>
  <c r="E22" i="99" s="1" a="1"/>
  <c r="E22" i="99" s="1"/>
  <c r="N38" i="85"/>
  <c r="X12" i="98" s="1"/>
  <c r="O37" i="85"/>
  <c r="N40" i="85"/>
  <c r="X14" i="98" s="1"/>
  <c r="X4" i="84" a="1"/>
  <c r="X4" i="84" s="1"/>
  <c r="AH4" i="85" a="1"/>
  <c r="AH4" i="85" s="1"/>
  <c r="X4" i="85" a="1"/>
  <c r="X4" i="85" s="1"/>
  <c r="AE4" i="85" a="1"/>
  <c r="AE4" i="85" s="1"/>
  <c r="AI4" i="85" a="1"/>
  <c r="AI4" i="85" s="1"/>
  <c r="Z4" i="85" a="1"/>
  <c r="Z4" i="85" s="1"/>
  <c r="AD4" i="85" a="1"/>
  <c r="AD4" i="85" s="1"/>
  <c r="AF4" i="85" a="1"/>
  <c r="AF4" i="85" s="1"/>
  <c r="AB4" i="85" a="1"/>
  <c r="AB4" i="85" s="1"/>
  <c r="AM4" i="85" a="1"/>
  <c r="AM4" i="85" s="1"/>
  <c r="V4" i="84" a="1"/>
  <c r="V4" i="84" s="1"/>
  <c r="V4" i="85" a="1"/>
  <c r="V4" i="85" s="1"/>
  <c r="AJ4" i="85" a="1"/>
  <c r="AJ4" i="85" s="1"/>
  <c r="W4" i="85" a="1"/>
  <c r="W4" i="85" s="1"/>
  <c r="AN4" i="85" a="1"/>
  <c r="AN4" i="85" s="1"/>
  <c r="AA4" i="85" a="1"/>
  <c r="AA4" i="85" s="1"/>
  <c r="AL4" i="85" a="1"/>
  <c r="AL4" i="85" s="1"/>
  <c r="W4" i="84" a="1"/>
  <c r="W4" i="84" s="1"/>
  <c r="M4" i="69"/>
  <c r="T4" i="84" a="1"/>
  <c r="T4" i="84" s="1"/>
  <c r="S4" i="84" a="1"/>
  <c r="S4" i="84" s="1"/>
  <c r="R4" i="84" a="1"/>
  <c r="R4" i="84" s="1"/>
  <c r="G12" i="85"/>
  <c r="R12" i="34" s="1"/>
  <c r="K38" i="85"/>
  <c r="O38" i="85"/>
  <c r="K12" i="84"/>
  <c r="O1" i="34"/>
  <c r="M1" i="34"/>
  <c r="P37" i="85"/>
  <c r="J12" i="84"/>
  <c r="L12" i="84"/>
  <c r="L40" i="85"/>
  <c r="O40" i="85"/>
  <c r="N1" i="34"/>
  <c r="L37" i="85"/>
  <c r="N37" i="85"/>
  <c r="X11" i="98" s="1"/>
  <c r="J38" i="85"/>
  <c r="W12" i="98" s="1"/>
  <c r="L38" i="85"/>
  <c r="K40" i="85"/>
  <c r="J37" i="85"/>
  <c r="W11" i="98" s="1"/>
  <c r="K37" i="85"/>
  <c r="J40" i="85"/>
  <c r="W14" i="98" s="1"/>
  <c r="P40" i="85"/>
  <c r="H12" i="85"/>
  <c r="S12" i="34" s="1"/>
  <c r="E4" i="69" a="1"/>
  <c r="N4" i="84" l="1" a="1"/>
  <c r="N4" i="84" s="1"/>
  <c r="O4" i="84" a="1"/>
  <c r="O4" i="84" s="1"/>
  <c r="P4" i="84" a="1"/>
  <c r="P4" i="84" s="1"/>
  <c r="AA18" i="85" a="1"/>
  <c r="AA18" i="85" s="1"/>
  <c r="AI18" i="85" a="1"/>
  <c r="AI18" i="85" s="1"/>
  <c r="X18" i="85" a="1"/>
  <c r="X18" i="85" s="1"/>
  <c r="AB18" i="85" a="1"/>
  <c r="AB18" i="85" s="1"/>
  <c r="W18" i="85" a="1"/>
  <c r="W18" i="85" s="1"/>
  <c r="AL18" i="85" a="1"/>
  <c r="AL18" i="85" s="1"/>
  <c r="AJ18" i="85" a="1"/>
  <c r="AJ18" i="85" s="1"/>
  <c r="AM18" i="85" a="1"/>
  <c r="AM18" i="85" s="1"/>
  <c r="AE18" i="85" a="1"/>
  <c r="AE18" i="85" s="1"/>
  <c r="V18" i="85" a="1"/>
  <c r="V18" i="85" s="1"/>
  <c r="AN18" i="85" a="1"/>
  <c r="AN18" i="85" s="1"/>
  <c r="AF18" i="85" a="1"/>
  <c r="AF18" i="85" s="1"/>
  <c r="AH18" i="85" a="1"/>
  <c r="AH18" i="85" s="1"/>
  <c r="AD18" i="85" a="1"/>
  <c r="AD18" i="85" s="1"/>
  <c r="Z18" i="85" a="1"/>
  <c r="Z18" i="85" s="1"/>
  <c r="Q22" i="98"/>
  <c r="E44" i="22"/>
  <c r="CI4" i="96" s="1" a="1"/>
  <c r="E40" i="22"/>
  <c r="E46" i="22"/>
  <c r="G8" i="98"/>
  <c r="AE3" i="85" a="1"/>
  <c r="AE3" i="85" s="1"/>
  <c r="AL3" i="85" a="1"/>
  <c r="AL3" i="85" s="1"/>
  <c r="AN3" i="85" a="1"/>
  <c r="AN3" i="85" s="1"/>
  <c r="X3" i="85" a="1"/>
  <c r="X3" i="85" s="1"/>
  <c r="AA3" i="85" a="1"/>
  <c r="AA3" i="85" s="1"/>
  <c r="AI3" i="85" a="1"/>
  <c r="AI3" i="85" s="1"/>
  <c r="AJ3" i="85" a="1"/>
  <c r="AJ3" i="85" s="1"/>
  <c r="AF3" i="85" a="1"/>
  <c r="AF3" i="85" s="1"/>
  <c r="W3" i="85" a="1"/>
  <c r="W3" i="85" s="1"/>
  <c r="V3" i="85" a="1"/>
  <c r="V3" i="85" s="1"/>
  <c r="X3" i="84" a="1"/>
  <c r="X3" i="84" s="1"/>
  <c r="I4" i="69"/>
  <c r="N3" i="84" s="1" a="1"/>
  <c r="N3" i="84" s="1"/>
  <c r="T3" i="84" a="1"/>
  <c r="T3" i="84" s="1"/>
  <c r="L3" i="84" s="1"/>
  <c r="R3" i="84" a="1"/>
  <c r="R3" i="84" s="1"/>
  <c r="P3" i="85" a="1"/>
  <c r="P3" i="85" s="1"/>
  <c r="L6" i="9" a="1"/>
  <c r="L6" i="9" s="1"/>
  <c r="S3" i="85" a="1"/>
  <c r="S3" i="85" s="1"/>
  <c r="N6" i="9" a="1"/>
  <c r="N6" i="9" s="1"/>
  <c r="F8" i="98"/>
  <c r="E8" i="98"/>
  <c r="D8" i="98"/>
  <c r="V3" i="84" a="1"/>
  <c r="V3" i="84" s="1"/>
  <c r="J3" i="84" s="1"/>
  <c r="C6" i="9" s="1" a="1"/>
  <c r="C6" i="9" s="1"/>
  <c r="H6" i="9" s="1"/>
  <c r="W3" i="84" a="1"/>
  <c r="W3" i="84" s="1"/>
  <c r="AH3" i="85" a="1"/>
  <c r="AH3" i="85" s="1"/>
  <c r="AB3" i="85" a="1"/>
  <c r="AB3" i="85" s="1"/>
  <c r="AD3" i="85" a="1"/>
  <c r="AD3" i="85" s="1"/>
  <c r="AM3" i="85" a="1"/>
  <c r="AM3" i="85" s="1"/>
  <c r="Z3" i="85" a="1"/>
  <c r="Z3" i="85" s="1"/>
  <c r="L3" i="85" a="1"/>
  <c r="L3" i="85" s="1"/>
  <c r="K3" i="85" a="1"/>
  <c r="K3" i="85" s="1"/>
  <c r="S3" i="84" a="1"/>
  <c r="S3" i="84" s="1"/>
  <c r="K3" i="84" s="1"/>
  <c r="T3" i="85" a="1"/>
  <c r="T3" i="85" s="1"/>
  <c r="O6" i="9" a="1"/>
  <c r="O6" i="9" s="1"/>
  <c r="O3" i="85" a="1"/>
  <c r="O3" i="85" s="1"/>
  <c r="M6" i="9" a="1"/>
  <c r="M6" i="9" s="1"/>
  <c r="H12" i="84"/>
  <c r="O12" i="34" s="1"/>
  <c r="G12" i="34" s="1"/>
  <c r="E75" i="61" a="1"/>
  <c r="E75" i="61" s="1"/>
  <c r="E75" i="35" a="1"/>
  <c r="E75" i="35" s="1"/>
  <c r="E75" i="45" a="1"/>
  <c r="E75" i="45" s="1"/>
  <c r="E75" i="49" a="1"/>
  <c r="E75" i="49" s="1"/>
  <c r="E75" i="38" a="1"/>
  <c r="E75" i="38" s="1"/>
  <c r="E75" i="72" a="1"/>
  <c r="E75" i="72" s="1"/>
  <c r="E75" i="55" a="1"/>
  <c r="E75" i="55" s="1"/>
  <c r="E75" i="54" a="1"/>
  <c r="E75" i="54" s="1"/>
  <c r="E75" i="60" a="1"/>
  <c r="E75" i="60" s="1"/>
  <c r="E75" i="44" a="1"/>
  <c r="E75" i="44" s="1"/>
  <c r="E75" i="75" a="1"/>
  <c r="E75" i="75" s="1"/>
  <c r="E75" i="51" a="1"/>
  <c r="E75" i="51" s="1"/>
  <c r="E75" i="52" a="1"/>
  <c r="E75" i="52" s="1"/>
  <c r="E75" i="53" a="1"/>
  <c r="E75" i="53" s="1"/>
  <c r="E75" i="67" a="1"/>
  <c r="E75" i="67" s="1"/>
  <c r="E75" i="56" a="1"/>
  <c r="E75" i="56" s="1"/>
  <c r="E75" i="32" a="1"/>
  <c r="E75" i="32" s="1"/>
  <c r="E75" i="30" a="1"/>
  <c r="E75" i="30" s="1"/>
  <c r="E75" i="27" a="1"/>
  <c r="E75" i="27" s="1"/>
  <c r="E75" i="25" a="1"/>
  <c r="E75" i="25" s="1"/>
  <c r="E75" i="65" a="1"/>
  <c r="E75" i="65" s="1"/>
  <c r="E75" i="63" a="1"/>
  <c r="E75" i="63" s="1"/>
  <c r="E75" i="62" a="1"/>
  <c r="E75" i="62" s="1"/>
  <c r="E75" i="68" a="1"/>
  <c r="E75" i="68" s="1"/>
  <c r="E75" i="33" a="1"/>
  <c r="E75" i="33" s="1"/>
  <c r="E75" i="50" a="1"/>
  <c r="E75" i="50" s="1"/>
  <c r="E75" i="74" a="1"/>
  <c r="E75" i="74" s="1"/>
  <c r="E75" i="71" a="1"/>
  <c r="E75" i="71" s="1"/>
  <c r="E75" i="48" a="1"/>
  <c r="E75" i="48" s="1"/>
  <c r="E75" i="37" a="1"/>
  <c r="E75" i="37" s="1"/>
  <c r="E75" i="24" a="1"/>
  <c r="E75" i="24" s="1"/>
  <c r="E75" i="19" a="1"/>
  <c r="E75" i="19" s="1"/>
  <c r="E75" i="29" a="1"/>
  <c r="E75" i="29" s="1"/>
  <c r="V33" i="99"/>
  <c r="AE33" i="100" a="1"/>
  <c r="AE33" i="100" s="1"/>
  <c r="Q33" i="100" a="1"/>
  <c r="Q33" i="100" s="1"/>
  <c r="AB33" i="100" a="1"/>
  <c r="AB33" i="100" s="1"/>
  <c r="X33" i="100" a="1"/>
  <c r="X33" i="100" s="1"/>
  <c r="N33" i="99" a="1"/>
  <c r="N33" i="99" s="1"/>
  <c r="Z33" i="99"/>
  <c r="U33" i="99"/>
  <c r="W33" i="99"/>
  <c r="AK33" i="99"/>
  <c r="N33" i="100" a="1"/>
  <c r="N33" i="100" s="1"/>
  <c r="AF33" i="99"/>
  <c r="I33" i="99" a="1"/>
  <c r="I33" i="99" s="1"/>
  <c r="F33" i="100" a="1"/>
  <c r="F33" i="100" s="1"/>
  <c r="AG33" i="99"/>
  <c r="J33" i="99" a="1"/>
  <c r="J33" i="99" s="1"/>
  <c r="H33" i="99" a="1"/>
  <c r="H33" i="99" s="1"/>
  <c r="H33" i="100" a="1"/>
  <c r="H33" i="100" s="1"/>
  <c r="AA33" i="99"/>
  <c r="G33" i="99" a="1"/>
  <c r="G33" i="99" s="1"/>
  <c r="AB33" i="99"/>
  <c r="AM33" i="100" a="1"/>
  <c r="AM33" i="100" s="1"/>
  <c r="W33" i="100" a="1"/>
  <c r="W33" i="100" s="1"/>
  <c r="S33" i="100" a="1"/>
  <c r="S33" i="100" s="1"/>
  <c r="AN33" i="100" a="1"/>
  <c r="AN33" i="100" s="1"/>
  <c r="Y33" i="100" a="1"/>
  <c r="Y33" i="100" s="1"/>
  <c r="Q33" i="99"/>
  <c r="AE33" i="99"/>
  <c r="AN33" i="99"/>
  <c r="R33" i="99"/>
  <c r="AD33" i="99"/>
  <c r="M33" i="99" a="1"/>
  <c r="M33" i="99" s="1"/>
  <c r="S33" i="99"/>
  <c r="P33" i="100" a="1"/>
  <c r="P33" i="100" s="1"/>
  <c r="K33" i="99" a="1"/>
  <c r="K33" i="99" s="1"/>
  <c r="X33" i="99"/>
  <c r="L33" i="100" a="1"/>
  <c r="L33" i="100" s="1"/>
  <c r="F33" i="99" a="1"/>
  <c r="F33" i="99" s="1"/>
  <c r="T33" i="99"/>
  <c r="AJ33" i="99"/>
  <c r="AH33" i="99"/>
  <c r="AM33" i="99"/>
  <c r="G33" i="100" a="1"/>
  <c r="G33" i="100" s="1"/>
  <c r="Y33" i="99"/>
  <c r="AL33" i="99"/>
  <c r="L33" i="99" a="1"/>
  <c r="L33" i="99" s="1"/>
  <c r="O33" i="100" a="1"/>
  <c r="O33" i="100" s="1"/>
  <c r="M33" i="100" a="1"/>
  <c r="M33" i="100" s="1"/>
  <c r="AC33" i="99"/>
  <c r="J33" i="100" a="1"/>
  <c r="J33" i="100" s="1"/>
  <c r="P33" i="99" a="1"/>
  <c r="P33" i="99" s="1"/>
  <c r="K33" i="100" a="1"/>
  <c r="K33" i="100" s="1"/>
  <c r="O33" i="99" a="1"/>
  <c r="O33" i="99" s="1"/>
  <c r="I33" i="100" a="1"/>
  <c r="I33" i="100" s="1"/>
  <c r="AI33" i="99"/>
  <c r="AK33" i="100" a="1"/>
  <c r="AK33" i="100" s="1"/>
  <c r="AJ33" i="100" a="1"/>
  <c r="AJ33" i="100" s="1"/>
  <c r="AI33" i="100" a="1"/>
  <c r="AI33" i="100" s="1"/>
  <c r="AG33" i="100" a="1"/>
  <c r="AG33" i="100" s="1"/>
  <c r="AL33" i="100" a="1"/>
  <c r="AL33" i="100" s="1"/>
  <c r="AF33" i="100" a="1"/>
  <c r="AF33" i="100" s="1"/>
  <c r="AH33" i="100" a="1"/>
  <c r="AH33" i="100" s="1"/>
  <c r="T33" i="100" a="1"/>
  <c r="T33" i="100" s="1"/>
  <c r="U33" i="100" a="1"/>
  <c r="U33" i="100" s="1"/>
  <c r="AD33" i="100" a="1"/>
  <c r="AD33" i="100" s="1"/>
  <c r="R33" i="100" a="1"/>
  <c r="R33" i="100" s="1"/>
  <c r="V33" i="100" a="1"/>
  <c r="V33" i="100" s="1"/>
  <c r="AC33" i="100" a="1"/>
  <c r="AC33" i="100" s="1"/>
  <c r="AA33" i="100" a="1"/>
  <c r="AA33" i="100" s="1"/>
  <c r="Z33" i="100" a="1"/>
  <c r="Z33" i="100" s="1"/>
  <c r="V4" i="100" a="1"/>
  <c r="V4" i="100" s="1"/>
  <c r="Y4" i="99" a="1"/>
  <c r="Y4" i="99" s="1"/>
  <c r="M4" i="100" a="1"/>
  <c r="M4" i="100" s="1"/>
  <c r="W4" i="99" a="1"/>
  <c r="W4" i="99" s="1"/>
  <c r="G4" i="99" a="1"/>
  <c r="G4" i="99" s="1"/>
  <c r="F4" i="100" a="1"/>
  <c r="F4" i="100" s="1"/>
  <c r="AI4" i="99" a="1"/>
  <c r="AI4" i="99" s="1"/>
  <c r="P4" i="100" a="1"/>
  <c r="P4" i="100" s="1"/>
  <c r="AD4" i="99" a="1"/>
  <c r="AD4" i="99" s="1"/>
  <c r="K4" i="99" a="1"/>
  <c r="K4" i="99" s="1"/>
  <c r="AF5" i="99" a="1"/>
  <c r="AF5" i="99" s="1"/>
  <c r="AG5" i="100" a="1"/>
  <c r="AG5" i="100" s="1"/>
  <c r="AM5" i="99" a="1"/>
  <c r="AM5" i="99" s="1"/>
  <c r="AA5" i="99" a="1"/>
  <c r="AA5" i="99" s="1"/>
  <c r="O5" i="99" a="1"/>
  <c r="O5" i="99" s="1"/>
  <c r="AL5" i="100" a="1"/>
  <c r="AL5" i="100" s="1"/>
  <c r="R5" i="99" a="1"/>
  <c r="R5" i="99" s="1"/>
  <c r="T5" i="99" a="1"/>
  <c r="T5" i="99" s="1"/>
  <c r="H5" i="99" a="1"/>
  <c r="H5" i="99" s="1"/>
  <c r="AE5" i="100" a="1"/>
  <c r="AE5" i="100" s="1"/>
  <c r="S5" i="100" a="1"/>
  <c r="S5" i="100" s="1"/>
  <c r="G5" i="100" a="1"/>
  <c r="G5" i="100" s="1"/>
  <c r="Z5" i="100" a="1"/>
  <c r="Z5" i="100" s="1"/>
  <c r="Q5" i="100" a="1"/>
  <c r="Q5" i="100" s="1"/>
  <c r="AG5" i="99" a="1"/>
  <c r="AG5" i="99" s="1"/>
  <c r="U5" i="99" a="1"/>
  <c r="U5" i="99" s="1"/>
  <c r="I5" i="99" a="1"/>
  <c r="I5" i="99" s="1"/>
  <c r="AF5" i="100" a="1"/>
  <c r="AF5" i="100" s="1"/>
  <c r="T5" i="100" a="1"/>
  <c r="T5" i="100" s="1"/>
  <c r="H5" i="100" a="1"/>
  <c r="H5" i="100" s="1"/>
  <c r="AE5" i="99" a="1"/>
  <c r="AE5" i="99" s="1"/>
  <c r="S5" i="99" a="1"/>
  <c r="S5" i="99" s="1"/>
  <c r="G5" i="99" a="1"/>
  <c r="G5" i="99" s="1"/>
  <c r="AD5" i="100" a="1"/>
  <c r="AD5" i="100" s="1"/>
  <c r="R5" i="100" a="1"/>
  <c r="R5" i="100" s="1"/>
  <c r="F5" i="100" a="1"/>
  <c r="F5" i="100" s="1"/>
  <c r="AD5" i="99" a="1"/>
  <c r="AD5" i="99" s="1"/>
  <c r="F5" i="99" a="1"/>
  <c r="F5" i="99" s="1"/>
  <c r="AC5" i="100" a="1"/>
  <c r="AC5" i="100" s="1"/>
  <c r="AC5" i="99" a="1"/>
  <c r="AC5" i="99" s="1"/>
  <c r="Q5" i="99" a="1"/>
  <c r="Q5" i="99" s="1"/>
  <c r="AN5" i="100" a="1"/>
  <c r="AN5" i="100" s="1"/>
  <c r="AB5" i="100" a="1"/>
  <c r="AB5" i="100" s="1"/>
  <c r="P5" i="100" a="1"/>
  <c r="P5" i="100" s="1"/>
  <c r="W5" i="99" a="1"/>
  <c r="W5" i="99" s="1"/>
  <c r="J5" i="100" a="1"/>
  <c r="J5" i="100" s="1"/>
  <c r="V5" i="99" a="1"/>
  <c r="V5" i="99" s="1"/>
  <c r="I5" i="100" a="1"/>
  <c r="I5" i="100" s="1"/>
  <c r="AN5" i="99" a="1"/>
  <c r="AN5" i="99" s="1"/>
  <c r="AB5" i="99" a="1"/>
  <c r="AB5" i="99" s="1"/>
  <c r="P5" i="99" a="1"/>
  <c r="P5" i="99" s="1"/>
  <c r="AM5" i="100" a="1"/>
  <c r="AM5" i="100" s="1"/>
  <c r="AA5" i="100" a="1"/>
  <c r="AA5" i="100" s="1"/>
  <c r="O5" i="100" a="1"/>
  <c r="O5" i="100" s="1"/>
  <c r="K5" i="99" a="1"/>
  <c r="K5" i="99" s="1"/>
  <c r="V5" i="100" a="1"/>
  <c r="V5" i="100" s="1"/>
  <c r="AN4" i="100" a="1"/>
  <c r="AN4" i="100" s="1"/>
  <c r="R4" i="100" a="1"/>
  <c r="R4" i="100" s="1"/>
  <c r="W4" i="100" a="1"/>
  <c r="W4" i="100" s="1"/>
  <c r="R4" i="99" a="1"/>
  <c r="R4" i="99" s="1"/>
  <c r="AI4" i="100" a="1"/>
  <c r="AI4" i="100" s="1"/>
  <c r="Y4" i="100" a="1"/>
  <c r="Y4" i="100" s="1"/>
  <c r="E6" i="22"/>
  <c r="AH5" i="100" a="1"/>
  <c r="AH5" i="100" s="1"/>
  <c r="N5" i="100" a="1"/>
  <c r="N5" i="100" s="1"/>
  <c r="AI5" i="99" a="1"/>
  <c r="AI5" i="99" s="1"/>
  <c r="U5" i="100" a="1"/>
  <c r="U5" i="100" s="1"/>
  <c r="AL5" i="99" a="1"/>
  <c r="AL5" i="99" s="1"/>
  <c r="Z5" i="99" a="1"/>
  <c r="Z5" i="99" s="1"/>
  <c r="N5" i="99" a="1"/>
  <c r="N5" i="99" s="1"/>
  <c r="AK5" i="100" a="1"/>
  <c r="AK5" i="100" s="1"/>
  <c r="Y5" i="100" a="1"/>
  <c r="Y5" i="100" s="1"/>
  <c r="M5" i="100" a="1"/>
  <c r="M5" i="100" s="1"/>
  <c r="J5" i="99" a="1"/>
  <c r="J5" i="99" s="1"/>
  <c r="AK5" i="99" a="1"/>
  <c r="AK5" i="99" s="1"/>
  <c r="Y5" i="99" a="1"/>
  <c r="Y5" i="99" s="1"/>
  <c r="M5" i="99" a="1"/>
  <c r="M5" i="99" s="1"/>
  <c r="AJ5" i="100" a="1"/>
  <c r="AJ5" i="100" s="1"/>
  <c r="X5" i="100" a="1"/>
  <c r="X5" i="100" s="1"/>
  <c r="L5" i="100" a="1"/>
  <c r="L5" i="100" s="1"/>
  <c r="AH5" i="99" a="1"/>
  <c r="AH5" i="99" s="1"/>
  <c r="AJ5" i="99" a="1"/>
  <c r="AJ5" i="99" s="1"/>
  <c r="X5" i="99" a="1"/>
  <c r="X5" i="99" s="1"/>
  <c r="L5" i="99" a="1"/>
  <c r="L5" i="99" s="1"/>
  <c r="AI5" i="100" a="1"/>
  <c r="AI5" i="100" s="1"/>
  <c r="W5" i="100" a="1"/>
  <c r="W5" i="100" s="1"/>
  <c r="K5" i="100" a="1"/>
  <c r="K5" i="100" s="1"/>
  <c r="AH4" i="100" a="1"/>
  <c r="AH4" i="100" s="1"/>
  <c r="Z4" i="99" a="1"/>
  <c r="Z4" i="99" s="1"/>
  <c r="O4" i="100" a="1"/>
  <c r="O4" i="100" s="1"/>
  <c r="L4" i="99" a="1"/>
  <c r="L4" i="99" s="1"/>
  <c r="AL4" i="99" a="1"/>
  <c r="AL4" i="99" s="1"/>
  <c r="AA4" i="100" a="1"/>
  <c r="AA4" i="100" s="1"/>
  <c r="AB4" i="100" a="1"/>
  <c r="AB4" i="100" s="1"/>
  <c r="AG4" i="99" a="1"/>
  <c r="AG4" i="99" s="1"/>
  <c r="X4" i="99" a="1"/>
  <c r="X4" i="99" s="1"/>
  <c r="J4" i="99" a="1"/>
  <c r="J4" i="99" s="1"/>
  <c r="AM4" i="100" a="1"/>
  <c r="AM4" i="100" s="1"/>
  <c r="F4" i="99" a="1"/>
  <c r="F4" i="99" s="1"/>
  <c r="AJ4" i="99" a="1"/>
  <c r="AJ4" i="99" s="1"/>
  <c r="AH4" i="99" a="1"/>
  <c r="AH4" i="99" s="1"/>
  <c r="AJ4" i="100" a="1"/>
  <c r="AJ4" i="100" s="1"/>
  <c r="N4" i="100" a="1"/>
  <c r="N4" i="100" s="1"/>
  <c r="AN4" i="99" a="1"/>
  <c r="AN4" i="99" s="1"/>
  <c r="I4" i="99" a="1"/>
  <c r="I4" i="99" s="1"/>
  <c r="H4" i="99" a="1"/>
  <c r="H4" i="99" s="1"/>
  <c r="M4" i="99" a="1"/>
  <c r="M4" i="99" s="1"/>
  <c r="Z4" i="100" a="1"/>
  <c r="Z4" i="100" s="1"/>
  <c r="AC4" i="100" a="1"/>
  <c r="AC4" i="100" s="1"/>
  <c r="AK4" i="100" a="1"/>
  <c r="AK4" i="100" s="1"/>
  <c r="AD4" i="100" a="1"/>
  <c r="AD4" i="100" s="1"/>
  <c r="Q4" i="100" a="1"/>
  <c r="Q4" i="100" s="1"/>
  <c r="AK4" i="99" a="1"/>
  <c r="AK4" i="99" s="1"/>
  <c r="AF4" i="100" a="1"/>
  <c r="AF4" i="100" s="1"/>
  <c r="P4" i="99" a="1"/>
  <c r="P4" i="99" s="1"/>
  <c r="H4" i="100" a="1"/>
  <c r="H4" i="100" s="1"/>
  <c r="AL4" i="100" a="1"/>
  <c r="AL4" i="100" s="1"/>
  <c r="S4" i="99" a="1"/>
  <c r="S4" i="99" s="1"/>
  <c r="I4" i="100" a="1"/>
  <c r="I4" i="100" s="1"/>
  <c r="U4" i="100" a="1"/>
  <c r="U4" i="100" s="1"/>
  <c r="AB4" i="99" a="1"/>
  <c r="AB4" i="99" s="1"/>
  <c r="AG4" i="100" a="1"/>
  <c r="AG4" i="100" s="1"/>
  <c r="G4" i="100" a="1"/>
  <c r="G4" i="100" s="1"/>
  <c r="K4" i="100" a="1"/>
  <c r="K4" i="100" s="1"/>
  <c r="O4" i="99" a="1"/>
  <c r="O4" i="99" s="1"/>
  <c r="J4" i="100" a="1"/>
  <c r="J4" i="100" s="1"/>
  <c r="N4" i="99" a="1"/>
  <c r="N4" i="99" s="1"/>
  <c r="V4" i="99" a="1"/>
  <c r="V4" i="99" s="1"/>
  <c r="U4" i="99" a="1"/>
  <c r="U4" i="99" s="1"/>
  <c r="E21" i="22"/>
  <c r="AE4" i="99" a="1"/>
  <c r="AE4" i="99" s="1"/>
  <c r="L4" i="100" a="1"/>
  <c r="L4" i="100" s="1"/>
  <c r="AA4" i="99" a="1"/>
  <c r="AA4" i="99" s="1"/>
  <c r="Q4" i="99" a="1"/>
  <c r="Q4" i="99" s="1"/>
  <c r="S4" i="100" a="1"/>
  <c r="S4" i="100" s="1"/>
  <c r="T4" i="99" a="1"/>
  <c r="T4" i="99" s="1"/>
  <c r="T4" i="100" a="1"/>
  <c r="T4" i="100" s="1"/>
  <c r="X4" i="100" a="1"/>
  <c r="X4" i="100" s="1"/>
  <c r="AM4" i="99" a="1"/>
  <c r="AM4" i="99" s="1"/>
  <c r="AC4" i="99" a="1"/>
  <c r="AC4" i="99" s="1"/>
  <c r="AE4" i="100" a="1"/>
  <c r="AE4" i="100" s="1"/>
  <c r="AF4" i="99" a="1"/>
  <c r="AF4" i="99" s="1"/>
  <c r="H38" i="85"/>
  <c r="S38" i="34" s="1"/>
  <c r="G38" i="34" s="1"/>
  <c r="AQ7" i="98"/>
  <c r="AA11" i="98"/>
  <c r="G12" i="84"/>
  <c r="N12" i="34" s="1"/>
  <c r="F12" i="34" s="1"/>
  <c r="L4" i="84"/>
  <c r="AA12" i="98"/>
  <c r="AA14" i="98"/>
  <c r="AY7" i="98"/>
  <c r="D30" i="98"/>
  <c r="H26" i="98"/>
  <c r="H30" i="98" s="1"/>
  <c r="J4" i="96"/>
  <c r="M4" i="98" s="1" a="1"/>
  <c r="M7" i="98" a="1"/>
  <c r="M6" i="98" a="1"/>
  <c r="M5" i="98" a="1"/>
  <c r="J4" i="84"/>
  <c r="C7" i="9" s="1" a="1"/>
  <c r="C7" i="9" s="1"/>
  <c r="H7" i="9" s="1"/>
  <c r="G37" i="85"/>
  <c r="R37" i="34" s="1"/>
  <c r="F37" i="34" s="1"/>
  <c r="K4" i="84"/>
  <c r="P40" i="100" a="1"/>
  <c r="P40" i="100" s="1"/>
  <c r="O40" i="100" a="1"/>
  <c r="O40" i="100" s="1"/>
  <c r="H40" i="99" a="1"/>
  <c r="H40" i="99" s="1"/>
  <c r="I40" i="99" a="1"/>
  <c r="I40" i="99" s="1"/>
  <c r="K40" i="99" a="1"/>
  <c r="K40" i="99" s="1"/>
  <c r="F40" i="99" a="1"/>
  <c r="F40" i="99" s="1"/>
  <c r="P40" i="99" a="1"/>
  <c r="P40" i="99" s="1"/>
  <c r="N40" i="99" a="1"/>
  <c r="N40" i="99" s="1"/>
  <c r="L40" i="99" a="1"/>
  <c r="L40" i="99" s="1"/>
  <c r="J40" i="99" a="1"/>
  <c r="J40" i="99" s="1"/>
  <c r="G40" i="99" a="1"/>
  <c r="G40" i="99" s="1"/>
  <c r="Q40" i="99"/>
  <c r="AN40" i="99"/>
  <c r="AM40" i="99"/>
  <c r="AL40" i="99"/>
  <c r="AK40" i="99"/>
  <c r="AJ40" i="99"/>
  <c r="AI40" i="99"/>
  <c r="AH40" i="99"/>
  <c r="AG40" i="99"/>
  <c r="AF40" i="99"/>
  <c r="AE40" i="99"/>
  <c r="AD40" i="99"/>
  <c r="AC40" i="99"/>
  <c r="AB40" i="99"/>
  <c r="AA40" i="99"/>
  <c r="Z40" i="99"/>
  <c r="Y40" i="99"/>
  <c r="X40" i="99"/>
  <c r="W40" i="99"/>
  <c r="V40" i="99"/>
  <c r="U40" i="99"/>
  <c r="T40" i="99"/>
  <c r="S40" i="99"/>
  <c r="R40" i="99"/>
  <c r="M40" i="99" a="1"/>
  <c r="M40" i="99" s="1"/>
  <c r="O40" i="99" a="1"/>
  <c r="O40" i="99" s="1"/>
  <c r="Q40" i="100"/>
  <c r="R40" i="100"/>
  <c r="S40" i="100"/>
  <c r="T40" i="100"/>
  <c r="U40" i="100"/>
  <c r="V40" i="100"/>
  <c r="W40" i="100"/>
  <c r="X40" i="100"/>
  <c r="Y40" i="100"/>
  <c r="Z40" i="100"/>
  <c r="AA40" i="100"/>
  <c r="AB40" i="100"/>
  <c r="AC40" i="100"/>
  <c r="AD40" i="100"/>
  <c r="AE40" i="100"/>
  <c r="AF40" i="100"/>
  <c r="AH40" i="100"/>
  <c r="AG40" i="100"/>
  <c r="AI40" i="100"/>
  <c r="AJ40" i="100"/>
  <c r="AK40" i="100"/>
  <c r="AL40" i="100"/>
  <c r="AM40" i="100"/>
  <c r="AN40" i="100"/>
  <c r="F40" i="100" a="1"/>
  <c r="F40" i="100" s="1"/>
  <c r="G40" i="100" a="1"/>
  <c r="G40" i="100" s="1"/>
  <c r="H40" i="100" a="1"/>
  <c r="H40" i="100" s="1"/>
  <c r="I40" i="100" a="1"/>
  <c r="I40" i="100" s="1"/>
  <c r="J40" i="100" a="1"/>
  <c r="J40" i="100" s="1"/>
  <c r="K40" i="100" a="1"/>
  <c r="K40" i="100" s="1"/>
  <c r="L40" i="100" a="1"/>
  <c r="L40" i="100" s="1"/>
  <c r="M40" i="100" a="1"/>
  <c r="M40" i="100" s="1"/>
  <c r="N40" i="100" a="1"/>
  <c r="N40" i="100" s="1"/>
  <c r="G38" i="85"/>
  <c r="R38" i="34" s="1"/>
  <c r="F38" i="34" s="1"/>
  <c r="Y44" i="100"/>
  <c r="AK44" i="100"/>
  <c r="X44" i="99"/>
  <c r="AG44" i="100"/>
  <c r="M44" i="99" a="1"/>
  <c r="M44" i="99" s="1"/>
  <c r="N44" i="99" a="1"/>
  <c r="N44" i="99" s="1"/>
  <c r="AJ44" i="99"/>
  <c r="Q44" i="99"/>
  <c r="AL44" i="100"/>
  <c r="L44" i="100" a="1"/>
  <c r="L44" i="100" s="1"/>
  <c r="AN44" i="100"/>
  <c r="AB44" i="99"/>
  <c r="AH44" i="100"/>
  <c r="K44" i="99" a="1"/>
  <c r="K44" i="99" s="1"/>
  <c r="L44" i="99" a="1"/>
  <c r="L44" i="99" s="1"/>
  <c r="AG44" i="99"/>
  <c r="AJ44" i="100"/>
  <c r="G44" i="99" a="1"/>
  <c r="G44" i="99" s="1"/>
  <c r="N44" i="100" a="1"/>
  <c r="N44" i="100" s="1"/>
  <c r="Z44" i="99"/>
  <c r="AK44" i="99"/>
  <c r="W44" i="99"/>
  <c r="G44" i="100" a="1"/>
  <c r="G44" i="100" s="1"/>
  <c r="R44" i="100"/>
  <c r="H44" i="99" a="1"/>
  <c r="H44" i="99" s="1"/>
  <c r="J44" i="99" a="1"/>
  <c r="J44" i="99" s="1"/>
  <c r="J44" i="100" a="1"/>
  <c r="J44" i="100" s="1"/>
  <c r="V44" i="99"/>
  <c r="I44" i="100" a="1"/>
  <c r="I44" i="100" s="1"/>
  <c r="AD44" i="100"/>
  <c r="M44" i="100" a="1"/>
  <c r="M44" i="100" s="1"/>
  <c r="AF44" i="99"/>
  <c r="AM44" i="100"/>
  <c r="S44" i="100"/>
  <c r="F44" i="99" a="1"/>
  <c r="F44" i="99" s="1"/>
  <c r="AL44" i="99"/>
  <c r="AD44" i="99"/>
  <c r="K44" i="100" a="1"/>
  <c r="K44" i="100" s="1"/>
  <c r="AE44" i="99"/>
  <c r="AN44" i="99"/>
  <c r="F44" i="100" a="1"/>
  <c r="F44" i="100" s="1"/>
  <c r="AF44" i="100"/>
  <c r="T44" i="99"/>
  <c r="O44" i="99" a="1"/>
  <c r="O44" i="99" s="1"/>
  <c r="P44" i="99" a="1"/>
  <c r="P44" i="99" s="1"/>
  <c r="AC44" i="100"/>
  <c r="O44" i="100" a="1"/>
  <c r="O44" i="100" s="1"/>
  <c r="Y44" i="99"/>
  <c r="S44" i="99"/>
  <c r="P44" i="100" a="1"/>
  <c r="P44" i="100" s="1"/>
  <c r="U44" i="99"/>
  <c r="AH44" i="99"/>
  <c r="R44" i="99"/>
  <c r="AC44" i="99"/>
  <c r="AA44" i="99"/>
  <c r="AB44" i="100"/>
  <c r="AA44" i="100"/>
  <c r="Z44" i="100"/>
  <c r="X44" i="100"/>
  <c r="W44" i="100"/>
  <c r="V44" i="100"/>
  <c r="U44" i="100"/>
  <c r="T44" i="100"/>
  <c r="Q44" i="100"/>
  <c r="I44" i="99" a="1"/>
  <c r="I44" i="99" s="1"/>
  <c r="AM44" i="99"/>
  <c r="H44" i="100" a="1"/>
  <c r="H44" i="100" s="1"/>
  <c r="AE44" i="100"/>
  <c r="AI44" i="99"/>
  <c r="AI44" i="100"/>
  <c r="V46" i="99"/>
  <c r="I46" i="100" a="1"/>
  <c r="I46" i="100" s="1"/>
  <c r="AK46" i="100"/>
  <c r="U46" i="100"/>
  <c r="T46" i="100"/>
  <c r="S46" i="100"/>
  <c r="P46" i="99" a="1"/>
  <c r="P46" i="99" s="1"/>
  <c r="O46" i="99" a="1"/>
  <c r="O46" i="99" s="1"/>
  <c r="N46" i="99" a="1"/>
  <c r="N46" i="99" s="1"/>
  <c r="M46" i="99" a="1"/>
  <c r="M46" i="99" s="1"/>
  <c r="L46" i="99" a="1"/>
  <c r="L46" i="99" s="1"/>
  <c r="K46" i="99" a="1"/>
  <c r="K46" i="99" s="1"/>
  <c r="J46" i="99" a="1"/>
  <c r="J46" i="99" s="1"/>
  <c r="I46" i="99" a="1"/>
  <c r="I46" i="99" s="1"/>
  <c r="G46" i="99" a="1"/>
  <c r="G46" i="99" s="1"/>
  <c r="F46" i="99" a="1"/>
  <c r="F46" i="99" s="1"/>
  <c r="Q46" i="100"/>
  <c r="Z46" i="100"/>
  <c r="Y46" i="100"/>
  <c r="X46" i="100"/>
  <c r="S46" i="99"/>
  <c r="V46" i="100"/>
  <c r="P46" i="100" a="1"/>
  <c r="P46" i="100" s="1"/>
  <c r="O46" i="100" a="1"/>
  <c r="O46" i="100" s="1"/>
  <c r="N46" i="100" a="1"/>
  <c r="N46" i="100" s="1"/>
  <c r="M46" i="100" a="1"/>
  <c r="M46" i="100" s="1"/>
  <c r="L46" i="100" a="1"/>
  <c r="L46" i="100" s="1"/>
  <c r="K46" i="100" a="1"/>
  <c r="K46" i="100" s="1"/>
  <c r="J46" i="100" a="1"/>
  <c r="J46" i="100" s="1"/>
  <c r="F46" i="100" a="1"/>
  <c r="F46" i="100" s="1"/>
  <c r="AN46" i="100"/>
  <c r="AJ46" i="100"/>
  <c r="AF46" i="100"/>
  <c r="AB46" i="100"/>
  <c r="AK46" i="99"/>
  <c r="AG46" i="99"/>
  <c r="AC46" i="99"/>
  <c r="Y46" i="99"/>
  <c r="T46" i="99"/>
  <c r="Q46" i="99"/>
  <c r="G46" i="100" a="1"/>
  <c r="G46" i="100" s="1"/>
  <c r="W46" i="100"/>
  <c r="AI46" i="100"/>
  <c r="AE46" i="100"/>
  <c r="AN46" i="99"/>
  <c r="AJ46" i="99"/>
  <c r="AF46" i="99"/>
  <c r="AB46" i="99"/>
  <c r="W46" i="99"/>
  <c r="AA46" i="100"/>
  <c r="R46" i="99"/>
  <c r="H46" i="100" a="1"/>
  <c r="H46" i="100" s="1"/>
  <c r="AM46" i="100"/>
  <c r="AG46" i="100"/>
  <c r="AC46" i="100"/>
  <c r="R46" i="100"/>
  <c r="AL46" i="99"/>
  <c r="AH46" i="99"/>
  <c r="AD46" i="99"/>
  <c r="Z46" i="99"/>
  <c r="U46" i="99"/>
  <c r="X46" i="99"/>
  <c r="H46" i="99" a="1"/>
  <c r="H46" i="99" s="1"/>
  <c r="AL46" i="100"/>
  <c r="AH46" i="100"/>
  <c r="AD46" i="100"/>
  <c r="AM46" i="99"/>
  <c r="AI46" i="99"/>
  <c r="AE46" i="99"/>
  <c r="AA46" i="99"/>
  <c r="F38" i="85"/>
  <c r="Q38" i="34" s="1"/>
  <c r="F40" i="85"/>
  <c r="Q40" i="34" s="1"/>
  <c r="M38" i="34"/>
  <c r="M40" i="34"/>
  <c r="M37" i="34"/>
  <c r="G4" i="85"/>
  <c r="R4" i="34" s="1"/>
  <c r="H4" i="85"/>
  <c r="S4" i="34" s="1"/>
  <c r="F5" i="78"/>
  <c r="S5" i="78"/>
  <c r="U5" i="78"/>
  <c r="X5" i="78"/>
  <c r="Z5" i="78"/>
  <c r="AA5" i="78"/>
  <c r="AK5" i="78"/>
  <c r="AC5" i="78"/>
  <c r="AD5" i="78"/>
  <c r="AE5" i="78"/>
  <c r="AF5" i="78"/>
  <c r="AG5" i="78"/>
  <c r="AH5" i="78"/>
  <c r="AI5" i="78"/>
  <c r="AJ5" i="78"/>
  <c r="N5" i="78"/>
  <c r="AB5" i="78"/>
  <c r="AM5" i="78"/>
  <c r="AN5" i="78"/>
  <c r="Q5" i="78"/>
  <c r="V5" i="78"/>
  <c r="W5" i="78"/>
  <c r="Y5" i="78"/>
  <c r="M5" i="78"/>
  <c r="G5" i="78"/>
  <c r="H5" i="78"/>
  <c r="I5" i="78"/>
  <c r="J5" i="78"/>
  <c r="K5" i="78"/>
  <c r="L5" i="78"/>
  <c r="O5" i="78"/>
  <c r="P5" i="78"/>
  <c r="R5" i="78"/>
  <c r="T5" i="78"/>
  <c r="AL5" i="78"/>
  <c r="AE4" i="78"/>
  <c r="S4" i="78"/>
  <c r="T4" i="78"/>
  <c r="W4" i="78"/>
  <c r="X4" i="78"/>
  <c r="Y4" i="78"/>
  <c r="AD4" i="78"/>
  <c r="Z4" i="78"/>
  <c r="AA4" i="78"/>
  <c r="AB4" i="78"/>
  <c r="AC4" i="78"/>
  <c r="AF4" i="78"/>
  <c r="AN4" i="78"/>
  <c r="U4" i="78"/>
  <c r="AG4" i="78"/>
  <c r="AH4" i="78"/>
  <c r="AI4" i="78"/>
  <c r="AJ4" i="78"/>
  <c r="AK4" i="78"/>
  <c r="AL4" i="78"/>
  <c r="AM4" i="78"/>
  <c r="I4" i="78"/>
  <c r="L4" i="78"/>
  <c r="N4" i="78"/>
  <c r="Q4" i="78"/>
  <c r="V4" i="78"/>
  <c r="F4" i="78"/>
  <c r="G4" i="78"/>
  <c r="H4" i="78"/>
  <c r="J4" i="78"/>
  <c r="K4" i="78"/>
  <c r="M4" i="78"/>
  <c r="O4" i="78"/>
  <c r="P4" i="78"/>
  <c r="R4" i="78"/>
  <c r="G40" i="85"/>
  <c r="R40" i="34" s="1"/>
  <c r="F40" i="34" s="1"/>
  <c r="F37" i="85"/>
  <c r="Q37" i="34" s="1"/>
  <c r="H37" i="85"/>
  <c r="S37" i="34" s="1"/>
  <c r="G37" i="34" s="1"/>
  <c r="H40" i="85"/>
  <c r="S40" i="34" s="1"/>
  <c r="G40" i="34" s="1"/>
  <c r="F12" i="84"/>
  <c r="M12" i="34" s="1"/>
  <c r="C13" i="9" a="1"/>
  <c r="C13" i="9" s="1"/>
  <c r="H13" i="9" s="1"/>
  <c r="X18" i="84" a="1"/>
  <c r="X18" i="84" s="1"/>
  <c r="T18" i="84" a="1"/>
  <c r="T18" i="84" s="1"/>
  <c r="R18" i="84" a="1"/>
  <c r="R18" i="84" s="1"/>
  <c r="W18" i="84" a="1"/>
  <c r="W18" i="84" s="1"/>
  <c r="V18" i="84" a="1"/>
  <c r="V18" i="84" s="1"/>
  <c r="S18" i="84" a="1"/>
  <c r="S18" i="84" s="1"/>
  <c r="C15" i="9" a="1"/>
  <c r="C15" i="9" s="1"/>
  <c r="H15" i="9" s="1"/>
  <c r="R18" i="85" a="1"/>
  <c r="R18" i="85" s="1"/>
  <c r="J18" i="85" a="1"/>
  <c r="J18" i="85" s="1"/>
  <c r="O18" i="85" a="1"/>
  <c r="O18" i="85" s="1"/>
  <c r="S18" i="85" a="1"/>
  <c r="S18" i="85" s="1"/>
  <c r="P18" i="85" a="1"/>
  <c r="P18" i="85" s="1"/>
  <c r="N18" i="85" a="1"/>
  <c r="N18" i="85" s="1"/>
  <c r="T18" i="85" a="1"/>
  <c r="T18" i="85" s="1"/>
  <c r="L18" i="85" a="1"/>
  <c r="L18" i="85" s="1"/>
  <c r="K18" i="85" a="1"/>
  <c r="K18" i="85" s="1"/>
  <c r="E4" i="69"/>
  <c r="L22" i="9" s="1" a="1"/>
  <c r="DM4" i="69" l="1" a="1"/>
  <c r="CQ4" i="96" a="1"/>
  <c r="CQ4" i="96" s="1"/>
  <c r="E75" i="22" a="1"/>
  <c r="E75" i="22" s="1"/>
  <c r="Z10" i="98"/>
  <c r="Z20" i="98" s="1"/>
  <c r="Z22" i="98" s="1"/>
  <c r="E33" i="99" a="1"/>
  <c r="E33" i="99" s="1"/>
  <c r="BH4" i="96" a="1"/>
  <c r="BH4" i="96" s="1"/>
  <c r="E35" i="22" a="1"/>
  <c r="E33" i="100" a="1"/>
  <c r="E33" i="100" s="1"/>
  <c r="P3" i="84" a="1"/>
  <c r="P3" i="84" s="1"/>
  <c r="H3" i="84" s="1"/>
  <c r="O3" i="34" s="1"/>
  <c r="O3" i="84" a="1"/>
  <c r="O3" i="84" s="1"/>
  <c r="G3" i="84" s="1"/>
  <c r="N3" i="34" s="1"/>
  <c r="H3" i="85"/>
  <c r="S3" i="34" s="1"/>
  <c r="G3" i="85"/>
  <c r="R3" i="34" s="1"/>
  <c r="DE4" i="69" a="1"/>
  <c r="M7" i="98"/>
  <c r="Q7" i="98" s="1"/>
  <c r="M6" i="98"/>
  <c r="Q6" i="98" s="1"/>
  <c r="M5" i="98"/>
  <c r="Q5" i="98" s="1"/>
  <c r="L22" i="9"/>
  <c r="E5" i="99" a="1"/>
  <c r="E5" i="99" s="1"/>
  <c r="E5" i="100" a="1"/>
  <c r="E5" i="100" s="1"/>
  <c r="E4" i="100" a="1"/>
  <c r="E4" i="100" s="1"/>
  <c r="E4" i="99" a="1"/>
  <c r="E4" i="99" s="1"/>
  <c r="AW12" i="98"/>
  <c r="AN12" i="98"/>
  <c r="H4" i="84"/>
  <c r="O4" i="34" s="1"/>
  <c r="G4" i="34" s="1"/>
  <c r="E40" i="34"/>
  <c r="G18" i="85"/>
  <c r="R18" i="34" s="1"/>
  <c r="AV10" i="98"/>
  <c r="F4" i="84"/>
  <c r="M4" i="34" s="1"/>
  <c r="AW10" i="98"/>
  <c r="AO12" i="98"/>
  <c r="AX12" i="98"/>
  <c r="AP12" i="98"/>
  <c r="AV12" i="98"/>
  <c r="AX6" i="98"/>
  <c r="D13" i="98" a="1"/>
  <c r="D13" i="98" s="1"/>
  <c r="AN10" i="98"/>
  <c r="AX10" i="98"/>
  <c r="AO10" i="98"/>
  <c r="AP10" i="98"/>
  <c r="AW6" i="98"/>
  <c r="AV6" i="98"/>
  <c r="AP6" i="98"/>
  <c r="AO6" i="98"/>
  <c r="AN6" i="98"/>
  <c r="M4" i="98"/>
  <c r="N8" i="98"/>
  <c r="O8" i="98"/>
  <c r="P8" i="98"/>
  <c r="E38" i="34"/>
  <c r="G4" i="84"/>
  <c r="N4" i="34" s="1"/>
  <c r="F4" i="34" s="1"/>
  <c r="U4" i="69" a="1"/>
  <c r="E5" i="78"/>
  <c r="E4" i="78"/>
  <c r="Q4" i="69" a="1"/>
  <c r="Q4" i="69" s="1"/>
  <c r="CS4" i="69" a="1"/>
  <c r="E40" i="100" a="1"/>
  <c r="E40" i="100" s="1"/>
  <c r="AU6" i="98" s="1"/>
  <c r="E40" i="99" a="1"/>
  <c r="E40" i="99" s="1"/>
  <c r="AM6" i="98" s="1"/>
  <c r="BV4" i="96" a="1"/>
  <c r="BV4" i="96" s="1"/>
  <c r="E37" i="34"/>
  <c r="CI4" i="96"/>
  <c r="E44" i="99" a="1"/>
  <c r="E44" i="99" s="1"/>
  <c r="AM10" i="98" s="1"/>
  <c r="E44" i="100" a="1"/>
  <c r="E44" i="100" s="1"/>
  <c r="AU10" i="98" s="1"/>
  <c r="E46" i="100" a="1"/>
  <c r="E46" i="100" s="1"/>
  <c r="AU12" i="98" s="1"/>
  <c r="E46" i="99" a="1"/>
  <c r="E46" i="99" s="1"/>
  <c r="AM12" i="98" s="1"/>
  <c r="F3" i="84"/>
  <c r="M3" i="34" s="1"/>
  <c r="K18" i="84"/>
  <c r="J18" i="84"/>
  <c r="L18" i="84"/>
  <c r="O18" i="84" a="1"/>
  <c r="O18" i="84" s="1"/>
  <c r="N18" i="84" a="1"/>
  <c r="N18" i="84" s="1"/>
  <c r="P18" i="84" a="1"/>
  <c r="P18" i="84" s="1"/>
  <c r="F18" i="85"/>
  <c r="Q18" i="34" s="1"/>
  <c r="H18" i="85"/>
  <c r="S18" i="34" s="1"/>
  <c r="J22" i="9" a="1"/>
  <c r="J22" i="9" s="1"/>
  <c r="N8" i="9" l="1" a="1"/>
  <c r="N8" i="9" s="1"/>
  <c r="L8" i="9" a="1"/>
  <c r="L8" i="9" s="1"/>
  <c r="M8" i="9" a="1"/>
  <c r="M8" i="9" s="1"/>
  <c r="O8" i="9" a="1"/>
  <c r="O8" i="9" s="1"/>
  <c r="AJ41" i="85" a="1"/>
  <c r="AJ41" i="85" s="1"/>
  <c r="AB41" i="85" a="1"/>
  <c r="AB41" i="85" s="1"/>
  <c r="X41" i="84" a="1"/>
  <c r="X41" i="84" s="1"/>
  <c r="Z41" i="85" a="1"/>
  <c r="Z41" i="85" s="1"/>
  <c r="AH41" i="85" a="1"/>
  <c r="AH41" i="85" s="1"/>
  <c r="L41" i="84" a="1"/>
  <c r="L41" i="84" s="1"/>
  <c r="AI41" i="85" a="1"/>
  <c r="AI41" i="85" s="1"/>
  <c r="AL41" i="85" a="1"/>
  <c r="AL41" i="85" s="1"/>
  <c r="AA41" i="85" a="1"/>
  <c r="AA41" i="85" s="1"/>
  <c r="V41" i="84" a="1"/>
  <c r="V41" i="84" s="1"/>
  <c r="AN41" i="85" a="1"/>
  <c r="AN41" i="85" s="1"/>
  <c r="AF41" i="85" a="1"/>
  <c r="AF41" i="85" s="1"/>
  <c r="T41" i="85" s="1"/>
  <c r="X41" i="85" a="1"/>
  <c r="X41" i="85" s="1"/>
  <c r="L41" i="85" s="1"/>
  <c r="AE41" i="85" a="1"/>
  <c r="AE41" i="85" s="1"/>
  <c r="S41" i="85" s="1"/>
  <c r="K41" i="84" a="1"/>
  <c r="K41" i="84" s="1"/>
  <c r="W41" i="84" a="1"/>
  <c r="W41" i="84" s="1"/>
  <c r="AD41" i="85" a="1"/>
  <c r="AD41" i="85" s="1"/>
  <c r="R41" i="85" s="1"/>
  <c r="Y15" i="98" s="1"/>
  <c r="W41" i="85" a="1"/>
  <c r="W41" i="85" s="1"/>
  <c r="T41" i="84" a="1"/>
  <c r="T41" i="84" s="1"/>
  <c r="S41" i="84" a="1"/>
  <c r="S41" i="84" s="1"/>
  <c r="V41" i="85" a="1"/>
  <c r="V41" i="85" s="1"/>
  <c r="R41" i="84" a="1"/>
  <c r="R41" i="84" s="1"/>
  <c r="J41" i="84" a="1"/>
  <c r="J41" i="84" s="1"/>
  <c r="AM41" i="85" a="1"/>
  <c r="AM41" i="85" s="1"/>
  <c r="AL39" i="85" a="1"/>
  <c r="AL39" i="85" s="1"/>
  <c r="AN39" i="85" a="1"/>
  <c r="AN39" i="85" s="1"/>
  <c r="AE39" i="85" a="1"/>
  <c r="AE39" i="85" s="1"/>
  <c r="S39" i="85" s="1"/>
  <c r="S39" i="84" a="1"/>
  <c r="S39" i="84" s="1"/>
  <c r="J39" i="84" a="1"/>
  <c r="J39" i="84" s="1"/>
  <c r="AH39" i="85" a="1"/>
  <c r="AH39" i="85" s="1"/>
  <c r="V39" i="84" a="1"/>
  <c r="V39" i="84" s="1"/>
  <c r="K39" i="84" a="1"/>
  <c r="K39" i="84" s="1"/>
  <c r="AD39" i="85" a="1"/>
  <c r="AD39" i="85" s="1"/>
  <c r="R39" i="85" s="1"/>
  <c r="Y13" i="98" s="1"/>
  <c r="AB39" i="85" a="1"/>
  <c r="AB39" i="85" s="1"/>
  <c r="AA39" i="85" a="1"/>
  <c r="AA39" i="85" s="1"/>
  <c r="Z39" i="85" a="1"/>
  <c r="Z39" i="85" s="1"/>
  <c r="AM39" i="85" a="1"/>
  <c r="AM39" i="85" s="1"/>
  <c r="W39" i="85" a="1"/>
  <c r="W39" i="85" s="1"/>
  <c r="V39" i="85" a="1"/>
  <c r="V39" i="85" s="1"/>
  <c r="X39" i="84" a="1"/>
  <c r="X39" i="84" s="1"/>
  <c r="R39" i="84" a="1"/>
  <c r="R39" i="84" s="1"/>
  <c r="T39" i="84" a="1"/>
  <c r="T39" i="84" s="1"/>
  <c r="X39" i="85" a="1"/>
  <c r="X39" i="85" s="1"/>
  <c r="AI39" i="85" a="1"/>
  <c r="AI39" i="85" s="1"/>
  <c r="AJ39" i="85" a="1"/>
  <c r="AJ39" i="85" s="1"/>
  <c r="L39" i="84" a="1"/>
  <c r="L39" i="84" s="1"/>
  <c r="W39" i="84" a="1"/>
  <c r="W39" i="84" s="1"/>
  <c r="AF39" i="85" a="1"/>
  <c r="AF39" i="85" s="1"/>
  <c r="T39" i="85" s="1"/>
  <c r="R35" i="84" a="1"/>
  <c r="R35" i="84" s="1"/>
  <c r="V35" i="84" a="1"/>
  <c r="V35" i="84" s="1"/>
  <c r="Z35" i="85" a="1"/>
  <c r="Z35" i="85" s="1"/>
  <c r="AH35" i="85" a="1"/>
  <c r="AH35" i="85" s="1"/>
  <c r="J35" i="84" a="1"/>
  <c r="J35" i="84" s="1"/>
  <c r="W35" i="85" a="1"/>
  <c r="W35" i="85" s="1"/>
  <c r="AM35" i="85" a="1"/>
  <c r="AM35" i="85" s="1"/>
  <c r="K35" i="84" a="1"/>
  <c r="K35" i="84" s="1"/>
  <c r="L35" i="84" a="1"/>
  <c r="L35" i="84" s="1"/>
  <c r="AD35" i="85" a="1"/>
  <c r="AD35" i="85" s="1"/>
  <c r="R35" i="85" s="1"/>
  <c r="Y9" i="98" s="1"/>
  <c r="AL35" i="85" a="1"/>
  <c r="AL35" i="85" s="1"/>
  <c r="AE35" i="85" a="1"/>
  <c r="AE35" i="85" s="1"/>
  <c r="S35" i="85" s="1"/>
  <c r="AJ35" i="85" a="1"/>
  <c r="AJ35" i="85" s="1"/>
  <c r="V35" i="85" a="1"/>
  <c r="V35" i="85" s="1"/>
  <c r="X35" i="85" a="1"/>
  <c r="X35" i="85" s="1"/>
  <c r="AA35" i="85" a="1"/>
  <c r="AA35" i="85" s="1"/>
  <c r="T35" i="84" a="1"/>
  <c r="T35" i="84" s="1"/>
  <c r="AB35" i="85" a="1"/>
  <c r="AB35" i="85" s="1"/>
  <c r="S35" i="84" a="1"/>
  <c r="S35" i="84" s="1"/>
  <c r="AN35" i="85" a="1"/>
  <c r="AN35" i="85" s="1"/>
  <c r="AF35" i="85" a="1"/>
  <c r="AF35" i="85" s="1"/>
  <c r="T35" i="85" s="1"/>
  <c r="W35" i="84" a="1"/>
  <c r="W35" i="84" s="1"/>
  <c r="X35" i="84" a="1"/>
  <c r="X35" i="84" s="1"/>
  <c r="AI35" i="85" a="1"/>
  <c r="AI35" i="85" s="1"/>
  <c r="DM4" i="69"/>
  <c r="Z23" i="98"/>
  <c r="Z26" i="98"/>
  <c r="Z27" i="98" s="1"/>
  <c r="M11" i="98" a="1"/>
  <c r="M13" i="98" a="1"/>
  <c r="M13" i="98" s="1"/>
  <c r="Q13" i="98" s="1"/>
  <c r="M12" i="98" a="1"/>
  <c r="M12" i="98" s="1"/>
  <c r="Q12" i="98" s="1"/>
  <c r="M14" i="98" a="1"/>
  <c r="E35" i="22"/>
  <c r="E37" i="22" s="1" a="1"/>
  <c r="G3" i="34"/>
  <c r="F3" i="34"/>
  <c r="DE4" i="69"/>
  <c r="AY12" i="98"/>
  <c r="AY10" i="98"/>
  <c r="AQ12" i="98"/>
  <c r="AQ10" i="98"/>
  <c r="M8" i="98"/>
  <c r="Q4" i="98"/>
  <c r="Q8" i="98" s="1"/>
  <c r="AQ6" i="98"/>
  <c r="AY6" i="98"/>
  <c r="K5" i="85" a="1"/>
  <c r="K5" i="85" s="1"/>
  <c r="K7" i="85" s="1"/>
  <c r="P5" i="85" a="1"/>
  <c r="P5" i="85" s="1"/>
  <c r="P7" i="85" s="1"/>
  <c r="T5" i="85" a="1"/>
  <c r="T5" i="85" s="1"/>
  <c r="T7" i="85" s="1"/>
  <c r="S5" i="84" a="1"/>
  <c r="S5" i="84" s="1"/>
  <c r="S7" i="84" s="1"/>
  <c r="X5" i="84" a="1"/>
  <c r="X5" i="84" s="1"/>
  <c r="X7" i="84" s="1"/>
  <c r="R5" i="84" a="1"/>
  <c r="R5" i="84" s="1"/>
  <c r="R7" i="84" s="1"/>
  <c r="T5" i="84" a="1"/>
  <c r="T5" i="84" s="1"/>
  <c r="O5" i="85" a="1"/>
  <c r="O5" i="85" s="1"/>
  <c r="L5" i="85" a="1"/>
  <c r="L5" i="85" s="1"/>
  <c r="S5" i="85" a="1"/>
  <c r="S5" i="85" s="1"/>
  <c r="S7" i="85" s="1"/>
  <c r="AE5" i="85" a="1"/>
  <c r="AE5" i="85" s="1"/>
  <c r="AE7" i="85" s="1"/>
  <c r="U4" i="69"/>
  <c r="AD5" i="85" a="1"/>
  <c r="AD5" i="85" s="1"/>
  <c r="AD7" i="85" s="1"/>
  <c r="AH5" i="85" a="1"/>
  <c r="AH5" i="85" s="1"/>
  <c r="AH7" i="85" s="1"/>
  <c r="X5" i="85" a="1"/>
  <c r="X5" i="85" s="1"/>
  <c r="X7" i="85" s="1"/>
  <c r="AM5" i="85" a="1"/>
  <c r="AM5" i="85" s="1"/>
  <c r="AM7" i="85" s="1"/>
  <c r="AN5" i="85" a="1"/>
  <c r="AN5" i="85" s="1"/>
  <c r="AN7" i="85" s="1"/>
  <c r="AL5" i="85" a="1"/>
  <c r="AL5" i="85" s="1"/>
  <c r="AL7" i="85" s="1"/>
  <c r="Z5" i="85" a="1"/>
  <c r="Z5" i="85" s="1"/>
  <c r="Z7" i="85" s="1"/>
  <c r="V5" i="85" a="1"/>
  <c r="V5" i="85" s="1"/>
  <c r="V7" i="85" s="1"/>
  <c r="AI5" i="85" a="1"/>
  <c r="AI5" i="85" s="1"/>
  <c r="AI7" i="85" s="1"/>
  <c r="AB5" i="85" a="1"/>
  <c r="AB5" i="85" s="1"/>
  <c r="AB7" i="85" s="1"/>
  <c r="AF5" i="85" a="1"/>
  <c r="AF5" i="85" s="1"/>
  <c r="AF7" i="85" s="1"/>
  <c r="W5" i="84" a="1"/>
  <c r="W5" i="84" s="1"/>
  <c r="W5" i="85" a="1"/>
  <c r="W5" i="85" s="1"/>
  <c r="W7" i="85" s="1"/>
  <c r="V5" i="84" a="1"/>
  <c r="V5" i="84" s="1"/>
  <c r="AJ5" i="85" a="1"/>
  <c r="AJ5" i="85" s="1"/>
  <c r="AJ7" i="85" s="1"/>
  <c r="AA5" i="85" a="1"/>
  <c r="AA5" i="85" s="1"/>
  <c r="AA7" i="85" s="1"/>
  <c r="CS4" i="69"/>
  <c r="G18" i="84"/>
  <c r="N18" i="34" s="1"/>
  <c r="F18" i="34" s="1"/>
  <c r="F18" i="84"/>
  <c r="H18" i="84"/>
  <c r="O18" i="34" s="1"/>
  <c r="G18" i="34" s="1"/>
  <c r="AN56" i="22" l="1" a="1"/>
  <c r="AN56" i="22" s="1"/>
  <c r="AL56" i="22" a="1"/>
  <c r="AL56" i="22" s="1"/>
  <c r="AK56" i="22" a="1"/>
  <c r="AK56" i="22" s="1"/>
  <c r="AJ56" i="22" a="1"/>
  <c r="AJ56" i="22" s="1"/>
  <c r="AI56" i="22" a="1"/>
  <c r="AI56" i="22" s="1"/>
  <c r="AH56" i="22" a="1"/>
  <c r="AH56" i="22" s="1"/>
  <c r="AF56" i="22" a="1"/>
  <c r="AF56" i="22" s="1"/>
  <c r="AE56" i="22" a="1"/>
  <c r="AE56" i="22" s="1"/>
  <c r="AC56" i="22" a="1"/>
  <c r="AC56" i="22" s="1"/>
  <c r="AA56" i="22" a="1"/>
  <c r="AA56" i="22" s="1"/>
  <c r="Y56" i="22" a="1"/>
  <c r="Y56" i="22" s="1"/>
  <c r="W56" i="22" a="1"/>
  <c r="W56" i="22" s="1"/>
  <c r="U56" i="22" a="1"/>
  <c r="U56" i="22" s="1"/>
  <c r="T56" i="22" a="1"/>
  <c r="T56" i="22" s="1"/>
  <c r="R56" i="22" a="1"/>
  <c r="R56" i="22" s="1"/>
  <c r="P56" i="22" a="1"/>
  <c r="P56" i="22" s="1"/>
  <c r="O56" i="22" a="1"/>
  <c r="O56" i="22" s="1"/>
  <c r="M56" i="22" a="1"/>
  <c r="M56" i="22" s="1"/>
  <c r="K56" i="22" a="1"/>
  <c r="K56" i="22" s="1"/>
  <c r="AM56" i="22" a="1"/>
  <c r="AM56" i="22" s="1"/>
  <c r="AG56" i="22" a="1"/>
  <c r="AG56" i="22" s="1"/>
  <c r="AD56" i="22" a="1"/>
  <c r="AD56" i="22" s="1"/>
  <c r="AB56" i="22" a="1"/>
  <c r="AB56" i="22" s="1"/>
  <c r="Z56" i="22" a="1"/>
  <c r="Z56" i="22" s="1"/>
  <c r="X56" i="22" a="1"/>
  <c r="X56" i="22" s="1"/>
  <c r="V56" i="22" a="1"/>
  <c r="V56" i="22" s="1"/>
  <c r="S56" i="22" a="1"/>
  <c r="S56" i="22" s="1"/>
  <c r="Q56" i="22" a="1"/>
  <c r="Q56" i="22" s="1"/>
  <c r="N56" i="22" a="1"/>
  <c r="N56" i="22" s="1"/>
  <c r="L56" i="22" a="1"/>
  <c r="L56" i="22" s="1"/>
  <c r="N41" i="85"/>
  <c r="X15" i="98" s="1"/>
  <c r="K41" i="85"/>
  <c r="O41" i="84" a="1"/>
  <c r="O41" i="84" s="1"/>
  <c r="G41" i="84" s="1"/>
  <c r="N41" i="34" s="1"/>
  <c r="P41" i="84" a="1"/>
  <c r="P41" i="84" s="1"/>
  <c r="H41" i="84" s="1"/>
  <c r="O41" i="34" s="1"/>
  <c r="N41" i="84" a="1"/>
  <c r="N41" i="84" s="1"/>
  <c r="F41" i="84" s="1"/>
  <c r="O39" i="84" a="1"/>
  <c r="O39" i="84" s="1"/>
  <c r="G39" i="84" s="1"/>
  <c r="N39" i="34" s="1"/>
  <c r="N39" i="84" a="1"/>
  <c r="N39" i="84" s="1"/>
  <c r="F39" i="84" s="1"/>
  <c r="P39" i="84" a="1"/>
  <c r="P39" i="84" s="1"/>
  <c r="H39" i="84" s="1"/>
  <c r="O39" i="34" s="1"/>
  <c r="N35" i="84" a="1"/>
  <c r="N35" i="84" s="1"/>
  <c r="F35" i="84" s="1"/>
  <c r="V9" i="98" s="1"/>
  <c r="O35" i="84" a="1"/>
  <c r="O35" i="84" s="1"/>
  <c r="G35" i="84" s="1"/>
  <c r="N35" i="34" s="1"/>
  <c r="P35" i="84" a="1"/>
  <c r="P35" i="84" s="1"/>
  <c r="H35" i="84" s="1"/>
  <c r="O35" i="34" s="1"/>
  <c r="M14" i="98"/>
  <c r="Q14" i="98" s="1"/>
  <c r="P41" i="85"/>
  <c r="H41" i="85" s="1"/>
  <c r="S41" i="34" s="1"/>
  <c r="O41" i="85"/>
  <c r="J41" i="85"/>
  <c r="E37" i="22"/>
  <c r="L39" i="85"/>
  <c r="N15" i="98"/>
  <c r="N24" i="98" s="1"/>
  <c r="P15" i="98"/>
  <c r="P24" i="98" s="1"/>
  <c r="M11" i="98"/>
  <c r="O15" i="98"/>
  <c r="O24" i="98" s="1"/>
  <c r="O39" i="85"/>
  <c r="J39" i="85"/>
  <c r="W13" i="98" s="1"/>
  <c r="N39" i="85"/>
  <c r="P39" i="85"/>
  <c r="K39" i="85"/>
  <c r="M18" i="34"/>
  <c r="E18" i="34" s="1"/>
  <c r="C22" i="9" a="1"/>
  <c r="C22" i="9" s="1"/>
  <c r="P35" i="85"/>
  <c r="N35" i="85"/>
  <c r="X9" i="98" s="1"/>
  <c r="L5" i="84"/>
  <c r="L7" i="84" s="1"/>
  <c r="T7" i="84"/>
  <c r="O7" i="85"/>
  <c r="G5" i="85"/>
  <c r="L7" i="85"/>
  <c r="H5" i="85"/>
  <c r="N5" i="84" a="1"/>
  <c r="N5" i="84" s="1"/>
  <c r="N7" i="84" s="1"/>
  <c r="O5" i="84" a="1"/>
  <c r="O5" i="84" s="1"/>
  <c r="O7" i="84" s="1"/>
  <c r="P5" i="84" a="1"/>
  <c r="P5" i="84" s="1"/>
  <c r="O35" i="85"/>
  <c r="W7" i="84"/>
  <c r="K5" i="84"/>
  <c r="V7" i="84"/>
  <c r="J5" i="84"/>
  <c r="K35" i="85"/>
  <c r="L35" i="85"/>
  <c r="J35" i="85"/>
  <c r="G41" i="85" l="1"/>
  <c r="R41" i="34" s="1"/>
  <c r="I56" i="22" a="1"/>
  <c r="I56" i="22" s="1"/>
  <c r="H56" i="22" a="1"/>
  <c r="H56" i="22" s="1"/>
  <c r="F56" i="22" a="1"/>
  <c r="F56" i="22" s="1"/>
  <c r="J56" i="22" a="1"/>
  <c r="J56" i="22" s="1"/>
  <c r="G56" i="22" a="1"/>
  <c r="G56" i="22" s="1"/>
  <c r="E56" i="22" a="1"/>
  <c r="E56" i="22" s="1"/>
  <c r="DL4" i="96" s="1" a="1"/>
  <c r="DL4" i="96" s="1"/>
  <c r="W15" i="98"/>
  <c r="F41" i="85"/>
  <c r="Q41" i="34" s="1"/>
  <c r="V15" i="98"/>
  <c r="M41" i="34"/>
  <c r="H39" i="85"/>
  <c r="S39" i="34" s="1"/>
  <c r="M15" i="98"/>
  <c r="M24" i="98" s="1"/>
  <c r="Q11" i="98"/>
  <c r="Q15" i="98" s="1"/>
  <c r="Q24" i="98" s="1"/>
  <c r="G39" i="85"/>
  <c r="R39" i="34" s="1"/>
  <c r="X13" i="98"/>
  <c r="F39" i="85"/>
  <c r="Q39" i="34" s="1"/>
  <c r="V13" i="98"/>
  <c r="M39" i="34"/>
  <c r="H35" i="85"/>
  <c r="S35" i="34" s="1"/>
  <c r="F35" i="85"/>
  <c r="Q35" i="34" s="1"/>
  <c r="W9" i="98"/>
  <c r="G7" i="85"/>
  <c r="R5" i="34"/>
  <c r="R7" i="34" s="1"/>
  <c r="H7" i="85"/>
  <c r="S5" i="34"/>
  <c r="S7" i="34" s="1"/>
  <c r="G35" i="85"/>
  <c r="R35" i="34" s="1"/>
  <c r="P7" i="84"/>
  <c r="H5" i="84"/>
  <c r="K7" i="84"/>
  <c r="G5" i="84"/>
  <c r="C8" i="9" a="1"/>
  <c r="C8" i="9" s="1"/>
  <c r="H8" i="9" s="1"/>
  <c r="F5" i="84"/>
  <c r="J7" i="84"/>
  <c r="M35" i="34"/>
  <c r="AC7" i="78"/>
  <c r="E1" i="17"/>
  <c r="E3" i="17" a="1"/>
  <c r="AA8" i="17"/>
  <c r="G10" i="78"/>
  <c r="G10" i="26" s="1"/>
  <c r="J10" i="78"/>
  <c r="J10" i="26" s="1"/>
  <c r="X8" i="17"/>
  <c r="N8" i="17"/>
  <c r="AM10" i="78"/>
  <c r="AM10" i="26" s="1"/>
  <c r="J8" i="17"/>
  <c r="V10" i="78"/>
  <c r="V10" i="26" s="1"/>
  <c r="AN8" i="17"/>
  <c r="AH10" i="78"/>
  <c r="AH10" i="26" s="1"/>
  <c r="AA10" i="78"/>
  <c r="AA10" i="26" s="1"/>
  <c r="AF8" i="17"/>
  <c r="AM8" i="17"/>
  <c r="E8" i="17"/>
  <c r="L28" i="78"/>
  <c r="L28" i="26" s="1"/>
  <c r="Y5" i="17"/>
  <c r="G8" i="78"/>
  <c r="AD8" i="78"/>
  <c r="AC6" i="17"/>
  <c r="AA5" i="17"/>
  <c r="AM7" i="78"/>
  <c r="S8" i="78"/>
  <c r="AF6" i="17"/>
  <c r="AE7" i="78"/>
  <c r="L6" i="17"/>
  <c r="AI5" i="17"/>
  <c r="M5" i="17"/>
  <c r="T8" i="78"/>
  <c r="AK6" i="17"/>
  <c r="Q6" i="17"/>
  <c r="AL6" i="17"/>
  <c r="T7" i="78"/>
  <c r="AM8" i="78"/>
  <c r="P8" i="78"/>
  <c r="AJ7" i="78"/>
  <c r="Y6" i="17"/>
  <c r="L8" i="78"/>
  <c r="I8" i="78"/>
  <c r="AB7" i="78"/>
  <c r="L5" i="17"/>
  <c r="S6" i="17"/>
  <c r="P5" i="17"/>
  <c r="L7" i="78"/>
  <c r="V5" i="17"/>
  <c r="T6" i="17"/>
  <c r="G6" i="17"/>
  <c r="U7" i="78"/>
  <c r="AI6" i="17"/>
  <c r="AC5" i="17"/>
  <c r="V7" i="78"/>
  <c r="W6" i="17"/>
  <c r="W5" i="17"/>
  <c r="AE5" i="17"/>
  <c r="R7" i="78"/>
  <c r="AG5" i="17"/>
  <c r="M7" i="78"/>
  <c r="M6" i="17"/>
  <c r="F6" i="17"/>
  <c r="O8" i="78"/>
  <c r="Z6" i="17"/>
  <c r="AM6" i="17"/>
  <c r="G5" i="17"/>
  <c r="AK8" i="78"/>
  <c r="R5" i="17"/>
  <c r="O6" i="17"/>
  <c r="O5" i="17"/>
  <c r="X5" i="17"/>
  <c r="M8" i="78"/>
  <c r="AA7" i="78"/>
  <c r="AE8" i="78"/>
  <c r="H8" i="78"/>
  <c r="AJ5" i="17"/>
  <c r="U5" i="17"/>
  <c r="E6" i="17"/>
  <c r="AJ8" i="78"/>
  <c r="G7" i="78"/>
  <c r="E41" i="17" l="1" a="1"/>
  <c r="E41" i="17" s="1"/>
  <c r="E40" i="17" a="1"/>
  <c r="E40" i="17" s="1"/>
  <c r="AE6" i="98" s="1"/>
  <c r="G14" i="98"/>
  <c r="G15" i="98" s="1"/>
  <c r="F14" i="98"/>
  <c r="F15" i="98" s="1"/>
  <c r="E14" i="98"/>
  <c r="E15" i="98" s="1"/>
  <c r="D14" i="98"/>
  <c r="D15" i="98" s="1"/>
  <c r="H7" i="84"/>
  <c r="O5" i="34"/>
  <c r="G7" i="84"/>
  <c r="N5" i="34"/>
  <c r="N7" i="34" s="1"/>
  <c r="F7" i="84"/>
  <c r="M5" i="34"/>
  <c r="M7" i="34" s="1"/>
  <c r="E3" i="17"/>
  <c r="AN42" i="78"/>
  <c r="AN42" i="26" s="1"/>
  <c r="AF42" i="78"/>
  <c r="AF42" i="26" s="1"/>
  <c r="AE42" i="78"/>
  <c r="AE42" i="26" s="1"/>
  <c r="AD42" i="78"/>
  <c r="AD42" i="26" s="1"/>
  <c r="AC42" i="78"/>
  <c r="AB42" i="78"/>
  <c r="AB42" i="26" s="1"/>
  <c r="AA42" i="78"/>
  <c r="AA42" i="26" s="1"/>
  <c r="Z42" i="78"/>
  <c r="Z42" i="26" s="1"/>
  <c r="X42" i="78"/>
  <c r="X42" i="26" s="1"/>
  <c r="AM42" i="78"/>
  <c r="AM42" i="26" s="1"/>
  <c r="W42" i="78"/>
  <c r="W42" i="26" s="1"/>
  <c r="I42" i="78"/>
  <c r="I42" i="26" s="1"/>
  <c r="J42" i="78"/>
  <c r="J42" i="26" s="1"/>
  <c r="K42" i="78"/>
  <c r="K42" i="26" s="1"/>
  <c r="L42" i="78"/>
  <c r="L42" i="26" s="1"/>
  <c r="M42" i="78"/>
  <c r="M42" i="26" s="1"/>
  <c r="N42" i="78"/>
  <c r="N42" i="26" s="1"/>
  <c r="O42" i="78"/>
  <c r="O42" i="26" s="1"/>
  <c r="P42" i="78"/>
  <c r="P42" i="26" s="1"/>
  <c r="Q42" i="78"/>
  <c r="R42" i="78"/>
  <c r="R42" i="26" s="1"/>
  <c r="S42" i="78"/>
  <c r="S42" i="26" s="1"/>
  <c r="T42" i="78"/>
  <c r="T42" i="26" s="1"/>
  <c r="U42" i="78"/>
  <c r="U42" i="26" s="1"/>
  <c r="V42" i="78"/>
  <c r="V42" i="26" s="1"/>
  <c r="H42" i="78"/>
  <c r="H42" i="26" s="1"/>
  <c r="AH42" i="78"/>
  <c r="AH42" i="26" s="1"/>
  <c r="F42" i="78"/>
  <c r="F42" i="26" s="1"/>
  <c r="G42" i="78"/>
  <c r="G42" i="26" s="1"/>
  <c r="AG42" i="78"/>
  <c r="AG42" i="26" s="1"/>
  <c r="AI42" i="78"/>
  <c r="AI42" i="26" s="1"/>
  <c r="AJ42" i="78"/>
  <c r="AJ42" i="26" s="1"/>
  <c r="AK42" i="78"/>
  <c r="AK42" i="26" s="1"/>
  <c r="AL42" i="78"/>
  <c r="AL42" i="26" s="1"/>
  <c r="Y42" i="78"/>
  <c r="Y42" i="26" s="1"/>
  <c r="AN45" i="78"/>
  <c r="AM45" i="78"/>
  <c r="AL45" i="78"/>
  <c r="AK45" i="78"/>
  <c r="AJ45" i="78"/>
  <c r="AI45" i="78"/>
  <c r="AH45" i="78"/>
  <c r="AG45" i="78"/>
  <c r="AF45" i="78"/>
  <c r="AE45" i="78"/>
  <c r="AD45" i="78"/>
  <c r="AC45" i="78"/>
  <c r="AB45" i="78"/>
  <c r="AA45" i="78"/>
  <c r="Z45" i="78"/>
  <c r="Y45" i="78"/>
  <c r="X45" i="78"/>
  <c r="W45" i="78"/>
  <c r="V45" i="78"/>
  <c r="U45" i="78"/>
  <c r="T45" i="78"/>
  <c r="S45" i="78"/>
  <c r="R45" i="78"/>
  <c r="Q45" i="78"/>
  <c r="P45" i="78"/>
  <c r="O45" i="78"/>
  <c r="N45" i="78"/>
  <c r="M45" i="78"/>
  <c r="K45" i="78"/>
  <c r="J45" i="78"/>
  <c r="I45" i="78"/>
  <c r="H45" i="78"/>
  <c r="G45" i="78"/>
  <c r="F45" i="78"/>
  <c r="L45" i="78"/>
  <c r="T43" i="78"/>
  <c r="T43" i="26" s="1"/>
  <c r="AI43" i="78"/>
  <c r="AI43" i="26" s="1"/>
  <c r="AG43" i="78"/>
  <c r="AF43" i="78"/>
  <c r="AF43" i="26" s="1"/>
  <c r="AE43" i="78"/>
  <c r="AE43" i="26" s="1"/>
  <c r="AD43" i="78"/>
  <c r="AD43" i="26" s="1"/>
  <c r="AC43" i="78"/>
  <c r="AB43" i="78"/>
  <c r="AB43" i="26" s="1"/>
  <c r="AA43" i="78"/>
  <c r="AA43" i="26" s="1"/>
  <c r="Z43" i="78"/>
  <c r="Z43" i="26" s="1"/>
  <c r="Y43" i="78"/>
  <c r="Y43" i="26" s="1"/>
  <c r="X43" i="78"/>
  <c r="X43" i="26" s="1"/>
  <c r="W43" i="78"/>
  <c r="W43" i="26" s="1"/>
  <c r="V43" i="78"/>
  <c r="V43" i="26" s="1"/>
  <c r="U43" i="78"/>
  <c r="U43" i="26" s="1"/>
  <c r="R43" i="78"/>
  <c r="R43" i="26" s="1"/>
  <c r="Q43" i="78"/>
  <c r="P43" i="78"/>
  <c r="P43" i="26" s="1"/>
  <c r="O43" i="78"/>
  <c r="O43" i="26" s="1"/>
  <c r="N43" i="78"/>
  <c r="N43" i="26" s="1"/>
  <c r="M43" i="78"/>
  <c r="M43" i="26" s="1"/>
  <c r="L43" i="78"/>
  <c r="L43" i="26" s="1"/>
  <c r="K43" i="78"/>
  <c r="K43" i="26" s="1"/>
  <c r="J43" i="78"/>
  <c r="J43" i="26" s="1"/>
  <c r="I43" i="78"/>
  <c r="I43" i="26" s="1"/>
  <c r="H43" i="78"/>
  <c r="H43" i="26" s="1"/>
  <c r="G43" i="78"/>
  <c r="G43" i="26" s="1"/>
  <c r="F43" i="78"/>
  <c r="F43" i="26" s="1"/>
  <c r="AH43" i="78"/>
  <c r="AH43" i="26" s="1"/>
  <c r="S43" i="78"/>
  <c r="S43" i="26" s="1"/>
  <c r="AN43" i="78"/>
  <c r="AN43" i="26" s="1"/>
  <c r="AM43" i="78"/>
  <c r="AM43" i="26" s="1"/>
  <c r="AL43" i="78"/>
  <c r="AL43" i="26" s="1"/>
  <c r="AK43" i="78"/>
  <c r="AK43" i="26" s="1"/>
  <c r="AJ43" i="78"/>
  <c r="AJ43" i="26" s="1"/>
  <c r="AG47" i="78"/>
  <c r="AG47" i="26" s="1"/>
  <c r="F47" i="78"/>
  <c r="F47" i="26" s="1"/>
  <c r="G47" i="78"/>
  <c r="G47" i="26" s="1"/>
  <c r="N47" i="78"/>
  <c r="N47" i="26" s="1"/>
  <c r="Q47" i="78"/>
  <c r="Q47" i="26" s="1"/>
  <c r="U47" i="78"/>
  <c r="U47" i="26" s="1"/>
  <c r="X47" i="78"/>
  <c r="X47" i="26" s="1"/>
  <c r="AB47" i="78"/>
  <c r="AB47" i="26" s="1"/>
  <c r="AH47" i="78"/>
  <c r="AH47" i="26" s="1"/>
  <c r="AL47" i="78"/>
  <c r="AL47" i="26" s="1"/>
  <c r="H47" i="78"/>
  <c r="H47" i="26" s="1"/>
  <c r="O47" i="78"/>
  <c r="O47" i="26" s="1"/>
  <c r="S47" i="78"/>
  <c r="S47" i="26" s="1"/>
  <c r="V47" i="78"/>
  <c r="V47" i="26" s="1"/>
  <c r="Y47" i="78"/>
  <c r="Y47" i="26" s="1"/>
  <c r="AC47" i="78"/>
  <c r="AC47" i="26" s="1"/>
  <c r="I47" i="78"/>
  <c r="I47" i="26" s="1"/>
  <c r="J47" i="78"/>
  <c r="J47" i="26" s="1"/>
  <c r="K47" i="78"/>
  <c r="K47" i="26" s="1"/>
  <c r="L47" i="78"/>
  <c r="L47" i="26" s="1"/>
  <c r="M47" i="78"/>
  <c r="M47" i="26" s="1"/>
  <c r="T47" i="78"/>
  <c r="T47" i="26" s="1"/>
  <c r="P47" i="78"/>
  <c r="P47" i="26" s="1"/>
  <c r="Z47" i="78"/>
  <c r="Z47" i="26" s="1"/>
  <c r="AD47" i="78"/>
  <c r="AD47" i="26" s="1"/>
  <c r="AF47" i="78"/>
  <c r="AF47" i="26" s="1"/>
  <c r="AJ47" i="78"/>
  <c r="AJ47" i="26" s="1"/>
  <c r="AM47" i="78"/>
  <c r="AM47" i="26" s="1"/>
  <c r="R47" i="78"/>
  <c r="R47" i="26" s="1"/>
  <c r="W47" i="78"/>
  <c r="W47" i="26" s="1"/>
  <c r="AA47" i="78"/>
  <c r="AA47" i="26" s="1"/>
  <c r="AE47" i="78"/>
  <c r="AE47" i="26" s="1"/>
  <c r="AI47" i="78"/>
  <c r="AI47" i="26" s="1"/>
  <c r="AK47" i="78"/>
  <c r="AK47" i="26" s="1"/>
  <c r="AN47" i="78"/>
  <c r="AN47" i="26" s="1"/>
  <c r="AD31" i="78"/>
  <c r="AD31" i="26" s="1"/>
  <c r="AN48" i="26"/>
  <c r="AM48" i="26"/>
  <c r="AL48" i="26"/>
  <c r="AK48" i="26"/>
  <c r="AJ48" i="26"/>
  <c r="AI48" i="26"/>
  <c r="AH48" i="26"/>
  <c r="AG48" i="26"/>
  <c r="AF48" i="26"/>
  <c r="AE48" i="26"/>
  <c r="AD48" i="26"/>
  <c r="AB48" i="26"/>
  <c r="AA48" i="26"/>
  <c r="Z48" i="26"/>
  <c r="Y48" i="26"/>
  <c r="X48" i="26"/>
  <c r="W48" i="26"/>
  <c r="V48" i="26"/>
  <c r="U48" i="26"/>
  <c r="T48" i="26"/>
  <c r="S48" i="26"/>
  <c r="R48" i="26"/>
  <c r="P48" i="26"/>
  <c r="N48" i="26"/>
  <c r="M48" i="26"/>
  <c r="L48" i="26"/>
  <c r="K48" i="26"/>
  <c r="J48" i="26"/>
  <c r="I48" i="26"/>
  <c r="H48" i="26"/>
  <c r="O48" i="26"/>
  <c r="F48" i="26"/>
  <c r="G48" i="26"/>
  <c r="Z27" i="78"/>
  <c r="Z27" i="26" s="1"/>
  <c r="N27" i="78"/>
  <c r="N27" i="26" s="1"/>
  <c r="AG27" i="78"/>
  <c r="AG27" i="26" s="1"/>
  <c r="AK34" i="78"/>
  <c r="AK34" i="26" s="1"/>
  <c r="Z31" i="78"/>
  <c r="Z31" i="26" s="1"/>
  <c r="K31" i="78"/>
  <c r="K31" i="26" s="1"/>
  <c r="AN31" i="78"/>
  <c r="AN31" i="26" s="1"/>
  <c r="P27" i="78"/>
  <c r="P27" i="26" s="1"/>
  <c r="I29" i="78"/>
  <c r="I29" i="26" s="1"/>
  <c r="BQ4" i="69" a="1"/>
  <c r="H28" i="78"/>
  <c r="H28" i="26" s="1"/>
  <c r="AA29" i="78"/>
  <c r="AA29" i="26" s="1"/>
  <c r="G28" i="78"/>
  <c r="G28" i="26" s="1"/>
  <c r="N29" i="78"/>
  <c r="N29" i="26" s="1"/>
  <c r="W28" i="78"/>
  <c r="W28" i="26" s="1"/>
  <c r="E10" i="78"/>
  <c r="E10" i="26" s="1"/>
  <c r="AC8" i="78"/>
  <c r="E8" i="78"/>
  <c r="Q8" i="78"/>
  <c r="Q7" i="78"/>
  <c r="K6" i="17"/>
  <c r="AL5" i="17"/>
  <c r="AF5" i="17"/>
  <c r="T5" i="17"/>
  <c r="Q5" i="17"/>
  <c r="N8" i="78"/>
  <c r="AN5" i="17"/>
  <c r="K5" i="17"/>
  <c r="AK7" i="78"/>
  <c r="AM5" i="17"/>
  <c r="Z8" i="78"/>
  <c r="V6" i="17"/>
  <c r="J6" i="17"/>
  <c r="AF7" i="78"/>
  <c r="H5" i="17"/>
  <c r="K8" i="78"/>
  <c r="F7" i="78"/>
  <c r="AJ6" i="17"/>
  <c r="Y8" i="78"/>
  <c r="N5" i="17"/>
  <c r="AB6" i="17"/>
  <c r="AH8" i="78"/>
  <c r="Z5" i="17"/>
  <c r="AL7" i="78"/>
  <c r="X8" i="78"/>
  <c r="AK5" i="17"/>
  <c r="X7" i="78"/>
  <c r="Y7" i="78"/>
  <c r="Z7" i="78"/>
  <c r="W7" i="78"/>
  <c r="I5" i="17"/>
  <c r="J5" i="17"/>
  <c r="P7" i="78"/>
  <c r="AF8" i="78"/>
  <c r="AA8" i="78"/>
  <c r="S7" i="78"/>
  <c r="AI8" i="78"/>
  <c r="AN7" i="78"/>
  <c r="AB5" i="17"/>
  <c r="AH7" i="78"/>
  <c r="AI7" i="78"/>
  <c r="AB8" i="78"/>
  <c r="J8" i="78"/>
  <c r="N7" i="78"/>
  <c r="I7" i="78"/>
  <c r="R8" i="78"/>
  <c r="AA6" i="17"/>
  <c r="AG7" i="78"/>
  <c r="H6" i="17"/>
  <c r="X6" i="17"/>
  <c r="Z28" i="78"/>
  <c r="Z28" i="26" s="1"/>
  <c r="R31" i="78"/>
  <c r="R31" i="26" s="1"/>
  <c r="AC31" i="78"/>
  <c r="Q31" i="78"/>
  <c r="AG31" i="78"/>
  <c r="AG31" i="26" s="1"/>
  <c r="U31" i="78"/>
  <c r="U31" i="26" s="1"/>
  <c r="AL31" i="78"/>
  <c r="AL31" i="26" s="1"/>
  <c r="L31" i="78"/>
  <c r="L31" i="26" s="1"/>
  <c r="N31" i="78"/>
  <c r="N31" i="26" s="1"/>
  <c r="AJ31" i="78"/>
  <c r="AJ31" i="26" s="1"/>
  <c r="AM31" i="78"/>
  <c r="AM31" i="26" s="1"/>
  <c r="AK31" i="78"/>
  <c r="AK31" i="26" s="1"/>
  <c r="F31" i="78"/>
  <c r="F31" i="26" s="1"/>
  <c r="S31" i="78"/>
  <c r="S31" i="26" s="1"/>
  <c r="AF31" i="78"/>
  <c r="AF31" i="26" s="1"/>
  <c r="AH31" i="78"/>
  <c r="AH31" i="26" s="1"/>
  <c r="P31" i="78"/>
  <c r="P31" i="26" s="1"/>
  <c r="M31" i="78"/>
  <c r="M31" i="26" s="1"/>
  <c r="O31" i="78"/>
  <c r="O31" i="26" s="1"/>
  <c r="AI31" i="78"/>
  <c r="AI31" i="26" s="1"/>
  <c r="X31" i="78"/>
  <c r="X31" i="26" s="1"/>
  <c r="W31" i="78"/>
  <c r="W31" i="26" s="1"/>
  <c r="Y31" i="78"/>
  <c r="Y31" i="26" s="1"/>
  <c r="G31" i="78"/>
  <c r="G31" i="26" s="1"/>
  <c r="I31" i="78"/>
  <c r="I31" i="26" s="1"/>
  <c r="AE31" i="78"/>
  <c r="AE31" i="26" s="1"/>
  <c r="P28" i="78"/>
  <c r="P28" i="26" s="1"/>
  <c r="AN6" i="17"/>
  <c r="AN8" i="78"/>
  <c r="U6" i="17"/>
  <c r="U8" i="78"/>
  <c r="AL8" i="78"/>
  <c r="AD7" i="78"/>
  <c r="O7" i="78"/>
  <c r="AD5" i="17"/>
  <c r="Q34" i="78"/>
  <c r="AC34" i="78"/>
  <c r="K34" i="78"/>
  <c r="K34" i="26" s="1"/>
  <c r="AG34" i="78"/>
  <c r="AG34" i="26" s="1"/>
  <c r="R34" i="78"/>
  <c r="R34" i="26" s="1"/>
  <c r="T34" i="78"/>
  <c r="T34" i="26" s="1"/>
  <c r="V34" i="78"/>
  <c r="V34" i="26" s="1"/>
  <c r="G34" i="78"/>
  <c r="G34" i="26" s="1"/>
  <c r="X34" i="78"/>
  <c r="X34" i="26" s="1"/>
  <c r="L34" i="78"/>
  <c r="L34" i="26" s="1"/>
  <c r="AH34" i="78"/>
  <c r="AH34" i="26" s="1"/>
  <c r="AI34" i="78"/>
  <c r="AI34" i="26" s="1"/>
  <c r="AL34" i="78"/>
  <c r="AL34" i="26" s="1"/>
  <c r="O34" i="78"/>
  <c r="O34" i="26" s="1"/>
  <c r="AA34" i="78"/>
  <c r="AA34" i="26" s="1"/>
  <c r="P34" i="78"/>
  <c r="P34" i="26" s="1"/>
  <c r="N34" i="78"/>
  <c r="N34" i="26" s="1"/>
  <c r="M34" i="78"/>
  <c r="M34" i="26" s="1"/>
  <c r="AB34" i="78"/>
  <c r="AB34" i="26" s="1"/>
  <c r="S34" i="78"/>
  <c r="S34" i="26" s="1"/>
  <c r="U34" i="78"/>
  <c r="U34" i="26" s="1"/>
  <c r="F34" i="78"/>
  <c r="F34" i="26" s="1"/>
  <c r="H34" i="78"/>
  <c r="H34" i="26" s="1"/>
  <c r="J34" i="78"/>
  <c r="J34" i="26" s="1"/>
  <c r="Y34" i="78"/>
  <c r="Y34" i="26" s="1"/>
  <c r="AN34" i="78"/>
  <c r="AN34" i="26" s="1"/>
  <c r="AE34" i="78"/>
  <c r="AE34" i="26" s="1"/>
  <c r="AM34" i="78"/>
  <c r="AM34" i="26" s="1"/>
  <c r="Z34" i="78"/>
  <c r="Z34" i="26" s="1"/>
  <c r="AF34" i="78"/>
  <c r="AF34" i="26" s="1"/>
  <c r="AJ34" i="78"/>
  <c r="AJ34" i="26" s="1"/>
  <c r="AD34" i="78"/>
  <c r="AD34" i="26" s="1"/>
  <c r="I34" i="78"/>
  <c r="I34" i="26" s="1"/>
  <c r="V8" i="78"/>
  <c r="I6" i="17"/>
  <c r="F5" i="17"/>
  <c r="N6" i="17"/>
  <c r="S5" i="17"/>
  <c r="AG8" i="78"/>
  <c r="J7" i="78"/>
  <c r="F8" i="78"/>
  <c r="AE6" i="17"/>
  <c r="T31" i="78"/>
  <c r="T31" i="26" s="1"/>
  <c r="AB31" i="78"/>
  <c r="AB31" i="26" s="1"/>
  <c r="AH28" i="78"/>
  <c r="AH28" i="26" s="1"/>
  <c r="AM28" i="78"/>
  <c r="AM28" i="26" s="1"/>
  <c r="W34" i="78"/>
  <c r="W34" i="26" s="1"/>
  <c r="AA31" i="78"/>
  <c r="AA31" i="26" s="1"/>
  <c r="AL28" i="78"/>
  <c r="AL28" i="26" s="1"/>
  <c r="V31" i="78"/>
  <c r="V31" i="26" s="1"/>
  <c r="Q28" i="78"/>
  <c r="AC28" i="78"/>
  <c r="BM4" i="69" a="1"/>
  <c r="O28" i="78"/>
  <c r="O28" i="26" s="1"/>
  <c r="X28" i="78"/>
  <c r="X28" i="26" s="1"/>
  <c r="R28" i="78"/>
  <c r="R28" i="26" s="1"/>
  <c r="AD28" i="78"/>
  <c r="AD28" i="26" s="1"/>
  <c r="J28" i="78"/>
  <c r="J28" i="26" s="1"/>
  <c r="T28" i="78"/>
  <c r="T28" i="26" s="1"/>
  <c r="AI28" i="78"/>
  <c r="AI28" i="26" s="1"/>
  <c r="F28" i="78"/>
  <c r="F28" i="26" s="1"/>
  <c r="Y28" i="78"/>
  <c r="Y28" i="26" s="1"/>
  <c r="AJ28" i="78"/>
  <c r="AJ28" i="26" s="1"/>
  <c r="AA28" i="78"/>
  <c r="AA28" i="26" s="1"/>
  <c r="AN28" i="78"/>
  <c r="AN28" i="26" s="1"/>
  <c r="AF28" i="78"/>
  <c r="AF28" i="26" s="1"/>
  <c r="M28" i="78"/>
  <c r="M28" i="26" s="1"/>
  <c r="AK28" i="78"/>
  <c r="AK28" i="26" s="1"/>
  <c r="S28" i="78"/>
  <c r="S28" i="26" s="1"/>
  <c r="AE28" i="78"/>
  <c r="AE28" i="26" s="1"/>
  <c r="I28" i="78"/>
  <c r="I28" i="26" s="1"/>
  <c r="V28" i="78"/>
  <c r="V28" i="26" s="1"/>
  <c r="N28" i="78"/>
  <c r="N28" i="26" s="1"/>
  <c r="K28" i="78"/>
  <c r="K28" i="26" s="1"/>
  <c r="U28" i="78"/>
  <c r="U28" i="26" s="1"/>
  <c r="H31" i="78"/>
  <c r="H31" i="26" s="1"/>
  <c r="W8" i="78"/>
  <c r="AH6" i="17"/>
  <c r="K7" i="78"/>
  <c r="H7" i="78"/>
  <c r="R6" i="17"/>
  <c r="P6" i="17"/>
  <c r="AD6" i="17"/>
  <c r="AG6" i="17"/>
  <c r="AH5" i="17"/>
  <c r="J31" i="78"/>
  <c r="J31" i="26" s="1"/>
  <c r="AG28" i="78"/>
  <c r="AG28" i="26" s="1"/>
  <c r="AB28" i="78"/>
  <c r="AB28" i="26" s="1"/>
  <c r="H8" i="17"/>
  <c r="L10" i="78"/>
  <c r="L10" i="26" s="1"/>
  <c r="F8" i="17"/>
  <c r="AJ10" i="78"/>
  <c r="AJ10" i="26" s="1"/>
  <c r="I10" i="78"/>
  <c r="I10" i="26" s="1"/>
  <c r="F27" i="78"/>
  <c r="F27" i="26" s="1"/>
  <c r="F29" i="78"/>
  <c r="F29" i="26" s="1"/>
  <c r="AJ29" i="78"/>
  <c r="AJ29" i="26" s="1"/>
  <c r="AN10" i="78"/>
  <c r="AN10" i="26" s="1"/>
  <c r="I8" i="17"/>
  <c r="U10" i="78"/>
  <c r="U10" i="26" s="1"/>
  <c r="X10" i="78"/>
  <c r="X10" i="26" s="1"/>
  <c r="Z8" i="17"/>
  <c r="AI10" i="78"/>
  <c r="AI10" i="26" s="1"/>
  <c r="W10" i="78"/>
  <c r="W10" i="26" s="1"/>
  <c r="W8" i="17"/>
  <c r="AI27" i="78"/>
  <c r="AI27" i="26" s="1"/>
  <c r="AB27" i="78"/>
  <c r="AB27" i="26" s="1"/>
  <c r="K27" i="78"/>
  <c r="K27" i="26" s="1"/>
  <c r="U27" i="78"/>
  <c r="U27" i="26" s="1"/>
  <c r="H27" i="78"/>
  <c r="H27" i="26" s="1"/>
  <c r="Y27" i="78"/>
  <c r="Y27" i="26" s="1"/>
  <c r="AL27" i="78"/>
  <c r="AL27" i="26" s="1"/>
  <c r="Q27" i="78"/>
  <c r="R27" i="78"/>
  <c r="R27" i="26" s="1"/>
  <c r="AJ27" i="78"/>
  <c r="AJ27" i="26" s="1"/>
  <c r="AD27" i="78"/>
  <c r="AD27" i="26" s="1"/>
  <c r="O27" i="78"/>
  <c r="O27" i="26" s="1"/>
  <c r="AM27" i="78"/>
  <c r="AM27" i="26" s="1"/>
  <c r="V27" i="78"/>
  <c r="V27" i="26" s="1"/>
  <c r="AK27" i="78"/>
  <c r="AK27" i="26" s="1"/>
  <c r="AA27" i="78"/>
  <c r="AA27" i="26" s="1"/>
  <c r="I27" i="78"/>
  <c r="I27" i="26" s="1"/>
  <c r="AF27" i="78"/>
  <c r="AF27" i="26" s="1"/>
  <c r="AH27" i="78"/>
  <c r="AH27" i="26" s="1"/>
  <c r="AC27" i="78"/>
  <c r="S27" i="78"/>
  <c r="S27" i="26" s="1"/>
  <c r="X27" i="78"/>
  <c r="X27" i="26" s="1"/>
  <c r="G27" i="78"/>
  <c r="G27" i="26" s="1"/>
  <c r="J27" i="78"/>
  <c r="J27" i="26" s="1"/>
  <c r="W27" i="78"/>
  <c r="W27" i="26" s="1"/>
  <c r="AC8" i="17"/>
  <c r="AK10" i="78"/>
  <c r="AK10" i="26" s="1"/>
  <c r="O8" i="17"/>
  <c r="AK8" i="17"/>
  <c r="AD8" i="17"/>
  <c r="T8" i="17"/>
  <c r="M8" i="17"/>
  <c r="Y10" i="78"/>
  <c r="Y10" i="26" s="1"/>
  <c r="R8" i="17"/>
  <c r="P8" i="17"/>
  <c r="M10" i="78"/>
  <c r="M10" i="26" s="1"/>
  <c r="AE8" i="17"/>
  <c r="G8" i="17"/>
  <c r="AC10" i="78"/>
  <c r="AL8" i="17"/>
  <c r="AD10" i="78"/>
  <c r="AD10" i="26" s="1"/>
  <c r="K10" i="78"/>
  <c r="K10" i="26" s="1"/>
  <c r="L8" i="17"/>
  <c r="V8" i="17"/>
  <c r="Q10" i="78"/>
  <c r="K8" i="17"/>
  <c r="AE10" i="78"/>
  <c r="AE10" i="26" s="1"/>
  <c r="AH8" i="17"/>
  <c r="Z10" i="78"/>
  <c r="Z10" i="26" s="1"/>
  <c r="AG10" i="78"/>
  <c r="AG10" i="26" s="1"/>
  <c r="AG8" i="17"/>
  <c r="AN27" i="78"/>
  <c r="AN27" i="26" s="1"/>
  <c r="AI29" i="78"/>
  <c r="AI29" i="26" s="1"/>
  <c r="F10" i="78"/>
  <c r="F10" i="26" s="1"/>
  <c r="Q8" i="17"/>
  <c r="S10" i="78"/>
  <c r="S10" i="26" s="1"/>
  <c r="AB10" i="78"/>
  <c r="AB10" i="26" s="1"/>
  <c r="AB8" i="17"/>
  <c r="U8" i="17"/>
  <c r="M27" i="78"/>
  <c r="M27" i="26" s="1"/>
  <c r="AE27" i="78"/>
  <c r="AE27" i="26" s="1"/>
  <c r="T27" i="78"/>
  <c r="T27" i="26" s="1"/>
  <c r="H29" i="78"/>
  <c r="H29" i="26" s="1"/>
  <c r="H10" i="78"/>
  <c r="H10" i="26" s="1"/>
  <c r="N10" i="78"/>
  <c r="N10" i="26" s="1"/>
  <c r="AJ8" i="17"/>
  <c r="O10" i="78"/>
  <c r="O10" i="26" s="1"/>
  <c r="AC29" i="78"/>
  <c r="AG29" i="78"/>
  <c r="AG29" i="26" s="1"/>
  <c r="R29" i="78"/>
  <c r="R29" i="26" s="1"/>
  <c r="T29" i="78"/>
  <c r="T29" i="26" s="1"/>
  <c r="AD29" i="78"/>
  <c r="AD29" i="26" s="1"/>
  <c r="AF29" i="78"/>
  <c r="AF29" i="26" s="1"/>
  <c r="AN29" i="78"/>
  <c r="AN29" i="26" s="1"/>
  <c r="J29" i="78"/>
  <c r="J29" i="26" s="1"/>
  <c r="M29" i="78"/>
  <c r="M29" i="26" s="1"/>
  <c r="Q29" i="78"/>
  <c r="P29" i="78"/>
  <c r="P29" i="26" s="1"/>
  <c r="AB29" i="78"/>
  <c r="AB29" i="26" s="1"/>
  <c r="V29" i="78"/>
  <c r="V29" i="26" s="1"/>
  <c r="Z29" i="78"/>
  <c r="Z29" i="26" s="1"/>
  <c r="S29" i="78"/>
  <c r="S29" i="26" s="1"/>
  <c r="G29" i="78"/>
  <c r="G29" i="26" s="1"/>
  <c r="L29" i="78"/>
  <c r="L29" i="26" s="1"/>
  <c r="K29" i="78"/>
  <c r="K29" i="26" s="1"/>
  <c r="Y29" i="78"/>
  <c r="Y29" i="26" s="1"/>
  <c r="AL29" i="78"/>
  <c r="AL29" i="26" s="1"/>
  <c r="O29" i="78"/>
  <c r="O29" i="26" s="1"/>
  <c r="X29" i="78"/>
  <c r="X29" i="26" s="1"/>
  <c r="W29" i="78"/>
  <c r="W29" i="26" s="1"/>
  <c r="AE29" i="78"/>
  <c r="AE29" i="26" s="1"/>
  <c r="AM29" i="78"/>
  <c r="AM29" i="26" s="1"/>
  <c r="AH29" i="78"/>
  <c r="AH29" i="26" s="1"/>
  <c r="AK29" i="78"/>
  <c r="AK29" i="26" s="1"/>
  <c r="T10" i="78"/>
  <c r="T10" i="26" s="1"/>
  <c r="R10" i="78"/>
  <c r="R10" i="26" s="1"/>
  <c r="AL10" i="78"/>
  <c r="AL10" i="26" s="1"/>
  <c r="Y8" i="17"/>
  <c r="P10" i="78"/>
  <c r="P10" i="26" s="1"/>
  <c r="L27" i="78"/>
  <c r="L27" i="26" s="1"/>
  <c r="U29" i="78"/>
  <c r="U29" i="26" s="1"/>
  <c r="AF10" i="78"/>
  <c r="AF10" i="26" s="1"/>
  <c r="AI8" i="17"/>
  <c r="S8" i="17"/>
  <c r="E3" i="78" a="1"/>
  <c r="BE4" i="69" a="1"/>
  <c r="AA26" i="78"/>
  <c r="F26" i="78"/>
  <c r="AJ26" i="78"/>
  <c r="AM26" i="78"/>
  <c r="AB26" i="78"/>
  <c r="AL26" i="78"/>
  <c r="I26" i="78"/>
  <c r="O26" i="78"/>
  <c r="M26" i="78"/>
  <c r="L26" i="78"/>
  <c r="U26" i="78"/>
  <c r="V26" i="78"/>
  <c r="Z26" i="78"/>
  <c r="AI26" i="78"/>
  <c r="T26" i="78"/>
  <c r="X26" i="78"/>
  <c r="AD26" i="78"/>
  <c r="G26" i="78"/>
  <c r="K26" i="78"/>
  <c r="AF26" i="78"/>
  <c r="AK26" i="78"/>
  <c r="Y26" i="78"/>
  <c r="AH26" i="78"/>
  <c r="AN26" i="78"/>
  <c r="AG26" i="78"/>
  <c r="N26" i="78"/>
  <c r="J26" i="78"/>
  <c r="AE26" i="78"/>
  <c r="W26" i="78"/>
  <c r="S26" i="78"/>
  <c r="H26" i="78"/>
  <c r="Q26" i="78"/>
  <c r="AC26" i="78"/>
  <c r="R26" i="78"/>
  <c r="P26" i="78"/>
  <c r="AF30" i="78"/>
  <c r="AF30" i="26" s="1"/>
  <c r="K30" i="78"/>
  <c r="K30" i="26" s="1"/>
  <c r="M30" i="78"/>
  <c r="M30" i="26" s="1"/>
  <c r="Z30" i="78"/>
  <c r="Z30" i="26" s="1"/>
  <c r="O30" i="78"/>
  <c r="O30" i="26" s="1"/>
  <c r="P30" i="78"/>
  <c r="P30" i="26" s="1"/>
  <c r="R30" i="78"/>
  <c r="R30" i="26" s="1"/>
  <c r="AC30" i="78"/>
  <c r="G30" i="78"/>
  <c r="G30" i="26" s="1"/>
  <c r="U30" i="78"/>
  <c r="U30" i="26" s="1"/>
  <c r="AH30" i="78"/>
  <c r="AH30" i="26" s="1"/>
  <c r="AJ30" i="78"/>
  <c r="AJ30" i="26" s="1"/>
  <c r="W30" i="78"/>
  <c r="W30" i="26" s="1"/>
  <c r="AL30" i="78"/>
  <c r="AL30" i="26" s="1"/>
  <c r="AD30" i="78"/>
  <c r="AD30" i="26" s="1"/>
  <c r="AI30" i="78"/>
  <c r="AI30" i="26" s="1"/>
  <c r="S30" i="78"/>
  <c r="S30" i="26" s="1"/>
  <c r="BU4" i="69" a="1"/>
  <c r="Q30" i="78"/>
  <c r="J30" i="78"/>
  <c r="J30" i="26" s="1"/>
  <c r="Y30" i="78"/>
  <c r="Y30" i="26" s="1"/>
  <c r="AB30" i="78"/>
  <c r="AB30" i="26" s="1"/>
  <c r="H30" i="78"/>
  <c r="H30" i="26" s="1"/>
  <c r="V30" i="78"/>
  <c r="V30" i="26" s="1"/>
  <c r="T30" i="78"/>
  <c r="T30" i="26" s="1"/>
  <c r="AK30" i="78"/>
  <c r="AK30" i="26" s="1"/>
  <c r="N30" i="78"/>
  <c r="N30" i="26" s="1"/>
  <c r="AN30" i="78"/>
  <c r="AN30" i="26" s="1"/>
  <c r="L30" i="78"/>
  <c r="L30" i="26" s="1"/>
  <c r="X30" i="78"/>
  <c r="X30" i="26" s="1"/>
  <c r="F30" i="78"/>
  <c r="F30" i="26" s="1"/>
  <c r="I30" i="78"/>
  <c r="I30" i="26" s="1"/>
  <c r="AE30" i="78"/>
  <c r="AE30" i="26" s="1"/>
  <c r="AG30" i="78"/>
  <c r="AG30" i="26" s="1"/>
  <c r="AA30" i="78"/>
  <c r="AA30" i="26" s="1"/>
  <c r="AM30" i="78"/>
  <c r="AM30" i="26" s="1"/>
  <c r="T24" i="84" l="1" a="1"/>
  <c r="T24" i="84" s="1"/>
  <c r="V24" i="85" a="1"/>
  <c r="V24" i="85" s="1"/>
  <c r="X24" i="85" a="1"/>
  <c r="X24" i="85" s="1"/>
  <c r="L24" i="84" a="1"/>
  <c r="L24" i="84" s="1"/>
  <c r="AI24" i="85" a="1"/>
  <c r="AI24" i="85" s="1"/>
  <c r="AF24" i="85" a="1"/>
  <c r="AF24" i="85" s="1"/>
  <c r="T24" i="85" s="1"/>
  <c r="X24" i="84" a="1"/>
  <c r="X24" i="84" s="1"/>
  <c r="R24" i="84" a="1"/>
  <c r="R24" i="84" s="1"/>
  <c r="AA24" i="85" a="1"/>
  <c r="AA24" i="85" s="1"/>
  <c r="AL24" i="85" a="1"/>
  <c r="AL24" i="85" s="1"/>
  <c r="Z24" i="85" a="1"/>
  <c r="Z24" i="85" s="1"/>
  <c r="AB24" i="85" a="1"/>
  <c r="AB24" i="85" s="1"/>
  <c r="W24" i="84" a="1"/>
  <c r="W24" i="84" s="1"/>
  <c r="AH24" i="85" a="1"/>
  <c r="AH24" i="85" s="1"/>
  <c r="AD24" i="85" a="1"/>
  <c r="AD24" i="85" s="1"/>
  <c r="R24" i="85" s="1"/>
  <c r="AJ24" i="85" a="1"/>
  <c r="AJ24" i="85" s="1"/>
  <c r="AM24" i="85" a="1"/>
  <c r="AM24" i="85" s="1"/>
  <c r="AE24" i="85" a="1"/>
  <c r="AE24" i="85" s="1"/>
  <c r="S24" i="85" s="1"/>
  <c r="W24" i="85" a="1"/>
  <c r="W24" i="85" s="1"/>
  <c r="AN24" i="85" a="1"/>
  <c r="AN24" i="85" s="1"/>
  <c r="V24" i="84" a="1"/>
  <c r="V24" i="84" s="1"/>
  <c r="J24" i="84" a="1"/>
  <c r="J24" i="84" s="1"/>
  <c r="S24" i="84" a="1"/>
  <c r="S24" i="84" s="1"/>
  <c r="K24" i="84" a="1"/>
  <c r="K24" i="84" s="1"/>
  <c r="AD23" i="85" a="1"/>
  <c r="AD23" i="85" s="1"/>
  <c r="R23" i="85" s="1"/>
  <c r="W23" i="85" a="1"/>
  <c r="W23" i="85" s="1"/>
  <c r="X23" i="85" a="1"/>
  <c r="X23" i="85" s="1"/>
  <c r="S23" i="84" a="1"/>
  <c r="S23" i="84" s="1"/>
  <c r="AF23" i="85" a="1"/>
  <c r="AF23" i="85" s="1"/>
  <c r="T23" i="85" s="1"/>
  <c r="AL23" i="85" a="1"/>
  <c r="AL23" i="85" s="1"/>
  <c r="R23" i="84" a="1"/>
  <c r="R23" i="84" s="1"/>
  <c r="V23" i="84" a="1"/>
  <c r="V23" i="84" s="1"/>
  <c r="L23" i="84" a="1"/>
  <c r="L23" i="84" s="1"/>
  <c r="AI23" i="85" a="1"/>
  <c r="AI23" i="85" s="1"/>
  <c r="AA23" i="85" a="1"/>
  <c r="AA23" i="85" s="1"/>
  <c r="T23" i="84" a="1"/>
  <c r="T23" i="84" s="1"/>
  <c r="AM23" i="85" a="1"/>
  <c r="AM23" i="85" s="1"/>
  <c r="AN23" i="85" a="1"/>
  <c r="AN23" i="85" s="1"/>
  <c r="J23" i="84" a="1"/>
  <c r="J23" i="84" s="1"/>
  <c r="K23" i="84" a="1"/>
  <c r="K23" i="84" s="1"/>
  <c r="W23" i="84" a="1"/>
  <c r="W23" i="84" s="1"/>
  <c r="AH23" i="85" a="1"/>
  <c r="AH23" i="85" s="1"/>
  <c r="X23" i="84" a="1"/>
  <c r="X23" i="84" s="1"/>
  <c r="Z23" i="85" a="1"/>
  <c r="Z23" i="85" s="1"/>
  <c r="AJ23" i="85" a="1"/>
  <c r="AJ23" i="85" s="1"/>
  <c r="V23" i="85" a="1"/>
  <c r="V23" i="85" s="1"/>
  <c r="AB23" i="85" a="1"/>
  <c r="AB23" i="85" s="1"/>
  <c r="AE23" i="85" a="1"/>
  <c r="AE23" i="85" s="1"/>
  <c r="S23" i="85" s="1"/>
  <c r="L21" i="84" a="1"/>
  <c r="L21" i="84" s="1"/>
  <c r="X21" i="84" a="1"/>
  <c r="X21" i="84" s="1"/>
  <c r="W21" i="85" a="1"/>
  <c r="W21" i="85" s="1"/>
  <c r="AL21" i="85" a="1"/>
  <c r="AL21" i="85" s="1"/>
  <c r="AB21" i="85" a="1"/>
  <c r="AB21" i="85" s="1"/>
  <c r="AJ21" i="85" a="1"/>
  <c r="AJ21" i="85" s="1"/>
  <c r="J21" i="84" a="1"/>
  <c r="J21" i="84" s="1"/>
  <c r="AI21" i="85" a="1"/>
  <c r="AI21" i="85" s="1"/>
  <c r="V21" i="85" a="1"/>
  <c r="V21" i="85" s="1"/>
  <c r="AA21" i="85" a="1"/>
  <c r="AA21" i="85" s="1"/>
  <c r="AE21" i="85" a="1"/>
  <c r="AE21" i="85" s="1"/>
  <c r="V21" i="84" a="1"/>
  <c r="V21" i="84" s="1"/>
  <c r="S21" i="84" a="1"/>
  <c r="S21" i="84" s="1"/>
  <c r="AM21" i="85" a="1"/>
  <c r="AM21" i="85" s="1"/>
  <c r="R21" i="84" a="1"/>
  <c r="R21" i="84" s="1"/>
  <c r="W21" i="84" a="1"/>
  <c r="W21" i="84" s="1"/>
  <c r="AH21" i="85" a="1"/>
  <c r="AH21" i="85" s="1"/>
  <c r="AN21" i="85" a="1"/>
  <c r="AN21" i="85" s="1"/>
  <c r="Z21" i="85" a="1"/>
  <c r="Z21" i="85" s="1"/>
  <c r="T21" i="84" a="1"/>
  <c r="T21" i="84" s="1"/>
  <c r="AF21" i="85" a="1"/>
  <c r="AF21" i="85" s="1"/>
  <c r="AD21" i="85" a="1"/>
  <c r="AD21" i="85" s="1"/>
  <c r="X21" i="85" a="1"/>
  <c r="X21" i="85" s="1"/>
  <c r="K21" i="84" a="1"/>
  <c r="K21" i="84" s="1"/>
  <c r="T25" i="84" a="1"/>
  <c r="T25" i="84" s="1"/>
  <c r="AJ25" i="85" a="1"/>
  <c r="AJ25" i="85" s="1"/>
  <c r="W25" i="84" a="1"/>
  <c r="W25" i="84" s="1"/>
  <c r="AA25" i="85" a="1"/>
  <c r="AA25" i="85" s="1"/>
  <c r="W25" i="85" a="1"/>
  <c r="W25" i="85" s="1"/>
  <c r="AI25" i="85" a="1"/>
  <c r="AI25" i="85" s="1"/>
  <c r="V25" i="84" a="1"/>
  <c r="V25" i="84" s="1"/>
  <c r="R25" i="84" a="1"/>
  <c r="R25" i="84" s="1"/>
  <c r="AL25" i="85" a="1"/>
  <c r="AL25" i="85" s="1"/>
  <c r="J25" i="84" a="1"/>
  <c r="J25" i="84" s="1"/>
  <c r="AD25" i="85" a="1"/>
  <c r="AD25" i="85" s="1"/>
  <c r="R25" i="85" s="1"/>
  <c r="Z25" i="85" a="1"/>
  <c r="Z25" i="85" s="1"/>
  <c r="AE25" i="85" a="1"/>
  <c r="AE25" i="85" s="1"/>
  <c r="S25" i="85" s="1"/>
  <c r="AN25" i="85" a="1"/>
  <c r="AN25" i="85" s="1"/>
  <c r="AF25" i="85" a="1"/>
  <c r="AF25" i="85" s="1"/>
  <c r="T25" i="85" s="1"/>
  <c r="X25" i="84" a="1"/>
  <c r="X25" i="84" s="1"/>
  <c r="AB25" i="85" a="1"/>
  <c r="AB25" i="85" s="1"/>
  <c r="V25" i="85" a="1"/>
  <c r="V25" i="85" s="1"/>
  <c r="AM25" i="85" a="1"/>
  <c r="AM25" i="85" s="1"/>
  <c r="K25" i="84" a="1"/>
  <c r="K25" i="84" s="1"/>
  <c r="X25" i="85" a="1"/>
  <c r="X25" i="85" s="1"/>
  <c r="S25" i="84" a="1"/>
  <c r="S25" i="84" s="1"/>
  <c r="AH25" i="85" a="1"/>
  <c r="AH25" i="85" s="1"/>
  <c r="L25" i="84" a="1"/>
  <c r="L25" i="84" s="1"/>
  <c r="E46" i="17" a="1"/>
  <c r="E46" i="17" s="1"/>
  <c r="E44" i="17" a="1"/>
  <c r="E44" i="17" s="1"/>
  <c r="AH7" i="98"/>
  <c r="AG7" i="98"/>
  <c r="AF7" i="98"/>
  <c r="F5" i="34"/>
  <c r="O7" i="34"/>
  <c r="G5" i="34"/>
  <c r="AH6" i="98"/>
  <c r="AG6" i="98"/>
  <c r="AF6" i="98"/>
  <c r="AR47" i="26" a="1"/>
  <c r="AR47" i="26" s="1"/>
  <c r="AQ47" i="26" a="1"/>
  <c r="AQ47" i="26" s="1"/>
  <c r="J36" i="34" a="1"/>
  <c r="J36" i="34" s="1"/>
  <c r="K36" i="34" a="1"/>
  <c r="K36" i="34" s="1"/>
  <c r="I36" i="34" a="1"/>
  <c r="I36" i="34" s="1"/>
  <c r="K35" i="34" a="1"/>
  <c r="K35" i="34" s="1"/>
  <c r="G35" i="34" s="1"/>
  <c r="J35" i="34" a="1"/>
  <c r="J35" i="34" s="1"/>
  <c r="F35" i="34" s="1"/>
  <c r="I35" i="34" a="1"/>
  <c r="I35" i="34" s="1"/>
  <c r="K6" i="34" a="1"/>
  <c r="K6" i="34" s="1"/>
  <c r="G6" i="34" s="1"/>
  <c r="J6" i="34" a="1"/>
  <c r="J6" i="34" s="1"/>
  <c r="F6" i="34" s="1"/>
  <c r="I6" i="34" a="1"/>
  <c r="I6" i="34" s="1"/>
  <c r="E6" i="34" s="1"/>
  <c r="T29" i="85"/>
  <c r="R29" i="85"/>
  <c r="S29" i="85"/>
  <c r="AC10" i="26"/>
  <c r="Q10" i="26"/>
  <c r="BI4" i="69" a="1"/>
  <c r="BQ4" i="69"/>
  <c r="BM4" i="69"/>
  <c r="BE4" i="69"/>
  <c r="BU4" i="69"/>
  <c r="E3" i="78"/>
  <c r="E45" i="78"/>
  <c r="E47" i="78"/>
  <c r="E47" i="26" s="1"/>
  <c r="AP47" i="26" s="1" a="1"/>
  <c r="AP47" i="26" s="1"/>
  <c r="E42" i="78"/>
  <c r="E43" i="78"/>
  <c r="AC43" i="26"/>
  <c r="AC48" i="26"/>
  <c r="Q48" i="26"/>
  <c r="E29" i="78"/>
  <c r="E29" i="26" s="1"/>
  <c r="AH26" i="26"/>
  <c r="M26" i="26"/>
  <c r="G26" i="26"/>
  <c r="W26" i="26"/>
  <c r="O26" i="26"/>
  <c r="AD26" i="26"/>
  <c r="E26" i="78"/>
  <c r="Y26" i="26"/>
  <c r="Q30" i="26"/>
  <c r="AE26" i="26"/>
  <c r="S26" i="26"/>
  <c r="AA26" i="26"/>
  <c r="P26" i="26"/>
  <c r="X26" i="26"/>
  <c r="E28" i="78"/>
  <c r="AC30" i="26"/>
  <c r="AK26" i="26"/>
  <c r="I26" i="26"/>
  <c r="Q34" i="26"/>
  <c r="AC42" i="26"/>
  <c r="T26" i="26"/>
  <c r="E5" i="17"/>
  <c r="E7" i="78"/>
  <c r="E30" i="78"/>
  <c r="AF26" i="26"/>
  <c r="AM26" i="26"/>
  <c r="Q29" i="26"/>
  <c r="AC28" i="26"/>
  <c r="AL26" i="26"/>
  <c r="AB26" i="26"/>
  <c r="Z26" i="26"/>
  <c r="AC26" i="26"/>
  <c r="N26" i="26"/>
  <c r="K26" i="26"/>
  <c r="V26" i="26"/>
  <c r="AJ26" i="26"/>
  <c r="Q28" i="26"/>
  <c r="R26" i="26"/>
  <c r="AI26" i="26"/>
  <c r="AC29" i="26"/>
  <c r="J26" i="26"/>
  <c r="Q26" i="26"/>
  <c r="AG26" i="26"/>
  <c r="U26" i="26"/>
  <c r="H26" i="26"/>
  <c r="AN26" i="26"/>
  <c r="L26" i="26"/>
  <c r="F26" i="26"/>
  <c r="AG43" i="26"/>
  <c r="Q27" i="26"/>
  <c r="Q32" i="78"/>
  <c r="AC32" i="78"/>
  <c r="F32" i="78"/>
  <c r="F32" i="26" s="1"/>
  <c r="O32" i="78"/>
  <c r="O32" i="26" s="1"/>
  <c r="V32" i="78"/>
  <c r="V32" i="26" s="1"/>
  <c r="I32" i="78"/>
  <c r="I32" i="26" s="1"/>
  <c r="T32" i="78"/>
  <c r="T32" i="26" s="1"/>
  <c r="AG32" i="78"/>
  <c r="AG32" i="26" s="1"/>
  <c r="AK32" i="78"/>
  <c r="AK32" i="26" s="1"/>
  <c r="AF32" i="78"/>
  <c r="AF32" i="26" s="1"/>
  <c r="J32" i="78"/>
  <c r="J32" i="26" s="1"/>
  <c r="R32" i="78"/>
  <c r="R32" i="26" s="1"/>
  <c r="P32" i="78"/>
  <c r="P32" i="26" s="1"/>
  <c r="H32" i="78"/>
  <c r="H32" i="26" s="1"/>
  <c r="K32" i="78"/>
  <c r="K32" i="26" s="1"/>
  <c r="X32" i="78"/>
  <c r="X32" i="26" s="1"/>
  <c r="AL32" i="78"/>
  <c r="AL32" i="26" s="1"/>
  <c r="Y32" i="78"/>
  <c r="Y32" i="26" s="1"/>
  <c r="Z32" i="78"/>
  <c r="Z32" i="26" s="1"/>
  <c r="AH32" i="78"/>
  <c r="AH32" i="26" s="1"/>
  <c r="M32" i="78"/>
  <c r="M32" i="26" s="1"/>
  <c r="U32" i="78"/>
  <c r="U32" i="26" s="1"/>
  <c r="AI32" i="78"/>
  <c r="AI32" i="26" s="1"/>
  <c r="AM32" i="78"/>
  <c r="AM32" i="26" s="1"/>
  <c r="AB32" i="78"/>
  <c r="AB32" i="26" s="1"/>
  <c r="AN32" i="78"/>
  <c r="AN32" i="26" s="1"/>
  <c r="N32" i="78"/>
  <c r="N32" i="26" s="1"/>
  <c r="AA32" i="78"/>
  <c r="AA32" i="26" s="1"/>
  <c r="AD32" i="78"/>
  <c r="AD32" i="26" s="1"/>
  <c r="S32" i="78"/>
  <c r="S32" i="26" s="1"/>
  <c r="AE32" i="78"/>
  <c r="AE32" i="26" s="1"/>
  <c r="AJ32" i="78"/>
  <c r="AJ32" i="26" s="1"/>
  <c r="W32" i="78"/>
  <c r="W32" i="26" s="1"/>
  <c r="L32" i="78"/>
  <c r="L32" i="26" s="1"/>
  <c r="G32" i="78"/>
  <c r="G32" i="26" s="1"/>
  <c r="E27" i="78"/>
  <c r="AC12" i="78"/>
  <c r="Q12" i="78"/>
  <c r="AK12" i="78"/>
  <c r="AA12" i="78"/>
  <c r="AE12" i="78"/>
  <c r="J10" i="17"/>
  <c r="O10" i="17"/>
  <c r="X12" i="78"/>
  <c r="M12" i="78"/>
  <c r="N12" i="78"/>
  <c r="G10" i="17"/>
  <c r="AN12" i="78"/>
  <c r="AI10" i="17"/>
  <c r="AN10" i="17"/>
  <c r="AD12" i="78"/>
  <c r="AB12" i="78"/>
  <c r="AH12" i="78"/>
  <c r="AA10" i="17"/>
  <c r="J12" i="78"/>
  <c r="F10" i="17"/>
  <c r="Y12" i="78"/>
  <c r="F12" i="78"/>
  <c r="R10" i="17"/>
  <c r="S10" i="17"/>
  <c r="Q10" i="17"/>
  <c r="I10" i="17"/>
  <c r="K10" i="17"/>
  <c r="H10" i="17"/>
  <c r="H12" i="78"/>
  <c r="G12" i="78"/>
  <c r="L12" i="78"/>
  <c r="AH10" i="17"/>
  <c r="AG10" i="17"/>
  <c r="O12" i="78"/>
  <c r="AF10" i="17"/>
  <c r="L10" i="17"/>
  <c r="AJ12" i="78"/>
  <c r="N10" i="17"/>
  <c r="AM10" i="17"/>
  <c r="AD10" i="17"/>
  <c r="AG12" i="78"/>
  <c r="S12" i="78"/>
  <c r="AI12" i="78"/>
  <c r="Z10" i="17"/>
  <c r="Z12" i="78"/>
  <c r="V10" i="17"/>
  <c r="M10" i="17"/>
  <c r="P12" i="78"/>
  <c r="X10" i="17"/>
  <c r="AJ10" i="17"/>
  <c r="Y10" i="17"/>
  <c r="AC10" i="17"/>
  <c r="T10" i="17"/>
  <c r="U12" i="78"/>
  <c r="I12" i="78"/>
  <c r="R12" i="78"/>
  <c r="T12" i="78"/>
  <c r="V12" i="78"/>
  <c r="W12" i="78"/>
  <c r="AL12" i="78"/>
  <c r="P10" i="17"/>
  <c r="AE10" i="17"/>
  <c r="W10" i="17"/>
  <c r="AK10" i="17"/>
  <c r="AL10" i="17"/>
  <c r="K12" i="78"/>
  <c r="AF12" i="78"/>
  <c r="AM12" i="78"/>
  <c r="AB10" i="17"/>
  <c r="U10" i="17"/>
  <c r="Q43" i="26"/>
  <c r="CG4" i="69" a="1"/>
  <c r="Q33" i="78"/>
  <c r="AC33" i="78"/>
  <c r="T33" i="78"/>
  <c r="T33" i="26" s="1"/>
  <c r="AD33" i="78"/>
  <c r="AD33" i="26" s="1"/>
  <c r="AN33" i="78"/>
  <c r="AN33" i="26" s="1"/>
  <c r="L33" i="78"/>
  <c r="L33" i="26" s="1"/>
  <c r="X33" i="78"/>
  <c r="X33" i="26" s="1"/>
  <c r="AK33" i="78"/>
  <c r="AK33" i="26" s="1"/>
  <c r="H33" i="78"/>
  <c r="H33" i="26" s="1"/>
  <c r="AE33" i="78"/>
  <c r="AE33" i="26" s="1"/>
  <c r="AJ33" i="78"/>
  <c r="AJ33" i="26" s="1"/>
  <c r="AA33" i="78"/>
  <c r="AA33" i="26" s="1"/>
  <c r="G33" i="78"/>
  <c r="G33" i="26" s="1"/>
  <c r="U33" i="78"/>
  <c r="U33" i="26" s="1"/>
  <c r="W33" i="78"/>
  <c r="W33" i="26" s="1"/>
  <c r="N33" i="78"/>
  <c r="N33" i="26" s="1"/>
  <c r="AM33" i="78"/>
  <c r="AM33" i="26" s="1"/>
  <c r="AG33" i="78"/>
  <c r="AG33" i="26" s="1"/>
  <c r="P33" i="78"/>
  <c r="P33" i="26" s="1"/>
  <c r="J33" i="78"/>
  <c r="J33" i="26" s="1"/>
  <c r="I33" i="78"/>
  <c r="I33" i="26" s="1"/>
  <c r="AI33" i="78"/>
  <c r="AI33" i="26" s="1"/>
  <c r="Z33" i="78"/>
  <c r="Z33" i="26" s="1"/>
  <c r="R33" i="78"/>
  <c r="R33" i="26" s="1"/>
  <c r="AL33" i="78"/>
  <c r="AL33" i="26" s="1"/>
  <c r="AB33" i="78"/>
  <c r="AB33" i="26" s="1"/>
  <c r="Y33" i="78"/>
  <c r="Y33" i="26" s="1"/>
  <c r="K33" i="78"/>
  <c r="K33" i="26" s="1"/>
  <c r="AH33" i="78"/>
  <c r="AH33" i="26" s="1"/>
  <c r="F33" i="78"/>
  <c r="F33" i="26" s="1"/>
  <c r="V33" i="78"/>
  <c r="V33" i="26" s="1"/>
  <c r="AF33" i="78"/>
  <c r="AF33" i="26" s="1"/>
  <c r="O33" i="78"/>
  <c r="O33" i="26" s="1"/>
  <c r="S33" i="78"/>
  <c r="S33" i="26" s="1"/>
  <c r="M33" i="78"/>
  <c r="M33" i="26" s="1"/>
  <c r="E34" i="78"/>
  <c r="AC27" i="26"/>
  <c r="Q31" i="26"/>
  <c r="E31" i="78"/>
  <c r="Q42" i="26"/>
  <c r="AC34" i="26"/>
  <c r="AC31" i="26"/>
  <c r="T22" i="84" l="1" a="1"/>
  <c r="T22" i="84" s="1"/>
  <c r="T16" i="84" s="1"/>
  <c r="AF22" i="85" a="1"/>
  <c r="AF22" i="85" s="1"/>
  <c r="AF16" i="85" s="1"/>
  <c r="X22" i="85" a="1"/>
  <c r="X22" i="85" s="1"/>
  <c r="X16" i="85" s="1"/>
  <c r="W22" i="84" a="1"/>
  <c r="W22" i="84" s="1"/>
  <c r="W16" i="84" s="1"/>
  <c r="J22" i="84" a="1"/>
  <c r="J22" i="84" s="1"/>
  <c r="J16" i="84" s="1"/>
  <c r="AH22" i="85" a="1"/>
  <c r="AH22" i="85" s="1"/>
  <c r="AH16" i="85" s="1"/>
  <c r="S22" i="84" a="1"/>
  <c r="S22" i="84" s="1"/>
  <c r="S16" i="84" s="1"/>
  <c r="X22" i="84" a="1"/>
  <c r="X22" i="84" s="1"/>
  <c r="X16" i="84" s="1"/>
  <c r="AA22" i="85" a="1"/>
  <c r="AA22" i="85" s="1"/>
  <c r="AA16" i="85" s="1"/>
  <c r="AD22" i="85" a="1"/>
  <c r="AD22" i="85" s="1"/>
  <c r="AD16" i="85" s="1"/>
  <c r="AB22" i="85" a="1"/>
  <c r="AB22" i="85" s="1"/>
  <c r="AB16" i="85" s="1"/>
  <c r="AM22" i="85" a="1"/>
  <c r="AM22" i="85" s="1"/>
  <c r="AM16" i="85" s="1"/>
  <c r="AE22" i="85" a="1"/>
  <c r="AE22" i="85" s="1"/>
  <c r="AE16" i="85" s="1"/>
  <c r="W22" i="85" a="1"/>
  <c r="W22" i="85" s="1"/>
  <c r="W16" i="85" s="1"/>
  <c r="V22" i="84" a="1"/>
  <c r="V22" i="84" s="1"/>
  <c r="V16" i="84" s="1"/>
  <c r="AJ22" i="85" a="1"/>
  <c r="AJ22" i="85" s="1"/>
  <c r="AJ16" i="85" s="1"/>
  <c r="V22" i="85" a="1"/>
  <c r="V22" i="85" s="1"/>
  <c r="V16" i="85" s="1"/>
  <c r="R22" i="84" a="1"/>
  <c r="R22" i="84" s="1"/>
  <c r="R16" i="84" s="1"/>
  <c r="Z22" i="85" a="1"/>
  <c r="Z22" i="85" s="1"/>
  <c r="Z16" i="85" s="1"/>
  <c r="AI22" i="85" a="1"/>
  <c r="AI22" i="85" s="1"/>
  <c r="AI16" i="85" s="1"/>
  <c r="L22" i="84" a="1"/>
  <c r="L22" i="84" s="1"/>
  <c r="L16" i="84" s="1"/>
  <c r="K22" i="84" a="1"/>
  <c r="K22" i="84" s="1"/>
  <c r="K16" i="84" s="1"/>
  <c r="AN22" i="85" a="1"/>
  <c r="AN22" i="85" s="1"/>
  <c r="AN16" i="85" s="1"/>
  <c r="AL22" i="85" a="1"/>
  <c r="AL22" i="85" s="1"/>
  <c r="AL16" i="85" s="1"/>
  <c r="P24" i="84" a="1"/>
  <c r="P24" i="84" s="1"/>
  <c r="H24" i="84" s="1"/>
  <c r="O24" i="34" s="1"/>
  <c r="N24" i="84" a="1"/>
  <c r="N24" i="84" s="1"/>
  <c r="F24" i="84" s="1"/>
  <c r="M24" i="34" s="1"/>
  <c r="O24" i="84" a="1"/>
  <c r="O24" i="84" s="1"/>
  <c r="G24" i="84" s="1"/>
  <c r="N24" i="34" s="1"/>
  <c r="N23" i="84" a="1"/>
  <c r="N23" i="84" s="1"/>
  <c r="F23" i="84" s="1"/>
  <c r="M23" i="34" s="1"/>
  <c r="P23" i="84" a="1"/>
  <c r="P23" i="84" s="1"/>
  <c r="H23" i="84" s="1"/>
  <c r="O23" i="34" s="1"/>
  <c r="O23" i="84" a="1"/>
  <c r="O23" i="84" s="1"/>
  <c r="G23" i="84" s="1"/>
  <c r="N23" i="34" s="1"/>
  <c r="N21" i="84" a="1"/>
  <c r="N21" i="84" s="1"/>
  <c r="P21" i="84" a="1"/>
  <c r="P21" i="84" s="1"/>
  <c r="H21" i="84" s="1"/>
  <c r="O21" i="84" a="1"/>
  <c r="O21" i="84" s="1"/>
  <c r="G21" i="84" s="1"/>
  <c r="P25" i="84" a="1"/>
  <c r="P25" i="84" s="1"/>
  <c r="H25" i="84" s="1"/>
  <c r="O25" i="34" s="1"/>
  <c r="O25" i="84" a="1"/>
  <c r="O25" i="84" s="1"/>
  <c r="G25" i="84" s="1"/>
  <c r="N25" i="34" s="1"/>
  <c r="N25" i="84" a="1"/>
  <c r="N25" i="84" s="1"/>
  <c r="F25" i="84" s="1"/>
  <c r="M25" i="34" s="1"/>
  <c r="AB28" i="85" a="1"/>
  <c r="AB28" i="85" s="1"/>
  <c r="W28" i="84" a="1"/>
  <c r="W28" i="84" s="1"/>
  <c r="AD28" i="85" a="1"/>
  <c r="AD28" i="85" s="1"/>
  <c r="R28" i="85" s="1"/>
  <c r="AI28" i="85" a="1"/>
  <c r="AI28" i="85" s="1"/>
  <c r="AA28" i="85" a="1"/>
  <c r="AA28" i="85" s="1"/>
  <c r="AM28" i="85" a="1"/>
  <c r="AM28" i="85" s="1"/>
  <c r="T28" i="84" a="1"/>
  <c r="T28" i="84" s="1"/>
  <c r="AE28" i="85" a="1"/>
  <c r="AE28" i="85" s="1"/>
  <c r="S28" i="85" s="1"/>
  <c r="AJ28" i="85" a="1"/>
  <c r="AJ28" i="85" s="1"/>
  <c r="V28" i="85" a="1"/>
  <c r="V28" i="85" s="1"/>
  <c r="AF28" i="85" a="1"/>
  <c r="AF28" i="85" s="1"/>
  <c r="T28" i="85" s="1"/>
  <c r="AN28" i="85" a="1"/>
  <c r="AN28" i="85" s="1"/>
  <c r="X28" i="85" a="1"/>
  <c r="X28" i="85" s="1"/>
  <c r="Z28" i="85" a="1"/>
  <c r="Z28" i="85" s="1"/>
  <c r="K28" i="84" a="1"/>
  <c r="K28" i="84" s="1"/>
  <c r="R28" i="84" a="1"/>
  <c r="R28" i="84" s="1"/>
  <c r="AL28" i="85" a="1"/>
  <c r="AL28" i="85" s="1"/>
  <c r="J28" i="84" a="1"/>
  <c r="J28" i="84" s="1"/>
  <c r="AH28" i="85" a="1"/>
  <c r="AH28" i="85" s="1"/>
  <c r="W28" i="85" a="1"/>
  <c r="W28" i="85" s="1"/>
  <c r="L28" i="84" a="1"/>
  <c r="L28" i="84" s="1"/>
  <c r="X28" i="84" a="1"/>
  <c r="X28" i="84" s="1"/>
  <c r="S28" i="84" a="1"/>
  <c r="S28" i="84" s="1"/>
  <c r="V28" i="84" a="1"/>
  <c r="V28" i="84" s="1"/>
  <c r="J24" i="85"/>
  <c r="AH12" i="98"/>
  <c r="AG12" i="98"/>
  <c r="AF12" i="98"/>
  <c r="E35" i="34"/>
  <c r="U10" i="98"/>
  <c r="AE7" i="98"/>
  <c r="AI7" i="98" s="1"/>
  <c r="U9" i="98"/>
  <c r="AH10" i="98"/>
  <c r="AG10" i="98"/>
  <c r="AG17" i="98" s="1"/>
  <c r="AF10" i="98"/>
  <c r="AF17" i="98" s="1"/>
  <c r="AE12" i="98"/>
  <c r="AI12" i="98" s="1"/>
  <c r="U15" i="98"/>
  <c r="AA15" i="98" s="1"/>
  <c r="N29" i="85"/>
  <c r="E50" i="17" a="1"/>
  <c r="O29" i="85"/>
  <c r="L25" i="85"/>
  <c r="L23" i="85"/>
  <c r="O23" i="85"/>
  <c r="K29" i="85"/>
  <c r="K41" i="34" a="1"/>
  <c r="K41" i="34" s="1"/>
  <c r="G41" i="34" s="1"/>
  <c r="J41" i="34" a="1"/>
  <c r="J41" i="34" s="1"/>
  <c r="F41" i="34" s="1"/>
  <c r="I41" i="34" a="1"/>
  <c r="I41" i="34" s="1"/>
  <c r="E41" i="34" s="1"/>
  <c r="J39" i="34" a="1"/>
  <c r="J39" i="34" s="1"/>
  <c r="F39" i="34" s="1"/>
  <c r="K39" i="34" a="1"/>
  <c r="K39" i="34" s="1"/>
  <c r="G39" i="34" s="1"/>
  <c r="AR43" i="26" a="1"/>
  <c r="AR43" i="26" s="1"/>
  <c r="P23" i="85"/>
  <c r="J29" i="85"/>
  <c r="J23" i="85"/>
  <c r="P21" i="85"/>
  <c r="T21" i="85"/>
  <c r="J21" i="85"/>
  <c r="K21" i="85"/>
  <c r="L21" i="85"/>
  <c r="N21" i="85"/>
  <c r="R21" i="85"/>
  <c r="O21" i="85"/>
  <c r="S21" i="85"/>
  <c r="L24" i="85"/>
  <c r="K24" i="85"/>
  <c r="N24" i="85"/>
  <c r="P29" i="85"/>
  <c r="L29" i="85"/>
  <c r="K23" i="85"/>
  <c r="N23" i="85"/>
  <c r="J25" i="85"/>
  <c r="N25" i="85"/>
  <c r="O25" i="85"/>
  <c r="P25" i="85"/>
  <c r="K25" i="85"/>
  <c r="AR26" i="26" a="1"/>
  <c r="AR26" i="26" s="1"/>
  <c r="P24" i="85"/>
  <c r="AQ26" i="26" a="1"/>
  <c r="AQ26" i="26" s="1"/>
  <c r="O24" i="85"/>
  <c r="T26" i="85"/>
  <c r="S26" i="85"/>
  <c r="R26" i="85"/>
  <c r="F29" i="84"/>
  <c r="M29" i="34" s="1"/>
  <c r="G29" i="84"/>
  <c r="N29" i="34" s="1"/>
  <c r="H29" i="84"/>
  <c r="O29" i="34" s="1"/>
  <c r="AP10" i="26" a="1"/>
  <c r="AP10" i="26" s="1"/>
  <c r="AR10" i="26" a="1"/>
  <c r="AR10" i="26" s="1"/>
  <c r="AQ10" i="26" a="1"/>
  <c r="AQ10" i="26" s="1"/>
  <c r="AR48" i="26" a="1"/>
  <c r="AR48" i="26" s="1"/>
  <c r="AQ48" i="26" a="1"/>
  <c r="AQ48" i="26" s="1"/>
  <c r="AP29" i="26" a="1"/>
  <c r="AP29" i="26" s="1"/>
  <c r="AQ30" i="26" a="1"/>
  <c r="AQ30" i="26" s="1"/>
  <c r="AR30" i="26" a="1"/>
  <c r="AR30" i="26" s="1"/>
  <c r="AQ34" i="26" a="1"/>
  <c r="AQ34" i="26" s="1"/>
  <c r="AR42" i="26" a="1"/>
  <c r="AR42" i="26" s="1"/>
  <c r="AQ29" i="26" a="1"/>
  <c r="AQ29" i="26" s="1"/>
  <c r="AR28" i="26" a="1"/>
  <c r="AR28" i="26" s="1"/>
  <c r="AQ28" i="26" a="1"/>
  <c r="AQ28" i="26" s="1"/>
  <c r="AR29" i="26" a="1"/>
  <c r="AR29" i="26" s="1"/>
  <c r="AQ27" i="26" a="1"/>
  <c r="AQ27" i="26" s="1"/>
  <c r="AQ43" i="26" a="1"/>
  <c r="AQ43" i="26" s="1"/>
  <c r="AR27" i="26" a="1"/>
  <c r="AR27" i="26" s="1"/>
  <c r="AQ31" i="26" a="1"/>
  <c r="AQ31" i="26" s="1"/>
  <c r="AQ42" i="26" a="1"/>
  <c r="AQ42" i="26" s="1"/>
  <c r="AR34" i="26" a="1"/>
  <c r="AR34" i="26" s="1"/>
  <c r="AR31" i="26" a="1"/>
  <c r="AR31" i="26" s="1"/>
  <c r="EC4" i="69" a="1"/>
  <c r="BI4" i="69"/>
  <c r="G7" i="34"/>
  <c r="F7" i="34"/>
  <c r="CG4" i="69"/>
  <c r="AG44" i="78"/>
  <c r="AG44" i="26" s="1"/>
  <c r="G44" i="78"/>
  <c r="G44" i="26" s="1"/>
  <c r="AJ44" i="78"/>
  <c r="AJ44" i="26" s="1"/>
  <c r="AE44" i="78"/>
  <c r="AE44" i="26" s="1"/>
  <c r="Z44" i="78"/>
  <c r="Z44" i="26" s="1"/>
  <c r="U44" i="78"/>
  <c r="U44" i="26" s="1"/>
  <c r="P44" i="78"/>
  <c r="P44" i="26" s="1"/>
  <c r="K44" i="78"/>
  <c r="K44" i="26" s="1"/>
  <c r="AL44" i="78"/>
  <c r="AL44" i="26" s="1"/>
  <c r="AB44" i="78"/>
  <c r="AB44" i="26" s="1"/>
  <c r="W44" i="78"/>
  <c r="W44" i="26" s="1"/>
  <c r="R44" i="78"/>
  <c r="R44" i="26" s="1"/>
  <c r="M44" i="78"/>
  <c r="M44" i="26" s="1"/>
  <c r="H44" i="78"/>
  <c r="H44" i="26" s="1"/>
  <c r="F44" i="78"/>
  <c r="F44" i="26" s="1"/>
  <c r="AM44" i="78"/>
  <c r="AM44" i="26" s="1"/>
  <c r="AH44" i="78"/>
  <c r="AH44" i="26" s="1"/>
  <c r="AC44" i="78"/>
  <c r="AN44" i="78"/>
  <c r="AN44" i="26" s="1"/>
  <c r="AI44" i="78"/>
  <c r="AI44" i="26" s="1"/>
  <c r="AD44" i="78"/>
  <c r="AD44" i="26" s="1"/>
  <c r="X44" i="78"/>
  <c r="X44" i="26" s="1"/>
  <c r="S44" i="78"/>
  <c r="S44" i="26" s="1"/>
  <c r="N44" i="78"/>
  <c r="N44" i="26" s="1"/>
  <c r="I44" i="78"/>
  <c r="I44" i="26" s="1"/>
  <c r="Y44" i="78"/>
  <c r="Y44" i="26" s="1"/>
  <c r="T44" i="78"/>
  <c r="T44" i="26" s="1"/>
  <c r="O44" i="78"/>
  <c r="O44" i="26" s="1"/>
  <c r="J44" i="78"/>
  <c r="J44" i="26" s="1"/>
  <c r="AK44" i="78"/>
  <c r="AK44" i="26" s="1"/>
  <c r="AF44" i="78"/>
  <c r="AF44" i="26" s="1"/>
  <c r="AA44" i="78"/>
  <c r="AA44" i="26" s="1"/>
  <c r="V44" i="78"/>
  <c r="V44" i="26" s="1"/>
  <c r="Q44" i="78"/>
  <c r="L44" i="78"/>
  <c r="L44" i="26" s="1"/>
  <c r="AN46" i="78"/>
  <c r="AN46" i="26" s="1"/>
  <c r="AH46" i="78"/>
  <c r="AH46" i="26" s="1"/>
  <c r="AC46" i="78"/>
  <c r="X46" i="78"/>
  <c r="X46" i="26" s="1"/>
  <c r="S46" i="78"/>
  <c r="S46" i="26" s="1"/>
  <c r="N46" i="78"/>
  <c r="N46" i="26" s="1"/>
  <c r="I46" i="78"/>
  <c r="I46" i="26" s="1"/>
  <c r="AL46" i="78"/>
  <c r="AL46" i="26" s="1"/>
  <c r="AF46" i="78"/>
  <c r="AF46" i="26" s="1"/>
  <c r="AA46" i="78"/>
  <c r="AA46" i="26" s="1"/>
  <c r="V46" i="78"/>
  <c r="V46" i="26" s="1"/>
  <c r="Q46" i="78"/>
  <c r="L46" i="78"/>
  <c r="L46" i="26" s="1"/>
  <c r="G46" i="78"/>
  <c r="G46" i="26" s="1"/>
  <c r="AK46" i="78"/>
  <c r="AK46" i="26" s="1"/>
  <c r="AG46" i="78"/>
  <c r="AG46" i="26" s="1"/>
  <c r="AB46" i="78"/>
  <c r="AB46" i="26" s="1"/>
  <c r="W46" i="78"/>
  <c r="W46" i="26" s="1"/>
  <c r="R46" i="78"/>
  <c r="R46" i="26" s="1"/>
  <c r="M46" i="78"/>
  <c r="M46" i="26" s="1"/>
  <c r="H46" i="78"/>
  <c r="H46" i="26" s="1"/>
  <c r="AJ46" i="78"/>
  <c r="AJ46" i="26" s="1"/>
  <c r="AE46" i="78"/>
  <c r="AE46" i="26" s="1"/>
  <c r="Z46" i="78"/>
  <c r="Z46" i="26" s="1"/>
  <c r="AM46" i="78"/>
  <c r="AM46" i="26" s="1"/>
  <c r="AI46" i="78"/>
  <c r="AI46" i="26" s="1"/>
  <c r="AD46" i="78"/>
  <c r="AD46" i="26" s="1"/>
  <c r="Y46" i="78"/>
  <c r="Y46" i="26" s="1"/>
  <c r="O46" i="78"/>
  <c r="O46" i="26" s="1"/>
  <c r="J46" i="78"/>
  <c r="J46" i="26" s="1"/>
  <c r="U46" i="78"/>
  <c r="U46" i="26" s="1"/>
  <c r="P46" i="78"/>
  <c r="P46" i="26" s="1"/>
  <c r="K46" i="78"/>
  <c r="K46" i="26" s="1"/>
  <c r="F46" i="78"/>
  <c r="F46" i="26" s="1"/>
  <c r="T46" i="78"/>
  <c r="T46" i="26" s="1"/>
  <c r="E48" i="26"/>
  <c r="I45" i="26"/>
  <c r="H45" i="26"/>
  <c r="AI45" i="26"/>
  <c r="F45" i="26"/>
  <c r="V45" i="26"/>
  <c r="AL45" i="26"/>
  <c r="AA45" i="26"/>
  <c r="AJ45" i="26"/>
  <c r="AB45" i="26"/>
  <c r="Z45" i="26"/>
  <c r="Y45" i="26"/>
  <c r="AM45" i="26"/>
  <c r="S45" i="26"/>
  <c r="P45" i="26"/>
  <c r="L45" i="26"/>
  <c r="W45" i="26"/>
  <c r="J45" i="26"/>
  <c r="M45" i="26"/>
  <c r="X45" i="26"/>
  <c r="AG45" i="26"/>
  <c r="O45" i="26"/>
  <c r="AH45" i="26"/>
  <c r="U45" i="26"/>
  <c r="AE45" i="26"/>
  <c r="AD45" i="26"/>
  <c r="G45" i="26"/>
  <c r="N45" i="26"/>
  <c r="R45" i="26"/>
  <c r="AF45" i="26"/>
  <c r="K45" i="26"/>
  <c r="AK45" i="26"/>
  <c r="AN45" i="26"/>
  <c r="T45" i="26"/>
  <c r="E31" i="26"/>
  <c r="E42" i="26"/>
  <c r="AK23" i="78"/>
  <c r="V23" i="78"/>
  <c r="P23" i="78"/>
  <c r="L23" i="78"/>
  <c r="AL23" i="78"/>
  <c r="AB23" i="78"/>
  <c r="AA23" i="78"/>
  <c r="J23" i="78"/>
  <c r="O23" i="78"/>
  <c r="S23" i="78"/>
  <c r="AJ23" i="78"/>
  <c r="AE23" i="78"/>
  <c r="AD23" i="78"/>
  <c r="W23" i="78"/>
  <c r="AC23" i="78"/>
  <c r="R23" i="78"/>
  <c r="Q23" i="78"/>
  <c r="AG23" i="78"/>
  <c r="AM23" i="78"/>
  <c r="AN23" i="78"/>
  <c r="Z23" i="78"/>
  <c r="T23" i="78"/>
  <c r="F23" i="78"/>
  <c r="M23" i="78"/>
  <c r="I23" i="78"/>
  <c r="N23" i="78"/>
  <c r="AI23" i="78"/>
  <c r="G23" i="78"/>
  <c r="AF23" i="78"/>
  <c r="U23" i="78"/>
  <c r="K23" i="78"/>
  <c r="X23" i="78"/>
  <c r="H23" i="78"/>
  <c r="Y23" i="78"/>
  <c r="AH23" i="78"/>
  <c r="E26" i="26"/>
  <c r="Q32" i="26"/>
  <c r="X40" i="78"/>
  <c r="O40" i="78"/>
  <c r="S40" i="78"/>
  <c r="AI40" i="78"/>
  <c r="AH40" i="78"/>
  <c r="AK40" i="78"/>
  <c r="J40" i="78"/>
  <c r="AA40" i="78"/>
  <c r="F40" i="78"/>
  <c r="AM40" i="78"/>
  <c r="AB40" i="78"/>
  <c r="R40" i="78"/>
  <c r="Z40" i="78"/>
  <c r="W40" i="78"/>
  <c r="N40" i="78"/>
  <c r="L40" i="78"/>
  <c r="U40" i="78"/>
  <c r="V40" i="78"/>
  <c r="AD40" i="78"/>
  <c r="T40" i="78"/>
  <c r="G40" i="78"/>
  <c r="I40" i="78"/>
  <c r="K40" i="78"/>
  <c r="AF40" i="78"/>
  <c r="Y40" i="78"/>
  <c r="AJ40" i="78"/>
  <c r="H40" i="78"/>
  <c r="AG40" i="78"/>
  <c r="P40" i="78"/>
  <c r="AE40" i="78"/>
  <c r="AL40" i="78"/>
  <c r="AC40" i="78"/>
  <c r="Q40" i="78"/>
  <c r="AN40" i="78"/>
  <c r="M40" i="78"/>
  <c r="E28" i="26"/>
  <c r="Q33" i="26"/>
  <c r="AC32" i="26"/>
  <c r="E43" i="26"/>
  <c r="E27" i="26"/>
  <c r="E30" i="26"/>
  <c r="E32" i="78"/>
  <c r="E33" i="78"/>
  <c r="AC33" i="26"/>
  <c r="E10" i="17"/>
  <c r="E12" i="78"/>
  <c r="O21" i="34" l="1"/>
  <c r="N21" i="34"/>
  <c r="F24" i="85"/>
  <c r="Q24" i="34" s="1"/>
  <c r="E24" i="34" s="1"/>
  <c r="AI36" i="85" a="1"/>
  <c r="AI36" i="85" s="1"/>
  <c r="K36" i="84" a="1"/>
  <c r="K36" i="84" s="1"/>
  <c r="R36" i="84" a="1"/>
  <c r="R36" i="84" s="1"/>
  <c r="AB36" i="85" a="1"/>
  <c r="AB36" i="85" s="1"/>
  <c r="AD36" i="85" a="1"/>
  <c r="AD36" i="85" s="1"/>
  <c r="AJ36" i="85" a="1"/>
  <c r="AJ36" i="85" s="1"/>
  <c r="AA36" i="85" a="1"/>
  <c r="AA36" i="85" s="1"/>
  <c r="V36" i="85" a="1"/>
  <c r="V36" i="85" s="1"/>
  <c r="AF36" i="85" a="1"/>
  <c r="AF36" i="85" s="1"/>
  <c r="W36" i="85" a="1"/>
  <c r="W36" i="85" s="1"/>
  <c r="W36" i="84" a="1"/>
  <c r="W36" i="84" s="1"/>
  <c r="L36" i="84" a="1"/>
  <c r="L36" i="84" s="1"/>
  <c r="AN36" i="85" a="1"/>
  <c r="AN36" i="85" s="1"/>
  <c r="AE36" i="85" a="1"/>
  <c r="AE36" i="85" s="1"/>
  <c r="J36" i="84" a="1"/>
  <c r="J36" i="84" s="1"/>
  <c r="S36" i="84" a="1"/>
  <c r="S36" i="84" s="1"/>
  <c r="AH36" i="85" a="1"/>
  <c r="AH36" i="85" s="1"/>
  <c r="AL36" i="85" a="1"/>
  <c r="AL36" i="85" s="1"/>
  <c r="T36" i="84" a="1"/>
  <c r="T36" i="84" s="1"/>
  <c r="AM36" i="85" a="1"/>
  <c r="AM36" i="85" s="1"/>
  <c r="X36" i="85" a="1"/>
  <c r="X36" i="85" s="1"/>
  <c r="V36" i="84" a="1"/>
  <c r="V36" i="84" s="1"/>
  <c r="Z36" i="85" a="1"/>
  <c r="Z36" i="85" s="1"/>
  <c r="X36" i="84" a="1"/>
  <c r="X36" i="84" s="1"/>
  <c r="N22" i="84" a="1"/>
  <c r="N22" i="84" s="1"/>
  <c r="N16" i="84" s="1"/>
  <c r="P22" i="84" a="1"/>
  <c r="P22" i="84" s="1"/>
  <c r="P16" i="84" s="1"/>
  <c r="O22" i="84" a="1"/>
  <c r="O22" i="84" s="1"/>
  <c r="O16" i="84" s="1"/>
  <c r="N28" i="84" a="1"/>
  <c r="N28" i="84" s="1"/>
  <c r="F28" i="84" s="1"/>
  <c r="M28" i="34" s="1"/>
  <c r="P28" i="84" a="1"/>
  <c r="P28" i="84" s="1"/>
  <c r="H28" i="84" s="1"/>
  <c r="O28" i="34" s="1"/>
  <c r="O28" i="84" a="1"/>
  <c r="O28" i="84" s="1"/>
  <c r="G28" i="84" s="1"/>
  <c r="N28" i="34" s="1"/>
  <c r="AH17" i="98"/>
  <c r="I39" i="34" a="1"/>
  <c r="I39" i="34" s="1"/>
  <c r="E39" i="34" s="1"/>
  <c r="G29" i="85"/>
  <c r="R29" i="34" s="1"/>
  <c r="F29" i="34" s="1"/>
  <c r="F29" i="85"/>
  <c r="Q29" i="34" s="1"/>
  <c r="E29" i="34" s="1"/>
  <c r="AE10" i="98"/>
  <c r="AI10" i="98" s="1"/>
  <c r="U13" i="98"/>
  <c r="AA9" i="98"/>
  <c r="AI6" i="98"/>
  <c r="AN49" i="73"/>
  <c r="AM49" i="73"/>
  <c r="AK49" i="73"/>
  <c r="AJ49" i="73"/>
  <c r="AI49" i="73"/>
  <c r="AH49" i="73"/>
  <c r="AG49" i="73"/>
  <c r="AE49" i="73"/>
  <c r="AC49" i="73"/>
  <c r="AA49" i="73"/>
  <c r="Y49" i="73"/>
  <c r="W49" i="73"/>
  <c r="T49" i="73"/>
  <c r="S49" i="73"/>
  <c r="Q49" i="73"/>
  <c r="O49" i="73"/>
  <c r="M49" i="73"/>
  <c r="K49" i="73"/>
  <c r="I49" i="73"/>
  <c r="G49" i="73"/>
  <c r="AL49" i="73"/>
  <c r="AF49" i="73"/>
  <c r="AD49" i="73"/>
  <c r="AB49" i="73"/>
  <c r="Z49" i="73"/>
  <c r="X49" i="73"/>
  <c r="V49" i="73"/>
  <c r="U49" i="73"/>
  <c r="R49" i="73"/>
  <c r="P49" i="73"/>
  <c r="N49" i="73"/>
  <c r="L49" i="73"/>
  <c r="J49" i="73"/>
  <c r="H49" i="73"/>
  <c r="F49" i="73"/>
  <c r="AN49" i="23"/>
  <c r="AM49" i="23"/>
  <c r="AL49" i="23"/>
  <c r="AK49" i="23"/>
  <c r="AJ49" i="23"/>
  <c r="AI49" i="23"/>
  <c r="AH49" i="23"/>
  <c r="AG49" i="23"/>
  <c r="AF49" i="23"/>
  <c r="AE49" i="23"/>
  <c r="AD49" i="23"/>
  <c r="AC49" i="23"/>
  <c r="AB49" i="23"/>
  <c r="AA49" i="23"/>
  <c r="Z49" i="23"/>
  <c r="Y49" i="23"/>
  <c r="X49" i="23"/>
  <c r="W49" i="23"/>
  <c r="V49" i="23"/>
  <c r="U49" i="23"/>
  <c r="T49" i="23"/>
  <c r="S49" i="23"/>
  <c r="R49" i="23"/>
  <c r="Q49" i="23"/>
  <c r="P49" i="23"/>
  <c r="O49" i="23"/>
  <c r="N49" i="23"/>
  <c r="M49" i="23"/>
  <c r="L49" i="23"/>
  <c r="K49" i="23"/>
  <c r="J49" i="23"/>
  <c r="I49" i="23"/>
  <c r="H49" i="23"/>
  <c r="G49" i="23"/>
  <c r="F49" i="23"/>
  <c r="AN49" i="29"/>
  <c r="AM49" i="29"/>
  <c r="AL49" i="29"/>
  <c r="AK49" i="29"/>
  <c r="AJ49" i="29"/>
  <c r="AI49" i="29"/>
  <c r="AH49" i="29"/>
  <c r="AG49" i="29"/>
  <c r="AF49" i="29"/>
  <c r="AE49" i="29"/>
  <c r="AD49" i="29"/>
  <c r="AC49" i="29"/>
  <c r="AB49" i="29"/>
  <c r="AA49" i="29"/>
  <c r="Z49" i="29"/>
  <c r="Y49" i="29"/>
  <c r="X49" i="29"/>
  <c r="W49" i="29"/>
  <c r="V49" i="29"/>
  <c r="U49" i="29"/>
  <c r="T49" i="29"/>
  <c r="S49" i="29"/>
  <c r="R49" i="29"/>
  <c r="Q49" i="29"/>
  <c r="P49" i="29"/>
  <c r="O49" i="29"/>
  <c r="N49" i="29"/>
  <c r="M49" i="29"/>
  <c r="L49" i="29"/>
  <c r="K49" i="29"/>
  <c r="J49" i="29"/>
  <c r="I49" i="29"/>
  <c r="H49" i="29"/>
  <c r="G49" i="29"/>
  <c r="F49" i="29"/>
  <c r="AL49" i="24"/>
  <c r="AI49" i="24"/>
  <c r="AG49" i="24"/>
  <c r="AE49" i="24"/>
  <c r="AC49" i="24"/>
  <c r="AA49" i="24"/>
  <c r="Z49" i="24"/>
  <c r="X49" i="24"/>
  <c r="V49" i="24"/>
  <c r="T49" i="24"/>
  <c r="R49" i="24"/>
  <c r="P49" i="24"/>
  <c r="L49" i="24"/>
  <c r="J49" i="24"/>
  <c r="I49" i="24"/>
  <c r="G49" i="24"/>
  <c r="AM49" i="19"/>
  <c r="AJ49" i="19"/>
  <c r="AH49" i="19"/>
  <c r="AF49" i="19"/>
  <c r="AD49" i="19"/>
  <c r="AA49" i="19"/>
  <c r="Y49" i="19"/>
  <c r="X49" i="19"/>
  <c r="V49" i="19"/>
  <c r="T49" i="19"/>
  <c r="R49" i="19"/>
  <c r="P49" i="19"/>
  <c r="O49" i="19"/>
  <c r="M49" i="19"/>
  <c r="K49" i="19"/>
  <c r="I49" i="19"/>
  <c r="G49" i="19"/>
  <c r="F49" i="19"/>
  <c r="AJ49" i="30"/>
  <c r="AG49" i="30"/>
  <c r="AD49" i="30"/>
  <c r="AC49" i="30"/>
  <c r="AA49" i="30"/>
  <c r="X49" i="30"/>
  <c r="V49" i="30"/>
  <c r="T49" i="30"/>
  <c r="S49" i="30"/>
  <c r="P49" i="30"/>
  <c r="N49" i="30"/>
  <c r="L49" i="30"/>
  <c r="J49" i="30"/>
  <c r="H49" i="30"/>
  <c r="G49" i="30"/>
  <c r="AL49" i="33"/>
  <c r="AH49" i="33"/>
  <c r="AF49" i="33"/>
  <c r="AC49" i="33"/>
  <c r="AA49" i="33"/>
  <c r="Y49" i="33"/>
  <c r="W49" i="33"/>
  <c r="U49" i="33"/>
  <c r="S49" i="33"/>
  <c r="Q49" i="33"/>
  <c r="O49" i="33"/>
  <c r="M49" i="33"/>
  <c r="K49" i="33"/>
  <c r="I49" i="33"/>
  <c r="G49" i="33"/>
  <c r="AN49" i="68"/>
  <c r="AJ49" i="68"/>
  <c r="AH49" i="68"/>
  <c r="AE49" i="68"/>
  <c r="AB49" i="68"/>
  <c r="Y49" i="68"/>
  <c r="W49" i="68"/>
  <c r="R49" i="68"/>
  <c r="P49" i="68"/>
  <c r="M49" i="68"/>
  <c r="K49" i="68"/>
  <c r="G49" i="68"/>
  <c r="AK49" i="53"/>
  <c r="AH49" i="53"/>
  <c r="AF49" i="53"/>
  <c r="AD49" i="53"/>
  <c r="AB49" i="53"/>
  <c r="Z49" i="53"/>
  <c r="X49" i="53"/>
  <c r="V49" i="53"/>
  <c r="T49" i="53"/>
  <c r="R49" i="53"/>
  <c r="P49" i="53"/>
  <c r="N49" i="53"/>
  <c r="L49" i="53"/>
  <c r="J49" i="53"/>
  <c r="H49" i="53"/>
  <c r="F49" i="53"/>
  <c r="AM49" i="60"/>
  <c r="AK49" i="60"/>
  <c r="AH49" i="60"/>
  <c r="AF49" i="60"/>
  <c r="AD49" i="60"/>
  <c r="AB49" i="60"/>
  <c r="X49" i="60"/>
  <c r="U49" i="60"/>
  <c r="P49" i="60"/>
  <c r="N49" i="60"/>
  <c r="K49" i="60"/>
  <c r="H49" i="60"/>
  <c r="AM49" i="45"/>
  <c r="AK49" i="45"/>
  <c r="AH49" i="45"/>
  <c r="AF49" i="45"/>
  <c r="AC49" i="45"/>
  <c r="Z49" i="45"/>
  <c r="X49" i="45"/>
  <c r="U49" i="45"/>
  <c r="S49" i="45"/>
  <c r="P49" i="45"/>
  <c r="M49" i="45"/>
  <c r="J49" i="45"/>
  <c r="G49" i="45"/>
  <c r="AM49" i="61"/>
  <c r="AK49" i="61"/>
  <c r="AH49" i="61"/>
  <c r="AF49" i="61"/>
  <c r="AC49" i="61"/>
  <c r="Z49" i="61"/>
  <c r="X49" i="61"/>
  <c r="U49" i="61"/>
  <c r="S49" i="61"/>
  <c r="Q49" i="61"/>
  <c r="O49" i="61"/>
  <c r="M49" i="61"/>
  <c r="K49" i="61"/>
  <c r="H49" i="61"/>
  <c r="G49" i="61"/>
  <c r="AN49" i="62"/>
  <c r="AL49" i="62"/>
  <c r="AK49" i="62"/>
  <c r="AI49" i="62"/>
  <c r="AG49" i="62"/>
  <c r="AE49" i="62"/>
  <c r="AC49" i="62"/>
  <c r="Z49" i="62"/>
  <c r="W49" i="62"/>
  <c r="T49" i="62"/>
  <c r="Q49" i="62"/>
  <c r="N49" i="62"/>
  <c r="K49" i="62"/>
  <c r="H49" i="62"/>
  <c r="AN49" i="70"/>
  <c r="AL49" i="70"/>
  <c r="AI49" i="70"/>
  <c r="AG49" i="70"/>
  <c r="AD49" i="70"/>
  <c r="AA49" i="70"/>
  <c r="X49" i="70"/>
  <c r="U49" i="70"/>
  <c r="Q49" i="70"/>
  <c r="N49" i="70"/>
  <c r="I49" i="70"/>
  <c r="G49" i="70"/>
  <c r="AM49" i="91"/>
  <c r="AI49" i="91"/>
  <c r="AF49" i="91"/>
  <c r="AB49" i="91"/>
  <c r="AA49" i="91"/>
  <c r="V49" i="91"/>
  <c r="R49" i="91"/>
  <c r="N49" i="91"/>
  <c r="J49" i="91"/>
  <c r="G49" i="91"/>
  <c r="AI49" i="71"/>
  <c r="AF49" i="71"/>
  <c r="AB49" i="71"/>
  <c r="V49" i="71"/>
  <c r="R49" i="71"/>
  <c r="O49" i="71"/>
  <c r="K49" i="71"/>
  <c r="G49" i="71"/>
  <c r="AN49" i="72"/>
  <c r="AK49" i="72"/>
  <c r="AE49" i="72"/>
  <c r="Z49" i="72"/>
  <c r="U49" i="72"/>
  <c r="R49" i="72"/>
  <c r="N49" i="72"/>
  <c r="I49" i="72"/>
  <c r="AH49" i="48"/>
  <c r="AC49" i="48"/>
  <c r="Y49" i="48"/>
  <c r="V49" i="48"/>
  <c r="R49" i="48"/>
  <c r="N49" i="48"/>
  <c r="J49" i="48"/>
  <c r="G49" i="48"/>
  <c r="AN49" i="75"/>
  <c r="AK49" i="75"/>
  <c r="AG49" i="75"/>
  <c r="AE49" i="75"/>
  <c r="AA49" i="75"/>
  <c r="W49" i="75"/>
  <c r="S49" i="75"/>
  <c r="O49" i="75"/>
  <c r="J49" i="75"/>
  <c r="F49" i="75"/>
  <c r="AM49" i="90"/>
  <c r="AH49" i="90"/>
  <c r="AD49" i="90"/>
  <c r="AB49" i="90"/>
  <c r="X49" i="90"/>
  <c r="T49" i="90"/>
  <c r="Q49" i="90"/>
  <c r="L49" i="90"/>
  <c r="H49" i="90"/>
  <c r="AM49" i="88"/>
  <c r="AK49" i="88"/>
  <c r="AF49" i="88"/>
  <c r="AB49" i="88"/>
  <c r="X49" i="88"/>
  <c r="V49" i="88"/>
  <c r="Q49" i="88"/>
  <c r="J49" i="88"/>
  <c r="AN49" i="32"/>
  <c r="AM49" i="32"/>
  <c r="AL49" i="32"/>
  <c r="AK49" i="32"/>
  <c r="AJ49" i="32"/>
  <c r="AI49" i="32"/>
  <c r="AH49" i="32"/>
  <c r="AG49" i="32"/>
  <c r="AF49" i="32"/>
  <c r="AE49" i="32"/>
  <c r="AD49" i="32"/>
  <c r="AC49" i="32"/>
  <c r="AB49" i="32"/>
  <c r="AA49" i="32"/>
  <c r="Z49" i="32"/>
  <c r="Y49" i="32"/>
  <c r="X49" i="32"/>
  <c r="W49" i="32"/>
  <c r="V49" i="32"/>
  <c r="U49" i="32"/>
  <c r="T49" i="32"/>
  <c r="S49" i="32"/>
  <c r="R49" i="32"/>
  <c r="Q49" i="32"/>
  <c r="P49" i="32"/>
  <c r="O49" i="32"/>
  <c r="N49" i="32"/>
  <c r="M49" i="32"/>
  <c r="L49" i="32"/>
  <c r="K49" i="32"/>
  <c r="J49" i="32"/>
  <c r="I49" i="32"/>
  <c r="H49" i="32"/>
  <c r="G49" i="32"/>
  <c r="F49" i="32"/>
  <c r="AN49" i="31"/>
  <c r="AM49" i="31"/>
  <c r="AL49" i="31"/>
  <c r="AK49" i="31"/>
  <c r="AJ49" i="31"/>
  <c r="AI49" i="31"/>
  <c r="AH49" i="31"/>
  <c r="AG49" i="31"/>
  <c r="AF49" i="31"/>
  <c r="AE49" i="31"/>
  <c r="AD49" i="31"/>
  <c r="AC49" i="31"/>
  <c r="AB49" i="31"/>
  <c r="AA49" i="31"/>
  <c r="Z49" i="31"/>
  <c r="Y49" i="31"/>
  <c r="X49" i="31"/>
  <c r="W49" i="31"/>
  <c r="V49" i="31"/>
  <c r="U49" i="31"/>
  <c r="T49" i="31"/>
  <c r="S49" i="31"/>
  <c r="R49" i="31"/>
  <c r="Q49" i="31"/>
  <c r="P49" i="31"/>
  <c r="O49" i="31"/>
  <c r="N49" i="31"/>
  <c r="M49" i="31"/>
  <c r="L49" i="31"/>
  <c r="K49" i="31"/>
  <c r="J49" i="31"/>
  <c r="I49" i="31"/>
  <c r="H49" i="31"/>
  <c r="G49" i="31"/>
  <c r="F49" i="31"/>
  <c r="AN49" i="25"/>
  <c r="AM49" i="25"/>
  <c r="AL49" i="25"/>
  <c r="AK49" i="25"/>
  <c r="AJ49" i="25"/>
  <c r="AI49" i="25"/>
  <c r="AH49" i="25"/>
  <c r="AG49" i="25"/>
  <c r="AF49" i="25"/>
  <c r="AE49" i="25"/>
  <c r="AD49" i="25"/>
  <c r="AC49" i="25"/>
  <c r="AB49" i="25"/>
  <c r="AA49" i="25"/>
  <c r="Z49" i="25"/>
  <c r="Y49" i="25"/>
  <c r="X49" i="25"/>
  <c r="W49" i="25"/>
  <c r="V49" i="25"/>
  <c r="U49" i="25"/>
  <c r="T49" i="25"/>
  <c r="S49" i="25"/>
  <c r="R49" i="25"/>
  <c r="Q49" i="25"/>
  <c r="P49" i="25"/>
  <c r="O49" i="25"/>
  <c r="N49" i="25"/>
  <c r="M49" i="25"/>
  <c r="L49" i="25"/>
  <c r="K49" i="25"/>
  <c r="J49" i="25"/>
  <c r="I49" i="25"/>
  <c r="H49" i="25"/>
  <c r="G49" i="25"/>
  <c r="F49" i="25"/>
  <c r="AN49" i="50"/>
  <c r="AM49" i="50"/>
  <c r="AL49" i="50"/>
  <c r="AK49" i="50"/>
  <c r="AJ49" i="50"/>
  <c r="AI49" i="50"/>
  <c r="AH49" i="50"/>
  <c r="AG49" i="50"/>
  <c r="AF49" i="50"/>
  <c r="AE49" i="50"/>
  <c r="AD49" i="50"/>
  <c r="AC49" i="50"/>
  <c r="AB49" i="50"/>
  <c r="AA49" i="50"/>
  <c r="Z49" i="50"/>
  <c r="Y49" i="50"/>
  <c r="X49" i="50"/>
  <c r="W49" i="50"/>
  <c r="V49" i="50"/>
  <c r="U49" i="50"/>
  <c r="T49" i="50"/>
  <c r="S49" i="50"/>
  <c r="R49" i="50"/>
  <c r="Q49" i="50"/>
  <c r="P49" i="50"/>
  <c r="O49" i="50"/>
  <c r="N49" i="50"/>
  <c r="M49" i="50"/>
  <c r="L49" i="50"/>
  <c r="K49" i="50"/>
  <c r="J49" i="50"/>
  <c r="I49" i="50"/>
  <c r="H49" i="50"/>
  <c r="G49" i="50"/>
  <c r="F49" i="50"/>
  <c r="AN49" i="35"/>
  <c r="AM49" i="35"/>
  <c r="AL49" i="35"/>
  <c r="AK49" i="35"/>
  <c r="AJ49" i="35"/>
  <c r="AI49" i="35"/>
  <c r="AH49" i="35"/>
  <c r="AG49" i="35"/>
  <c r="AF49" i="35"/>
  <c r="AE49" i="35"/>
  <c r="AD49" i="35"/>
  <c r="AC49" i="35"/>
  <c r="AB49" i="35"/>
  <c r="AA49" i="35"/>
  <c r="Z49" i="35"/>
  <c r="Y49" i="35"/>
  <c r="X49" i="35"/>
  <c r="W49" i="35"/>
  <c r="V49" i="35"/>
  <c r="U49" i="35"/>
  <c r="T49" i="35"/>
  <c r="S49" i="35"/>
  <c r="R49" i="35"/>
  <c r="Q49" i="35"/>
  <c r="P49" i="35"/>
  <c r="O49" i="35"/>
  <c r="N49" i="35"/>
  <c r="M49" i="35"/>
  <c r="L49" i="35"/>
  <c r="K49" i="35"/>
  <c r="J49" i="35"/>
  <c r="I49" i="35"/>
  <c r="H49" i="35"/>
  <c r="G49" i="35"/>
  <c r="F49" i="35"/>
  <c r="AN49" i="51"/>
  <c r="AM49" i="51"/>
  <c r="AL49" i="51"/>
  <c r="AJ49" i="51"/>
  <c r="AI49" i="51"/>
  <c r="AG49" i="51"/>
  <c r="AF49" i="51"/>
  <c r="AD49" i="51"/>
  <c r="AB49" i="51"/>
  <c r="Z49" i="51"/>
  <c r="X49" i="51"/>
  <c r="U49" i="51"/>
  <c r="S49" i="51"/>
  <c r="Q49" i="51"/>
  <c r="P49" i="51"/>
  <c r="N49" i="51"/>
  <c r="L49" i="51"/>
  <c r="J49" i="51"/>
  <c r="H49" i="51"/>
  <c r="G49" i="51"/>
  <c r="AN49" i="44"/>
  <c r="AJ49" i="44"/>
  <c r="AG49" i="44"/>
  <c r="AC49" i="44"/>
  <c r="V49" i="44"/>
  <c r="Q49" i="44"/>
  <c r="N49" i="44"/>
  <c r="J49" i="44"/>
  <c r="AI49" i="45"/>
  <c r="AE49" i="45"/>
  <c r="AB49" i="45"/>
  <c r="Y49" i="45"/>
  <c r="V49" i="45"/>
  <c r="T49" i="45"/>
  <c r="Q49" i="45"/>
  <c r="N49" i="45"/>
  <c r="K49" i="45"/>
  <c r="H49" i="45"/>
  <c r="F49" i="45"/>
  <c r="AN49" i="61"/>
  <c r="AL49" i="61"/>
  <c r="AJ49" i="61"/>
  <c r="AG49" i="61"/>
  <c r="AE49" i="61"/>
  <c r="AA49" i="61"/>
  <c r="Y49" i="61"/>
  <c r="V49" i="61"/>
  <c r="T49" i="61"/>
  <c r="R49" i="61"/>
  <c r="P49" i="61"/>
  <c r="N49" i="61"/>
  <c r="L49" i="61"/>
  <c r="J49" i="61"/>
  <c r="I49" i="61"/>
  <c r="F49" i="61"/>
  <c r="G49" i="62"/>
  <c r="AN49" i="63"/>
  <c r="AK49" i="63"/>
  <c r="AH49" i="63"/>
  <c r="AF49" i="63"/>
  <c r="AC49" i="63"/>
  <c r="Y49" i="63"/>
  <c r="V49" i="63"/>
  <c r="R49" i="63"/>
  <c r="O49" i="63"/>
  <c r="L49" i="63"/>
  <c r="G49" i="63"/>
  <c r="AM49" i="70"/>
  <c r="AK49" i="70"/>
  <c r="AH49" i="70"/>
  <c r="AF49" i="70"/>
  <c r="AC49" i="70"/>
  <c r="Z49" i="70"/>
  <c r="W49" i="70"/>
  <c r="S49" i="70"/>
  <c r="O49" i="70"/>
  <c r="K49" i="70"/>
  <c r="AM49" i="71"/>
  <c r="AJ49" i="71"/>
  <c r="AE49" i="71"/>
  <c r="AA49" i="71"/>
  <c r="X49" i="71"/>
  <c r="T49" i="71"/>
  <c r="P49" i="71"/>
  <c r="L49" i="71"/>
  <c r="F49" i="71"/>
  <c r="AH49" i="72"/>
  <c r="AC49" i="72"/>
  <c r="Y49" i="72"/>
  <c r="V49" i="72"/>
  <c r="T49" i="72"/>
  <c r="P49" i="72"/>
  <c r="L49" i="72"/>
  <c r="F49" i="72"/>
  <c r="AD49" i="74"/>
  <c r="Y49" i="74"/>
  <c r="U49" i="74"/>
  <c r="Q49" i="74"/>
  <c r="L49" i="74"/>
  <c r="I49" i="74"/>
  <c r="AM49" i="75"/>
  <c r="AJ49" i="75"/>
  <c r="AD49" i="75"/>
  <c r="Z49" i="75"/>
  <c r="U49" i="75"/>
  <c r="Q49" i="75"/>
  <c r="L49" i="75"/>
  <c r="G49" i="75"/>
  <c r="AM49" i="89"/>
  <c r="AH49" i="89"/>
  <c r="AE49" i="89"/>
  <c r="AA49" i="89"/>
  <c r="W49" i="89"/>
  <c r="T49" i="89"/>
  <c r="Q49" i="89"/>
  <c r="M49" i="89"/>
  <c r="I49" i="89"/>
  <c r="AN49" i="90"/>
  <c r="AK49" i="90"/>
  <c r="AI49" i="90"/>
  <c r="AF49" i="90"/>
  <c r="AA49" i="90"/>
  <c r="W49" i="90"/>
  <c r="S49" i="90"/>
  <c r="O49" i="90"/>
  <c r="K49" i="90"/>
  <c r="F49" i="90"/>
  <c r="AK49" i="52"/>
  <c r="AJ49" i="52"/>
  <c r="AI49" i="52"/>
  <c r="AH49" i="52"/>
  <c r="AG49" i="52"/>
  <c r="AF49" i="52"/>
  <c r="AE49" i="52"/>
  <c r="AD49" i="52"/>
  <c r="AC49" i="52"/>
  <c r="AB49" i="52"/>
  <c r="AA49" i="52"/>
  <c r="Z49" i="52"/>
  <c r="Y49" i="52"/>
  <c r="X49" i="52"/>
  <c r="W49" i="52"/>
  <c r="V49" i="52"/>
  <c r="U49" i="52"/>
  <c r="T49" i="52"/>
  <c r="S49" i="52"/>
  <c r="R49" i="52"/>
  <c r="Q49" i="52"/>
  <c r="P49" i="52"/>
  <c r="O49" i="52"/>
  <c r="N49" i="52"/>
  <c r="M49" i="52"/>
  <c r="L49" i="52"/>
  <c r="K49" i="52"/>
  <c r="J49" i="52"/>
  <c r="I49" i="52"/>
  <c r="H49" i="52"/>
  <c r="G49" i="52"/>
  <c r="F49" i="52"/>
  <c r="AN49" i="37"/>
  <c r="AM49" i="37"/>
  <c r="AL49" i="37"/>
  <c r="AK49" i="37"/>
  <c r="AJ49" i="37"/>
  <c r="AI49" i="37"/>
  <c r="AH49" i="37"/>
  <c r="AG49" i="37"/>
  <c r="AF49" i="37"/>
  <c r="AE49" i="37"/>
  <c r="AD49" i="37"/>
  <c r="AC49" i="37"/>
  <c r="AB49" i="37"/>
  <c r="AA49" i="37"/>
  <c r="Z49" i="37"/>
  <c r="Y49" i="37"/>
  <c r="X49" i="37"/>
  <c r="W49" i="37"/>
  <c r="V49" i="37"/>
  <c r="U49" i="37"/>
  <c r="T49" i="37"/>
  <c r="S49" i="37"/>
  <c r="R49" i="37"/>
  <c r="Q49" i="37"/>
  <c r="P49" i="37"/>
  <c r="O49" i="37"/>
  <c r="N49" i="37"/>
  <c r="M49" i="37"/>
  <c r="L49" i="37"/>
  <c r="K49" i="37"/>
  <c r="J49" i="37"/>
  <c r="I49" i="37"/>
  <c r="H49" i="37"/>
  <c r="G49" i="37"/>
  <c r="F49" i="37"/>
  <c r="AN49" i="65"/>
  <c r="AM49" i="65"/>
  <c r="AL49" i="65"/>
  <c r="AK49" i="65"/>
  <c r="AJ49" i="65"/>
  <c r="AI49" i="65"/>
  <c r="AH49" i="65"/>
  <c r="AG49" i="65"/>
  <c r="AF49" i="65"/>
  <c r="AE49" i="65"/>
  <c r="AD49" i="65"/>
  <c r="AC49" i="65"/>
  <c r="AB49" i="65"/>
  <c r="AA49" i="65"/>
  <c r="Z49" i="65"/>
  <c r="Y49" i="65"/>
  <c r="X49" i="65"/>
  <c r="W49" i="65"/>
  <c r="V49" i="65"/>
  <c r="U49" i="65"/>
  <c r="T49" i="65"/>
  <c r="S49" i="65"/>
  <c r="R49" i="65"/>
  <c r="Q49" i="65"/>
  <c r="P49" i="65"/>
  <c r="O49" i="65"/>
  <c r="N49" i="65"/>
  <c r="M49" i="65"/>
  <c r="L49" i="65"/>
  <c r="K49" i="65"/>
  <c r="J49" i="65"/>
  <c r="I49" i="65"/>
  <c r="H49" i="65"/>
  <c r="G49" i="65"/>
  <c r="F49" i="65"/>
  <c r="AN49" i="66"/>
  <c r="AM49" i="66"/>
  <c r="AL49" i="66"/>
  <c r="AK49" i="66"/>
  <c r="AJ49" i="66"/>
  <c r="AI49" i="66"/>
  <c r="AH49" i="66"/>
  <c r="AG49" i="66"/>
  <c r="AF49" i="66"/>
  <c r="AE49" i="66"/>
  <c r="AD49" i="66"/>
  <c r="AC49" i="66"/>
  <c r="AB49" i="66"/>
  <c r="AA49" i="66"/>
  <c r="Z49" i="66"/>
  <c r="Y49" i="66"/>
  <c r="X49" i="66"/>
  <c r="W49" i="66"/>
  <c r="V49" i="66"/>
  <c r="U49" i="66"/>
  <c r="T49" i="66"/>
  <c r="S49" i="66"/>
  <c r="R49" i="66"/>
  <c r="Q49" i="66"/>
  <c r="P49" i="66"/>
  <c r="O49" i="66"/>
  <c r="N49" i="66"/>
  <c r="M49" i="66"/>
  <c r="L49" i="66"/>
  <c r="K49" i="66"/>
  <c r="J49" i="66"/>
  <c r="I49" i="66"/>
  <c r="H49" i="66"/>
  <c r="G49" i="66"/>
  <c r="F49" i="66"/>
  <c r="AN49" i="67"/>
  <c r="AM49" i="67"/>
  <c r="AL49" i="67"/>
  <c r="AK49" i="67"/>
  <c r="AJ49" i="67"/>
  <c r="AI49" i="67"/>
  <c r="AH49" i="67"/>
  <c r="AG49" i="67"/>
  <c r="AF49" i="67"/>
  <c r="AE49" i="67"/>
  <c r="AD49" i="67"/>
  <c r="AC49" i="67"/>
  <c r="AB49" i="67"/>
  <c r="AA49" i="67"/>
  <c r="Z49" i="67"/>
  <c r="Y49" i="67"/>
  <c r="X49" i="67"/>
  <c r="W49" i="67"/>
  <c r="V49" i="67"/>
  <c r="U49" i="67"/>
  <c r="T49" i="67"/>
  <c r="S49" i="67"/>
  <c r="R49" i="67"/>
  <c r="Q49" i="67"/>
  <c r="P49" i="67"/>
  <c r="O49" i="67"/>
  <c r="N49" i="67"/>
  <c r="M49" i="67"/>
  <c r="L49" i="67"/>
  <c r="K49" i="67"/>
  <c r="J49" i="67"/>
  <c r="I49" i="67"/>
  <c r="H49" i="67"/>
  <c r="G49" i="67"/>
  <c r="F49" i="67"/>
  <c r="AK49" i="68"/>
  <c r="AF49" i="68"/>
  <c r="AC49" i="68"/>
  <c r="AA49" i="68"/>
  <c r="X49" i="68"/>
  <c r="U49" i="68"/>
  <c r="T49" i="68"/>
  <c r="Q49" i="68"/>
  <c r="N49" i="68"/>
  <c r="L49" i="68"/>
  <c r="I49" i="68"/>
  <c r="F49" i="68"/>
  <c r="AN49" i="53"/>
  <c r="AM49" i="53"/>
  <c r="AL49" i="53"/>
  <c r="AJ49" i="53"/>
  <c r="AI49" i="53"/>
  <c r="AG49" i="53"/>
  <c r="AE49" i="53"/>
  <c r="AC49" i="53"/>
  <c r="AA49" i="53"/>
  <c r="Y49" i="53"/>
  <c r="W49" i="53"/>
  <c r="U49" i="53"/>
  <c r="S49" i="53"/>
  <c r="Q49" i="53"/>
  <c r="O49" i="53"/>
  <c r="M49" i="53"/>
  <c r="K49" i="53"/>
  <c r="I49" i="53"/>
  <c r="G49" i="53"/>
  <c r="AK49" i="44"/>
  <c r="AD49" i="44"/>
  <c r="Z49" i="44"/>
  <c r="P49" i="44"/>
  <c r="L49" i="44"/>
  <c r="H49" i="44"/>
  <c r="AN49" i="45"/>
  <c r="AL49" i="45"/>
  <c r="AJ49" i="45"/>
  <c r="AG49" i="45"/>
  <c r="AD49" i="45"/>
  <c r="AA49" i="45"/>
  <c r="W49" i="45"/>
  <c r="R49" i="45"/>
  <c r="O49" i="45"/>
  <c r="L49" i="45"/>
  <c r="I49" i="45"/>
  <c r="AH49" i="62"/>
  <c r="AB49" i="62"/>
  <c r="Y49" i="62"/>
  <c r="V49" i="62"/>
  <c r="S49" i="62"/>
  <c r="O49" i="62"/>
  <c r="L49" i="62"/>
  <c r="I49" i="62"/>
  <c r="AM49" i="63"/>
  <c r="AI49" i="63"/>
  <c r="AG49" i="63"/>
  <c r="AA49" i="63"/>
  <c r="W49" i="63"/>
  <c r="T49" i="63"/>
  <c r="N49" i="63"/>
  <c r="J49" i="63"/>
  <c r="AI49" i="49"/>
  <c r="AD49" i="49"/>
  <c r="AB49" i="49"/>
  <c r="Y49" i="49"/>
  <c r="V49" i="49"/>
  <c r="S49" i="49"/>
  <c r="P49" i="49"/>
  <c r="L49" i="49"/>
  <c r="AJ49" i="70"/>
  <c r="AE49" i="70"/>
  <c r="AB49" i="70"/>
  <c r="Y49" i="70"/>
  <c r="T49" i="70"/>
  <c r="R49" i="70"/>
  <c r="M49" i="70"/>
  <c r="J49" i="70"/>
  <c r="F49" i="70"/>
  <c r="AL49" i="74"/>
  <c r="AI49" i="74"/>
  <c r="AF49" i="74"/>
  <c r="AC49" i="74"/>
  <c r="Z49" i="74"/>
  <c r="V49" i="74"/>
  <c r="R49" i="74"/>
  <c r="O49" i="74"/>
  <c r="J49" i="74"/>
  <c r="F49" i="74"/>
  <c r="AM49" i="48"/>
  <c r="AK49" i="48"/>
  <c r="AG49" i="48"/>
  <c r="AD49" i="48"/>
  <c r="AA49" i="48"/>
  <c r="W49" i="48"/>
  <c r="Q49" i="48"/>
  <c r="M49" i="48"/>
  <c r="I49" i="48"/>
  <c r="AJ49" i="89"/>
  <c r="AD49" i="89"/>
  <c r="Z49" i="89"/>
  <c r="V49" i="89"/>
  <c r="R49" i="89"/>
  <c r="P49" i="89"/>
  <c r="L49" i="89"/>
  <c r="G49" i="89"/>
  <c r="AL49" i="90"/>
  <c r="AJ49" i="90"/>
  <c r="AE49" i="90"/>
  <c r="AC49" i="90"/>
  <c r="Z49" i="90"/>
  <c r="V49" i="90"/>
  <c r="R49" i="90"/>
  <c r="N49" i="90"/>
  <c r="J49" i="90"/>
  <c r="G49" i="90"/>
  <c r="AN49" i="88"/>
  <c r="AJ49" i="88"/>
  <c r="AG49" i="88"/>
  <c r="AD49" i="88"/>
  <c r="AA49" i="88"/>
  <c r="W49" i="88"/>
  <c r="S49" i="88"/>
  <c r="P49" i="88"/>
  <c r="K49" i="88"/>
  <c r="G49" i="88"/>
  <c r="AN49" i="38"/>
  <c r="AM49" i="38"/>
  <c r="AL49" i="38"/>
  <c r="AK49" i="38"/>
  <c r="AJ49" i="38"/>
  <c r="AI49" i="38"/>
  <c r="AH49" i="38"/>
  <c r="AG49" i="38"/>
  <c r="AF49" i="38"/>
  <c r="AE49" i="38"/>
  <c r="AD49" i="38"/>
  <c r="AC49" i="38"/>
  <c r="AB49" i="38"/>
  <c r="AA49" i="38"/>
  <c r="Z49" i="38"/>
  <c r="Y49" i="38"/>
  <c r="X49" i="38"/>
  <c r="W49" i="38"/>
  <c r="V49" i="38"/>
  <c r="U49" i="38"/>
  <c r="T49" i="38"/>
  <c r="S49" i="38"/>
  <c r="R49" i="38"/>
  <c r="Q49" i="38"/>
  <c r="P49" i="38"/>
  <c r="O49" i="38"/>
  <c r="N49" i="38"/>
  <c r="M49" i="38"/>
  <c r="L49" i="38"/>
  <c r="K49" i="38"/>
  <c r="J49" i="38"/>
  <c r="I49" i="38"/>
  <c r="H49" i="38"/>
  <c r="G49" i="38"/>
  <c r="F49" i="38"/>
  <c r="AN49" i="54"/>
  <c r="AM49" i="54"/>
  <c r="AL49" i="54"/>
  <c r="AK49" i="54"/>
  <c r="AJ49" i="54"/>
  <c r="AI49" i="54"/>
  <c r="AH49" i="54"/>
  <c r="AG49" i="54"/>
  <c r="AF49" i="54"/>
  <c r="AE49" i="54"/>
  <c r="AD49" i="54"/>
  <c r="AC49" i="54"/>
  <c r="AB49" i="54"/>
  <c r="AA49" i="54"/>
  <c r="Z49" i="54"/>
  <c r="Y49" i="54"/>
  <c r="X49" i="54"/>
  <c r="W49" i="54"/>
  <c r="V49" i="54"/>
  <c r="U49" i="54"/>
  <c r="T49" i="54"/>
  <c r="S49" i="54"/>
  <c r="R49" i="54"/>
  <c r="Q49" i="54"/>
  <c r="P49" i="54"/>
  <c r="O49" i="54"/>
  <c r="N49" i="54"/>
  <c r="M49" i="54"/>
  <c r="L49" i="54"/>
  <c r="K49" i="54"/>
  <c r="J49" i="54"/>
  <c r="I49" i="54"/>
  <c r="H49" i="54"/>
  <c r="G49" i="54"/>
  <c r="F49" i="54"/>
  <c r="AN49" i="39"/>
  <c r="AM49" i="39"/>
  <c r="AL49" i="39"/>
  <c r="AK49" i="39"/>
  <c r="AJ49" i="39"/>
  <c r="AI49" i="39"/>
  <c r="AH49" i="39"/>
  <c r="AG49" i="39"/>
  <c r="AF49" i="39"/>
  <c r="AE49" i="39"/>
  <c r="AD49" i="39"/>
  <c r="AC49" i="39"/>
  <c r="AB49" i="39"/>
  <c r="AA49" i="39"/>
  <c r="Z49" i="39"/>
  <c r="Y49" i="39"/>
  <c r="X49" i="39"/>
  <c r="W49" i="39"/>
  <c r="V49" i="39"/>
  <c r="U49" i="39"/>
  <c r="T49" i="39"/>
  <c r="S49" i="39"/>
  <c r="R49" i="39"/>
  <c r="Q49" i="39"/>
  <c r="P49" i="39"/>
  <c r="O49" i="39"/>
  <c r="N49" i="39"/>
  <c r="M49" i="39"/>
  <c r="L49" i="39"/>
  <c r="K49" i="39"/>
  <c r="J49" i="39"/>
  <c r="I49" i="39"/>
  <c r="H49" i="39"/>
  <c r="G49" i="39"/>
  <c r="F49" i="39"/>
  <c r="AN49" i="55"/>
  <c r="AM49" i="55"/>
  <c r="AL49" i="55"/>
  <c r="AK49" i="55"/>
  <c r="AJ49" i="55"/>
  <c r="AI49" i="55"/>
  <c r="AH49" i="55"/>
  <c r="AG49" i="55"/>
  <c r="AF49" i="55"/>
  <c r="AE49" i="55"/>
  <c r="AD49" i="55"/>
  <c r="AC49" i="55"/>
  <c r="AB49" i="55"/>
  <c r="AA49" i="55"/>
  <c r="Z49" i="55"/>
  <c r="Y49" i="55"/>
  <c r="X49" i="55"/>
  <c r="W49" i="55"/>
  <c r="V49" i="55"/>
  <c r="U49" i="55"/>
  <c r="T49" i="55"/>
  <c r="S49" i="55"/>
  <c r="R49" i="55"/>
  <c r="Q49" i="55"/>
  <c r="P49" i="55"/>
  <c r="O49" i="55"/>
  <c r="N49" i="55"/>
  <c r="M49" i="55"/>
  <c r="L49" i="55"/>
  <c r="K49" i="55"/>
  <c r="J49" i="55"/>
  <c r="I49" i="55"/>
  <c r="H49" i="55"/>
  <c r="G49" i="55"/>
  <c r="F49" i="55"/>
  <c r="AN49" i="56"/>
  <c r="AM49" i="56"/>
  <c r="AL49" i="56"/>
  <c r="AK49" i="56"/>
  <c r="AJ49" i="56"/>
  <c r="AI49" i="56"/>
  <c r="AH49" i="56"/>
  <c r="AG49" i="56"/>
  <c r="AF49" i="56"/>
  <c r="AE49" i="56"/>
  <c r="AD49" i="56"/>
  <c r="AC49" i="56"/>
  <c r="AB49" i="56"/>
  <c r="AA49" i="56"/>
  <c r="Z49" i="56"/>
  <c r="Y49" i="56"/>
  <c r="X49" i="56"/>
  <c r="W49" i="56"/>
  <c r="V49" i="56"/>
  <c r="U49" i="56"/>
  <c r="T49" i="56"/>
  <c r="S49" i="56"/>
  <c r="R49" i="56"/>
  <c r="Q49" i="56"/>
  <c r="P49" i="56"/>
  <c r="O49" i="56"/>
  <c r="N49" i="56"/>
  <c r="M49" i="56"/>
  <c r="L49" i="56"/>
  <c r="K49" i="56"/>
  <c r="J49" i="56"/>
  <c r="I49" i="56"/>
  <c r="H49" i="56"/>
  <c r="G49" i="56"/>
  <c r="F49" i="56"/>
  <c r="AN49" i="41"/>
  <c r="AM49" i="41"/>
  <c r="AL49" i="41"/>
  <c r="AK49" i="41"/>
  <c r="AJ49" i="41"/>
  <c r="AI49" i="41"/>
  <c r="AH49" i="41"/>
  <c r="AG49" i="41"/>
  <c r="AF49" i="41"/>
  <c r="AE49" i="41"/>
  <c r="AD49" i="41"/>
  <c r="AC49" i="41"/>
  <c r="AB49" i="41"/>
  <c r="AA49" i="41"/>
  <c r="Z49" i="41"/>
  <c r="Y49" i="41"/>
  <c r="X49" i="41"/>
  <c r="W49" i="41"/>
  <c r="V49" i="41"/>
  <c r="U49" i="41"/>
  <c r="T49" i="41"/>
  <c r="S49" i="41"/>
  <c r="R49" i="41"/>
  <c r="Q49" i="41"/>
  <c r="P49" i="41"/>
  <c r="O49" i="41"/>
  <c r="N49" i="41"/>
  <c r="M49" i="41"/>
  <c r="L49" i="41"/>
  <c r="K49" i="41"/>
  <c r="J49" i="41"/>
  <c r="I49" i="41"/>
  <c r="H49" i="41"/>
  <c r="G49" i="41"/>
  <c r="F49" i="41"/>
  <c r="AM49" i="44"/>
  <c r="AI49" i="44"/>
  <c r="AE49" i="44"/>
  <c r="Y49" i="44"/>
  <c r="U49" i="44"/>
  <c r="T49" i="44"/>
  <c r="O49" i="44"/>
  <c r="K49" i="44"/>
  <c r="G49" i="44"/>
  <c r="AN49" i="60"/>
  <c r="AL49" i="60"/>
  <c r="AJ49" i="60"/>
  <c r="AG49" i="60"/>
  <c r="AC49" i="60"/>
  <c r="Z49" i="60"/>
  <c r="W49" i="60"/>
  <c r="T49" i="60"/>
  <c r="R49" i="60"/>
  <c r="O49" i="60"/>
  <c r="L49" i="60"/>
  <c r="I49" i="60"/>
  <c r="F49" i="60"/>
  <c r="AL49" i="63"/>
  <c r="AD49" i="63"/>
  <c r="Z49" i="63"/>
  <c r="U49" i="63"/>
  <c r="Q49" i="63"/>
  <c r="M49" i="63"/>
  <c r="I49" i="63"/>
  <c r="F49" i="63"/>
  <c r="AN49" i="49"/>
  <c r="AL49" i="49"/>
  <c r="AJ49" i="49"/>
  <c r="AG49" i="49"/>
  <c r="AE49" i="49"/>
  <c r="AA49" i="49"/>
  <c r="X49" i="49"/>
  <c r="U49" i="49"/>
  <c r="Q49" i="49"/>
  <c r="N49" i="49"/>
  <c r="K49" i="49"/>
  <c r="I49" i="49"/>
  <c r="G49" i="49"/>
  <c r="V49" i="70"/>
  <c r="P49" i="70"/>
  <c r="L49" i="70"/>
  <c r="H49" i="70"/>
  <c r="AL49" i="91"/>
  <c r="AG49" i="91"/>
  <c r="AC49" i="91"/>
  <c r="Y49" i="91"/>
  <c r="T49" i="91"/>
  <c r="O49" i="91"/>
  <c r="K49" i="91"/>
  <c r="H49" i="91"/>
  <c r="AN49" i="71"/>
  <c r="AK49" i="71"/>
  <c r="AD49" i="71"/>
  <c r="Z49" i="71"/>
  <c r="W49" i="71"/>
  <c r="S49" i="71"/>
  <c r="M49" i="71"/>
  <c r="I49" i="71"/>
  <c r="AN49" i="74"/>
  <c r="AJ49" i="74"/>
  <c r="AG49" i="74"/>
  <c r="AA49" i="74"/>
  <c r="X49" i="74"/>
  <c r="T49" i="74"/>
  <c r="P49" i="74"/>
  <c r="M49" i="74"/>
  <c r="H49" i="74"/>
  <c r="AN49" i="48"/>
  <c r="AJ49" i="48"/>
  <c r="AF49" i="48"/>
  <c r="Z49" i="48"/>
  <c r="T49" i="48"/>
  <c r="P49" i="48"/>
  <c r="L49" i="48"/>
  <c r="F49" i="48"/>
  <c r="AH49" i="75"/>
  <c r="AC49" i="75"/>
  <c r="Y49" i="75"/>
  <c r="V49" i="75"/>
  <c r="R49" i="75"/>
  <c r="N49" i="75"/>
  <c r="K49" i="75"/>
  <c r="H49" i="75"/>
  <c r="AK49" i="89"/>
  <c r="AG49" i="89"/>
  <c r="AC49" i="89"/>
  <c r="Y49" i="89"/>
  <c r="S49" i="89"/>
  <c r="N49" i="89"/>
  <c r="J49" i="89"/>
  <c r="F49" i="89"/>
  <c r="AL49" i="88"/>
  <c r="AI49" i="88"/>
  <c r="AC49" i="88"/>
  <c r="Z49" i="88"/>
  <c r="T49" i="88"/>
  <c r="N49" i="88"/>
  <c r="M49" i="88"/>
  <c r="I49" i="88"/>
  <c r="F49" i="88"/>
  <c r="AN49" i="57"/>
  <c r="AM49" i="57"/>
  <c r="AL49" i="57"/>
  <c r="AK49" i="57"/>
  <c r="AJ49" i="57"/>
  <c r="AI49" i="57"/>
  <c r="AH49" i="57"/>
  <c r="AG49" i="57"/>
  <c r="AF49" i="57"/>
  <c r="AE49" i="57"/>
  <c r="AD49" i="57"/>
  <c r="AC49" i="57"/>
  <c r="AB49" i="57"/>
  <c r="AA49" i="57"/>
  <c r="Z49" i="57"/>
  <c r="Y49" i="57"/>
  <c r="X49" i="57"/>
  <c r="W49" i="57"/>
  <c r="V49" i="57"/>
  <c r="U49" i="57"/>
  <c r="T49" i="57"/>
  <c r="S49" i="57"/>
  <c r="R49" i="57"/>
  <c r="Q49" i="57"/>
  <c r="P49" i="57"/>
  <c r="O49" i="57"/>
  <c r="N49" i="57"/>
  <c r="M49" i="57"/>
  <c r="L49" i="57"/>
  <c r="K49" i="57"/>
  <c r="J49" i="57"/>
  <c r="I49" i="57"/>
  <c r="H49" i="57"/>
  <c r="G49" i="57"/>
  <c r="F49" i="57"/>
  <c r="AN49" i="59"/>
  <c r="AM49" i="59"/>
  <c r="AL49" i="59"/>
  <c r="AK49" i="59"/>
  <c r="AJ49" i="59"/>
  <c r="AI49" i="59"/>
  <c r="AH49" i="59"/>
  <c r="AG49" i="59"/>
  <c r="AF49" i="59"/>
  <c r="AE49" i="59"/>
  <c r="AD49" i="59"/>
  <c r="AC49" i="59"/>
  <c r="AB49" i="59"/>
  <c r="AA49" i="59"/>
  <c r="Z49" i="59"/>
  <c r="Y49" i="59"/>
  <c r="X49" i="59"/>
  <c r="W49" i="59"/>
  <c r="V49" i="59"/>
  <c r="U49" i="59"/>
  <c r="T49" i="59"/>
  <c r="S49" i="59"/>
  <c r="R49" i="59"/>
  <c r="Q49" i="59"/>
  <c r="P49" i="59"/>
  <c r="O49" i="59"/>
  <c r="N49" i="59"/>
  <c r="M49" i="59"/>
  <c r="L49" i="59"/>
  <c r="K49" i="59"/>
  <c r="J49" i="59"/>
  <c r="I49" i="59"/>
  <c r="H49" i="59"/>
  <c r="G49" i="59"/>
  <c r="F49" i="59"/>
  <c r="AH49" i="44"/>
  <c r="AA49" i="44"/>
  <c r="W49" i="44"/>
  <c r="R49" i="44"/>
  <c r="F49" i="44"/>
  <c r="AI49" i="60"/>
  <c r="AE49" i="60"/>
  <c r="AA49" i="60"/>
  <c r="Y49" i="60"/>
  <c r="V49" i="60"/>
  <c r="S49" i="60"/>
  <c r="Q49" i="60"/>
  <c r="M49" i="60"/>
  <c r="J49" i="60"/>
  <c r="G49" i="60"/>
  <c r="AI49" i="61"/>
  <c r="AD49" i="61"/>
  <c r="AB49" i="61"/>
  <c r="W49" i="61"/>
  <c r="AJ49" i="63"/>
  <c r="AE49" i="63"/>
  <c r="AB49" i="63"/>
  <c r="X49" i="63"/>
  <c r="S49" i="63"/>
  <c r="P49" i="63"/>
  <c r="K49" i="63"/>
  <c r="H49" i="63"/>
  <c r="AM49" i="49"/>
  <c r="AK49" i="49"/>
  <c r="AH49" i="49"/>
  <c r="AF49" i="49"/>
  <c r="AC49" i="49"/>
  <c r="Z49" i="49"/>
  <c r="W49" i="49"/>
  <c r="T49" i="49"/>
  <c r="R49" i="49"/>
  <c r="O49" i="49"/>
  <c r="M49" i="49"/>
  <c r="J49" i="49"/>
  <c r="H49" i="49"/>
  <c r="F49" i="49"/>
  <c r="AN49" i="91"/>
  <c r="AK49" i="91"/>
  <c r="AH49" i="91"/>
  <c r="AE49" i="91"/>
  <c r="X49" i="91"/>
  <c r="U49" i="91"/>
  <c r="Q49" i="91"/>
  <c r="M49" i="91"/>
  <c r="F49" i="91"/>
  <c r="AM49" i="72"/>
  <c r="AJ49" i="72"/>
  <c r="AG49" i="72"/>
  <c r="AD49" i="72"/>
  <c r="AA49" i="72"/>
  <c r="X49" i="72"/>
  <c r="S49" i="72"/>
  <c r="O49" i="72"/>
  <c r="K49" i="72"/>
  <c r="H49" i="72"/>
  <c r="AM49" i="74"/>
  <c r="AK49" i="74"/>
  <c r="AH49" i="74"/>
  <c r="AE49" i="74"/>
  <c r="AB49" i="74"/>
  <c r="W49" i="74"/>
  <c r="S49" i="74"/>
  <c r="N49" i="74"/>
  <c r="K49" i="74"/>
  <c r="G49" i="74"/>
  <c r="AN49" i="89"/>
  <c r="AL49" i="89"/>
  <c r="AI49" i="89"/>
  <c r="AF49" i="89"/>
  <c r="AB49" i="89"/>
  <c r="X49" i="89"/>
  <c r="U49" i="89"/>
  <c r="O49" i="89"/>
  <c r="K49" i="89"/>
  <c r="H49" i="89"/>
  <c r="AN49" i="24"/>
  <c r="AM49" i="24"/>
  <c r="AK49" i="24"/>
  <c r="AJ49" i="24"/>
  <c r="AH49" i="24"/>
  <c r="AF49" i="24"/>
  <c r="AD49" i="24"/>
  <c r="AB49" i="24"/>
  <c r="Y49" i="24"/>
  <c r="W49" i="24"/>
  <c r="U49" i="24"/>
  <c r="S49" i="24"/>
  <c r="Q49" i="24"/>
  <c r="O49" i="24"/>
  <c r="N49" i="24"/>
  <c r="M49" i="24"/>
  <c r="K49" i="24"/>
  <c r="H49" i="24"/>
  <c r="F49" i="24"/>
  <c r="AN49" i="19"/>
  <c r="AL49" i="19"/>
  <c r="AK49" i="19"/>
  <c r="AI49" i="19"/>
  <c r="AG49" i="19"/>
  <c r="AE49" i="19"/>
  <c r="AC49" i="19"/>
  <c r="AB49" i="19"/>
  <c r="Z49" i="19"/>
  <c r="W49" i="19"/>
  <c r="U49" i="19"/>
  <c r="S49" i="19"/>
  <c r="Q49" i="19"/>
  <c r="N49" i="19"/>
  <c r="L49" i="19"/>
  <c r="J49" i="19"/>
  <c r="H49" i="19"/>
  <c r="AN49" i="30"/>
  <c r="AM49" i="30"/>
  <c r="AL49" i="30"/>
  <c r="AK49" i="30"/>
  <c r="AI49" i="30"/>
  <c r="AH49" i="30"/>
  <c r="AF49" i="30"/>
  <c r="AE49" i="30"/>
  <c r="AB49" i="30"/>
  <c r="Z49" i="30"/>
  <c r="Y49" i="30"/>
  <c r="W49" i="30"/>
  <c r="U49" i="30"/>
  <c r="R49" i="30"/>
  <c r="Q49" i="30"/>
  <c r="O49" i="30"/>
  <c r="M49" i="30"/>
  <c r="K49" i="30"/>
  <c r="I49" i="30"/>
  <c r="F49" i="30"/>
  <c r="AN49" i="33"/>
  <c r="AM49" i="33"/>
  <c r="AK49" i="33"/>
  <c r="AJ49" i="33"/>
  <c r="AI49" i="33"/>
  <c r="AG49" i="33"/>
  <c r="AE49" i="33"/>
  <c r="AD49" i="33"/>
  <c r="AB49" i="33"/>
  <c r="Z49" i="33"/>
  <c r="X49" i="33"/>
  <c r="V49" i="33"/>
  <c r="T49" i="33"/>
  <c r="R49" i="33"/>
  <c r="P49" i="33"/>
  <c r="N49" i="33"/>
  <c r="L49" i="33"/>
  <c r="J49" i="33"/>
  <c r="H49" i="33"/>
  <c r="F49" i="33"/>
  <c r="AK49" i="51"/>
  <c r="AH49" i="51"/>
  <c r="AE49" i="51"/>
  <c r="AC49" i="51"/>
  <c r="AA49" i="51"/>
  <c r="Y49" i="51"/>
  <c r="W49" i="51"/>
  <c r="V49" i="51"/>
  <c r="T49" i="51"/>
  <c r="R49" i="51"/>
  <c r="O49" i="51"/>
  <c r="M49" i="51"/>
  <c r="K49" i="51"/>
  <c r="I49" i="51"/>
  <c r="F49" i="51"/>
  <c r="AN49" i="52"/>
  <c r="AM49" i="52"/>
  <c r="AL49" i="52"/>
  <c r="AM49" i="68"/>
  <c r="AL49" i="68"/>
  <c r="AI49" i="68"/>
  <c r="AG49" i="68"/>
  <c r="AD49" i="68"/>
  <c r="Z49" i="68"/>
  <c r="V49" i="68"/>
  <c r="S49" i="68"/>
  <c r="O49" i="68"/>
  <c r="J49" i="68"/>
  <c r="H49" i="68"/>
  <c r="AL49" i="44"/>
  <c r="AF49" i="44"/>
  <c r="AB49" i="44"/>
  <c r="X49" i="44"/>
  <c r="S49" i="44"/>
  <c r="M49" i="44"/>
  <c r="I49" i="44"/>
  <c r="AM49" i="62"/>
  <c r="AJ49" i="62"/>
  <c r="AF49" i="62"/>
  <c r="AD49" i="62"/>
  <c r="AA49" i="62"/>
  <c r="X49" i="62"/>
  <c r="U49" i="62"/>
  <c r="R49" i="62"/>
  <c r="P49" i="62"/>
  <c r="M49" i="62"/>
  <c r="J49" i="62"/>
  <c r="F49" i="62"/>
  <c r="AJ49" i="91"/>
  <c r="AD49" i="91"/>
  <c r="Z49" i="91"/>
  <c r="W49" i="91"/>
  <c r="S49" i="91"/>
  <c r="P49" i="91"/>
  <c r="L49" i="91"/>
  <c r="I49" i="91"/>
  <c r="AL49" i="71"/>
  <c r="AH49" i="71"/>
  <c r="AG49" i="71"/>
  <c r="AC49" i="71"/>
  <c r="Y49" i="71"/>
  <c r="U49" i="71"/>
  <c r="Q49" i="71"/>
  <c r="N49" i="71"/>
  <c r="J49" i="71"/>
  <c r="H49" i="71"/>
  <c r="AL49" i="72"/>
  <c r="AI49" i="72"/>
  <c r="AF49" i="72"/>
  <c r="AB49" i="72"/>
  <c r="W49" i="72"/>
  <c r="Q49" i="72"/>
  <c r="M49" i="72"/>
  <c r="J49" i="72"/>
  <c r="G49" i="72"/>
  <c r="AL49" i="48"/>
  <c r="AI49" i="48"/>
  <c r="AE49" i="48"/>
  <c r="AB49" i="48"/>
  <c r="X49" i="48"/>
  <c r="U49" i="48"/>
  <c r="S49" i="48"/>
  <c r="O49" i="48"/>
  <c r="K49" i="48"/>
  <c r="H49" i="48"/>
  <c r="AL49" i="75"/>
  <c r="AI49" i="75"/>
  <c r="AF49" i="75"/>
  <c r="AB49" i="75"/>
  <c r="X49" i="75"/>
  <c r="T49" i="75"/>
  <c r="P49" i="75"/>
  <c r="M49" i="75"/>
  <c r="I49" i="75"/>
  <c r="AG49" i="90"/>
  <c r="Y49" i="90"/>
  <c r="U49" i="90"/>
  <c r="P49" i="90"/>
  <c r="M49" i="90"/>
  <c r="I49" i="90"/>
  <c r="AH49" i="88"/>
  <c r="AE49" i="88"/>
  <c r="Y49" i="88"/>
  <c r="U49" i="88"/>
  <c r="R49" i="88"/>
  <c r="O49" i="88"/>
  <c r="L49" i="88"/>
  <c r="H49" i="88"/>
  <c r="AN49" i="13"/>
  <c r="AL49" i="13"/>
  <c r="AJ49" i="13"/>
  <c r="AH49" i="13"/>
  <c r="AF49" i="13"/>
  <c r="AD49" i="13"/>
  <c r="AB49" i="13"/>
  <c r="Z49" i="13"/>
  <c r="X49" i="13"/>
  <c r="V49" i="13"/>
  <c r="U49" i="13"/>
  <c r="S49" i="13"/>
  <c r="Q49" i="13"/>
  <c r="N49" i="13"/>
  <c r="L49" i="13"/>
  <c r="J49" i="13"/>
  <c r="H49" i="13"/>
  <c r="F49" i="13"/>
  <c r="AM49" i="13"/>
  <c r="AK49" i="13"/>
  <c r="AI49" i="13"/>
  <c r="AG49" i="13"/>
  <c r="AE49" i="13"/>
  <c r="AC49" i="13"/>
  <c r="AA49" i="13"/>
  <c r="Y49" i="13"/>
  <c r="W49" i="13"/>
  <c r="T49" i="13"/>
  <c r="R49" i="13"/>
  <c r="P49" i="13"/>
  <c r="O49" i="13"/>
  <c r="M49" i="13"/>
  <c r="K49" i="13"/>
  <c r="I49" i="13"/>
  <c r="G49" i="13"/>
  <c r="E50" i="17"/>
  <c r="E49" i="73" s="1"/>
  <c r="AA35" i="99"/>
  <c r="AA37" i="99" s="1"/>
  <c r="Y35" i="99"/>
  <c r="Y37" i="99" s="1"/>
  <c r="X35" i="99"/>
  <c r="X37" i="99" s="1"/>
  <c r="W35" i="99"/>
  <c r="W37" i="99" s="1"/>
  <c r="V35" i="99"/>
  <c r="V37" i="99" s="1"/>
  <c r="U35" i="99"/>
  <c r="U37" i="99" s="1"/>
  <c r="T35" i="99"/>
  <c r="T37" i="99" s="1"/>
  <c r="S35" i="99"/>
  <c r="S37" i="99" s="1"/>
  <c r="R35" i="99"/>
  <c r="R37" i="99" s="1"/>
  <c r="Q35" i="99"/>
  <c r="Q37" i="99" s="1"/>
  <c r="AC35" i="99"/>
  <c r="AC37" i="99" s="1"/>
  <c r="AN35" i="99"/>
  <c r="AN37" i="99" s="1"/>
  <c r="AM35" i="99"/>
  <c r="AM37" i="99" s="1"/>
  <c r="AL35" i="99"/>
  <c r="AL37" i="99" s="1"/>
  <c r="AK35" i="99"/>
  <c r="AK37" i="99" s="1"/>
  <c r="AJ35" i="99"/>
  <c r="AJ37" i="99" s="1"/>
  <c r="AI35" i="99"/>
  <c r="AI37" i="99" s="1"/>
  <c r="AH35" i="99"/>
  <c r="AH37" i="99" s="1"/>
  <c r="AG35" i="99"/>
  <c r="AG37" i="99" s="1"/>
  <c r="AF35" i="99"/>
  <c r="AF37" i="99" s="1"/>
  <c r="AE35" i="99"/>
  <c r="AE37" i="99" s="1"/>
  <c r="AD35" i="99"/>
  <c r="AD37" i="99" s="1"/>
  <c r="AB35" i="99"/>
  <c r="AB37" i="99" s="1"/>
  <c r="Z35" i="99"/>
  <c r="Z37" i="99" s="1"/>
  <c r="H23" i="85"/>
  <c r="S23" i="34" s="1"/>
  <c r="G23" i="34" s="1"/>
  <c r="G23" i="85"/>
  <c r="R23" i="34" s="1"/>
  <c r="F23" i="34" s="1"/>
  <c r="H25" i="85"/>
  <c r="S25" i="34" s="1"/>
  <c r="G25" i="34" s="1"/>
  <c r="G25" i="85"/>
  <c r="R25" i="34" s="1"/>
  <c r="F25" i="34" s="1"/>
  <c r="F23" i="85"/>
  <c r="Q23" i="34" s="1"/>
  <c r="E23" i="34" s="1"/>
  <c r="H29" i="85"/>
  <c r="S29" i="34" s="1"/>
  <c r="G29" i="34" s="1"/>
  <c r="AH52" i="17"/>
  <c r="AH53" i="17" s="1"/>
  <c r="AN52" i="17"/>
  <c r="AN53" i="17" s="1"/>
  <c r="AM52" i="17"/>
  <c r="AM53" i="17" s="1"/>
  <c r="AL52" i="17"/>
  <c r="AL53" i="17" s="1"/>
  <c r="AK52" i="17"/>
  <c r="AK53" i="17" s="1"/>
  <c r="AJ52" i="17"/>
  <c r="AJ53" i="17" s="1"/>
  <c r="AI52" i="17"/>
  <c r="AI53" i="17" s="1"/>
  <c r="AA52" i="17"/>
  <c r="AA53" i="17" s="1"/>
  <c r="AG52" i="17"/>
  <c r="AG53" i="17" s="1"/>
  <c r="AF52" i="17"/>
  <c r="AF53" i="17" s="1"/>
  <c r="AE52" i="17"/>
  <c r="AE53" i="17" s="1"/>
  <c r="AD52" i="17"/>
  <c r="AD53" i="17" s="1"/>
  <c r="AC52" i="17"/>
  <c r="AC53" i="17" s="1"/>
  <c r="AB52" i="17"/>
  <c r="AB53" i="17" s="1"/>
  <c r="F52" i="17"/>
  <c r="F53" i="17" s="1"/>
  <c r="Z52" i="17"/>
  <c r="Z53" i="17" s="1"/>
  <c r="Y52" i="17"/>
  <c r="Y53" i="17" s="1"/>
  <c r="X52" i="17"/>
  <c r="X53" i="17" s="1"/>
  <c r="W52" i="17"/>
  <c r="W53" i="17" s="1"/>
  <c r="V52" i="17"/>
  <c r="V53" i="17" s="1"/>
  <c r="U52" i="17"/>
  <c r="U53" i="17" s="1"/>
  <c r="T52" i="17"/>
  <c r="T53" i="17" s="1"/>
  <c r="S52" i="17"/>
  <c r="S53" i="17" s="1"/>
  <c r="R52" i="17"/>
  <c r="R53" i="17" s="1"/>
  <c r="F59" i="17"/>
  <c r="G59" i="17"/>
  <c r="H59" i="17"/>
  <c r="I59" i="17"/>
  <c r="J59" i="17"/>
  <c r="K59" i="17"/>
  <c r="L59" i="17"/>
  <c r="M59" i="17"/>
  <c r="N59" i="17"/>
  <c r="O59" i="17"/>
  <c r="P59" i="17"/>
  <c r="Q59" i="17"/>
  <c r="R59" i="17"/>
  <c r="S59" i="17"/>
  <c r="T59" i="17"/>
  <c r="U59" i="17"/>
  <c r="V59" i="17"/>
  <c r="W59" i="17"/>
  <c r="X59" i="17"/>
  <c r="Y59" i="17"/>
  <c r="Z59" i="17"/>
  <c r="AA59" i="17"/>
  <c r="AB59" i="17"/>
  <c r="AC59" i="17"/>
  <c r="AD59" i="17"/>
  <c r="AE59" i="17"/>
  <c r="AF59" i="17"/>
  <c r="AG59" i="17"/>
  <c r="AH59" i="17"/>
  <c r="AI59" i="17"/>
  <c r="AJ59" i="17"/>
  <c r="AK59" i="17"/>
  <c r="AL59" i="17"/>
  <c r="AM59" i="17"/>
  <c r="AN59" i="17"/>
  <c r="Q52" i="17"/>
  <c r="Q53" i="17" s="1"/>
  <c r="P52" i="17"/>
  <c r="P53" i="17" s="1"/>
  <c r="O52" i="17"/>
  <c r="O53" i="17" s="1"/>
  <c r="N52" i="17"/>
  <c r="N53" i="17" s="1"/>
  <c r="M52" i="17"/>
  <c r="M53" i="17" s="1"/>
  <c r="L52" i="17"/>
  <c r="L53" i="17" s="1"/>
  <c r="K52" i="17"/>
  <c r="K53" i="17" s="1"/>
  <c r="J52" i="17"/>
  <c r="J53" i="17" s="1"/>
  <c r="I52" i="17"/>
  <c r="I53" i="17" s="1"/>
  <c r="H52" i="17"/>
  <c r="H53" i="17" s="1"/>
  <c r="G52" i="17"/>
  <c r="G53" i="17" s="1"/>
  <c r="F21" i="84"/>
  <c r="H21" i="85"/>
  <c r="N26" i="85"/>
  <c r="P26" i="85"/>
  <c r="K26" i="85"/>
  <c r="F21" i="85"/>
  <c r="G21" i="85"/>
  <c r="H24" i="85"/>
  <c r="S24" i="34" s="1"/>
  <c r="G24" i="34" s="1"/>
  <c r="G24" i="85"/>
  <c r="R24" i="34" s="1"/>
  <c r="F24" i="34" s="1"/>
  <c r="F25" i="85"/>
  <c r="Q25" i="34" s="1"/>
  <c r="E25" i="34" s="1"/>
  <c r="J26" i="85"/>
  <c r="N28" i="85"/>
  <c r="O26" i="85"/>
  <c r="L26" i="85"/>
  <c r="J22" i="85"/>
  <c r="J16" i="85" s="1"/>
  <c r="J28" i="85"/>
  <c r="K28" i="85"/>
  <c r="P28" i="85"/>
  <c r="L28" i="85"/>
  <c r="O28" i="85"/>
  <c r="N22" i="85"/>
  <c r="N16" i="85" s="1"/>
  <c r="S22" i="85"/>
  <c r="S16" i="85" s="1"/>
  <c r="H23" i="9" a="1"/>
  <c r="H23" i="9" s="1"/>
  <c r="R22" i="85"/>
  <c r="R16" i="85" s="1"/>
  <c r="T22" i="85"/>
  <c r="T16" i="85" s="1"/>
  <c r="K22" i="85"/>
  <c r="K16" i="85" s="1"/>
  <c r="P22" i="85"/>
  <c r="P16" i="85" s="1"/>
  <c r="O22" i="85"/>
  <c r="O16" i="85" s="1"/>
  <c r="L22" i="85"/>
  <c r="L16" i="85" s="1"/>
  <c r="G26" i="84"/>
  <c r="N26" i="34" s="1"/>
  <c r="F26" i="84"/>
  <c r="H26" i="84"/>
  <c r="O26" i="34" s="1"/>
  <c r="AP48" i="26" a="1"/>
  <c r="AP48" i="26" s="1"/>
  <c r="AP31" i="26" a="1"/>
  <c r="AP31" i="26" s="1"/>
  <c r="AP42" i="26" a="1"/>
  <c r="AP42" i="26" s="1"/>
  <c r="AP26" i="26" a="1"/>
  <c r="AP26" i="26" s="1"/>
  <c r="AQ32" i="26" a="1"/>
  <c r="AQ32" i="26" s="1"/>
  <c r="AP28" i="26" a="1"/>
  <c r="AP28" i="26" s="1"/>
  <c r="AQ33" i="26" a="1"/>
  <c r="AQ33" i="26" s="1"/>
  <c r="AR32" i="26" a="1"/>
  <c r="AR32" i="26" s="1"/>
  <c r="AP43" i="26" a="1"/>
  <c r="AP43" i="26" s="1"/>
  <c r="AP27" i="26" a="1"/>
  <c r="AP27" i="26" s="1"/>
  <c r="AP30" i="26" a="1"/>
  <c r="AP30" i="26" s="1"/>
  <c r="AR33" i="26" a="1"/>
  <c r="AR33" i="26" s="1"/>
  <c r="EC4" i="69"/>
  <c r="AS4" i="69" a="1"/>
  <c r="AN41" i="78"/>
  <c r="AN41" i="26" s="1"/>
  <c r="AI41" i="78"/>
  <c r="AI41" i="26" s="1"/>
  <c r="AF41" i="78"/>
  <c r="AF41" i="26" s="1"/>
  <c r="AD41" i="78"/>
  <c r="AD41" i="26" s="1"/>
  <c r="AB41" i="78"/>
  <c r="AB41" i="26" s="1"/>
  <c r="Y41" i="78"/>
  <c r="Y41" i="26" s="1"/>
  <c r="V41" i="78"/>
  <c r="V41" i="26" s="1"/>
  <c r="S41" i="78"/>
  <c r="S41" i="26" s="1"/>
  <c r="Q41" i="78"/>
  <c r="N41" i="78"/>
  <c r="N41" i="26" s="1"/>
  <c r="K41" i="78"/>
  <c r="K41" i="26" s="1"/>
  <c r="H41" i="78"/>
  <c r="H41" i="26" s="1"/>
  <c r="AM41" i="78"/>
  <c r="AM41" i="26" s="1"/>
  <c r="AJ41" i="78"/>
  <c r="AJ41" i="26" s="1"/>
  <c r="AH41" i="78"/>
  <c r="AH41" i="26" s="1"/>
  <c r="AE41" i="78"/>
  <c r="AE41" i="26" s="1"/>
  <c r="AC41" i="78"/>
  <c r="Z41" i="78"/>
  <c r="Z41" i="26" s="1"/>
  <c r="W41" i="78"/>
  <c r="W41" i="26" s="1"/>
  <c r="T41" i="78"/>
  <c r="T41" i="26" s="1"/>
  <c r="P41" i="78"/>
  <c r="P41" i="26" s="1"/>
  <c r="M41" i="78"/>
  <c r="M41" i="26" s="1"/>
  <c r="J41" i="78"/>
  <c r="J41" i="26" s="1"/>
  <c r="G41" i="78"/>
  <c r="G41" i="26" s="1"/>
  <c r="AL41" i="78"/>
  <c r="AL41" i="26" s="1"/>
  <c r="AG41" i="78"/>
  <c r="AG41" i="26" s="1"/>
  <c r="AA41" i="78"/>
  <c r="AA41" i="26" s="1"/>
  <c r="X41" i="78"/>
  <c r="X41" i="26" s="1"/>
  <c r="U41" i="78"/>
  <c r="U41" i="26" s="1"/>
  <c r="R41" i="78"/>
  <c r="R41" i="26" s="1"/>
  <c r="O41" i="78"/>
  <c r="O41" i="26" s="1"/>
  <c r="L41" i="78"/>
  <c r="L41" i="26" s="1"/>
  <c r="I41" i="78"/>
  <c r="I41" i="26" s="1"/>
  <c r="F41" i="78"/>
  <c r="F41" i="26" s="1"/>
  <c r="AK41" i="78"/>
  <c r="AK41" i="26" s="1"/>
  <c r="E44" i="78"/>
  <c r="E46" i="78"/>
  <c r="AC45" i="26"/>
  <c r="Q45" i="26"/>
  <c r="AB35" i="78"/>
  <c r="Y35" i="78"/>
  <c r="P35" i="78"/>
  <c r="Q35" i="78"/>
  <c r="H35" i="78"/>
  <c r="Z35" i="78"/>
  <c r="AA35" i="78"/>
  <c r="AC35" i="78"/>
  <c r="J35" i="78"/>
  <c r="L35" i="78"/>
  <c r="W35" i="78"/>
  <c r="AE35" i="78"/>
  <c r="AJ35" i="78"/>
  <c r="G35" i="78"/>
  <c r="AM35" i="78"/>
  <c r="N35" i="78"/>
  <c r="U35" i="78"/>
  <c r="S35" i="78"/>
  <c r="AK35" i="78"/>
  <c r="AG35" i="78"/>
  <c r="V35" i="78"/>
  <c r="K35" i="78"/>
  <c r="O35" i="78"/>
  <c r="AI35" i="78"/>
  <c r="F35" i="78"/>
  <c r="T35" i="78"/>
  <c r="M35" i="78"/>
  <c r="R35" i="78"/>
  <c r="AF35" i="78"/>
  <c r="I35" i="78"/>
  <c r="AH35" i="78"/>
  <c r="X35" i="78"/>
  <c r="AL35" i="78"/>
  <c r="AD35" i="78"/>
  <c r="AN35" i="78"/>
  <c r="E23" i="78"/>
  <c r="AE40" i="26"/>
  <c r="I40" i="26"/>
  <c r="V40" i="26"/>
  <c r="AB40" i="26"/>
  <c r="X40" i="26"/>
  <c r="H23" i="26"/>
  <c r="AG23" i="26"/>
  <c r="AD23" i="26"/>
  <c r="K40" i="26"/>
  <c r="Y23" i="26"/>
  <c r="U40" i="26"/>
  <c r="AM40" i="26"/>
  <c r="E40" i="78"/>
  <c r="E40" i="26" s="1"/>
  <c r="X23" i="26"/>
  <c r="N23" i="26"/>
  <c r="Q23" i="26"/>
  <c r="AL23" i="26"/>
  <c r="Q44" i="26"/>
  <c r="G23" i="26"/>
  <c r="J23" i="26"/>
  <c r="AI23" i="26"/>
  <c r="W23" i="26"/>
  <c r="AC44" i="26"/>
  <c r="E32" i="26"/>
  <c r="M40" i="26"/>
  <c r="F40" i="26"/>
  <c r="I23" i="26"/>
  <c r="AE23" i="26"/>
  <c r="AD40" i="26"/>
  <c r="O40" i="26"/>
  <c r="AM23" i="26"/>
  <c r="AB23" i="26"/>
  <c r="AQ23" i="26" s="1" a="1"/>
  <c r="AQ23" i="26" s="1"/>
  <c r="E33" i="26"/>
  <c r="Q46" i="26"/>
  <c r="P40" i="26"/>
  <c r="L40" i="26"/>
  <c r="AA40" i="26"/>
  <c r="M23" i="26"/>
  <c r="AJ23" i="26"/>
  <c r="L23" i="26"/>
  <c r="Y40" i="26"/>
  <c r="AH23" i="26"/>
  <c r="AN40" i="26"/>
  <c r="AG40" i="26"/>
  <c r="J40" i="26"/>
  <c r="K23" i="26"/>
  <c r="F23" i="26"/>
  <c r="AL40" i="26"/>
  <c r="S40" i="26"/>
  <c r="AC46" i="26"/>
  <c r="H40" i="26"/>
  <c r="N40" i="26"/>
  <c r="AK40" i="26"/>
  <c r="U23" i="26"/>
  <c r="P23" i="26"/>
  <c r="AP23" i="26" s="1" a="1"/>
  <c r="AP23" i="26" s="1"/>
  <c r="G40" i="26"/>
  <c r="W40" i="26"/>
  <c r="AH40" i="26"/>
  <c r="T23" i="26"/>
  <c r="R23" i="26"/>
  <c r="S23" i="26"/>
  <c r="V23" i="26"/>
  <c r="AC40" i="26"/>
  <c r="AJ40" i="26"/>
  <c r="R40" i="26"/>
  <c r="AI40" i="26"/>
  <c r="Z23" i="26"/>
  <c r="AF40" i="26"/>
  <c r="T40" i="26"/>
  <c r="AN23" i="26"/>
  <c r="AR23" i="26" s="1" a="1"/>
  <c r="AR23" i="26" s="1"/>
  <c r="AA23" i="26"/>
  <c r="Q40" i="26"/>
  <c r="Z40" i="26"/>
  <c r="AF23" i="26"/>
  <c r="AC23" i="26"/>
  <c r="O23" i="26"/>
  <c r="AK23" i="26"/>
  <c r="N36" i="84" l="1" a="1"/>
  <c r="N36" i="84" s="1"/>
  <c r="F36" i="84" s="1"/>
  <c r="O36" i="84" a="1"/>
  <c r="O36" i="84" s="1"/>
  <c r="G36" i="84" s="1"/>
  <c r="N36" i="34" s="1"/>
  <c r="P36" i="84" a="1"/>
  <c r="P36" i="84" s="1"/>
  <c r="H36" i="84" s="1"/>
  <c r="O36" i="34" s="1"/>
  <c r="S21" i="34"/>
  <c r="G21" i="34" s="1"/>
  <c r="Q21" i="34"/>
  <c r="R21" i="34"/>
  <c r="F21" i="34" s="1"/>
  <c r="M21" i="34"/>
  <c r="E21" i="34" s="1"/>
  <c r="I45" i="34"/>
  <c r="AE17" i="98"/>
  <c r="AI17" i="98"/>
  <c r="E50" i="73" a="1"/>
  <c r="L58" i="73" s="1"/>
  <c r="AA13" i="98"/>
  <c r="U20" i="98"/>
  <c r="M26" i="34"/>
  <c r="E49" i="13"/>
  <c r="E50" i="13" s="1" a="1"/>
  <c r="G52" i="13" s="1"/>
  <c r="G53" i="13" s="1"/>
  <c r="E49" i="23"/>
  <c r="E50" i="23" s="1" a="1"/>
  <c r="E49" i="29"/>
  <c r="E50" i="29" s="1" a="1"/>
  <c r="E49" i="24"/>
  <c r="E50" i="24" s="1" a="1"/>
  <c r="E49" i="30"/>
  <c r="E50" i="30" s="1" a="1"/>
  <c r="E49" i="33"/>
  <c r="E50" i="33" s="1" a="1"/>
  <c r="E49" i="60"/>
  <c r="E50" i="60" s="1" a="1"/>
  <c r="E49" i="61"/>
  <c r="E50" i="61" s="1" a="1"/>
  <c r="E49" i="88"/>
  <c r="E50" i="88" s="1" a="1"/>
  <c r="E49" i="32"/>
  <c r="E50" i="32" s="1" a="1"/>
  <c r="E49" i="31"/>
  <c r="E50" i="31" s="1" a="1"/>
  <c r="E49" i="25"/>
  <c r="E50" i="25" s="1" a="1"/>
  <c r="E49" i="50"/>
  <c r="E50" i="50" s="1" a="1"/>
  <c r="E49" i="35"/>
  <c r="E50" i="35" s="1" a="1"/>
  <c r="E49" i="70"/>
  <c r="E50" i="70" s="1" a="1"/>
  <c r="E49" i="89"/>
  <c r="E50" i="89" s="1" a="1"/>
  <c r="E49" i="52"/>
  <c r="E50" i="52" s="1" a="1"/>
  <c r="E49" i="37"/>
  <c r="E50" i="37" s="1" a="1"/>
  <c r="E49" i="65"/>
  <c r="E50" i="65" s="1" a="1"/>
  <c r="E49" i="66"/>
  <c r="E50" i="66" s="1" a="1"/>
  <c r="E49" i="67"/>
  <c r="E50" i="67" s="1" a="1"/>
  <c r="E49" i="53"/>
  <c r="E50" i="53" s="1" a="1"/>
  <c r="E49" i="45"/>
  <c r="E50" i="45" s="1" a="1"/>
  <c r="E49" i="62"/>
  <c r="E50" i="62" s="1" a="1"/>
  <c r="E49" i="48"/>
  <c r="E50" i="48" s="1" a="1"/>
  <c r="E49" i="38"/>
  <c r="E50" i="38" s="1" a="1"/>
  <c r="E49" i="54"/>
  <c r="E50" i="54" s="1" a="1"/>
  <c r="E49" i="39"/>
  <c r="E50" i="39" s="1" a="1"/>
  <c r="E49" i="55"/>
  <c r="E50" i="55" s="1" a="1"/>
  <c r="E49" i="56"/>
  <c r="E50" i="56" s="1" a="1"/>
  <c r="E49" i="41"/>
  <c r="E50" i="41" s="1" a="1"/>
  <c r="E49" i="49"/>
  <c r="E50" i="49" s="1" a="1"/>
  <c r="E49" i="71"/>
  <c r="E50" i="71" s="1" a="1"/>
  <c r="E49" i="74"/>
  <c r="E50" i="74" s="1" a="1"/>
  <c r="E49" i="57"/>
  <c r="E50" i="57" s="1" a="1"/>
  <c r="E49" i="59"/>
  <c r="E50" i="59" s="1" a="1"/>
  <c r="E49" i="63"/>
  <c r="E50" i="63" s="1" a="1"/>
  <c r="E49" i="72"/>
  <c r="E50" i="72" s="1" a="1"/>
  <c r="E49" i="19"/>
  <c r="E50" i="19" s="1" a="1"/>
  <c r="E49" i="51"/>
  <c r="E50" i="51" s="1" a="1"/>
  <c r="E49" i="68"/>
  <c r="E50" i="68" s="1" a="1"/>
  <c r="E49" i="44"/>
  <c r="E50" i="44" s="1" a="1"/>
  <c r="E49" i="91"/>
  <c r="E50" i="91" s="1" a="1"/>
  <c r="E49" i="75"/>
  <c r="E50" i="75" s="1" a="1"/>
  <c r="E49" i="90"/>
  <c r="E50" i="90" s="1" a="1"/>
  <c r="H28" i="85"/>
  <c r="S28" i="34" s="1"/>
  <c r="G28" i="34" s="1"/>
  <c r="E22" i="78" a="1"/>
  <c r="E22" i="78" s="1"/>
  <c r="F26" i="85"/>
  <c r="Q26" i="34" s="1"/>
  <c r="H26" i="85"/>
  <c r="S26" i="34" s="1"/>
  <c r="G26" i="34" s="1"/>
  <c r="G26" i="85"/>
  <c r="R26" i="34" s="1"/>
  <c r="F26" i="34" s="1"/>
  <c r="F28" i="85"/>
  <c r="Q28" i="34" s="1"/>
  <c r="E28" i="34" s="1"/>
  <c r="J17" i="9"/>
  <c r="J23" i="9" a="1"/>
  <c r="J23" i="9" s="1"/>
  <c r="AP40" i="26" a="1"/>
  <c r="AP40" i="26" s="1"/>
  <c r="H22" i="85"/>
  <c r="H16" i="85" s="1"/>
  <c r="G22" i="85"/>
  <c r="G16" i="85" s="1"/>
  <c r="S36" i="85"/>
  <c r="N36" i="85"/>
  <c r="X10" i="98" s="1"/>
  <c r="L36" i="85"/>
  <c r="P36" i="85"/>
  <c r="J36" i="85"/>
  <c r="W10" i="98" s="1"/>
  <c r="O36" i="85"/>
  <c r="R36" i="85"/>
  <c r="Y10" i="98" s="1"/>
  <c r="T36" i="85"/>
  <c r="K36" i="85"/>
  <c r="F22" i="85"/>
  <c r="G28" i="85"/>
  <c r="R28" i="34" s="1"/>
  <c r="F28" i="34" s="1"/>
  <c r="L27" i="85"/>
  <c r="K27" i="85"/>
  <c r="O27" i="85"/>
  <c r="AR40" i="26" a="1"/>
  <c r="AR40" i="26" s="1"/>
  <c r="AQ40" i="26" a="1"/>
  <c r="AQ40" i="26" s="1"/>
  <c r="J27" i="85"/>
  <c r="T27" i="85"/>
  <c r="S27" i="85"/>
  <c r="R27" i="85"/>
  <c r="P27" i="85"/>
  <c r="N27" i="85"/>
  <c r="G22" i="84"/>
  <c r="H22" i="84"/>
  <c r="F22" i="84"/>
  <c r="F16" i="84" s="1"/>
  <c r="AR45" i="26" a="1"/>
  <c r="AR45" i="26" s="1"/>
  <c r="AQ45" i="26" a="1"/>
  <c r="AQ45" i="26" s="1"/>
  <c r="AQ44" i="26" a="1"/>
  <c r="AQ44" i="26" s="1"/>
  <c r="AR44" i="26" a="1"/>
  <c r="AR44" i="26" s="1"/>
  <c r="AP32" i="26" a="1"/>
  <c r="AP32" i="26" s="1"/>
  <c r="AP33" i="26" a="1"/>
  <c r="AP33" i="26" s="1"/>
  <c r="AQ46" i="26" a="1"/>
  <c r="AQ46" i="26" s="1"/>
  <c r="AR46" i="26" a="1"/>
  <c r="AR46" i="26" s="1"/>
  <c r="O17" i="9" a="1"/>
  <c r="O17" i="9" s="1"/>
  <c r="O23" i="9" s="1"/>
  <c r="N17" i="9" a="1"/>
  <c r="N17" i="9" s="1"/>
  <c r="N23" i="9" s="1"/>
  <c r="L17" i="9" a="1"/>
  <c r="L17" i="9" s="1"/>
  <c r="L23" i="9" s="1"/>
  <c r="M17" i="9" a="1"/>
  <c r="M17" i="9" s="1"/>
  <c r="M23" i="9" s="1"/>
  <c r="AS4" i="69"/>
  <c r="E41" i="78"/>
  <c r="Q41" i="26"/>
  <c r="AC41" i="26"/>
  <c r="E45" i="26"/>
  <c r="Y37" i="78"/>
  <c r="Z37" i="78"/>
  <c r="P37" i="78"/>
  <c r="J37" i="78"/>
  <c r="L37" i="78"/>
  <c r="E35" i="78"/>
  <c r="AB37" i="78"/>
  <c r="Q37" i="78"/>
  <c r="H37" i="78"/>
  <c r="AA37" i="78"/>
  <c r="AC37" i="78"/>
  <c r="G37" i="78"/>
  <c r="U37" i="78"/>
  <c r="W37" i="78"/>
  <c r="AE37" i="78"/>
  <c r="AJ37" i="78"/>
  <c r="AM37" i="78"/>
  <c r="T37" i="78"/>
  <c r="AF37" i="78"/>
  <c r="AD37" i="78"/>
  <c r="AN37" i="78"/>
  <c r="N37" i="78"/>
  <c r="S37" i="78"/>
  <c r="AK37" i="78"/>
  <c r="AG37" i="78"/>
  <c r="V37" i="78"/>
  <c r="K37" i="78"/>
  <c r="O37" i="78"/>
  <c r="AI37" i="78"/>
  <c r="F37" i="78"/>
  <c r="M37" i="78"/>
  <c r="R37" i="78"/>
  <c r="I37" i="78"/>
  <c r="AH37" i="78"/>
  <c r="X37" i="78"/>
  <c r="AL37" i="78"/>
  <c r="E23" i="26"/>
  <c r="E44" i="26"/>
  <c r="E46" i="26"/>
  <c r="E26" i="34" l="1"/>
  <c r="N22" i="34"/>
  <c r="G16" i="84"/>
  <c r="O22" i="34"/>
  <c r="H16" i="84"/>
  <c r="O16" i="34" s="1"/>
  <c r="Q22" i="34"/>
  <c r="F16" i="85"/>
  <c r="M22" i="34"/>
  <c r="E22" i="34" s="1"/>
  <c r="E16" i="34" s="1"/>
  <c r="C17" i="9"/>
  <c r="H17" i="9" s="1"/>
  <c r="V10" i="98"/>
  <c r="AA10" i="98" s="1"/>
  <c r="C26" i="9"/>
  <c r="J58" i="73"/>
  <c r="G58" i="73"/>
  <c r="E50" i="73"/>
  <c r="E52" i="73" s="1"/>
  <c r="E53" i="73" s="1"/>
  <c r="K58" i="73"/>
  <c r="H58" i="73"/>
  <c r="AN52" i="73"/>
  <c r="AN53" i="73" s="1"/>
  <c r="AM52" i="73"/>
  <c r="AM53" i="73" s="1"/>
  <c r="AE52" i="73"/>
  <c r="AE53" i="73" s="1"/>
  <c r="AD52" i="73"/>
  <c r="AD53" i="73" s="1"/>
  <c r="O52" i="73"/>
  <c r="O53" i="73" s="1"/>
  <c r="P52" i="73"/>
  <c r="P53" i="73" s="1"/>
  <c r="G52" i="73"/>
  <c r="G53" i="73" s="1"/>
  <c r="F52" i="73"/>
  <c r="F53" i="73" s="1"/>
  <c r="AN58" i="73"/>
  <c r="AH58" i="73"/>
  <c r="AC52" i="73"/>
  <c r="AC53" i="73" s="1"/>
  <c r="AE58" i="73"/>
  <c r="AB52" i="73"/>
  <c r="AB53" i="73" s="1"/>
  <c r="AL58" i="73"/>
  <c r="AA52" i="73"/>
  <c r="AA53" i="73" s="1"/>
  <c r="AK58" i="73"/>
  <c r="S52" i="73"/>
  <c r="S53" i="73" s="1"/>
  <c r="AJ58" i="73"/>
  <c r="AM58" i="73"/>
  <c r="R52" i="73"/>
  <c r="R53" i="73" s="1"/>
  <c r="AI58" i="73"/>
  <c r="N58" i="73"/>
  <c r="Q52" i="73"/>
  <c r="Q53" i="73" s="1"/>
  <c r="AF58" i="73"/>
  <c r="AG58" i="73"/>
  <c r="AL52" i="73"/>
  <c r="AL53" i="73" s="1"/>
  <c r="Z52" i="73"/>
  <c r="Z53" i="73" s="1"/>
  <c r="N52" i="73"/>
  <c r="N53" i="73" s="1"/>
  <c r="Z58" i="73"/>
  <c r="AB58" i="73"/>
  <c r="AD58" i="73"/>
  <c r="AK52" i="73"/>
  <c r="AK53" i="73" s="1"/>
  <c r="Y52" i="73"/>
  <c r="Y53" i="73" s="1"/>
  <c r="M52" i="73"/>
  <c r="M53" i="73" s="1"/>
  <c r="W58" i="73"/>
  <c r="Y58" i="73"/>
  <c r="AC58" i="73"/>
  <c r="AJ52" i="73"/>
  <c r="AJ53" i="73" s="1"/>
  <c r="X52" i="73"/>
  <c r="X53" i="73" s="1"/>
  <c r="L52" i="73"/>
  <c r="L53" i="73" s="1"/>
  <c r="R58" i="73"/>
  <c r="V58" i="73"/>
  <c r="AA58" i="73"/>
  <c r="AI52" i="73"/>
  <c r="AI53" i="73" s="1"/>
  <c r="W52" i="73"/>
  <c r="W53" i="73" s="1"/>
  <c r="K52" i="73"/>
  <c r="K53" i="73" s="1"/>
  <c r="P58" i="73"/>
  <c r="T58" i="73"/>
  <c r="X58" i="73"/>
  <c r="AH52" i="73"/>
  <c r="AH53" i="73" s="1"/>
  <c r="V52" i="73"/>
  <c r="V53" i="73" s="1"/>
  <c r="J52" i="73"/>
  <c r="J53" i="73" s="1"/>
  <c r="M58" i="73"/>
  <c r="Q58" i="73"/>
  <c r="U58" i="73"/>
  <c r="AG52" i="73"/>
  <c r="AG53" i="73" s="1"/>
  <c r="U52" i="73"/>
  <c r="U53" i="73" s="1"/>
  <c r="I52" i="73"/>
  <c r="I53" i="73" s="1"/>
  <c r="I58" i="73"/>
  <c r="O58" i="73"/>
  <c r="S58" i="73"/>
  <c r="AF52" i="73"/>
  <c r="AF53" i="73" s="1"/>
  <c r="T52" i="73"/>
  <c r="T53" i="73" s="1"/>
  <c r="H52" i="73"/>
  <c r="H53" i="73" s="1"/>
  <c r="F58" i="73"/>
  <c r="H52" i="13"/>
  <c r="H53" i="13" s="1"/>
  <c r="K52" i="13"/>
  <c r="K53" i="13" s="1"/>
  <c r="L52" i="13"/>
  <c r="L53" i="13" s="1"/>
  <c r="N52" i="13"/>
  <c r="N53" i="13" s="1"/>
  <c r="P52" i="13"/>
  <c r="P53" i="13" s="1"/>
  <c r="R52" i="13"/>
  <c r="R53" i="13" s="1"/>
  <c r="U52" i="13"/>
  <c r="U53" i="13" s="1"/>
  <c r="W52" i="13"/>
  <c r="W53" i="13" s="1"/>
  <c r="X52" i="13"/>
  <c r="X53" i="13" s="1"/>
  <c r="Z52" i="13"/>
  <c r="Z53" i="13" s="1"/>
  <c r="AB52" i="13"/>
  <c r="AB53" i="13" s="1"/>
  <c r="AD52" i="13"/>
  <c r="AD53" i="13" s="1"/>
  <c r="AG52" i="13"/>
  <c r="AG53" i="13" s="1"/>
  <c r="AI52" i="13"/>
  <c r="AI53" i="13" s="1"/>
  <c r="AK52" i="13"/>
  <c r="AK53" i="13" s="1"/>
  <c r="AM52" i="13"/>
  <c r="AM53" i="13" s="1"/>
  <c r="J58" i="13"/>
  <c r="Q58" i="13"/>
  <c r="H58" i="13"/>
  <c r="M58" i="13"/>
  <c r="R58" i="13"/>
  <c r="W58" i="13"/>
  <c r="AA58" i="13"/>
  <c r="AE58" i="13"/>
  <c r="AG58" i="13"/>
  <c r="AI58" i="13"/>
  <c r="AL58" i="13"/>
  <c r="AM58" i="13"/>
  <c r="G58" i="13"/>
  <c r="L58" i="13"/>
  <c r="S58" i="13"/>
  <c r="X58" i="13"/>
  <c r="AJ58" i="13"/>
  <c r="F52" i="13"/>
  <c r="F53" i="13" s="1"/>
  <c r="I52" i="13"/>
  <c r="I53" i="13" s="1"/>
  <c r="J52" i="13"/>
  <c r="J53" i="13" s="1"/>
  <c r="M52" i="13"/>
  <c r="M53" i="13" s="1"/>
  <c r="O52" i="13"/>
  <c r="O53" i="13" s="1"/>
  <c r="Q52" i="13"/>
  <c r="Q53" i="13" s="1"/>
  <c r="S52" i="13"/>
  <c r="S53" i="13" s="1"/>
  <c r="T52" i="13"/>
  <c r="T53" i="13" s="1"/>
  <c r="V52" i="13"/>
  <c r="V53" i="13" s="1"/>
  <c r="Y52" i="13"/>
  <c r="Y53" i="13" s="1"/>
  <c r="AA52" i="13"/>
  <c r="AA53" i="13" s="1"/>
  <c r="AC52" i="13"/>
  <c r="AC53" i="13" s="1"/>
  <c r="AE52" i="13"/>
  <c r="AE53" i="13" s="1"/>
  <c r="AF52" i="13"/>
  <c r="AF53" i="13" s="1"/>
  <c r="AH52" i="13"/>
  <c r="AH53" i="13" s="1"/>
  <c r="AJ52" i="13"/>
  <c r="AJ53" i="13" s="1"/>
  <c r="AL52" i="13"/>
  <c r="AL53" i="13" s="1"/>
  <c r="AN52" i="13"/>
  <c r="AN53" i="13" s="1"/>
  <c r="F58" i="13"/>
  <c r="N58" i="13"/>
  <c r="U58" i="13"/>
  <c r="AD58" i="13"/>
  <c r="K58" i="13"/>
  <c r="P58" i="13"/>
  <c r="T58" i="13"/>
  <c r="Y58" i="13"/>
  <c r="AC58" i="13"/>
  <c r="AF58" i="13"/>
  <c r="AH58" i="13"/>
  <c r="AK58" i="13"/>
  <c r="AN58" i="13"/>
  <c r="I58" i="13"/>
  <c r="O58" i="13"/>
  <c r="V58" i="13"/>
  <c r="Z58" i="13"/>
  <c r="AB58" i="13"/>
  <c r="E50" i="13"/>
  <c r="F52" i="23"/>
  <c r="F53" i="23" s="1"/>
  <c r="G52" i="23"/>
  <c r="G53" i="23" s="1"/>
  <c r="H52" i="23"/>
  <c r="H53" i="23" s="1"/>
  <c r="I52" i="23"/>
  <c r="I53" i="23" s="1"/>
  <c r="J52" i="23"/>
  <c r="J53" i="23" s="1"/>
  <c r="K52" i="23"/>
  <c r="K53" i="23" s="1"/>
  <c r="L52" i="23"/>
  <c r="L53" i="23" s="1"/>
  <c r="M52" i="23"/>
  <c r="M53" i="23" s="1"/>
  <c r="N52" i="23"/>
  <c r="N53" i="23" s="1"/>
  <c r="O52" i="23"/>
  <c r="O53" i="23" s="1"/>
  <c r="P52" i="23"/>
  <c r="P53" i="23" s="1"/>
  <c r="Q52" i="23"/>
  <c r="Q53" i="23" s="1"/>
  <c r="R52" i="23"/>
  <c r="R53" i="23" s="1"/>
  <c r="S52" i="23"/>
  <c r="S53" i="23" s="1"/>
  <c r="T52" i="23"/>
  <c r="T53" i="23" s="1"/>
  <c r="U52" i="23"/>
  <c r="U53" i="23" s="1"/>
  <c r="V52" i="23"/>
  <c r="V53" i="23" s="1"/>
  <c r="W52" i="23"/>
  <c r="W53" i="23" s="1"/>
  <c r="X52" i="23"/>
  <c r="X53" i="23" s="1"/>
  <c r="Y52" i="23"/>
  <c r="Y53" i="23" s="1"/>
  <c r="Z52" i="23"/>
  <c r="Z53" i="23" s="1"/>
  <c r="AA52" i="23"/>
  <c r="AA53" i="23" s="1"/>
  <c r="AB52" i="23"/>
  <c r="AB53" i="23" s="1"/>
  <c r="AC52" i="23"/>
  <c r="AC53" i="23" s="1"/>
  <c r="AD52" i="23"/>
  <c r="AD53" i="23" s="1"/>
  <c r="AE52" i="23"/>
  <c r="AE53" i="23" s="1"/>
  <c r="AF52" i="23"/>
  <c r="AF53" i="23" s="1"/>
  <c r="AG52" i="23"/>
  <c r="AG53" i="23" s="1"/>
  <c r="AH52" i="23"/>
  <c r="AH53" i="23" s="1"/>
  <c r="AI52" i="23"/>
  <c r="AI53" i="23" s="1"/>
  <c r="AJ52" i="23"/>
  <c r="AJ53" i="23" s="1"/>
  <c r="AK52" i="23"/>
  <c r="AK53" i="23" s="1"/>
  <c r="AL52" i="23"/>
  <c r="AL53" i="23" s="1"/>
  <c r="AM52" i="23"/>
  <c r="AM53" i="23" s="1"/>
  <c r="AN52" i="23"/>
  <c r="AN53" i="23" s="1"/>
  <c r="F58" i="23"/>
  <c r="G58" i="23"/>
  <c r="H58" i="23"/>
  <c r="I58" i="23"/>
  <c r="J58" i="23"/>
  <c r="K58" i="23"/>
  <c r="L58" i="23"/>
  <c r="M58" i="23"/>
  <c r="N58" i="23"/>
  <c r="O58" i="23"/>
  <c r="P58" i="23"/>
  <c r="Q58" i="23"/>
  <c r="R58" i="23"/>
  <c r="S58" i="23"/>
  <c r="T58" i="23"/>
  <c r="U58" i="23"/>
  <c r="V58" i="23"/>
  <c r="W58" i="23"/>
  <c r="X58" i="23"/>
  <c r="Y58" i="23"/>
  <c r="Z58" i="23"/>
  <c r="AA58" i="23"/>
  <c r="AB58" i="23"/>
  <c r="AC58" i="23"/>
  <c r="AD58" i="23"/>
  <c r="AE58" i="23"/>
  <c r="AF58" i="23"/>
  <c r="AG58" i="23"/>
  <c r="AH58" i="23"/>
  <c r="AI58" i="23"/>
  <c r="AJ58" i="23"/>
  <c r="AK58" i="23"/>
  <c r="AL58" i="23"/>
  <c r="AM58" i="23"/>
  <c r="AN58" i="23"/>
  <c r="E50" i="23"/>
  <c r="AN58" i="29"/>
  <c r="AM58" i="29"/>
  <c r="AL58" i="29"/>
  <c r="AK58" i="29"/>
  <c r="AJ58" i="29"/>
  <c r="AI58" i="29"/>
  <c r="AH58" i="29"/>
  <c r="AG58" i="29"/>
  <c r="AF58" i="29"/>
  <c r="AE58" i="29"/>
  <c r="AD58" i="29"/>
  <c r="AC58" i="29"/>
  <c r="AB58" i="29"/>
  <c r="AA58" i="29"/>
  <c r="Z58" i="29"/>
  <c r="Y58" i="29"/>
  <c r="X58" i="29"/>
  <c r="W58" i="29"/>
  <c r="V58" i="29"/>
  <c r="U58" i="29"/>
  <c r="T58" i="29"/>
  <c r="S58" i="29"/>
  <c r="R58" i="29"/>
  <c r="Q58" i="29"/>
  <c r="P58" i="29"/>
  <c r="O58" i="29"/>
  <c r="N58" i="29"/>
  <c r="M58" i="29"/>
  <c r="L58" i="29"/>
  <c r="K58" i="29"/>
  <c r="J58" i="29"/>
  <c r="I58" i="29"/>
  <c r="H58" i="29"/>
  <c r="G58" i="29"/>
  <c r="F58" i="29"/>
  <c r="AN52" i="29"/>
  <c r="AN53" i="29" s="1"/>
  <c r="AM52" i="29"/>
  <c r="AM53" i="29" s="1"/>
  <c r="AL52" i="29"/>
  <c r="AL53" i="29" s="1"/>
  <c r="AK52" i="29"/>
  <c r="AK53" i="29" s="1"/>
  <c r="AJ52" i="29"/>
  <c r="AJ53" i="29" s="1"/>
  <c r="AI52" i="29"/>
  <c r="AI53" i="29" s="1"/>
  <c r="AH52" i="29"/>
  <c r="AH53" i="29" s="1"/>
  <c r="AG52" i="29"/>
  <c r="AG53" i="29" s="1"/>
  <c r="AF52" i="29"/>
  <c r="AF53" i="29" s="1"/>
  <c r="AE52" i="29"/>
  <c r="AE53" i="29" s="1"/>
  <c r="AD52" i="29"/>
  <c r="AD53" i="29" s="1"/>
  <c r="AC52" i="29"/>
  <c r="AC53" i="29" s="1"/>
  <c r="AB52" i="29"/>
  <c r="AB53" i="29" s="1"/>
  <c r="AA52" i="29"/>
  <c r="AA53" i="29" s="1"/>
  <c r="Z52" i="29"/>
  <c r="Z53" i="29" s="1"/>
  <c r="Y52" i="29"/>
  <c r="Y53" i="29" s="1"/>
  <c r="X52" i="29"/>
  <c r="X53" i="29" s="1"/>
  <c r="W52" i="29"/>
  <c r="W53" i="29" s="1"/>
  <c r="V52" i="29"/>
  <c r="V53" i="29" s="1"/>
  <c r="U52" i="29"/>
  <c r="U53" i="29" s="1"/>
  <c r="T52" i="29"/>
  <c r="T53" i="29" s="1"/>
  <c r="S52" i="29"/>
  <c r="S53" i="29" s="1"/>
  <c r="R52" i="29"/>
  <c r="R53" i="29" s="1"/>
  <c r="Q52" i="29"/>
  <c r="Q53" i="29" s="1"/>
  <c r="P52" i="29"/>
  <c r="P53" i="29" s="1"/>
  <c r="O52" i="29"/>
  <c r="O53" i="29" s="1"/>
  <c r="N52" i="29"/>
  <c r="N53" i="29" s="1"/>
  <c r="M52" i="29"/>
  <c r="M53" i="29" s="1"/>
  <c r="L52" i="29"/>
  <c r="L53" i="29" s="1"/>
  <c r="K52" i="29"/>
  <c r="K53" i="29" s="1"/>
  <c r="J52" i="29"/>
  <c r="J53" i="29" s="1"/>
  <c r="I52" i="29"/>
  <c r="I53" i="29" s="1"/>
  <c r="H52" i="29"/>
  <c r="H53" i="29" s="1"/>
  <c r="G52" i="29"/>
  <c r="G53" i="29" s="1"/>
  <c r="F52" i="29"/>
  <c r="F53" i="29" s="1"/>
  <c r="E50" i="29"/>
  <c r="I52" i="24"/>
  <c r="I53" i="24" s="1"/>
  <c r="M52" i="24"/>
  <c r="M53" i="24" s="1"/>
  <c r="T52" i="24"/>
  <c r="T53" i="24" s="1"/>
  <c r="V52" i="24"/>
  <c r="V53" i="24" s="1"/>
  <c r="Y52" i="24"/>
  <c r="Y53" i="24" s="1"/>
  <c r="AC52" i="24"/>
  <c r="AC53" i="24" s="1"/>
  <c r="AF52" i="24"/>
  <c r="AF53" i="24" s="1"/>
  <c r="AH52" i="24"/>
  <c r="AH53" i="24" s="1"/>
  <c r="AJ52" i="24"/>
  <c r="AJ53" i="24" s="1"/>
  <c r="AL52" i="24"/>
  <c r="AL53" i="24" s="1"/>
  <c r="AN52" i="24"/>
  <c r="AN53" i="24" s="1"/>
  <c r="I58" i="24"/>
  <c r="F52" i="24"/>
  <c r="F53" i="24" s="1"/>
  <c r="L52" i="24"/>
  <c r="L53" i="24" s="1"/>
  <c r="P52" i="24"/>
  <c r="P53" i="24" s="1"/>
  <c r="R52" i="24"/>
  <c r="R53" i="24" s="1"/>
  <c r="X52" i="24"/>
  <c r="X53" i="24" s="1"/>
  <c r="AB52" i="24"/>
  <c r="AB53" i="24" s="1"/>
  <c r="H58" i="24"/>
  <c r="J58" i="24"/>
  <c r="L58" i="24"/>
  <c r="M58" i="24"/>
  <c r="P58" i="24"/>
  <c r="R58" i="24"/>
  <c r="U58" i="24"/>
  <c r="V58" i="24"/>
  <c r="Y58" i="24"/>
  <c r="AA58" i="24"/>
  <c r="AC58" i="24"/>
  <c r="AE58" i="24"/>
  <c r="AG58" i="24"/>
  <c r="AI58" i="24"/>
  <c r="AK58" i="24"/>
  <c r="AN58" i="24"/>
  <c r="G52" i="24"/>
  <c r="G53" i="24" s="1"/>
  <c r="K52" i="24"/>
  <c r="K53" i="24" s="1"/>
  <c r="O52" i="24"/>
  <c r="O53" i="24" s="1"/>
  <c r="Q52" i="24"/>
  <c r="Q53" i="24" s="1"/>
  <c r="W52" i="24"/>
  <c r="W53" i="24" s="1"/>
  <c r="AA52" i="24"/>
  <c r="AA53" i="24" s="1"/>
  <c r="AD52" i="24"/>
  <c r="AD53" i="24" s="1"/>
  <c r="AE52" i="24"/>
  <c r="AE53" i="24" s="1"/>
  <c r="AG52" i="24"/>
  <c r="AG53" i="24" s="1"/>
  <c r="AI52" i="24"/>
  <c r="AI53" i="24" s="1"/>
  <c r="AK52" i="24"/>
  <c r="AK53" i="24" s="1"/>
  <c r="AM52" i="24"/>
  <c r="AM53" i="24" s="1"/>
  <c r="F58" i="24"/>
  <c r="O58" i="24"/>
  <c r="H52" i="24"/>
  <c r="H53" i="24" s="1"/>
  <c r="J52" i="24"/>
  <c r="J53" i="24" s="1"/>
  <c r="N52" i="24"/>
  <c r="N53" i="24" s="1"/>
  <c r="S52" i="24"/>
  <c r="S53" i="24" s="1"/>
  <c r="U52" i="24"/>
  <c r="U53" i="24" s="1"/>
  <c r="Z52" i="24"/>
  <c r="Z53" i="24" s="1"/>
  <c r="G58" i="24"/>
  <c r="K58" i="24"/>
  <c r="N58" i="24"/>
  <c r="Q58" i="24"/>
  <c r="S58" i="24"/>
  <c r="T58" i="24"/>
  <c r="W58" i="24"/>
  <c r="X58" i="24"/>
  <c r="Z58" i="24"/>
  <c r="AB58" i="24"/>
  <c r="AD58" i="24"/>
  <c r="AF58" i="24"/>
  <c r="AH58" i="24"/>
  <c r="AJ58" i="24"/>
  <c r="AL58" i="24"/>
  <c r="AM58" i="24"/>
  <c r="E50" i="24"/>
  <c r="G52" i="30"/>
  <c r="G53" i="30" s="1"/>
  <c r="I52" i="30"/>
  <c r="I53" i="30" s="1"/>
  <c r="K52" i="30"/>
  <c r="K53" i="30" s="1"/>
  <c r="M52" i="30"/>
  <c r="M53" i="30" s="1"/>
  <c r="O52" i="30"/>
  <c r="O53" i="30" s="1"/>
  <c r="Q52" i="30"/>
  <c r="Q53" i="30" s="1"/>
  <c r="S52" i="30"/>
  <c r="S53" i="30" s="1"/>
  <c r="U52" i="30"/>
  <c r="U53" i="30" s="1"/>
  <c r="V52" i="30"/>
  <c r="V53" i="30" s="1"/>
  <c r="X52" i="30"/>
  <c r="X53" i="30" s="1"/>
  <c r="Z52" i="30"/>
  <c r="Z53" i="30" s="1"/>
  <c r="AB52" i="30"/>
  <c r="AB53" i="30" s="1"/>
  <c r="AD52" i="30"/>
  <c r="AD53" i="30" s="1"/>
  <c r="AF52" i="30"/>
  <c r="AF53" i="30" s="1"/>
  <c r="AI52" i="30"/>
  <c r="AI53" i="30" s="1"/>
  <c r="AK52" i="30"/>
  <c r="AK53" i="30" s="1"/>
  <c r="AM52" i="30"/>
  <c r="AM53" i="30" s="1"/>
  <c r="F58" i="30"/>
  <c r="G58" i="30"/>
  <c r="H58" i="30"/>
  <c r="I58" i="30"/>
  <c r="J58" i="30"/>
  <c r="K58" i="30"/>
  <c r="L58" i="30"/>
  <c r="M58" i="30"/>
  <c r="N58" i="30"/>
  <c r="O58" i="30"/>
  <c r="P58" i="30"/>
  <c r="Q58" i="30"/>
  <c r="R58" i="30"/>
  <c r="S58" i="30"/>
  <c r="T58" i="30"/>
  <c r="U58" i="30"/>
  <c r="V58" i="30"/>
  <c r="W58" i="30"/>
  <c r="X58" i="30"/>
  <c r="Y58" i="30"/>
  <c r="Z58" i="30"/>
  <c r="AA58" i="30"/>
  <c r="AB58" i="30"/>
  <c r="AC58" i="30"/>
  <c r="AD58" i="30"/>
  <c r="AE58" i="30"/>
  <c r="AF58" i="30"/>
  <c r="AG58" i="30"/>
  <c r="AH58" i="30"/>
  <c r="AI58" i="30"/>
  <c r="AJ58" i="30"/>
  <c r="AK58" i="30"/>
  <c r="AL58" i="30"/>
  <c r="AM58" i="30"/>
  <c r="AN58" i="30"/>
  <c r="F52" i="30"/>
  <c r="F53" i="30" s="1"/>
  <c r="H52" i="30"/>
  <c r="H53" i="30" s="1"/>
  <c r="J52" i="30"/>
  <c r="J53" i="30" s="1"/>
  <c r="L52" i="30"/>
  <c r="L53" i="30" s="1"/>
  <c r="N52" i="30"/>
  <c r="N53" i="30" s="1"/>
  <c r="P52" i="30"/>
  <c r="P53" i="30" s="1"/>
  <c r="R52" i="30"/>
  <c r="R53" i="30" s="1"/>
  <c r="T52" i="30"/>
  <c r="T53" i="30" s="1"/>
  <c r="W52" i="30"/>
  <c r="W53" i="30" s="1"/>
  <c r="Y52" i="30"/>
  <c r="Y53" i="30" s="1"/>
  <c r="AA52" i="30"/>
  <c r="AA53" i="30" s="1"/>
  <c r="AC52" i="30"/>
  <c r="AC53" i="30" s="1"/>
  <c r="AE52" i="30"/>
  <c r="AE53" i="30" s="1"/>
  <c r="AG52" i="30"/>
  <c r="AG53" i="30" s="1"/>
  <c r="AH52" i="30"/>
  <c r="AH53" i="30" s="1"/>
  <c r="AJ52" i="30"/>
  <c r="AJ53" i="30" s="1"/>
  <c r="AL52" i="30"/>
  <c r="AL53" i="30" s="1"/>
  <c r="AN52" i="30"/>
  <c r="AN53" i="30" s="1"/>
  <c r="E50" i="30"/>
  <c r="L52" i="33"/>
  <c r="L53" i="33" s="1"/>
  <c r="F52" i="33"/>
  <c r="F53" i="33" s="1"/>
  <c r="G52" i="33"/>
  <c r="G53" i="33" s="1"/>
  <c r="H52" i="33"/>
  <c r="H53" i="33" s="1"/>
  <c r="I52" i="33"/>
  <c r="I53" i="33" s="1"/>
  <c r="J52" i="33"/>
  <c r="J53" i="33" s="1"/>
  <c r="K52" i="33"/>
  <c r="K53" i="33" s="1"/>
  <c r="M52" i="33"/>
  <c r="M53" i="33" s="1"/>
  <c r="N52" i="33"/>
  <c r="N53" i="33" s="1"/>
  <c r="O52" i="33"/>
  <c r="O53" i="33" s="1"/>
  <c r="P52" i="33"/>
  <c r="P53" i="33" s="1"/>
  <c r="Q52" i="33"/>
  <c r="Q53" i="33" s="1"/>
  <c r="R52" i="33"/>
  <c r="R53" i="33" s="1"/>
  <c r="S52" i="33"/>
  <c r="S53" i="33" s="1"/>
  <c r="T52" i="33"/>
  <c r="T53" i="33" s="1"/>
  <c r="U52" i="33"/>
  <c r="U53" i="33" s="1"/>
  <c r="V52" i="33"/>
  <c r="V53" i="33" s="1"/>
  <c r="W52" i="33"/>
  <c r="W53" i="33" s="1"/>
  <c r="X52" i="33"/>
  <c r="X53" i="33" s="1"/>
  <c r="Y52" i="33"/>
  <c r="Y53" i="33" s="1"/>
  <c r="Z52" i="33"/>
  <c r="Z53" i="33" s="1"/>
  <c r="AA52" i="33"/>
  <c r="AA53" i="33" s="1"/>
  <c r="AB52" i="33"/>
  <c r="AB53" i="33" s="1"/>
  <c r="AC52" i="33"/>
  <c r="AC53" i="33" s="1"/>
  <c r="AD52" i="33"/>
  <c r="AD53" i="33" s="1"/>
  <c r="AE52" i="33"/>
  <c r="AE53" i="33" s="1"/>
  <c r="AF52" i="33"/>
  <c r="AF53" i="33" s="1"/>
  <c r="AG52" i="33"/>
  <c r="AG53" i="33" s="1"/>
  <c r="AH52" i="33"/>
  <c r="AH53" i="33" s="1"/>
  <c r="AI52" i="33"/>
  <c r="AI53" i="33" s="1"/>
  <c r="AJ52" i="33"/>
  <c r="AJ53" i="33" s="1"/>
  <c r="AK52" i="33"/>
  <c r="AK53" i="33" s="1"/>
  <c r="AL52" i="33"/>
  <c r="AL53" i="33" s="1"/>
  <c r="AM52" i="33"/>
  <c r="AM53" i="33" s="1"/>
  <c r="AN52" i="33"/>
  <c r="AN53" i="33" s="1"/>
  <c r="F58" i="33"/>
  <c r="G58" i="33"/>
  <c r="H58" i="33"/>
  <c r="I58" i="33"/>
  <c r="J58" i="33"/>
  <c r="K58" i="33"/>
  <c r="L58" i="33"/>
  <c r="M58" i="33"/>
  <c r="N58" i="33"/>
  <c r="O58" i="33"/>
  <c r="P58" i="33"/>
  <c r="Q58" i="33"/>
  <c r="R58" i="33"/>
  <c r="S58" i="33"/>
  <c r="T58" i="33"/>
  <c r="U58" i="33"/>
  <c r="V58" i="33"/>
  <c r="W58" i="33"/>
  <c r="X58" i="33"/>
  <c r="Y58" i="33"/>
  <c r="Z58" i="33"/>
  <c r="AA58" i="33"/>
  <c r="AB58" i="33"/>
  <c r="AC58" i="33"/>
  <c r="AD58" i="33"/>
  <c r="AE58" i="33"/>
  <c r="AF58" i="33"/>
  <c r="AG58" i="33"/>
  <c r="AH58" i="33"/>
  <c r="AI58" i="33"/>
  <c r="AJ58" i="33"/>
  <c r="AK58" i="33"/>
  <c r="AL58" i="33"/>
  <c r="AM58" i="33"/>
  <c r="AN58" i="33"/>
  <c r="E50" i="33"/>
  <c r="W52" i="60"/>
  <c r="W53" i="60" s="1"/>
  <c r="AB52" i="60"/>
  <c r="AB53" i="60" s="1"/>
  <c r="F52" i="60"/>
  <c r="F53" i="60" s="1"/>
  <c r="J52" i="60"/>
  <c r="J53" i="60" s="1"/>
  <c r="M52" i="60"/>
  <c r="M53" i="60" s="1"/>
  <c r="S52" i="60"/>
  <c r="S53" i="60" s="1"/>
  <c r="F58" i="60"/>
  <c r="G58" i="60"/>
  <c r="H58" i="60"/>
  <c r="I58" i="60"/>
  <c r="J58" i="60"/>
  <c r="K58" i="60"/>
  <c r="L58" i="60"/>
  <c r="M58" i="60"/>
  <c r="N58" i="60"/>
  <c r="O58" i="60"/>
  <c r="P58" i="60"/>
  <c r="Q58" i="60"/>
  <c r="R58" i="60"/>
  <c r="S58" i="60"/>
  <c r="T58" i="60"/>
  <c r="U58" i="60"/>
  <c r="V58" i="60"/>
  <c r="W58" i="60"/>
  <c r="X58" i="60"/>
  <c r="Y58" i="60"/>
  <c r="Z58" i="60"/>
  <c r="AA58" i="60"/>
  <c r="AB58" i="60"/>
  <c r="AC58" i="60"/>
  <c r="AD58" i="60"/>
  <c r="AE58" i="60"/>
  <c r="AF58" i="60"/>
  <c r="AG58" i="60"/>
  <c r="AH58" i="60"/>
  <c r="AI58" i="60"/>
  <c r="AJ58" i="60"/>
  <c r="AK58" i="60"/>
  <c r="AL58" i="60"/>
  <c r="AM58" i="60"/>
  <c r="AN58" i="60"/>
  <c r="G52" i="60"/>
  <c r="G53" i="60" s="1"/>
  <c r="I52" i="60"/>
  <c r="I53" i="60" s="1"/>
  <c r="L52" i="60"/>
  <c r="L53" i="60" s="1"/>
  <c r="O52" i="60"/>
  <c r="O53" i="60" s="1"/>
  <c r="Q52" i="60"/>
  <c r="Q53" i="60" s="1"/>
  <c r="T52" i="60"/>
  <c r="T53" i="60" s="1"/>
  <c r="V52" i="60"/>
  <c r="V53" i="60" s="1"/>
  <c r="X52" i="60"/>
  <c r="X53" i="60" s="1"/>
  <c r="Y52" i="60"/>
  <c r="Y53" i="60" s="1"/>
  <c r="Z52" i="60"/>
  <c r="Z53" i="60" s="1"/>
  <c r="AA52" i="60"/>
  <c r="AA53" i="60" s="1"/>
  <c r="AC52" i="60"/>
  <c r="AC53" i="60" s="1"/>
  <c r="AD52" i="60"/>
  <c r="AD53" i="60" s="1"/>
  <c r="AE52" i="60"/>
  <c r="AE53" i="60" s="1"/>
  <c r="AF52" i="60"/>
  <c r="AF53" i="60" s="1"/>
  <c r="AG52" i="60"/>
  <c r="AG53" i="60" s="1"/>
  <c r="AH52" i="60"/>
  <c r="AH53" i="60" s="1"/>
  <c r="AI52" i="60"/>
  <c r="AI53" i="60" s="1"/>
  <c r="AJ52" i="60"/>
  <c r="AJ53" i="60" s="1"/>
  <c r="AK52" i="60"/>
  <c r="AK53" i="60" s="1"/>
  <c r="AL52" i="60"/>
  <c r="AL53" i="60" s="1"/>
  <c r="AM52" i="60"/>
  <c r="AM53" i="60" s="1"/>
  <c r="AN52" i="60"/>
  <c r="AN53" i="60" s="1"/>
  <c r="H52" i="60"/>
  <c r="H53" i="60" s="1"/>
  <c r="K52" i="60"/>
  <c r="K53" i="60" s="1"/>
  <c r="N52" i="60"/>
  <c r="N53" i="60" s="1"/>
  <c r="P52" i="60"/>
  <c r="P53" i="60" s="1"/>
  <c r="R52" i="60"/>
  <c r="R53" i="60" s="1"/>
  <c r="U52" i="60"/>
  <c r="U53" i="60" s="1"/>
  <c r="E50" i="60"/>
  <c r="AN52" i="61"/>
  <c r="AN53" i="61" s="1"/>
  <c r="AK52" i="61"/>
  <c r="AK53" i="61" s="1"/>
  <c r="AI52" i="61"/>
  <c r="AI53" i="61" s="1"/>
  <c r="AG52" i="61"/>
  <c r="AG53" i="61" s="1"/>
  <c r="AE52" i="61"/>
  <c r="AE53" i="61" s="1"/>
  <c r="AC52" i="61"/>
  <c r="AC53" i="61" s="1"/>
  <c r="AA52" i="61"/>
  <c r="AA53" i="61" s="1"/>
  <c r="Y52" i="61"/>
  <c r="Y53" i="61" s="1"/>
  <c r="V52" i="61"/>
  <c r="V53" i="61" s="1"/>
  <c r="T52" i="61"/>
  <c r="T53" i="61" s="1"/>
  <c r="S52" i="61"/>
  <c r="S53" i="61" s="1"/>
  <c r="Q52" i="61"/>
  <c r="Q53" i="61" s="1"/>
  <c r="N52" i="61"/>
  <c r="N53" i="61" s="1"/>
  <c r="L52" i="61"/>
  <c r="L53" i="61" s="1"/>
  <c r="I52" i="61"/>
  <c r="I53" i="61" s="1"/>
  <c r="G52" i="61"/>
  <c r="G53" i="61" s="1"/>
  <c r="AN58" i="61"/>
  <c r="AM58" i="61"/>
  <c r="AL58" i="61"/>
  <c r="AK58" i="61"/>
  <c r="AJ58" i="61"/>
  <c r="AI58" i="61"/>
  <c r="AH58" i="61"/>
  <c r="AG58" i="61"/>
  <c r="AF58" i="61"/>
  <c r="AE58" i="61"/>
  <c r="AD58" i="61"/>
  <c r="AC58" i="61"/>
  <c r="AB58" i="61"/>
  <c r="AA58" i="61"/>
  <c r="Z58" i="61"/>
  <c r="Y58" i="61"/>
  <c r="X58" i="61"/>
  <c r="W58" i="61"/>
  <c r="V58" i="61"/>
  <c r="U58" i="61"/>
  <c r="T58" i="61"/>
  <c r="S58" i="61"/>
  <c r="R58" i="61"/>
  <c r="Q58" i="61"/>
  <c r="P58" i="61"/>
  <c r="O58" i="61"/>
  <c r="N58" i="61"/>
  <c r="M58" i="61"/>
  <c r="L58" i="61"/>
  <c r="K58" i="61"/>
  <c r="J58" i="61"/>
  <c r="I58" i="61"/>
  <c r="H58" i="61"/>
  <c r="G58" i="61"/>
  <c r="F58" i="61"/>
  <c r="AM52" i="61"/>
  <c r="AM53" i="61" s="1"/>
  <c r="AL52" i="61"/>
  <c r="AL53" i="61" s="1"/>
  <c r="AJ52" i="61"/>
  <c r="AJ53" i="61" s="1"/>
  <c r="AH52" i="61"/>
  <c r="AH53" i="61" s="1"/>
  <c r="AF52" i="61"/>
  <c r="AF53" i="61" s="1"/>
  <c r="AD52" i="61"/>
  <c r="AD53" i="61" s="1"/>
  <c r="AB52" i="61"/>
  <c r="AB53" i="61" s="1"/>
  <c r="Z52" i="61"/>
  <c r="Z53" i="61" s="1"/>
  <c r="X52" i="61"/>
  <c r="X53" i="61" s="1"/>
  <c r="W52" i="61"/>
  <c r="W53" i="61" s="1"/>
  <c r="U52" i="61"/>
  <c r="U53" i="61" s="1"/>
  <c r="R52" i="61"/>
  <c r="R53" i="61" s="1"/>
  <c r="O52" i="61"/>
  <c r="O53" i="61" s="1"/>
  <c r="M52" i="61"/>
  <c r="M53" i="61" s="1"/>
  <c r="J52" i="61"/>
  <c r="J53" i="61" s="1"/>
  <c r="P52" i="61"/>
  <c r="P53" i="61" s="1"/>
  <c r="K52" i="61"/>
  <c r="K53" i="61" s="1"/>
  <c r="H52" i="61"/>
  <c r="H53" i="61" s="1"/>
  <c r="F52" i="61"/>
  <c r="F53" i="61" s="1"/>
  <c r="E50" i="61"/>
  <c r="E50" i="88"/>
  <c r="F52" i="88"/>
  <c r="F53" i="88" s="1"/>
  <c r="AA52" i="88"/>
  <c r="AA53" i="88" s="1"/>
  <c r="AD52" i="88"/>
  <c r="AD53" i="88" s="1"/>
  <c r="AF52" i="88"/>
  <c r="AF53" i="88" s="1"/>
  <c r="AI52" i="88"/>
  <c r="AI53" i="88" s="1"/>
  <c r="AM52" i="88"/>
  <c r="AM53" i="88" s="1"/>
  <c r="H52" i="88"/>
  <c r="H53" i="88" s="1"/>
  <c r="J52" i="88"/>
  <c r="J53" i="88" s="1"/>
  <c r="L52" i="88"/>
  <c r="L53" i="88" s="1"/>
  <c r="N52" i="88"/>
  <c r="N53" i="88" s="1"/>
  <c r="P52" i="88"/>
  <c r="P53" i="88" s="1"/>
  <c r="Q52" i="88"/>
  <c r="Q53" i="88" s="1"/>
  <c r="S52" i="88"/>
  <c r="S53" i="88" s="1"/>
  <c r="U52" i="88"/>
  <c r="U53" i="88" s="1"/>
  <c r="W52" i="88"/>
  <c r="W53" i="88" s="1"/>
  <c r="Y52" i="88"/>
  <c r="Y53" i="88" s="1"/>
  <c r="AB52" i="88"/>
  <c r="AB53" i="88" s="1"/>
  <c r="AE52" i="88"/>
  <c r="AE53" i="88" s="1"/>
  <c r="AG52" i="88"/>
  <c r="AG53" i="88" s="1"/>
  <c r="AJ52" i="88"/>
  <c r="AJ53" i="88" s="1"/>
  <c r="AK52" i="88"/>
  <c r="AK53" i="88" s="1"/>
  <c r="AL52" i="88"/>
  <c r="AL53" i="88" s="1"/>
  <c r="AN52" i="88"/>
  <c r="AN53" i="88" s="1"/>
  <c r="G58" i="88"/>
  <c r="I58" i="88"/>
  <c r="K58" i="88"/>
  <c r="M58" i="88"/>
  <c r="O58" i="88"/>
  <c r="Q58" i="88"/>
  <c r="T58" i="88"/>
  <c r="V58" i="88"/>
  <c r="X58" i="88"/>
  <c r="Z58" i="88"/>
  <c r="AB58" i="88"/>
  <c r="AD58" i="88"/>
  <c r="AE58" i="88"/>
  <c r="AF58" i="88"/>
  <c r="AG58" i="88"/>
  <c r="AH58" i="88"/>
  <c r="AJ58" i="88"/>
  <c r="AK58" i="88"/>
  <c r="AL58" i="88"/>
  <c r="AM58" i="88"/>
  <c r="AN58" i="88"/>
  <c r="G52" i="88"/>
  <c r="G53" i="88" s="1"/>
  <c r="I52" i="88"/>
  <c r="I53" i="88" s="1"/>
  <c r="K52" i="88"/>
  <c r="K53" i="88" s="1"/>
  <c r="M52" i="88"/>
  <c r="M53" i="88" s="1"/>
  <c r="O52" i="88"/>
  <c r="O53" i="88" s="1"/>
  <c r="R52" i="88"/>
  <c r="R53" i="88" s="1"/>
  <c r="T52" i="88"/>
  <c r="T53" i="88" s="1"/>
  <c r="V52" i="88"/>
  <c r="V53" i="88" s="1"/>
  <c r="X52" i="88"/>
  <c r="X53" i="88" s="1"/>
  <c r="Z52" i="88"/>
  <c r="Z53" i="88" s="1"/>
  <c r="AC52" i="88"/>
  <c r="AC53" i="88" s="1"/>
  <c r="AH52" i="88"/>
  <c r="AH53" i="88" s="1"/>
  <c r="F58" i="88"/>
  <c r="H58" i="88"/>
  <c r="J58" i="88"/>
  <c r="L58" i="88"/>
  <c r="N58" i="88"/>
  <c r="P58" i="88"/>
  <c r="R58" i="88"/>
  <c r="S58" i="88"/>
  <c r="U58" i="88"/>
  <c r="W58" i="88"/>
  <c r="Y58" i="88"/>
  <c r="AA58" i="88"/>
  <c r="AC58" i="88"/>
  <c r="AI58" i="88"/>
  <c r="F52" i="32"/>
  <c r="F53" i="32" s="1"/>
  <c r="G52" i="32"/>
  <c r="G53" i="32" s="1"/>
  <c r="H52" i="32"/>
  <c r="H53" i="32" s="1"/>
  <c r="I52" i="32"/>
  <c r="I53" i="32" s="1"/>
  <c r="J52" i="32"/>
  <c r="J53" i="32" s="1"/>
  <c r="K52" i="32"/>
  <c r="K53" i="32" s="1"/>
  <c r="L52" i="32"/>
  <c r="L53" i="32" s="1"/>
  <c r="M52" i="32"/>
  <c r="M53" i="32" s="1"/>
  <c r="N52" i="32"/>
  <c r="N53" i="32" s="1"/>
  <c r="O52" i="32"/>
  <c r="O53" i="32" s="1"/>
  <c r="P52" i="32"/>
  <c r="P53" i="32" s="1"/>
  <c r="Q52" i="32"/>
  <c r="Q53" i="32" s="1"/>
  <c r="R52" i="32"/>
  <c r="R53" i="32" s="1"/>
  <c r="S52" i="32"/>
  <c r="S53" i="32" s="1"/>
  <c r="T52" i="32"/>
  <c r="T53" i="32" s="1"/>
  <c r="U52" i="32"/>
  <c r="U53" i="32" s="1"/>
  <c r="V52" i="32"/>
  <c r="V53" i="32" s="1"/>
  <c r="W52" i="32"/>
  <c r="W53" i="32" s="1"/>
  <c r="X52" i="32"/>
  <c r="X53" i="32" s="1"/>
  <c r="Y52" i="32"/>
  <c r="Y53" i="32" s="1"/>
  <c r="Z52" i="32"/>
  <c r="Z53" i="32" s="1"/>
  <c r="AA52" i="32"/>
  <c r="AA53" i="32" s="1"/>
  <c r="AB52" i="32"/>
  <c r="AB53" i="32" s="1"/>
  <c r="AC52" i="32"/>
  <c r="AC53" i="32" s="1"/>
  <c r="AD52" i="32"/>
  <c r="AD53" i="32" s="1"/>
  <c r="AE52" i="32"/>
  <c r="AE53" i="32" s="1"/>
  <c r="AF52" i="32"/>
  <c r="AF53" i="32" s="1"/>
  <c r="AG52" i="32"/>
  <c r="AG53" i="32" s="1"/>
  <c r="AH52" i="32"/>
  <c r="AH53" i="32" s="1"/>
  <c r="AI52" i="32"/>
  <c r="AI53" i="32" s="1"/>
  <c r="AJ52" i="32"/>
  <c r="AJ53" i="32" s="1"/>
  <c r="AK52" i="32"/>
  <c r="AK53" i="32" s="1"/>
  <c r="AL52" i="32"/>
  <c r="AL53" i="32" s="1"/>
  <c r="AM52" i="32"/>
  <c r="AM53" i="32" s="1"/>
  <c r="AN52" i="32"/>
  <c r="AN53" i="32" s="1"/>
  <c r="F58" i="32"/>
  <c r="H58" i="32"/>
  <c r="J58" i="32"/>
  <c r="L58" i="32"/>
  <c r="N58" i="32"/>
  <c r="P58" i="32"/>
  <c r="R58" i="32"/>
  <c r="T58" i="32"/>
  <c r="V58" i="32"/>
  <c r="X58" i="32"/>
  <c r="AB58" i="32"/>
  <c r="G58" i="32"/>
  <c r="I58" i="32"/>
  <c r="K58" i="32"/>
  <c r="M58" i="32"/>
  <c r="O58" i="32"/>
  <c r="Q58" i="32"/>
  <c r="S58" i="32"/>
  <c r="U58" i="32"/>
  <c r="W58" i="32"/>
  <c r="Y58" i="32"/>
  <c r="Z58" i="32"/>
  <c r="AA58" i="32"/>
  <c r="AC58" i="32"/>
  <c r="AD58" i="32"/>
  <c r="AE58" i="32"/>
  <c r="AF58" i="32"/>
  <c r="AG58" i="32"/>
  <c r="AH58" i="32"/>
  <c r="AI58" i="32"/>
  <c r="AJ58" i="32"/>
  <c r="AK58" i="32"/>
  <c r="AL58" i="32"/>
  <c r="AM58" i="32"/>
  <c r="AN58" i="32"/>
  <c r="E50" i="32"/>
  <c r="AN58" i="31"/>
  <c r="AM58" i="31"/>
  <c r="AL58" i="31"/>
  <c r="AK58" i="31"/>
  <c r="AJ58" i="31"/>
  <c r="AI58" i="31"/>
  <c r="AH58" i="31"/>
  <c r="AG58" i="31"/>
  <c r="AF58" i="31"/>
  <c r="AE58" i="31"/>
  <c r="AD58" i="31"/>
  <c r="AC58" i="31"/>
  <c r="AB58" i="31"/>
  <c r="AA58" i="31"/>
  <c r="Z58" i="31"/>
  <c r="Y58" i="31"/>
  <c r="X58" i="31"/>
  <c r="W58" i="31"/>
  <c r="V58" i="31"/>
  <c r="U58" i="31"/>
  <c r="T58" i="31"/>
  <c r="S58" i="31"/>
  <c r="R58" i="31"/>
  <c r="Q58" i="31"/>
  <c r="P58" i="31"/>
  <c r="O58" i="31"/>
  <c r="N58" i="31"/>
  <c r="M58" i="31"/>
  <c r="L58" i="31"/>
  <c r="K58" i="31"/>
  <c r="J58" i="31"/>
  <c r="I58" i="31"/>
  <c r="H58" i="31"/>
  <c r="G58" i="31"/>
  <c r="F58" i="31"/>
  <c r="AN52" i="31"/>
  <c r="AN53" i="31" s="1"/>
  <c r="AM52" i="31"/>
  <c r="AM53" i="31" s="1"/>
  <c r="AL52" i="31"/>
  <c r="AL53" i="31" s="1"/>
  <c r="AK52" i="31"/>
  <c r="AK53" i="31" s="1"/>
  <c r="AJ52" i="31"/>
  <c r="AJ53" i="31" s="1"/>
  <c r="AI52" i="31"/>
  <c r="AI53" i="31" s="1"/>
  <c r="AH52" i="31"/>
  <c r="AH53" i="31" s="1"/>
  <c r="AG52" i="31"/>
  <c r="AG53" i="31" s="1"/>
  <c r="AF52" i="31"/>
  <c r="AF53" i="31" s="1"/>
  <c r="AE52" i="31"/>
  <c r="AE53" i="31" s="1"/>
  <c r="AD52" i="31"/>
  <c r="AD53" i="31" s="1"/>
  <c r="AC52" i="31"/>
  <c r="AC53" i="31" s="1"/>
  <c r="AB52" i="31"/>
  <c r="AB53" i="31" s="1"/>
  <c r="AA52" i="31"/>
  <c r="AA53" i="31" s="1"/>
  <c r="Z52" i="31"/>
  <c r="Z53" i="31" s="1"/>
  <c r="Y52" i="31"/>
  <c r="Y53" i="31" s="1"/>
  <c r="X52" i="31"/>
  <c r="X53" i="31" s="1"/>
  <c r="W52" i="31"/>
  <c r="W53" i="31" s="1"/>
  <c r="V52" i="31"/>
  <c r="V53" i="31" s="1"/>
  <c r="U52" i="31"/>
  <c r="U53" i="31" s="1"/>
  <c r="T52" i="31"/>
  <c r="T53" i="31" s="1"/>
  <c r="S52" i="31"/>
  <c r="S53" i="31" s="1"/>
  <c r="R52" i="31"/>
  <c r="R53" i="31" s="1"/>
  <c r="Q52" i="31"/>
  <c r="Q53" i="31" s="1"/>
  <c r="P52" i="31"/>
  <c r="P53" i="31" s="1"/>
  <c r="O52" i="31"/>
  <c r="O53" i="31" s="1"/>
  <c r="N52" i="31"/>
  <c r="N53" i="31" s="1"/>
  <c r="M52" i="31"/>
  <c r="M53" i="31" s="1"/>
  <c r="L52" i="31"/>
  <c r="L53" i="31" s="1"/>
  <c r="K52" i="31"/>
  <c r="K53" i="31" s="1"/>
  <c r="J52" i="31"/>
  <c r="J53" i="31" s="1"/>
  <c r="I52" i="31"/>
  <c r="I53" i="31" s="1"/>
  <c r="H52" i="31"/>
  <c r="H53" i="31" s="1"/>
  <c r="G52" i="31"/>
  <c r="G53" i="31" s="1"/>
  <c r="F52" i="31"/>
  <c r="F53" i="31" s="1"/>
  <c r="E50" i="31"/>
  <c r="X52" i="25"/>
  <c r="X53" i="25" s="1"/>
  <c r="AJ52" i="25"/>
  <c r="AJ53" i="25" s="1"/>
  <c r="AM52" i="25"/>
  <c r="AM53" i="25" s="1"/>
  <c r="R58" i="25"/>
  <c r="T58" i="25"/>
  <c r="W58" i="25"/>
  <c r="AC58" i="25"/>
  <c r="AI58" i="25"/>
  <c r="I52" i="25"/>
  <c r="I53" i="25" s="1"/>
  <c r="M52" i="25"/>
  <c r="M53" i="25" s="1"/>
  <c r="W52" i="25"/>
  <c r="W53" i="25" s="1"/>
  <c r="AB52" i="25"/>
  <c r="AB53" i="25" s="1"/>
  <c r="AG52" i="25"/>
  <c r="AG53" i="25" s="1"/>
  <c r="AL52" i="25"/>
  <c r="AL53" i="25" s="1"/>
  <c r="G58" i="25"/>
  <c r="O58" i="25"/>
  <c r="X58" i="25"/>
  <c r="AK58" i="25"/>
  <c r="L52" i="25"/>
  <c r="L53" i="25" s="1"/>
  <c r="Q52" i="25"/>
  <c r="Q53" i="25" s="1"/>
  <c r="AF52" i="25"/>
  <c r="AF53" i="25" s="1"/>
  <c r="AI52" i="25"/>
  <c r="AI53" i="25" s="1"/>
  <c r="J58" i="25"/>
  <c r="L58" i="25"/>
  <c r="S58" i="25"/>
  <c r="Y58" i="25"/>
  <c r="AF58" i="25"/>
  <c r="AL58" i="25"/>
  <c r="G52" i="25"/>
  <c r="G53" i="25" s="1"/>
  <c r="O52" i="25"/>
  <c r="O53" i="25" s="1"/>
  <c r="U52" i="25"/>
  <c r="U53" i="25" s="1"/>
  <c r="AE52" i="25"/>
  <c r="AE53" i="25" s="1"/>
  <c r="AN52" i="25"/>
  <c r="AN53" i="25" s="1"/>
  <c r="I58" i="25"/>
  <c r="M58" i="25"/>
  <c r="Q58" i="25"/>
  <c r="AB58" i="25"/>
  <c r="AD58" i="25"/>
  <c r="AH58" i="25"/>
  <c r="AN58" i="25"/>
  <c r="H52" i="25"/>
  <c r="H53" i="25" s="1"/>
  <c r="J52" i="25"/>
  <c r="J53" i="25" s="1"/>
  <c r="N52" i="25"/>
  <c r="N53" i="25" s="1"/>
  <c r="P52" i="25"/>
  <c r="P53" i="25" s="1"/>
  <c r="S52" i="25"/>
  <c r="S53" i="25" s="1"/>
  <c r="T52" i="25"/>
  <c r="T53" i="25" s="1"/>
  <c r="Y52" i="25"/>
  <c r="Y53" i="25" s="1"/>
  <c r="AA52" i="25"/>
  <c r="AA53" i="25" s="1"/>
  <c r="AD52" i="25"/>
  <c r="AD53" i="25" s="1"/>
  <c r="AH52" i="25"/>
  <c r="AH53" i="25" s="1"/>
  <c r="F58" i="25"/>
  <c r="H58" i="25"/>
  <c r="K58" i="25"/>
  <c r="P58" i="25"/>
  <c r="V58" i="25"/>
  <c r="AA58" i="25"/>
  <c r="AG58" i="25"/>
  <c r="AM58" i="25"/>
  <c r="F52" i="25"/>
  <c r="F53" i="25" s="1"/>
  <c r="K52" i="25"/>
  <c r="K53" i="25" s="1"/>
  <c r="R52" i="25"/>
  <c r="R53" i="25" s="1"/>
  <c r="V52" i="25"/>
  <c r="V53" i="25" s="1"/>
  <c r="Z52" i="25"/>
  <c r="Z53" i="25" s="1"/>
  <c r="AC52" i="25"/>
  <c r="AC53" i="25" s="1"/>
  <c r="AK52" i="25"/>
  <c r="AK53" i="25" s="1"/>
  <c r="N58" i="25"/>
  <c r="U58" i="25"/>
  <c r="Z58" i="25"/>
  <c r="AE58" i="25"/>
  <c r="AJ58" i="25"/>
  <c r="E50" i="25"/>
  <c r="F52" i="50"/>
  <c r="F53" i="50" s="1"/>
  <c r="G52" i="50"/>
  <c r="G53" i="50" s="1"/>
  <c r="H52" i="50"/>
  <c r="H53" i="50" s="1"/>
  <c r="I52" i="50"/>
  <c r="I53" i="50" s="1"/>
  <c r="J52" i="50"/>
  <c r="J53" i="50" s="1"/>
  <c r="K52" i="50"/>
  <c r="K53" i="50" s="1"/>
  <c r="L52" i="50"/>
  <c r="L53" i="50" s="1"/>
  <c r="M52" i="50"/>
  <c r="M53" i="50" s="1"/>
  <c r="N52" i="50"/>
  <c r="N53" i="50" s="1"/>
  <c r="O52" i="50"/>
  <c r="O53" i="50" s="1"/>
  <c r="P52" i="50"/>
  <c r="P53" i="50" s="1"/>
  <c r="Q52" i="50"/>
  <c r="Q53" i="50" s="1"/>
  <c r="R52" i="50"/>
  <c r="R53" i="50" s="1"/>
  <c r="S52" i="50"/>
  <c r="S53" i="50" s="1"/>
  <c r="T52" i="50"/>
  <c r="T53" i="50" s="1"/>
  <c r="U52" i="50"/>
  <c r="U53" i="50" s="1"/>
  <c r="V52" i="50"/>
  <c r="V53" i="50" s="1"/>
  <c r="W52" i="50"/>
  <c r="W53" i="50" s="1"/>
  <c r="X52" i="50"/>
  <c r="X53" i="50" s="1"/>
  <c r="Y52" i="50"/>
  <c r="Y53" i="50" s="1"/>
  <c r="Z52" i="50"/>
  <c r="Z53" i="50" s="1"/>
  <c r="AA52" i="50"/>
  <c r="AA53" i="50" s="1"/>
  <c r="AB52" i="50"/>
  <c r="AB53" i="50" s="1"/>
  <c r="AC52" i="50"/>
  <c r="AC53" i="50" s="1"/>
  <c r="AD52" i="50"/>
  <c r="AD53" i="50" s="1"/>
  <c r="AE52" i="50"/>
  <c r="AE53" i="50" s="1"/>
  <c r="AF52" i="50"/>
  <c r="AF53" i="50" s="1"/>
  <c r="AG52" i="50"/>
  <c r="AG53" i="50" s="1"/>
  <c r="AH52" i="50"/>
  <c r="AH53" i="50" s="1"/>
  <c r="AI52" i="50"/>
  <c r="AI53" i="50" s="1"/>
  <c r="AJ52" i="50"/>
  <c r="AJ53" i="50" s="1"/>
  <c r="AK52" i="50"/>
  <c r="AK53" i="50" s="1"/>
  <c r="AL52" i="50"/>
  <c r="AL53" i="50" s="1"/>
  <c r="AM52" i="50"/>
  <c r="AM53" i="50" s="1"/>
  <c r="AN52" i="50"/>
  <c r="AN53" i="50" s="1"/>
  <c r="F58" i="50"/>
  <c r="G58" i="50"/>
  <c r="H58" i="50"/>
  <c r="I58" i="50"/>
  <c r="J58" i="50"/>
  <c r="K58" i="50"/>
  <c r="L58" i="50"/>
  <c r="M58" i="50"/>
  <c r="N58" i="50"/>
  <c r="O58" i="50"/>
  <c r="P58" i="50"/>
  <c r="Q58" i="50"/>
  <c r="R58" i="50"/>
  <c r="S58" i="50"/>
  <c r="T58" i="50"/>
  <c r="U58" i="50"/>
  <c r="V58" i="50"/>
  <c r="W58" i="50"/>
  <c r="X58" i="50"/>
  <c r="Y58" i="50"/>
  <c r="Z58" i="50"/>
  <c r="AA58" i="50"/>
  <c r="AB58" i="50"/>
  <c r="AC58" i="50"/>
  <c r="AD58" i="50"/>
  <c r="AE58" i="50"/>
  <c r="AF58" i="50"/>
  <c r="AG58" i="50"/>
  <c r="AH58" i="50"/>
  <c r="AI58" i="50"/>
  <c r="AJ58" i="50"/>
  <c r="AK58" i="50"/>
  <c r="AL58" i="50"/>
  <c r="AM58" i="50"/>
  <c r="AN58" i="50"/>
  <c r="E50" i="50"/>
  <c r="AN58" i="35"/>
  <c r="AM58" i="35"/>
  <c r="AL58" i="35"/>
  <c r="AK58" i="35"/>
  <c r="AJ58" i="35"/>
  <c r="AI58" i="35"/>
  <c r="AH58" i="35"/>
  <c r="AG58" i="35"/>
  <c r="AF58" i="35"/>
  <c r="AE58" i="35"/>
  <c r="AD58" i="35"/>
  <c r="AC58" i="35"/>
  <c r="AB58" i="35"/>
  <c r="AA58" i="35"/>
  <c r="Z58" i="35"/>
  <c r="Y58" i="35"/>
  <c r="X58" i="35"/>
  <c r="W58" i="35"/>
  <c r="V58" i="35"/>
  <c r="U58" i="35"/>
  <c r="T58" i="35"/>
  <c r="S58" i="35"/>
  <c r="R58" i="35"/>
  <c r="Q58" i="35"/>
  <c r="P58" i="35"/>
  <c r="O58" i="35"/>
  <c r="N58" i="35"/>
  <c r="M58" i="35"/>
  <c r="L58" i="35"/>
  <c r="K58" i="35"/>
  <c r="J58" i="35"/>
  <c r="I58" i="35"/>
  <c r="H58" i="35"/>
  <c r="G58" i="35"/>
  <c r="F58" i="35"/>
  <c r="AN52" i="35"/>
  <c r="AN53" i="35" s="1"/>
  <c r="AM52" i="35"/>
  <c r="AM53" i="35" s="1"/>
  <c r="AL52" i="35"/>
  <c r="AL53" i="35" s="1"/>
  <c r="AK52" i="35"/>
  <c r="AK53" i="35" s="1"/>
  <c r="AJ52" i="35"/>
  <c r="AJ53" i="35" s="1"/>
  <c r="AI52" i="35"/>
  <c r="AI53" i="35" s="1"/>
  <c r="AH52" i="35"/>
  <c r="AH53" i="35" s="1"/>
  <c r="AG52" i="35"/>
  <c r="AG53" i="35" s="1"/>
  <c r="AF52" i="35"/>
  <c r="AF53" i="35" s="1"/>
  <c r="AE52" i="35"/>
  <c r="AE53" i="35" s="1"/>
  <c r="AD52" i="35"/>
  <c r="AD53" i="35" s="1"/>
  <c r="AC52" i="35"/>
  <c r="AC53" i="35" s="1"/>
  <c r="AB52" i="35"/>
  <c r="AB53" i="35" s="1"/>
  <c r="AA52" i="35"/>
  <c r="AA53" i="35" s="1"/>
  <c r="Z52" i="35"/>
  <c r="Z53" i="35" s="1"/>
  <c r="Y52" i="35"/>
  <c r="Y53" i="35" s="1"/>
  <c r="X52" i="35"/>
  <c r="X53" i="35" s="1"/>
  <c r="W52" i="35"/>
  <c r="W53" i="35" s="1"/>
  <c r="V52" i="35"/>
  <c r="V53" i="35" s="1"/>
  <c r="U52" i="35"/>
  <c r="U53" i="35" s="1"/>
  <c r="T52" i="35"/>
  <c r="T53" i="35" s="1"/>
  <c r="S52" i="35"/>
  <c r="S53" i="35" s="1"/>
  <c r="R52" i="35"/>
  <c r="R53" i="35" s="1"/>
  <c r="Q52" i="35"/>
  <c r="Q53" i="35" s="1"/>
  <c r="P52" i="35"/>
  <c r="P53" i="35" s="1"/>
  <c r="O52" i="35"/>
  <c r="O53" i="35" s="1"/>
  <c r="N52" i="35"/>
  <c r="N53" i="35" s="1"/>
  <c r="M52" i="35"/>
  <c r="M53" i="35" s="1"/>
  <c r="L52" i="35"/>
  <c r="L53" i="35" s="1"/>
  <c r="K52" i="35"/>
  <c r="K53" i="35" s="1"/>
  <c r="J52" i="35"/>
  <c r="J53" i="35" s="1"/>
  <c r="I52" i="35"/>
  <c r="I53" i="35" s="1"/>
  <c r="H52" i="35"/>
  <c r="H53" i="35" s="1"/>
  <c r="G52" i="35"/>
  <c r="G53" i="35" s="1"/>
  <c r="F52" i="35"/>
  <c r="F53" i="35" s="1"/>
  <c r="E50" i="35"/>
  <c r="E50" i="70"/>
  <c r="F52" i="70"/>
  <c r="F53" i="70" s="1"/>
  <c r="H52" i="70"/>
  <c r="H53" i="70" s="1"/>
  <c r="K52" i="70"/>
  <c r="K53" i="70" s="1"/>
  <c r="O52" i="70"/>
  <c r="O53" i="70" s="1"/>
  <c r="R52" i="70"/>
  <c r="R53" i="70" s="1"/>
  <c r="W52" i="70"/>
  <c r="W53" i="70" s="1"/>
  <c r="Z52" i="70"/>
  <c r="Z53" i="70" s="1"/>
  <c r="AC52" i="70"/>
  <c r="AC53" i="70" s="1"/>
  <c r="AE52" i="70"/>
  <c r="AE53" i="70" s="1"/>
  <c r="AH52" i="70"/>
  <c r="AH53" i="70" s="1"/>
  <c r="AL52" i="70"/>
  <c r="AL53" i="70" s="1"/>
  <c r="AM52" i="70"/>
  <c r="AM53" i="70" s="1"/>
  <c r="G52" i="70"/>
  <c r="G53" i="70" s="1"/>
  <c r="J52" i="70"/>
  <c r="J53" i="70" s="1"/>
  <c r="M52" i="70"/>
  <c r="M53" i="70" s="1"/>
  <c r="P52" i="70"/>
  <c r="P53" i="70" s="1"/>
  <c r="S52" i="70"/>
  <c r="S53" i="70" s="1"/>
  <c r="U52" i="70"/>
  <c r="U53" i="70" s="1"/>
  <c r="X52" i="70"/>
  <c r="X53" i="70" s="1"/>
  <c r="AB52" i="70"/>
  <c r="AB53" i="70" s="1"/>
  <c r="AF52" i="70"/>
  <c r="AF53" i="70" s="1"/>
  <c r="AI52" i="70"/>
  <c r="AI53" i="70" s="1"/>
  <c r="AK52" i="70"/>
  <c r="AK53" i="70" s="1"/>
  <c r="AN52" i="70"/>
  <c r="AN53" i="70" s="1"/>
  <c r="I52" i="70"/>
  <c r="I53" i="70" s="1"/>
  <c r="L52" i="70"/>
  <c r="L53" i="70" s="1"/>
  <c r="N52" i="70"/>
  <c r="N53" i="70" s="1"/>
  <c r="Q52" i="70"/>
  <c r="Q53" i="70" s="1"/>
  <c r="T52" i="70"/>
  <c r="T53" i="70" s="1"/>
  <c r="V52" i="70"/>
  <c r="V53" i="70" s="1"/>
  <c r="Y52" i="70"/>
  <c r="Y53" i="70" s="1"/>
  <c r="AA52" i="70"/>
  <c r="AA53" i="70" s="1"/>
  <c r="AD52" i="70"/>
  <c r="AD53" i="70" s="1"/>
  <c r="AG52" i="70"/>
  <c r="AG53" i="70" s="1"/>
  <c r="AJ52" i="70"/>
  <c r="AJ53" i="70" s="1"/>
  <c r="G58" i="70"/>
  <c r="I58" i="70"/>
  <c r="K58" i="70"/>
  <c r="M58" i="70"/>
  <c r="O58" i="70"/>
  <c r="Q58" i="70"/>
  <c r="S58" i="70"/>
  <c r="U58" i="70"/>
  <c r="W58" i="70"/>
  <c r="X58" i="70"/>
  <c r="Z58" i="70"/>
  <c r="AB58" i="70"/>
  <c r="AD58" i="70"/>
  <c r="AF58" i="70"/>
  <c r="AG58" i="70"/>
  <c r="AH58" i="70"/>
  <c r="AI58" i="70"/>
  <c r="AK58" i="70"/>
  <c r="AL58" i="70"/>
  <c r="AM58" i="70"/>
  <c r="AN58" i="70"/>
  <c r="F58" i="70"/>
  <c r="H58" i="70"/>
  <c r="J58" i="70"/>
  <c r="L58" i="70"/>
  <c r="N58" i="70"/>
  <c r="P58" i="70"/>
  <c r="R58" i="70"/>
  <c r="T58" i="70"/>
  <c r="V58" i="70"/>
  <c r="Y58" i="70"/>
  <c r="AA58" i="70"/>
  <c r="AC58" i="70"/>
  <c r="AE58" i="70"/>
  <c r="AJ58" i="70"/>
  <c r="G52" i="89"/>
  <c r="G53" i="89" s="1"/>
  <c r="K52" i="89"/>
  <c r="K53" i="89" s="1"/>
  <c r="P52" i="89"/>
  <c r="P53" i="89" s="1"/>
  <c r="T52" i="89"/>
  <c r="T53" i="89" s="1"/>
  <c r="G58" i="89"/>
  <c r="H58" i="89"/>
  <c r="J58" i="89"/>
  <c r="L58" i="89"/>
  <c r="N58" i="89"/>
  <c r="P58" i="89"/>
  <c r="R58" i="89"/>
  <c r="T58" i="89"/>
  <c r="V58" i="89"/>
  <c r="X58" i="89"/>
  <c r="Z58" i="89"/>
  <c r="AF58" i="89"/>
  <c r="H52" i="89"/>
  <c r="H53" i="89" s="1"/>
  <c r="M52" i="89"/>
  <c r="M53" i="89" s="1"/>
  <c r="Q52" i="89"/>
  <c r="Q53" i="89" s="1"/>
  <c r="U52" i="89"/>
  <c r="U53" i="89" s="1"/>
  <c r="V52" i="89"/>
  <c r="V53" i="89" s="1"/>
  <c r="Z52" i="89"/>
  <c r="Z53" i="89" s="1"/>
  <c r="AB52" i="89"/>
  <c r="AB53" i="89" s="1"/>
  <c r="AD52" i="89"/>
  <c r="AD53" i="89" s="1"/>
  <c r="AF52" i="89"/>
  <c r="AF53" i="89" s="1"/>
  <c r="AH52" i="89"/>
  <c r="AH53" i="89" s="1"/>
  <c r="AJ52" i="89"/>
  <c r="AJ53" i="89" s="1"/>
  <c r="AK52" i="89"/>
  <c r="AK53" i="89" s="1"/>
  <c r="AL52" i="89"/>
  <c r="AL53" i="89" s="1"/>
  <c r="AN52" i="89"/>
  <c r="AN53" i="89" s="1"/>
  <c r="F58" i="89"/>
  <c r="I58" i="89"/>
  <c r="K58" i="89"/>
  <c r="M58" i="89"/>
  <c r="O58" i="89"/>
  <c r="Q58" i="89"/>
  <c r="S58" i="89"/>
  <c r="U58" i="89"/>
  <c r="W58" i="89"/>
  <c r="Y58" i="89"/>
  <c r="AA58" i="89"/>
  <c r="AB58" i="89"/>
  <c r="AC58" i="89"/>
  <c r="AD58" i="89"/>
  <c r="AE58" i="89"/>
  <c r="AG58" i="89"/>
  <c r="AH58" i="89"/>
  <c r="AI58" i="89"/>
  <c r="AJ58" i="89"/>
  <c r="AK58" i="89"/>
  <c r="AL58" i="89"/>
  <c r="AM58" i="89"/>
  <c r="AN58" i="89"/>
  <c r="F52" i="89"/>
  <c r="F53" i="89" s="1"/>
  <c r="J52" i="89"/>
  <c r="J53" i="89" s="1"/>
  <c r="N52" i="89"/>
  <c r="N53" i="89" s="1"/>
  <c r="R52" i="89"/>
  <c r="R53" i="89" s="1"/>
  <c r="X52" i="89"/>
  <c r="X53" i="89" s="1"/>
  <c r="I52" i="89"/>
  <c r="I53" i="89" s="1"/>
  <c r="L52" i="89"/>
  <c r="L53" i="89" s="1"/>
  <c r="O52" i="89"/>
  <c r="O53" i="89" s="1"/>
  <c r="S52" i="89"/>
  <c r="S53" i="89" s="1"/>
  <c r="W52" i="89"/>
  <c r="W53" i="89" s="1"/>
  <c r="Y52" i="89"/>
  <c r="Y53" i="89" s="1"/>
  <c r="AA52" i="89"/>
  <c r="AA53" i="89" s="1"/>
  <c r="AC52" i="89"/>
  <c r="AC53" i="89" s="1"/>
  <c r="AE52" i="89"/>
  <c r="AE53" i="89" s="1"/>
  <c r="AG52" i="89"/>
  <c r="AG53" i="89" s="1"/>
  <c r="AI52" i="89"/>
  <c r="AI53" i="89" s="1"/>
  <c r="AM52" i="89"/>
  <c r="AM53" i="89" s="1"/>
  <c r="E50" i="89"/>
  <c r="M52" i="52"/>
  <c r="M53" i="52" s="1"/>
  <c r="G52" i="52"/>
  <c r="G53" i="52" s="1"/>
  <c r="AL58" i="52"/>
  <c r="AI58" i="52"/>
  <c r="AG58" i="52"/>
  <c r="AD58" i="52"/>
  <c r="AA58" i="52"/>
  <c r="V58" i="52"/>
  <c r="R58" i="52"/>
  <c r="O58" i="52"/>
  <c r="L58" i="52"/>
  <c r="J58" i="52"/>
  <c r="G58" i="52"/>
  <c r="AM52" i="52"/>
  <c r="AM53" i="52" s="1"/>
  <c r="AJ52" i="52"/>
  <c r="AJ53" i="52" s="1"/>
  <c r="AG52" i="52"/>
  <c r="AG53" i="52" s="1"/>
  <c r="AE52" i="52"/>
  <c r="AE53" i="52" s="1"/>
  <c r="AB52" i="52"/>
  <c r="AB53" i="52" s="1"/>
  <c r="AN58" i="52"/>
  <c r="AJ58" i="52"/>
  <c r="AE58" i="52"/>
  <c r="AC58" i="52"/>
  <c r="Z58" i="52"/>
  <c r="X58" i="52"/>
  <c r="U58" i="52"/>
  <c r="S58" i="52"/>
  <c r="Q58" i="52"/>
  <c r="M58" i="52"/>
  <c r="I58" i="52"/>
  <c r="AN52" i="52"/>
  <c r="AN53" i="52" s="1"/>
  <c r="AL52" i="52"/>
  <c r="AL53" i="52" s="1"/>
  <c r="AI52" i="52"/>
  <c r="AI53" i="52" s="1"/>
  <c r="AF52" i="52"/>
  <c r="AF53" i="52" s="1"/>
  <c r="AD52" i="52"/>
  <c r="AD53" i="52" s="1"/>
  <c r="AA52" i="52"/>
  <c r="AA53" i="52" s="1"/>
  <c r="W52" i="52"/>
  <c r="W53" i="52" s="1"/>
  <c r="F58" i="52"/>
  <c r="I52" i="52"/>
  <c r="I53" i="52" s="1"/>
  <c r="AM58" i="52"/>
  <c r="AK58" i="52"/>
  <c r="AH58" i="52"/>
  <c r="AF58" i="52"/>
  <c r="AB58" i="52"/>
  <c r="Y58" i="52"/>
  <c r="W58" i="52"/>
  <c r="T58" i="52"/>
  <c r="P58" i="52"/>
  <c r="N58" i="52"/>
  <c r="K58" i="52"/>
  <c r="H58" i="52"/>
  <c r="AK52" i="52"/>
  <c r="AK53" i="52" s="1"/>
  <c r="AH52" i="52"/>
  <c r="AH53" i="52" s="1"/>
  <c r="AC52" i="52"/>
  <c r="AC53" i="52" s="1"/>
  <c r="Z52" i="52"/>
  <c r="Z53" i="52" s="1"/>
  <c r="Y52" i="52"/>
  <c r="Y53" i="52" s="1"/>
  <c r="X52" i="52"/>
  <c r="X53" i="52" s="1"/>
  <c r="V52" i="52"/>
  <c r="V53" i="52" s="1"/>
  <c r="U52" i="52"/>
  <c r="U53" i="52" s="1"/>
  <c r="T52" i="52"/>
  <c r="T53" i="52" s="1"/>
  <c r="S52" i="52"/>
  <c r="S53" i="52" s="1"/>
  <c r="R52" i="52"/>
  <c r="R53" i="52" s="1"/>
  <c r="Q52" i="52"/>
  <c r="Q53" i="52" s="1"/>
  <c r="P52" i="52"/>
  <c r="P53" i="52" s="1"/>
  <c r="O52" i="52"/>
  <c r="O53" i="52" s="1"/>
  <c r="N52" i="52"/>
  <c r="N53" i="52" s="1"/>
  <c r="L52" i="52"/>
  <c r="L53" i="52" s="1"/>
  <c r="K52" i="52"/>
  <c r="K53" i="52" s="1"/>
  <c r="J52" i="52"/>
  <c r="J53" i="52" s="1"/>
  <c r="H52" i="52"/>
  <c r="H53" i="52" s="1"/>
  <c r="F52" i="52"/>
  <c r="F53" i="52" s="1"/>
  <c r="E50" i="52"/>
  <c r="AN58" i="37"/>
  <c r="AM58" i="37"/>
  <c r="AL58" i="37"/>
  <c r="AK58" i="37"/>
  <c r="AJ58" i="37"/>
  <c r="AI58" i="37"/>
  <c r="AH58" i="37"/>
  <c r="AG58" i="37"/>
  <c r="AF58" i="37"/>
  <c r="AE58" i="37"/>
  <c r="AD58" i="37"/>
  <c r="AC58" i="37"/>
  <c r="AB58" i="37"/>
  <c r="AA58" i="37"/>
  <c r="Z58" i="37"/>
  <c r="Y58" i="37"/>
  <c r="X58" i="37"/>
  <c r="W58" i="37"/>
  <c r="V58" i="37"/>
  <c r="U58" i="37"/>
  <c r="T58" i="37"/>
  <c r="S58" i="37"/>
  <c r="R58" i="37"/>
  <c r="Q58" i="37"/>
  <c r="P58" i="37"/>
  <c r="O58" i="37"/>
  <c r="N58" i="37"/>
  <c r="M58" i="37"/>
  <c r="L58" i="37"/>
  <c r="K58" i="37"/>
  <c r="J58" i="37"/>
  <c r="I58" i="37"/>
  <c r="H58" i="37"/>
  <c r="G58" i="37"/>
  <c r="F58" i="37"/>
  <c r="AN52" i="37"/>
  <c r="AN53" i="37" s="1"/>
  <c r="AM52" i="37"/>
  <c r="AM53" i="37" s="1"/>
  <c r="AL52" i="37"/>
  <c r="AL53" i="37" s="1"/>
  <c r="AK52" i="37"/>
  <c r="AK53" i="37" s="1"/>
  <c r="AJ52" i="37"/>
  <c r="AJ53" i="37" s="1"/>
  <c r="AI52" i="37"/>
  <c r="AI53" i="37" s="1"/>
  <c r="AH52" i="37"/>
  <c r="AH53" i="37" s="1"/>
  <c r="AG52" i="37"/>
  <c r="AG53" i="37" s="1"/>
  <c r="AF52" i="37"/>
  <c r="AF53" i="37" s="1"/>
  <c r="AE52" i="37"/>
  <c r="AE53" i="37" s="1"/>
  <c r="AD52" i="37"/>
  <c r="AD53" i="37" s="1"/>
  <c r="AC52" i="37"/>
  <c r="AC53" i="37" s="1"/>
  <c r="AB52" i="37"/>
  <c r="AB53" i="37" s="1"/>
  <c r="AA52" i="37"/>
  <c r="AA53" i="37" s="1"/>
  <c r="Z52" i="37"/>
  <c r="Z53" i="37" s="1"/>
  <c r="Y52" i="37"/>
  <c r="Y53" i="37" s="1"/>
  <c r="X52" i="37"/>
  <c r="X53" i="37" s="1"/>
  <c r="W52" i="37"/>
  <c r="W53" i="37" s="1"/>
  <c r="V52" i="37"/>
  <c r="V53" i="37" s="1"/>
  <c r="U52" i="37"/>
  <c r="U53" i="37" s="1"/>
  <c r="T52" i="37"/>
  <c r="T53" i="37" s="1"/>
  <c r="S52" i="37"/>
  <c r="S53" i="37" s="1"/>
  <c r="R52" i="37"/>
  <c r="R53" i="37" s="1"/>
  <c r="Q52" i="37"/>
  <c r="Q53" i="37" s="1"/>
  <c r="P52" i="37"/>
  <c r="P53" i="37" s="1"/>
  <c r="O52" i="37"/>
  <c r="O53" i="37" s="1"/>
  <c r="N52" i="37"/>
  <c r="N53" i="37" s="1"/>
  <c r="M52" i="37"/>
  <c r="M53" i="37" s="1"/>
  <c r="L52" i="37"/>
  <c r="L53" i="37" s="1"/>
  <c r="K52" i="37"/>
  <c r="K53" i="37" s="1"/>
  <c r="J52" i="37"/>
  <c r="J53" i="37" s="1"/>
  <c r="I52" i="37"/>
  <c r="I53" i="37" s="1"/>
  <c r="H52" i="37"/>
  <c r="H53" i="37" s="1"/>
  <c r="G52" i="37"/>
  <c r="G53" i="37" s="1"/>
  <c r="F52" i="37"/>
  <c r="F53" i="37" s="1"/>
  <c r="E50" i="37"/>
  <c r="F52" i="65"/>
  <c r="F53" i="65" s="1"/>
  <c r="G52" i="65"/>
  <c r="G53" i="65" s="1"/>
  <c r="H52" i="65"/>
  <c r="H53" i="65" s="1"/>
  <c r="I52" i="65"/>
  <c r="I53" i="65" s="1"/>
  <c r="J52" i="65"/>
  <c r="J53" i="65" s="1"/>
  <c r="K52" i="65"/>
  <c r="K53" i="65" s="1"/>
  <c r="L52" i="65"/>
  <c r="L53" i="65" s="1"/>
  <c r="M52" i="65"/>
  <c r="M53" i="65" s="1"/>
  <c r="N52" i="65"/>
  <c r="N53" i="65" s="1"/>
  <c r="O52" i="65"/>
  <c r="O53" i="65" s="1"/>
  <c r="P52" i="65"/>
  <c r="P53" i="65" s="1"/>
  <c r="Q52" i="65"/>
  <c r="Q53" i="65" s="1"/>
  <c r="R52" i="65"/>
  <c r="R53" i="65" s="1"/>
  <c r="S52" i="65"/>
  <c r="S53" i="65" s="1"/>
  <c r="T52" i="65"/>
  <c r="T53" i="65" s="1"/>
  <c r="U52" i="65"/>
  <c r="U53" i="65" s="1"/>
  <c r="V52" i="65"/>
  <c r="V53" i="65" s="1"/>
  <c r="W52" i="65"/>
  <c r="W53" i="65" s="1"/>
  <c r="X52" i="65"/>
  <c r="X53" i="65" s="1"/>
  <c r="Y52" i="65"/>
  <c r="Y53" i="65" s="1"/>
  <c r="Z52" i="65"/>
  <c r="Z53" i="65" s="1"/>
  <c r="AA52" i="65"/>
  <c r="AA53" i="65" s="1"/>
  <c r="AB52" i="65"/>
  <c r="AB53" i="65" s="1"/>
  <c r="AC52" i="65"/>
  <c r="AC53" i="65" s="1"/>
  <c r="AD52" i="65"/>
  <c r="AD53" i="65" s="1"/>
  <c r="AE52" i="65"/>
  <c r="AE53" i="65" s="1"/>
  <c r="AF52" i="65"/>
  <c r="AF53" i="65" s="1"/>
  <c r="AG52" i="65"/>
  <c r="AG53" i="65" s="1"/>
  <c r="AH52" i="65"/>
  <c r="AH53" i="65" s="1"/>
  <c r="AI52" i="65"/>
  <c r="AI53" i="65" s="1"/>
  <c r="AJ52" i="65"/>
  <c r="AJ53" i="65" s="1"/>
  <c r="AK52" i="65"/>
  <c r="AK53" i="65" s="1"/>
  <c r="AL52" i="65"/>
  <c r="AL53" i="65" s="1"/>
  <c r="AM52" i="65"/>
  <c r="AM53" i="65" s="1"/>
  <c r="AN52" i="65"/>
  <c r="AN53" i="65" s="1"/>
  <c r="F58" i="65"/>
  <c r="G58" i="65"/>
  <c r="H58" i="65"/>
  <c r="I58" i="65"/>
  <c r="J58" i="65"/>
  <c r="K58" i="65"/>
  <c r="L58" i="65"/>
  <c r="M58" i="65"/>
  <c r="N58" i="65"/>
  <c r="O58" i="65"/>
  <c r="P58" i="65"/>
  <c r="Q58" i="65"/>
  <c r="R58" i="65"/>
  <c r="S58" i="65"/>
  <c r="T58" i="65"/>
  <c r="U58" i="65"/>
  <c r="V58" i="65"/>
  <c r="W58" i="65"/>
  <c r="X58" i="65"/>
  <c r="Y58" i="65"/>
  <c r="Z58" i="65"/>
  <c r="AA58" i="65"/>
  <c r="AB58" i="65"/>
  <c r="AC58" i="65"/>
  <c r="AD58" i="65"/>
  <c r="AE58" i="65"/>
  <c r="AF58" i="65"/>
  <c r="AG58" i="65"/>
  <c r="AH58" i="65"/>
  <c r="AI58" i="65"/>
  <c r="AJ58" i="65"/>
  <c r="AK58" i="65"/>
  <c r="AL58" i="65"/>
  <c r="AM58" i="65"/>
  <c r="AN58" i="65"/>
  <c r="E50" i="65"/>
  <c r="AN58" i="66"/>
  <c r="AM58" i="66"/>
  <c r="AL58" i="66"/>
  <c r="AK58" i="66"/>
  <c r="AJ58" i="66"/>
  <c r="AI58" i="66"/>
  <c r="AH58" i="66"/>
  <c r="AG58" i="66"/>
  <c r="AF58" i="66"/>
  <c r="AE58" i="66"/>
  <c r="AD58" i="66"/>
  <c r="AC58" i="66"/>
  <c r="AB58" i="66"/>
  <c r="AA58" i="66"/>
  <c r="Z58" i="66"/>
  <c r="Y58" i="66"/>
  <c r="X58" i="66"/>
  <c r="W58" i="66"/>
  <c r="V58" i="66"/>
  <c r="U58" i="66"/>
  <c r="T58" i="66"/>
  <c r="S58" i="66"/>
  <c r="R58" i="66"/>
  <c r="Q58" i="66"/>
  <c r="P58" i="66"/>
  <c r="O58" i="66"/>
  <c r="N58" i="66"/>
  <c r="M58" i="66"/>
  <c r="L58" i="66"/>
  <c r="K58" i="66"/>
  <c r="J58" i="66"/>
  <c r="I58" i="66"/>
  <c r="H58" i="66"/>
  <c r="G58" i="66"/>
  <c r="F58" i="66"/>
  <c r="AN52" i="66"/>
  <c r="AN53" i="66" s="1"/>
  <c r="AM52" i="66"/>
  <c r="AM53" i="66" s="1"/>
  <c r="AL52" i="66"/>
  <c r="AL53" i="66" s="1"/>
  <c r="AK52" i="66"/>
  <c r="AK53" i="66" s="1"/>
  <c r="AJ52" i="66"/>
  <c r="AJ53" i="66" s="1"/>
  <c r="AI52" i="66"/>
  <c r="AI53" i="66" s="1"/>
  <c r="AH52" i="66"/>
  <c r="AH53" i="66" s="1"/>
  <c r="AG52" i="66"/>
  <c r="AG53" i="66" s="1"/>
  <c r="AF52" i="66"/>
  <c r="AF53" i="66" s="1"/>
  <c r="AE52" i="66"/>
  <c r="AE53" i="66" s="1"/>
  <c r="AD52" i="66"/>
  <c r="AD53" i="66" s="1"/>
  <c r="AC52" i="66"/>
  <c r="AC53" i="66" s="1"/>
  <c r="AB52" i="66"/>
  <c r="AB53" i="66" s="1"/>
  <c r="AA52" i="66"/>
  <c r="AA53" i="66" s="1"/>
  <c r="Z52" i="66"/>
  <c r="Z53" i="66" s="1"/>
  <c r="Y52" i="66"/>
  <c r="Y53" i="66" s="1"/>
  <c r="X52" i="66"/>
  <c r="X53" i="66" s="1"/>
  <c r="W52" i="66"/>
  <c r="W53" i="66" s="1"/>
  <c r="V52" i="66"/>
  <c r="V53" i="66" s="1"/>
  <c r="U52" i="66"/>
  <c r="U53" i="66" s="1"/>
  <c r="T52" i="66"/>
  <c r="T53" i="66" s="1"/>
  <c r="S52" i="66"/>
  <c r="S53" i="66" s="1"/>
  <c r="R52" i="66"/>
  <c r="R53" i="66" s="1"/>
  <c r="Q52" i="66"/>
  <c r="Q53" i="66" s="1"/>
  <c r="P52" i="66"/>
  <c r="P53" i="66" s="1"/>
  <c r="O52" i="66"/>
  <c r="O53" i="66" s="1"/>
  <c r="N52" i="66"/>
  <c r="N53" i="66" s="1"/>
  <c r="M52" i="66"/>
  <c r="M53" i="66" s="1"/>
  <c r="L52" i="66"/>
  <c r="L53" i="66" s="1"/>
  <c r="K52" i="66"/>
  <c r="K53" i="66" s="1"/>
  <c r="J52" i="66"/>
  <c r="J53" i="66" s="1"/>
  <c r="I52" i="66"/>
  <c r="I53" i="66" s="1"/>
  <c r="H52" i="66"/>
  <c r="H53" i="66" s="1"/>
  <c r="G52" i="66"/>
  <c r="G53" i="66" s="1"/>
  <c r="F52" i="66"/>
  <c r="F53" i="66" s="1"/>
  <c r="E50" i="66"/>
  <c r="E50" i="67"/>
  <c r="G52" i="67"/>
  <c r="G53" i="67" s="1"/>
  <c r="H52" i="67"/>
  <c r="H53" i="67" s="1"/>
  <c r="L52" i="67"/>
  <c r="L53" i="67" s="1"/>
  <c r="N52" i="67"/>
  <c r="N53" i="67" s="1"/>
  <c r="S52" i="67"/>
  <c r="S53" i="67" s="1"/>
  <c r="U52" i="67"/>
  <c r="U53" i="67" s="1"/>
  <c r="Z52" i="67"/>
  <c r="Z53" i="67" s="1"/>
  <c r="AE52" i="67"/>
  <c r="AE53" i="67" s="1"/>
  <c r="AG52" i="67"/>
  <c r="AG53" i="67" s="1"/>
  <c r="AJ52" i="67"/>
  <c r="AJ53" i="67" s="1"/>
  <c r="AL52" i="67"/>
  <c r="AL53" i="67" s="1"/>
  <c r="H58" i="67"/>
  <c r="J58" i="67"/>
  <c r="L58" i="67"/>
  <c r="P58" i="67"/>
  <c r="S58" i="67"/>
  <c r="X58" i="67"/>
  <c r="AB58" i="67"/>
  <c r="AF58" i="67"/>
  <c r="AH58" i="67"/>
  <c r="AJ58" i="67"/>
  <c r="AN58" i="67"/>
  <c r="J52" i="67"/>
  <c r="J53" i="67" s="1"/>
  <c r="O52" i="67"/>
  <c r="O53" i="67" s="1"/>
  <c r="Q52" i="67"/>
  <c r="Q53" i="67" s="1"/>
  <c r="T52" i="67"/>
  <c r="T53" i="67" s="1"/>
  <c r="V52" i="67"/>
  <c r="V53" i="67" s="1"/>
  <c r="X52" i="67"/>
  <c r="X53" i="67" s="1"/>
  <c r="AA52" i="67"/>
  <c r="AA53" i="67" s="1"/>
  <c r="AC52" i="67"/>
  <c r="AC53" i="67" s="1"/>
  <c r="AF52" i="67"/>
  <c r="AF53" i="67" s="1"/>
  <c r="AH52" i="67"/>
  <c r="AH53" i="67" s="1"/>
  <c r="AM52" i="67"/>
  <c r="AM53" i="67" s="1"/>
  <c r="F58" i="67"/>
  <c r="I58" i="67"/>
  <c r="M58" i="67"/>
  <c r="R58" i="67"/>
  <c r="U58" i="67"/>
  <c r="W58" i="67"/>
  <c r="Z58" i="67"/>
  <c r="AC58" i="67"/>
  <c r="AI58" i="67"/>
  <c r="AL58" i="67"/>
  <c r="F52" i="67"/>
  <c r="F53" i="67" s="1"/>
  <c r="I52" i="67"/>
  <c r="I53" i="67" s="1"/>
  <c r="K52" i="67"/>
  <c r="K53" i="67" s="1"/>
  <c r="M52" i="67"/>
  <c r="M53" i="67" s="1"/>
  <c r="P52" i="67"/>
  <c r="P53" i="67" s="1"/>
  <c r="R52" i="67"/>
  <c r="R53" i="67" s="1"/>
  <c r="W52" i="67"/>
  <c r="W53" i="67" s="1"/>
  <c r="Y52" i="67"/>
  <c r="Y53" i="67" s="1"/>
  <c r="AB52" i="67"/>
  <c r="AB53" i="67" s="1"/>
  <c r="AD52" i="67"/>
  <c r="AD53" i="67" s="1"/>
  <c r="AI52" i="67"/>
  <c r="AI53" i="67" s="1"/>
  <c r="AK52" i="67"/>
  <c r="AK53" i="67" s="1"/>
  <c r="AN52" i="67"/>
  <c r="AN53" i="67" s="1"/>
  <c r="G58" i="67"/>
  <c r="K58" i="67"/>
  <c r="N58" i="67"/>
  <c r="O58" i="67"/>
  <c r="Q58" i="67"/>
  <c r="T58" i="67"/>
  <c r="V58" i="67"/>
  <c r="Y58" i="67"/>
  <c r="AA58" i="67"/>
  <c r="AD58" i="67"/>
  <c r="AE58" i="67"/>
  <c r="AG58" i="67"/>
  <c r="AK58" i="67"/>
  <c r="AM58" i="67"/>
  <c r="F52" i="53"/>
  <c r="F53" i="53" s="1"/>
  <c r="X52" i="53"/>
  <c r="X53" i="53" s="1"/>
  <c r="AC52" i="53"/>
  <c r="AC53" i="53" s="1"/>
  <c r="AF52" i="53"/>
  <c r="AF53" i="53" s="1"/>
  <c r="AI52" i="53"/>
  <c r="AI53" i="53" s="1"/>
  <c r="F58" i="53"/>
  <c r="W58" i="53"/>
  <c r="AK58" i="53"/>
  <c r="M52" i="53"/>
  <c r="M53" i="53" s="1"/>
  <c r="W52" i="53"/>
  <c r="W53" i="53" s="1"/>
  <c r="H52" i="53"/>
  <c r="H53" i="53" s="1"/>
  <c r="P52" i="53"/>
  <c r="P53" i="53" s="1"/>
  <c r="AA52" i="53"/>
  <c r="AA53" i="53" s="1"/>
  <c r="AK52" i="53"/>
  <c r="AK53" i="53" s="1"/>
  <c r="AN52" i="53"/>
  <c r="AN53" i="53" s="1"/>
  <c r="G58" i="53"/>
  <c r="K58" i="53"/>
  <c r="Q58" i="53"/>
  <c r="U58" i="53"/>
  <c r="Y58" i="53"/>
  <c r="AB58" i="53"/>
  <c r="AD58" i="53"/>
  <c r="AG58" i="53"/>
  <c r="AJ58" i="53"/>
  <c r="AM58" i="53"/>
  <c r="G52" i="53"/>
  <c r="G53" i="53" s="1"/>
  <c r="O52" i="53"/>
  <c r="O53" i="53" s="1"/>
  <c r="AB52" i="53"/>
  <c r="AB53" i="53" s="1"/>
  <c r="J52" i="53"/>
  <c r="J53" i="53" s="1"/>
  <c r="N52" i="53"/>
  <c r="N53" i="53" s="1"/>
  <c r="T52" i="53"/>
  <c r="T53" i="53" s="1"/>
  <c r="AE52" i="53"/>
  <c r="AE53" i="53" s="1"/>
  <c r="AH52" i="53"/>
  <c r="AH53" i="53" s="1"/>
  <c r="AL52" i="53"/>
  <c r="AL53" i="53" s="1"/>
  <c r="L58" i="53"/>
  <c r="O58" i="53"/>
  <c r="P58" i="53"/>
  <c r="S58" i="53"/>
  <c r="V58" i="53"/>
  <c r="Z58" i="53"/>
  <c r="AE58" i="53"/>
  <c r="AH58" i="53"/>
  <c r="AL58" i="53"/>
  <c r="I52" i="53"/>
  <c r="I53" i="53" s="1"/>
  <c r="S52" i="53"/>
  <c r="S53" i="53" s="1"/>
  <c r="L52" i="53"/>
  <c r="L53" i="53" s="1"/>
  <c r="R52" i="53"/>
  <c r="R53" i="53" s="1"/>
  <c r="V52" i="53"/>
  <c r="V53" i="53" s="1"/>
  <c r="Y52" i="53"/>
  <c r="Y53" i="53" s="1"/>
  <c r="Z52" i="53"/>
  <c r="Z53" i="53" s="1"/>
  <c r="AD52" i="53"/>
  <c r="AD53" i="53" s="1"/>
  <c r="AG52" i="53"/>
  <c r="AG53" i="53" s="1"/>
  <c r="AJ52" i="53"/>
  <c r="AJ53" i="53" s="1"/>
  <c r="AM52" i="53"/>
  <c r="AM53" i="53" s="1"/>
  <c r="H58" i="53"/>
  <c r="N58" i="53"/>
  <c r="I58" i="53"/>
  <c r="J58" i="53"/>
  <c r="M58" i="53"/>
  <c r="R58" i="53"/>
  <c r="T58" i="53"/>
  <c r="X58" i="53"/>
  <c r="AA58" i="53"/>
  <c r="AC58" i="53"/>
  <c r="AF58" i="53"/>
  <c r="AI58" i="53"/>
  <c r="AN58" i="53"/>
  <c r="K52" i="53"/>
  <c r="K53" i="53" s="1"/>
  <c r="Q52" i="53"/>
  <c r="Q53" i="53" s="1"/>
  <c r="U52" i="53"/>
  <c r="U53" i="53" s="1"/>
  <c r="E50" i="53"/>
  <c r="G52" i="45"/>
  <c r="G53" i="45" s="1"/>
  <c r="I52" i="45"/>
  <c r="I53" i="45" s="1"/>
  <c r="K52" i="45"/>
  <c r="K53" i="45" s="1"/>
  <c r="N52" i="45"/>
  <c r="N53" i="45" s="1"/>
  <c r="P52" i="45"/>
  <c r="P53" i="45" s="1"/>
  <c r="S52" i="45"/>
  <c r="S53" i="45" s="1"/>
  <c r="V52" i="45"/>
  <c r="V53" i="45" s="1"/>
  <c r="I58" i="45"/>
  <c r="K58" i="45"/>
  <c r="M58" i="45"/>
  <c r="P58" i="45"/>
  <c r="S58" i="45"/>
  <c r="V58" i="45"/>
  <c r="X58" i="45"/>
  <c r="Z58" i="45"/>
  <c r="AB58" i="45"/>
  <c r="AD58" i="45"/>
  <c r="AF58" i="45"/>
  <c r="AH58" i="45"/>
  <c r="AJ58" i="45"/>
  <c r="AK58" i="45"/>
  <c r="AL58" i="45"/>
  <c r="AM58" i="45"/>
  <c r="AN58" i="45"/>
  <c r="H52" i="45"/>
  <c r="H53" i="45" s="1"/>
  <c r="L52" i="45"/>
  <c r="L53" i="45" s="1"/>
  <c r="Q52" i="45"/>
  <c r="Q53" i="45" s="1"/>
  <c r="U52" i="45"/>
  <c r="U53" i="45" s="1"/>
  <c r="W52" i="45"/>
  <c r="W53" i="45" s="1"/>
  <c r="Y52" i="45"/>
  <c r="Y53" i="45" s="1"/>
  <c r="AA52" i="45"/>
  <c r="AA53" i="45" s="1"/>
  <c r="AC52" i="45"/>
  <c r="AC53" i="45" s="1"/>
  <c r="AE52" i="45"/>
  <c r="AE53" i="45" s="1"/>
  <c r="AF52" i="45"/>
  <c r="AF53" i="45" s="1"/>
  <c r="AH52" i="45"/>
  <c r="AH53" i="45" s="1"/>
  <c r="AJ52" i="45"/>
  <c r="AJ53" i="45" s="1"/>
  <c r="AK52" i="45"/>
  <c r="AK53" i="45" s="1"/>
  <c r="AM52" i="45"/>
  <c r="AM53" i="45" s="1"/>
  <c r="AN52" i="45"/>
  <c r="AN53" i="45" s="1"/>
  <c r="F58" i="45"/>
  <c r="J58" i="45"/>
  <c r="O58" i="45"/>
  <c r="R58" i="45"/>
  <c r="U58" i="45"/>
  <c r="W58" i="45"/>
  <c r="Y58" i="45"/>
  <c r="AA58" i="45"/>
  <c r="AC58" i="45"/>
  <c r="AG58" i="45"/>
  <c r="AI58" i="45"/>
  <c r="G58" i="45"/>
  <c r="F52" i="45"/>
  <c r="F53" i="45" s="1"/>
  <c r="J52" i="45"/>
  <c r="J53" i="45" s="1"/>
  <c r="M52" i="45"/>
  <c r="M53" i="45" s="1"/>
  <c r="O52" i="45"/>
  <c r="O53" i="45" s="1"/>
  <c r="R52" i="45"/>
  <c r="R53" i="45" s="1"/>
  <c r="T52" i="45"/>
  <c r="T53" i="45" s="1"/>
  <c r="X52" i="45"/>
  <c r="X53" i="45" s="1"/>
  <c r="Z52" i="45"/>
  <c r="Z53" i="45" s="1"/>
  <c r="AB52" i="45"/>
  <c r="AB53" i="45" s="1"/>
  <c r="AD52" i="45"/>
  <c r="AD53" i="45" s="1"/>
  <c r="AG52" i="45"/>
  <c r="AG53" i="45" s="1"/>
  <c r="AI52" i="45"/>
  <c r="AI53" i="45" s="1"/>
  <c r="AL52" i="45"/>
  <c r="AL53" i="45" s="1"/>
  <c r="H58" i="45"/>
  <c r="L58" i="45"/>
  <c r="N58" i="45"/>
  <c r="Q58" i="45"/>
  <c r="T58" i="45"/>
  <c r="AE58" i="45"/>
  <c r="E50" i="45"/>
  <c r="F58" i="62"/>
  <c r="G58" i="62"/>
  <c r="H58" i="62"/>
  <c r="I58" i="62"/>
  <c r="J58" i="62"/>
  <c r="K58" i="62"/>
  <c r="L58" i="62"/>
  <c r="M58" i="62"/>
  <c r="N58" i="62"/>
  <c r="O58" i="62"/>
  <c r="P58" i="62"/>
  <c r="Q58" i="62"/>
  <c r="R58" i="62"/>
  <c r="S58" i="62"/>
  <c r="T58" i="62"/>
  <c r="U58" i="62"/>
  <c r="V58" i="62"/>
  <c r="W58" i="62"/>
  <c r="X58" i="62"/>
  <c r="Y58" i="62"/>
  <c r="Z58" i="62"/>
  <c r="AA58" i="62"/>
  <c r="AB58" i="62"/>
  <c r="AC58" i="62"/>
  <c r="AD58" i="62"/>
  <c r="AE58" i="62"/>
  <c r="AF58" i="62"/>
  <c r="AG58" i="62"/>
  <c r="AH58" i="62"/>
  <c r="AI58" i="62"/>
  <c r="AJ58" i="62"/>
  <c r="AK58" i="62"/>
  <c r="AL58" i="62"/>
  <c r="AM58" i="62"/>
  <c r="AN58" i="62"/>
  <c r="F52" i="62"/>
  <c r="F53" i="62" s="1"/>
  <c r="I52" i="62"/>
  <c r="I53" i="62" s="1"/>
  <c r="L52" i="62"/>
  <c r="L53" i="62" s="1"/>
  <c r="N52" i="62"/>
  <c r="N53" i="62" s="1"/>
  <c r="O52" i="62"/>
  <c r="O53" i="62" s="1"/>
  <c r="R52" i="62"/>
  <c r="R53" i="62" s="1"/>
  <c r="T52" i="62"/>
  <c r="T53" i="62" s="1"/>
  <c r="X52" i="62"/>
  <c r="X53" i="62" s="1"/>
  <c r="AA52" i="62"/>
  <c r="AA53" i="62" s="1"/>
  <c r="AD52" i="62"/>
  <c r="AD53" i="62" s="1"/>
  <c r="AE52" i="62"/>
  <c r="AE53" i="62" s="1"/>
  <c r="AG52" i="62"/>
  <c r="AG53" i="62" s="1"/>
  <c r="AI52" i="62"/>
  <c r="AI53" i="62" s="1"/>
  <c r="AK52" i="62"/>
  <c r="AK53" i="62" s="1"/>
  <c r="AM52" i="62"/>
  <c r="AM53" i="62" s="1"/>
  <c r="G52" i="62"/>
  <c r="G53" i="62" s="1"/>
  <c r="J52" i="62"/>
  <c r="J53" i="62" s="1"/>
  <c r="M52" i="62"/>
  <c r="M53" i="62" s="1"/>
  <c r="P52" i="62"/>
  <c r="P53" i="62" s="1"/>
  <c r="V52" i="62"/>
  <c r="V53" i="62" s="1"/>
  <c r="Y52" i="62"/>
  <c r="Y53" i="62" s="1"/>
  <c r="AB52" i="62"/>
  <c r="AB53" i="62" s="1"/>
  <c r="H52" i="62"/>
  <c r="H53" i="62" s="1"/>
  <c r="K52" i="62"/>
  <c r="K53" i="62" s="1"/>
  <c r="Q52" i="62"/>
  <c r="Q53" i="62" s="1"/>
  <c r="S52" i="62"/>
  <c r="S53" i="62" s="1"/>
  <c r="U52" i="62"/>
  <c r="U53" i="62" s="1"/>
  <c r="W52" i="62"/>
  <c r="W53" i="62" s="1"/>
  <c r="Z52" i="62"/>
  <c r="Z53" i="62" s="1"/>
  <c r="AC52" i="62"/>
  <c r="AC53" i="62" s="1"/>
  <c r="AF52" i="62"/>
  <c r="AF53" i="62" s="1"/>
  <c r="AH52" i="62"/>
  <c r="AH53" i="62" s="1"/>
  <c r="AJ52" i="62"/>
  <c r="AJ53" i="62" s="1"/>
  <c r="AL52" i="62"/>
  <c r="AL53" i="62" s="1"/>
  <c r="AN52" i="62"/>
  <c r="AN53" i="62" s="1"/>
  <c r="E50" i="62"/>
  <c r="E50" i="48"/>
  <c r="L52" i="48"/>
  <c r="L53" i="48" s="1"/>
  <c r="R52" i="48"/>
  <c r="R53" i="48" s="1"/>
  <c r="X52" i="48"/>
  <c r="X53" i="48" s="1"/>
  <c r="H52" i="48"/>
  <c r="H53" i="48" s="1"/>
  <c r="O52" i="48"/>
  <c r="O53" i="48" s="1"/>
  <c r="U52" i="48"/>
  <c r="U53" i="48" s="1"/>
  <c r="AA52" i="48"/>
  <c r="AA53" i="48" s="1"/>
  <c r="AD52" i="48"/>
  <c r="AD53" i="48" s="1"/>
  <c r="AG52" i="48"/>
  <c r="AG53" i="48" s="1"/>
  <c r="AJ52" i="48"/>
  <c r="AJ53" i="48" s="1"/>
  <c r="AN52" i="48"/>
  <c r="AN53" i="48" s="1"/>
  <c r="G52" i="48"/>
  <c r="G53" i="48" s="1"/>
  <c r="K52" i="48"/>
  <c r="K53" i="48" s="1"/>
  <c r="Q52" i="48"/>
  <c r="Q53" i="48" s="1"/>
  <c r="V52" i="48"/>
  <c r="V53" i="48" s="1"/>
  <c r="Y52" i="48"/>
  <c r="Y53" i="48" s="1"/>
  <c r="AB52" i="48"/>
  <c r="AB53" i="48" s="1"/>
  <c r="AF52" i="48"/>
  <c r="AF53" i="48" s="1"/>
  <c r="AI52" i="48"/>
  <c r="AI53" i="48" s="1"/>
  <c r="AL52" i="48"/>
  <c r="AL53" i="48" s="1"/>
  <c r="F52" i="48"/>
  <c r="F53" i="48" s="1"/>
  <c r="I52" i="48"/>
  <c r="I53" i="48" s="1"/>
  <c r="M52" i="48"/>
  <c r="M53" i="48" s="1"/>
  <c r="P52" i="48"/>
  <c r="P53" i="48" s="1"/>
  <c r="S52" i="48"/>
  <c r="S53" i="48" s="1"/>
  <c r="W52" i="48"/>
  <c r="W53" i="48" s="1"/>
  <c r="Z52" i="48"/>
  <c r="Z53" i="48" s="1"/>
  <c r="AC52" i="48"/>
  <c r="AC53" i="48" s="1"/>
  <c r="AE52" i="48"/>
  <c r="AE53" i="48" s="1"/>
  <c r="AH52" i="48"/>
  <c r="AH53" i="48" s="1"/>
  <c r="AK52" i="48"/>
  <c r="AK53" i="48" s="1"/>
  <c r="AM52" i="48"/>
  <c r="AM53" i="48" s="1"/>
  <c r="G58" i="48"/>
  <c r="I58" i="48"/>
  <c r="K58" i="48"/>
  <c r="M58" i="48"/>
  <c r="O58" i="48"/>
  <c r="Q58" i="48"/>
  <c r="S58" i="48"/>
  <c r="U58" i="48"/>
  <c r="AA58" i="48"/>
  <c r="J52" i="48"/>
  <c r="J53" i="48" s="1"/>
  <c r="N52" i="48"/>
  <c r="N53" i="48" s="1"/>
  <c r="T52" i="48"/>
  <c r="T53" i="48" s="1"/>
  <c r="F58" i="48"/>
  <c r="H58" i="48"/>
  <c r="J58" i="48"/>
  <c r="L58" i="48"/>
  <c r="N58" i="48"/>
  <c r="P58" i="48"/>
  <c r="R58" i="48"/>
  <c r="T58" i="48"/>
  <c r="V58" i="48"/>
  <c r="W58" i="48"/>
  <c r="X58" i="48"/>
  <c r="Y58" i="48"/>
  <c r="Z58" i="48"/>
  <c r="AB58" i="48"/>
  <c r="AC58" i="48"/>
  <c r="AD58" i="48"/>
  <c r="AE58" i="48"/>
  <c r="AF58" i="48"/>
  <c r="AG58" i="48"/>
  <c r="AH58" i="48"/>
  <c r="AI58" i="48"/>
  <c r="AJ58" i="48"/>
  <c r="AK58" i="48"/>
  <c r="AL58" i="48"/>
  <c r="AM58" i="48"/>
  <c r="AN58" i="48"/>
  <c r="AN58" i="38"/>
  <c r="AM58" i="38"/>
  <c r="AL58" i="38"/>
  <c r="AK58" i="38"/>
  <c r="AJ58" i="38"/>
  <c r="AI58" i="38"/>
  <c r="AH58" i="38"/>
  <c r="AG58" i="38"/>
  <c r="AF58" i="38"/>
  <c r="AE58" i="38"/>
  <c r="AD58" i="38"/>
  <c r="AC58" i="38"/>
  <c r="AB58" i="38"/>
  <c r="AA58" i="38"/>
  <c r="Z58" i="38"/>
  <c r="Y58" i="38"/>
  <c r="X58" i="38"/>
  <c r="W58" i="38"/>
  <c r="V58" i="38"/>
  <c r="U58" i="38"/>
  <c r="T58" i="38"/>
  <c r="S58" i="38"/>
  <c r="R58" i="38"/>
  <c r="Q58" i="38"/>
  <c r="P58" i="38"/>
  <c r="O58" i="38"/>
  <c r="N58" i="38"/>
  <c r="M58" i="38"/>
  <c r="L58" i="38"/>
  <c r="K58" i="38"/>
  <c r="J58" i="38"/>
  <c r="I58" i="38"/>
  <c r="H58" i="38"/>
  <c r="G58" i="38"/>
  <c r="F58" i="38"/>
  <c r="AN52" i="38"/>
  <c r="AN53" i="38" s="1"/>
  <c r="AM52" i="38"/>
  <c r="AM53" i="38" s="1"/>
  <c r="AL52" i="38"/>
  <c r="AL53" i="38" s="1"/>
  <c r="AK52" i="38"/>
  <c r="AK53" i="38" s="1"/>
  <c r="AJ52" i="38"/>
  <c r="AJ53" i="38" s="1"/>
  <c r="AI52" i="38"/>
  <c r="AI53" i="38" s="1"/>
  <c r="AH52" i="38"/>
  <c r="AH53" i="38" s="1"/>
  <c r="AG52" i="38"/>
  <c r="AG53" i="38" s="1"/>
  <c r="AF52" i="38"/>
  <c r="AF53" i="38" s="1"/>
  <c r="AE52" i="38"/>
  <c r="AE53" i="38" s="1"/>
  <c r="AD52" i="38"/>
  <c r="AD53" i="38" s="1"/>
  <c r="AC52" i="38"/>
  <c r="AC53" i="38" s="1"/>
  <c r="AB52" i="38"/>
  <c r="AB53" i="38" s="1"/>
  <c r="AA52" i="38"/>
  <c r="AA53" i="38" s="1"/>
  <c r="Z52" i="38"/>
  <c r="Z53" i="38" s="1"/>
  <c r="Y52" i="38"/>
  <c r="Y53" i="38" s="1"/>
  <c r="X52" i="38"/>
  <c r="X53" i="38" s="1"/>
  <c r="W52" i="38"/>
  <c r="W53" i="38" s="1"/>
  <c r="V52" i="38"/>
  <c r="V53" i="38" s="1"/>
  <c r="U52" i="38"/>
  <c r="U53" i="38" s="1"/>
  <c r="T52" i="38"/>
  <c r="T53" i="38" s="1"/>
  <c r="S52" i="38"/>
  <c r="S53" i="38" s="1"/>
  <c r="R52" i="38"/>
  <c r="R53" i="38" s="1"/>
  <c r="Q52" i="38"/>
  <c r="Q53" i="38" s="1"/>
  <c r="P52" i="38"/>
  <c r="P53" i="38" s="1"/>
  <c r="O52" i="38"/>
  <c r="O53" i="38" s="1"/>
  <c r="N52" i="38"/>
  <c r="N53" i="38" s="1"/>
  <c r="M52" i="38"/>
  <c r="M53" i="38" s="1"/>
  <c r="L52" i="38"/>
  <c r="L53" i="38" s="1"/>
  <c r="K52" i="38"/>
  <c r="K53" i="38" s="1"/>
  <c r="J52" i="38"/>
  <c r="J53" i="38" s="1"/>
  <c r="I52" i="38"/>
  <c r="I53" i="38" s="1"/>
  <c r="H52" i="38"/>
  <c r="H53" i="38" s="1"/>
  <c r="G52" i="38"/>
  <c r="G53" i="38" s="1"/>
  <c r="F52" i="38"/>
  <c r="F53" i="38" s="1"/>
  <c r="E50" i="38"/>
  <c r="AN58" i="54"/>
  <c r="AL58" i="54"/>
  <c r="AK58" i="54"/>
  <c r="AI58" i="54"/>
  <c r="AG58" i="54"/>
  <c r="AE58" i="54"/>
  <c r="AC58" i="54"/>
  <c r="AB58" i="54"/>
  <c r="Z58" i="54"/>
  <c r="W58" i="54"/>
  <c r="U58" i="54"/>
  <c r="T58" i="54"/>
  <c r="R58" i="54"/>
  <c r="P58" i="54"/>
  <c r="N58" i="54"/>
  <c r="L58" i="54"/>
  <c r="J58" i="54"/>
  <c r="H58" i="54"/>
  <c r="G58" i="54"/>
  <c r="AN52" i="54"/>
  <c r="AN53" i="54" s="1"/>
  <c r="AL52" i="54"/>
  <c r="AL53" i="54" s="1"/>
  <c r="AJ52" i="54"/>
  <c r="AJ53" i="54" s="1"/>
  <c r="AI52" i="54"/>
  <c r="AI53" i="54" s="1"/>
  <c r="AF52" i="54"/>
  <c r="AF53" i="54" s="1"/>
  <c r="AD52" i="54"/>
  <c r="AD53" i="54" s="1"/>
  <c r="AB52" i="54"/>
  <c r="AB53" i="54" s="1"/>
  <c r="Z52" i="54"/>
  <c r="Z53" i="54" s="1"/>
  <c r="X52" i="54"/>
  <c r="X53" i="54" s="1"/>
  <c r="V52" i="54"/>
  <c r="V53" i="54" s="1"/>
  <c r="T52" i="54"/>
  <c r="T53" i="54" s="1"/>
  <c r="S52" i="54"/>
  <c r="S53" i="54" s="1"/>
  <c r="Q52" i="54"/>
  <c r="Q53" i="54" s="1"/>
  <c r="O52" i="54"/>
  <c r="O53" i="54" s="1"/>
  <c r="M52" i="54"/>
  <c r="M53" i="54" s="1"/>
  <c r="K52" i="54"/>
  <c r="K53" i="54" s="1"/>
  <c r="I52" i="54"/>
  <c r="I53" i="54" s="1"/>
  <c r="F52" i="54"/>
  <c r="F53" i="54" s="1"/>
  <c r="AM58" i="54"/>
  <c r="AJ58" i="54"/>
  <c r="AH58" i="54"/>
  <c r="AF58" i="54"/>
  <c r="AD58" i="54"/>
  <c r="AA58" i="54"/>
  <c r="Y58" i="54"/>
  <c r="X58" i="54"/>
  <c r="V58" i="54"/>
  <c r="S58" i="54"/>
  <c r="Q58" i="54"/>
  <c r="O58" i="54"/>
  <c r="M58" i="54"/>
  <c r="K58" i="54"/>
  <c r="I58" i="54"/>
  <c r="F58" i="54"/>
  <c r="AM52" i="54"/>
  <c r="AM53" i="54" s="1"/>
  <c r="AK52" i="54"/>
  <c r="AK53" i="54" s="1"/>
  <c r="AH52" i="54"/>
  <c r="AH53" i="54" s="1"/>
  <c r="AG52" i="54"/>
  <c r="AG53" i="54" s="1"/>
  <c r="AE52" i="54"/>
  <c r="AE53" i="54" s="1"/>
  <c r="AC52" i="54"/>
  <c r="AC53" i="54" s="1"/>
  <c r="AA52" i="54"/>
  <c r="AA53" i="54" s="1"/>
  <c r="Y52" i="54"/>
  <c r="Y53" i="54" s="1"/>
  <c r="W52" i="54"/>
  <c r="W53" i="54" s="1"/>
  <c r="U52" i="54"/>
  <c r="U53" i="54" s="1"/>
  <c r="R52" i="54"/>
  <c r="R53" i="54" s="1"/>
  <c r="P52" i="54"/>
  <c r="P53" i="54" s="1"/>
  <c r="N52" i="54"/>
  <c r="N53" i="54" s="1"/>
  <c r="L52" i="54"/>
  <c r="L53" i="54" s="1"/>
  <c r="J52" i="54"/>
  <c r="J53" i="54" s="1"/>
  <c r="H52" i="54"/>
  <c r="H53" i="54" s="1"/>
  <c r="G52" i="54"/>
  <c r="G53" i="54" s="1"/>
  <c r="E50" i="54"/>
  <c r="AN58" i="39"/>
  <c r="AM58" i="39"/>
  <c r="AL58" i="39"/>
  <c r="AK58" i="39"/>
  <c r="AJ58" i="39"/>
  <c r="AI58" i="39"/>
  <c r="AH58" i="39"/>
  <c r="AG58" i="39"/>
  <c r="AF58" i="39"/>
  <c r="AE58" i="39"/>
  <c r="AD58" i="39"/>
  <c r="AC58" i="39"/>
  <c r="AB58" i="39"/>
  <c r="AA58" i="39"/>
  <c r="Z58" i="39"/>
  <c r="Y58" i="39"/>
  <c r="X58" i="39"/>
  <c r="W58" i="39"/>
  <c r="V58" i="39"/>
  <c r="U58" i="39"/>
  <c r="T58" i="39"/>
  <c r="S58" i="39"/>
  <c r="R58" i="39"/>
  <c r="Q58" i="39"/>
  <c r="P58" i="39"/>
  <c r="O58" i="39"/>
  <c r="N58" i="39"/>
  <c r="M58" i="39"/>
  <c r="L58" i="39"/>
  <c r="K58" i="39"/>
  <c r="J58" i="39"/>
  <c r="I58" i="39"/>
  <c r="H58" i="39"/>
  <c r="G58" i="39"/>
  <c r="F58" i="39"/>
  <c r="AN52" i="39"/>
  <c r="AN53" i="39" s="1"/>
  <c r="AM52" i="39"/>
  <c r="AM53" i="39" s="1"/>
  <c r="AL52" i="39"/>
  <c r="AL53" i="39" s="1"/>
  <c r="AK52" i="39"/>
  <c r="AK53" i="39" s="1"/>
  <c r="AJ52" i="39"/>
  <c r="AJ53" i="39" s="1"/>
  <c r="AI52" i="39"/>
  <c r="AI53" i="39" s="1"/>
  <c r="AH52" i="39"/>
  <c r="AH53" i="39" s="1"/>
  <c r="AG52" i="39"/>
  <c r="AG53" i="39" s="1"/>
  <c r="AF52" i="39"/>
  <c r="AF53" i="39" s="1"/>
  <c r="AE52" i="39"/>
  <c r="AE53" i="39" s="1"/>
  <c r="AD52" i="39"/>
  <c r="AD53" i="39" s="1"/>
  <c r="AC52" i="39"/>
  <c r="AC53" i="39" s="1"/>
  <c r="AB52" i="39"/>
  <c r="AB53" i="39" s="1"/>
  <c r="AA52" i="39"/>
  <c r="AA53" i="39" s="1"/>
  <c r="Z52" i="39"/>
  <c r="Z53" i="39" s="1"/>
  <c r="Y52" i="39"/>
  <c r="Y53" i="39" s="1"/>
  <c r="X52" i="39"/>
  <c r="X53" i="39" s="1"/>
  <c r="W52" i="39"/>
  <c r="W53" i="39" s="1"/>
  <c r="V52" i="39"/>
  <c r="V53" i="39" s="1"/>
  <c r="U52" i="39"/>
  <c r="U53" i="39" s="1"/>
  <c r="T52" i="39"/>
  <c r="T53" i="39" s="1"/>
  <c r="S52" i="39"/>
  <c r="S53" i="39" s="1"/>
  <c r="R52" i="39"/>
  <c r="R53" i="39" s="1"/>
  <c r="Q52" i="39"/>
  <c r="Q53" i="39" s="1"/>
  <c r="P52" i="39"/>
  <c r="P53" i="39" s="1"/>
  <c r="O52" i="39"/>
  <c r="O53" i="39" s="1"/>
  <c r="N52" i="39"/>
  <c r="N53" i="39" s="1"/>
  <c r="M52" i="39"/>
  <c r="M53" i="39" s="1"/>
  <c r="L52" i="39"/>
  <c r="L53" i="39" s="1"/>
  <c r="K52" i="39"/>
  <c r="K53" i="39" s="1"/>
  <c r="J52" i="39"/>
  <c r="J53" i="39" s="1"/>
  <c r="I52" i="39"/>
  <c r="I53" i="39" s="1"/>
  <c r="H52" i="39"/>
  <c r="H53" i="39" s="1"/>
  <c r="G52" i="39"/>
  <c r="G53" i="39" s="1"/>
  <c r="F52" i="39"/>
  <c r="F53" i="39" s="1"/>
  <c r="E50" i="39"/>
  <c r="F52" i="55"/>
  <c r="F53" i="55" s="1"/>
  <c r="G52" i="55"/>
  <c r="G53" i="55" s="1"/>
  <c r="H52" i="55"/>
  <c r="H53" i="55" s="1"/>
  <c r="I52" i="55"/>
  <c r="I53" i="55" s="1"/>
  <c r="J52" i="55"/>
  <c r="J53" i="55" s="1"/>
  <c r="K52" i="55"/>
  <c r="K53" i="55" s="1"/>
  <c r="L52" i="55"/>
  <c r="L53" i="55" s="1"/>
  <c r="M52" i="55"/>
  <c r="M53" i="55" s="1"/>
  <c r="N52" i="55"/>
  <c r="N53" i="55" s="1"/>
  <c r="O52" i="55"/>
  <c r="O53" i="55" s="1"/>
  <c r="P52" i="55"/>
  <c r="P53" i="55" s="1"/>
  <c r="Q52" i="55"/>
  <c r="Q53" i="55" s="1"/>
  <c r="R52" i="55"/>
  <c r="R53" i="55" s="1"/>
  <c r="S52" i="55"/>
  <c r="S53" i="55" s="1"/>
  <c r="T52" i="55"/>
  <c r="T53" i="55" s="1"/>
  <c r="U52" i="55"/>
  <c r="U53" i="55" s="1"/>
  <c r="V52" i="55"/>
  <c r="V53" i="55" s="1"/>
  <c r="W52" i="55"/>
  <c r="W53" i="55" s="1"/>
  <c r="X52" i="55"/>
  <c r="X53" i="55" s="1"/>
  <c r="Y52" i="55"/>
  <c r="Y53" i="55" s="1"/>
  <c r="Z52" i="55"/>
  <c r="Z53" i="55" s="1"/>
  <c r="AA52" i="55"/>
  <c r="AA53" i="55" s="1"/>
  <c r="AB52" i="55"/>
  <c r="AB53" i="55" s="1"/>
  <c r="AC52" i="55"/>
  <c r="AC53" i="55" s="1"/>
  <c r="AD52" i="55"/>
  <c r="AD53" i="55" s="1"/>
  <c r="AE52" i="55"/>
  <c r="AE53" i="55" s="1"/>
  <c r="AF52" i="55"/>
  <c r="AF53" i="55" s="1"/>
  <c r="AG52" i="55"/>
  <c r="AG53" i="55" s="1"/>
  <c r="AH52" i="55"/>
  <c r="AH53" i="55" s="1"/>
  <c r="AI52" i="55"/>
  <c r="AI53" i="55" s="1"/>
  <c r="AJ52" i="55"/>
  <c r="AJ53" i="55" s="1"/>
  <c r="AK52" i="55"/>
  <c r="AK53" i="55" s="1"/>
  <c r="AL52" i="55"/>
  <c r="AL53" i="55" s="1"/>
  <c r="AM52" i="55"/>
  <c r="AM53" i="55" s="1"/>
  <c r="AN52" i="55"/>
  <c r="AN53" i="55" s="1"/>
  <c r="F58" i="55"/>
  <c r="G58" i="55"/>
  <c r="H58" i="55"/>
  <c r="I58" i="55"/>
  <c r="J58" i="55"/>
  <c r="K58" i="55"/>
  <c r="L58" i="55"/>
  <c r="M58" i="55"/>
  <c r="N58" i="55"/>
  <c r="O58" i="55"/>
  <c r="P58" i="55"/>
  <c r="Q58" i="55"/>
  <c r="R58" i="55"/>
  <c r="S58" i="55"/>
  <c r="T58" i="55"/>
  <c r="U58" i="55"/>
  <c r="V58" i="55"/>
  <c r="W58" i="55"/>
  <c r="X58" i="55"/>
  <c r="Y58" i="55"/>
  <c r="Z58" i="55"/>
  <c r="AA58" i="55"/>
  <c r="AB58" i="55"/>
  <c r="AC58" i="55"/>
  <c r="AD58" i="55"/>
  <c r="AE58" i="55"/>
  <c r="AF58" i="55"/>
  <c r="AG58" i="55"/>
  <c r="AH58" i="55"/>
  <c r="AI58" i="55"/>
  <c r="AJ58" i="55"/>
  <c r="AK58" i="55"/>
  <c r="AL58" i="55"/>
  <c r="AM58" i="55"/>
  <c r="AN58" i="55"/>
  <c r="E50" i="55"/>
  <c r="F52" i="56"/>
  <c r="F53" i="56" s="1"/>
  <c r="G52" i="56"/>
  <c r="G53" i="56" s="1"/>
  <c r="H52" i="56"/>
  <c r="H53" i="56" s="1"/>
  <c r="I52" i="56"/>
  <c r="I53" i="56" s="1"/>
  <c r="J52" i="56"/>
  <c r="J53" i="56" s="1"/>
  <c r="K52" i="56"/>
  <c r="K53" i="56" s="1"/>
  <c r="L52" i="56"/>
  <c r="L53" i="56" s="1"/>
  <c r="M52" i="56"/>
  <c r="M53" i="56" s="1"/>
  <c r="N52" i="56"/>
  <c r="N53" i="56" s="1"/>
  <c r="O52" i="56"/>
  <c r="O53" i="56" s="1"/>
  <c r="P52" i="56"/>
  <c r="P53" i="56" s="1"/>
  <c r="Q52" i="56"/>
  <c r="Q53" i="56" s="1"/>
  <c r="R52" i="56"/>
  <c r="R53" i="56" s="1"/>
  <c r="S52" i="56"/>
  <c r="S53" i="56" s="1"/>
  <c r="T52" i="56"/>
  <c r="T53" i="56" s="1"/>
  <c r="U52" i="56"/>
  <c r="U53" i="56" s="1"/>
  <c r="V52" i="56"/>
  <c r="V53" i="56" s="1"/>
  <c r="W52" i="56"/>
  <c r="W53" i="56" s="1"/>
  <c r="X52" i="56"/>
  <c r="X53" i="56" s="1"/>
  <c r="Y52" i="56"/>
  <c r="Y53" i="56" s="1"/>
  <c r="Z52" i="56"/>
  <c r="Z53" i="56" s="1"/>
  <c r="AA52" i="56"/>
  <c r="AA53" i="56" s="1"/>
  <c r="AB52" i="56"/>
  <c r="AB53" i="56" s="1"/>
  <c r="AC52" i="56"/>
  <c r="AC53" i="56" s="1"/>
  <c r="AD52" i="56"/>
  <c r="AD53" i="56" s="1"/>
  <c r="AE52" i="56"/>
  <c r="AE53" i="56" s="1"/>
  <c r="AF52" i="56"/>
  <c r="AF53" i="56" s="1"/>
  <c r="AG52" i="56"/>
  <c r="AG53" i="56" s="1"/>
  <c r="AH52" i="56"/>
  <c r="AH53" i="56" s="1"/>
  <c r="AI52" i="56"/>
  <c r="AI53" i="56" s="1"/>
  <c r="AJ52" i="56"/>
  <c r="AJ53" i="56" s="1"/>
  <c r="AK52" i="56"/>
  <c r="AK53" i="56" s="1"/>
  <c r="AL52" i="56"/>
  <c r="AL53" i="56" s="1"/>
  <c r="AM52" i="56"/>
  <c r="AM53" i="56" s="1"/>
  <c r="AN52" i="56"/>
  <c r="AN53" i="56" s="1"/>
  <c r="F58" i="56"/>
  <c r="G58" i="56"/>
  <c r="H58" i="56"/>
  <c r="I58" i="56"/>
  <c r="J58" i="56"/>
  <c r="K58" i="56"/>
  <c r="L58" i="56"/>
  <c r="M58" i="56"/>
  <c r="N58" i="56"/>
  <c r="O58" i="56"/>
  <c r="P58" i="56"/>
  <c r="Q58" i="56"/>
  <c r="R58" i="56"/>
  <c r="S58" i="56"/>
  <c r="T58" i="56"/>
  <c r="U58" i="56"/>
  <c r="V58" i="56"/>
  <c r="W58" i="56"/>
  <c r="X58" i="56"/>
  <c r="Y58" i="56"/>
  <c r="Z58" i="56"/>
  <c r="AA58" i="56"/>
  <c r="AB58" i="56"/>
  <c r="AC58" i="56"/>
  <c r="AD58" i="56"/>
  <c r="AE58" i="56"/>
  <c r="AF58" i="56"/>
  <c r="AG58" i="56"/>
  <c r="AH58" i="56"/>
  <c r="AI58" i="56"/>
  <c r="AJ58" i="56"/>
  <c r="AK58" i="56"/>
  <c r="AL58" i="56"/>
  <c r="AM58" i="56"/>
  <c r="AN58" i="56"/>
  <c r="E50" i="56"/>
  <c r="J52" i="41"/>
  <c r="J53" i="41" s="1"/>
  <c r="L52" i="41"/>
  <c r="L53" i="41" s="1"/>
  <c r="P52" i="41"/>
  <c r="P53" i="41" s="1"/>
  <c r="R52" i="41"/>
  <c r="R53" i="41" s="1"/>
  <c r="Z52" i="41"/>
  <c r="Z53" i="41" s="1"/>
  <c r="AG52" i="41"/>
  <c r="AG53" i="41" s="1"/>
  <c r="AK52" i="41"/>
  <c r="AK53" i="41" s="1"/>
  <c r="O58" i="41"/>
  <c r="S58" i="41"/>
  <c r="Y58" i="41"/>
  <c r="AD58" i="41"/>
  <c r="AH58" i="41"/>
  <c r="AJ58" i="41"/>
  <c r="H52" i="41"/>
  <c r="H53" i="41" s="1"/>
  <c r="K52" i="41"/>
  <c r="K53" i="41" s="1"/>
  <c r="M52" i="41"/>
  <c r="M53" i="41" s="1"/>
  <c r="Q52" i="41"/>
  <c r="Q53" i="41" s="1"/>
  <c r="T52" i="41"/>
  <c r="T53" i="41" s="1"/>
  <c r="X52" i="41"/>
  <c r="X53" i="41" s="1"/>
  <c r="AF52" i="41"/>
  <c r="AF53" i="41" s="1"/>
  <c r="AH52" i="41"/>
  <c r="AH53" i="41" s="1"/>
  <c r="AL52" i="41"/>
  <c r="AL53" i="41" s="1"/>
  <c r="F58" i="41"/>
  <c r="K58" i="41"/>
  <c r="V58" i="41"/>
  <c r="Z58" i="41"/>
  <c r="AE58" i="41"/>
  <c r="AI58" i="41"/>
  <c r="AN58" i="41"/>
  <c r="I52" i="41"/>
  <c r="I53" i="41" s="1"/>
  <c r="N52" i="41"/>
  <c r="N53" i="41" s="1"/>
  <c r="U52" i="41"/>
  <c r="U53" i="41" s="1"/>
  <c r="Y52" i="41"/>
  <c r="Y53" i="41" s="1"/>
  <c r="AB52" i="41"/>
  <c r="AB53" i="41" s="1"/>
  <c r="AE52" i="41"/>
  <c r="AE53" i="41" s="1"/>
  <c r="AI52" i="41"/>
  <c r="AI53" i="41" s="1"/>
  <c r="H58" i="41"/>
  <c r="M58" i="41"/>
  <c r="Q58" i="41"/>
  <c r="T58" i="41"/>
  <c r="W58" i="41"/>
  <c r="AB58" i="41"/>
  <c r="AL58" i="41"/>
  <c r="G52" i="41"/>
  <c r="G53" i="41" s="1"/>
  <c r="O52" i="41"/>
  <c r="O53" i="41" s="1"/>
  <c r="V52" i="41"/>
  <c r="V53" i="41" s="1"/>
  <c r="AC52" i="41"/>
  <c r="AC53" i="41" s="1"/>
  <c r="AJ52" i="41"/>
  <c r="AJ53" i="41" s="1"/>
  <c r="AN52" i="41"/>
  <c r="AN53" i="41" s="1"/>
  <c r="I58" i="41"/>
  <c r="L58" i="41"/>
  <c r="X58" i="41"/>
  <c r="AC58" i="41"/>
  <c r="AF58" i="41"/>
  <c r="AM58" i="41"/>
  <c r="W52" i="41"/>
  <c r="W53" i="41" s="1"/>
  <c r="F52" i="41"/>
  <c r="F53" i="41" s="1"/>
  <c r="S52" i="41"/>
  <c r="S53" i="41" s="1"/>
  <c r="AA52" i="41"/>
  <c r="AA53" i="41" s="1"/>
  <c r="AD52" i="41"/>
  <c r="AD53" i="41" s="1"/>
  <c r="AM52" i="41"/>
  <c r="AM53" i="41" s="1"/>
  <c r="G58" i="41"/>
  <c r="J58" i="41"/>
  <c r="N58" i="41"/>
  <c r="P58" i="41"/>
  <c r="R58" i="41"/>
  <c r="U58" i="41"/>
  <c r="AA58" i="41"/>
  <c r="AG58" i="41"/>
  <c r="AK58" i="41"/>
  <c r="E50" i="41"/>
  <c r="G52" i="49"/>
  <c r="G53" i="49" s="1"/>
  <c r="J52" i="49"/>
  <c r="J53" i="49" s="1"/>
  <c r="L52" i="49"/>
  <c r="L53" i="49" s="1"/>
  <c r="N52" i="49"/>
  <c r="N53" i="49" s="1"/>
  <c r="P52" i="49"/>
  <c r="P53" i="49" s="1"/>
  <c r="S52" i="49"/>
  <c r="S53" i="49" s="1"/>
  <c r="U52" i="49"/>
  <c r="U53" i="49" s="1"/>
  <c r="W52" i="49"/>
  <c r="W53" i="49" s="1"/>
  <c r="Y52" i="49"/>
  <c r="Y53" i="49" s="1"/>
  <c r="AA52" i="49"/>
  <c r="AA53" i="49" s="1"/>
  <c r="AC52" i="49"/>
  <c r="AC53" i="49" s="1"/>
  <c r="AE52" i="49"/>
  <c r="AE53" i="49" s="1"/>
  <c r="AG52" i="49"/>
  <c r="AG53" i="49" s="1"/>
  <c r="AI52" i="49"/>
  <c r="AI53" i="49" s="1"/>
  <c r="AK52" i="49"/>
  <c r="AK53" i="49" s="1"/>
  <c r="AL52" i="49"/>
  <c r="AL53" i="49" s="1"/>
  <c r="AN52" i="49"/>
  <c r="AN53" i="49" s="1"/>
  <c r="F52" i="49"/>
  <c r="F53" i="49" s="1"/>
  <c r="I52" i="49"/>
  <c r="I53" i="49" s="1"/>
  <c r="O52" i="49"/>
  <c r="O53" i="49" s="1"/>
  <c r="F58" i="49"/>
  <c r="G58" i="49"/>
  <c r="H58" i="49"/>
  <c r="I58" i="49"/>
  <c r="J58" i="49"/>
  <c r="K58" i="49"/>
  <c r="L58" i="49"/>
  <c r="M58" i="49"/>
  <c r="N58" i="49"/>
  <c r="O58" i="49"/>
  <c r="P58" i="49"/>
  <c r="Q58" i="49"/>
  <c r="R58" i="49"/>
  <c r="S58" i="49"/>
  <c r="T58" i="49"/>
  <c r="U58" i="49"/>
  <c r="V58" i="49"/>
  <c r="W58" i="49"/>
  <c r="X58" i="49"/>
  <c r="Y58" i="49"/>
  <c r="Z58" i="49"/>
  <c r="AA58" i="49"/>
  <c r="AB58" i="49"/>
  <c r="AC58" i="49"/>
  <c r="AD58" i="49"/>
  <c r="AE58" i="49"/>
  <c r="AF58" i="49"/>
  <c r="AG58" i="49"/>
  <c r="AH58" i="49"/>
  <c r="AI58" i="49"/>
  <c r="AJ58" i="49"/>
  <c r="AK58" i="49"/>
  <c r="AL58" i="49"/>
  <c r="AM58" i="49"/>
  <c r="AN58" i="49"/>
  <c r="H52" i="49"/>
  <c r="H53" i="49" s="1"/>
  <c r="K52" i="49"/>
  <c r="K53" i="49" s="1"/>
  <c r="M52" i="49"/>
  <c r="M53" i="49" s="1"/>
  <c r="Q52" i="49"/>
  <c r="Q53" i="49" s="1"/>
  <c r="R52" i="49"/>
  <c r="R53" i="49" s="1"/>
  <c r="T52" i="49"/>
  <c r="T53" i="49" s="1"/>
  <c r="V52" i="49"/>
  <c r="V53" i="49" s="1"/>
  <c r="X52" i="49"/>
  <c r="X53" i="49" s="1"/>
  <c r="Z52" i="49"/>
  <c r="Z53" i="49" s="1"/>
  <c r="AB52" i="49"/>
  <c r="AB53" i="49" s="1"/>
  <c r="AD52" i="49"/>
  <c r="AD53" i="49" s="1"/>
  <c r="AF52" i="49"/>
  <c r="AF53" i="49" s="1"/>
  <c r="AH52" i="49"/>
  <c r="AH53" i="49" s="1"/>
  <c r="AJ52" i="49"/>
  <c r="AJ53" i="49" s="1"/>
  <c r="AM52" i="49"/>
  <c r="AM53" i="49" s="1"/>
  <c r="E50" i="49"/>
  <c r="E50" i="71"/>
  <c r="F52" i="71"/>
  <c r="F53" i="71" s="1"/>
  <c r="H58" i="71"/>
  <c r="L58" i="71"/>
  <c r="P58" i="71"/>
  <c r="T58" i="71"/>
  <c r="V58" i="71"/>
  <c r="X58" i="71"/>
  <c r="AD58" i="71"/>
  <c r="AI58" i="71"/>
  <c r="AK58" i="71"/>
  <c r="G58" i="71"/>
  <c r="K58" i="71"/>
  <c r="M58" i="71"/>
  <c r="Q58" i="71"/>
  <c r="S58" i="71"/>
  <c r="W58" i="71"/>
  <c r="Z58" i="71"/>
  <c r="AA58" i="71"/>
  <c r="AE58" i="71"/>
  <c r="AH58" i="71"/>
  <c r="AL58" i="71"/>
  <c r="H52" i="71"/>
  <c r="H53" i="71" s="1"/>
  <c r="J52" i="71"/>
  <c r="J53" i="71" s="1"/>
  <c r="N52" i="71"/>
  <c r="N53" i="71" s="1"/>
  <c r="P52" i="71"/>
  <c r="P53" i="71" s="1"/>
  <c r="R52" i="71"/>
  <c r="R53" i="71" s="1"/>
  <c r="V52" i="71"/>
  <c r="V53" i="71" s="1"/>
  <c r="Z52" i="71"/>
  <c r="Z53" i="71" s="1"/>
  <c r="AD52" i="71"/>
  <c r="AD53" i="71" s="1"/>
  <c r="AH52" i="71"/>
  <c r="AH53" i="71" s="1"/>
  <c r="AM52" i="71"/>
  <c r="AM53" i="71" s="1"/>
  <c r="I52" i="71"/>
  <c r="I53" i="71" s="1"/>
  <c r="M52" i="71"/>
  <c r="M53" i="71" s="1"/>
  <c r="Q52" i="71"/>
  <c r="Q53" i="71" s="1"/>
  <c r="U52" i="71"/>
  <c r="U53" i="71" s="1"/>
  <c r="Y52" i="71"/>
  <c r="Y53" i="71" s="1"/>
  <c r="AE52" i="71"/>
  <c r="AE53" i="71" s="1"/>
  <c r="AI52" i="71"/>
  <c r="AI53" i="71" s="1"/>
  <c r="AN52" i="71"/>
  <c r="AN53" i="71" s="1"/>
  <c r="F58" i="71"/>
  <c r="J58" i="71"/>
  <c r="N58" i="71"/>
  <c r="R58" i="71"/>
  <c r="AB58" i="71"/>
  <c r="AG58" i="71"/>
  <c r="AM58" i="71"/>
  <c r="I58" i="71"/>
  <c r="O58" i="71"/>
  <c r="U58" i="71"/>
  <c r="Y58" i="71"/>
  <c r="AC58" i="71"/>
  <c r="AF58" i="71"/>
  <c r="AJ58" i="71"/>
  <c r="AN58" i="71"/>
  <c r="L52" i="71"/>
  <c r="L53" i="71" s="1"/>
  <c r="T52" i="71"/>
  <c r="T53" i="71" s="1"/>
  <c r="X52" i="71"/>
  <c r="X53" i="71" s="1"/>
  <c r="AB52" i="71"/>
  <c r="AB53" i="71" s="1"/>
  <c r="AF52" i="71"/>
  <c r="AF53" i="71" s="1"/>
  <c r="AK52" i="71"/>
  <c r="AK53" i="71" s="1"/>
  <c r="G52" i="71"/>
  <c r="G53" i="71" s="1"/>
  <c r="K52" i="71"/>
  <c r="K53" i="71" s="1"/>
  <c r="O52" i="71"/>
  <c r="O53" i="71" s="1"/>
  <c r="S52" i="71"/>
  <c r="S53" i="71" s="1"/>
  <c r="W52" i="71"/>
  <c r="W53" i="71" s="1"/>
  <c r="AC52" i="71"/>
  <c r="AC53" i="71" s="1"/>
  <c r="AG52" i="71"/>
  <c r="AG53" i="71" s="1"/>
  <c r="AJ52" i="71"/>
  <c r="AJ53" i="71" s="1"/>
  <c r="AA52" i="71"/>
  <c r="AA53" i="71" s="1"/>
  <c r="AL52" i="71"/>
  <c r="AL53" i="71" s="1"/>
  <c r="H52" i="74"/>
  <c r="H53" i="74" s="1"/>
  <c r="K52" i="74"/>
  <c r="K53" i="74" s="1"/>
  <c r="N52" i="74"/>
  <c r="N53" i="74" s="1"/>
  <c r="R52" i="74"/>
  <c r="R53" i="74" s="1"/>
  <c r="F58" i="74"/>
  <c r="H58" i="74"/>
  <c r="I58" i="74"/>
  <c r="J58" i="74"/>
  <c r="K58" i="74"/>
  <c r="L58" i="74"/>
  <c r="M58" i="74"/>
  <c r="N58" i="74"/>
  <c r="O58" i="74"/>
  <c r="P58" i="74"/>
  <c r="Q58" i="74"/>
  <c r="R58" i="74"/>
  <c r="S58" i="74"/>
  <c r="T58" i="74"/>
  <c r="U58" i="74"/>
  <c r="V58" i="74"/>
  <c r="W58" i="74"/>
  <c r="X58" i="74"/>
  <c r="Y58" i="74"/>
  <c r="Z58" i="74"/>
  <c r="AB58" i="74"/>
  <c r="AD58" i="74"/>
  <c r="AF58" i="74"/>
  <c r="AH58" i="74"/>
  <c r="AK58" i="74"/>
  <c r="AL58" i="74"/>
  <c r="AN58" i="74"/>
  <c r="G58" i="74"/>
  <c r="AA58" i="74"/>
  <c r="AC58" i="74"/>
  <c r="AE58" i="74"/>
  <c r="AG58" i="74"/>
  <c r="AI58" i="74"/>
  <c r="AJ58" i="74"/>
  <c r="AM58" i="74"/>
  <c r="G52" i="74"/>
  <c r="G53" i="74" s="1"/>
  <c r="J52" i="74"/>
  <c r="J53" i="74" s="1"/>
  <c r="M52" i="74"/>
  <c r="M53" i="74" s="1"/>
  <c r="O52" i="74"/>
  <c r="O53" i="74" s="1"/>
  <c r="Q52" i="74"/>
  <c r="Q53" i="74" s="1"/>
  <c r="T52" i="74"/>
  <c r="T53" i="74" s="1"/>
  <c r="V52" i="74"/>
  <c r="V53" i="74" s="1"/>
  <c r="X52" i="74"/>
  <c r="X53" i="74" s="1"/>
  <c r="Z52" i="74"/>
  <c r="Z53" i="74" s="1"/>
  <c r="AB52" i="74"/>
  <c r="AB53" i="74" s="1"/>
  <c r="AC52" i="74"/>
  <c r="AC53" i="74" s="1"/>
  <c r="AE52" i="74"/>
  <c r="AE53" i="74" s="1"/>
  <c r="AG52" i="74"/>
  <c r="AG53" i="74" s="1"/>
  <c r="AI52" i="74"/>
  <c r="AI53" i="74" s="1"/>
  <c r="AK52" i="74"/>
  <c r="AK53" i="74" s="1"/>
  <c r="AM52" i="74"/>
  <c r="AM53" i="74" s="1"/>
  <c r="F52" i="74"/>
  <c r="F53" i="74" s="1"/>
  <c r="I52" i="74"/>
  <c r="I53" i="74" s="1"/>
  <c r="L52" i="74"/>
  <c r="L53" i="74" s="1"/>
  <c r="P52" i="74"/>
  <c r="P53" i="74" s="1"/>
  <c r="S52" i="74"/>
  <c r="S53" i="74" s="1"/>
  <c r="U52" i="74"/>
  <c r="U53" i="74" s="1"/>
  <c r="W52" i="74"/>
  <c r="W53" i="74" s="1"/>
  <c r="Y52" i="74"/>
  <c r="Y53" i="74" s="1"/>
  <c r="AA52" i="74"/>
  <c r="AA53" i="74" s="1"/>
  <c r="AD52" i="74"/>
  <c r="AD53" i="74" s="1"/>
  <c r="AF52" i="74"/>
  <c r="AF53" i="74" s="1"/>
  <c r="AH52" i="74"/>
  <c r="AH53" i="74" s="1"/>
  <c r="AJ52" i="74"/>
  <c r="AJ53" i="74" s="1"/>
  <c r="AL52" i="74"/>
  <c r="AL53" i="74" s="1"/>
  <c r="AN52" i="74"/>
  <c r="AN53" i="74" s="1"/>
  <c r="E50" i="74"/>
  <c r="AN58" i="57"/>
  <c r="AL58" i="57"/>
  <c r="AK58" i="57"/>
  <c r="AJ58" i="57"/>
  <c r="AH58" i="57"/>
  <c r="AG58" i="57"/>
  <c r="AE58" i="57"/>
  <c r="AB58" i="57"/>
  <c r="Z58" i="57"/>
  <c r="X58" i="57"/>
  <c r="V58" i="57"/>
  <c r="T58" i="57"/>
  <c r="R58" i="57"/>
  <c r="P58" i="57"/>
  <c r="N58" i="57"/>
  <c r="L58" i="57"/>
  <c r="J58" i="57"/>
  <c r="H58" i="57"/>
  <c r="AM58" i="57"/>
  <c r="AI58" i="57"/>
  <c r="AF58" i="57"/>
  <c r="AD58" i="57"/>
  <c r="AC58" i="57"/>
  <c r="AA58" i="57"/>
  <c r="Y58" i="57"/>
  <c r="W58" i="57"/>
  <c r="U58" i="57"/>
  <c r="S58" i="57"/>
  <c r="Q58" i="57"/>
  <c r="O58" i="57"/>
  <c r="M58" i="57"/>
  <c r="K58" i="57"/>
  <c r="I58" i="57"/>
  <c r="G58" i="57"/>
  <c r="F58" i="57"/>
  <c r="AN52" i="57"/>
  <c r="AN53" i="57" s="1"/>
  <c r="AM52" i="57"/>
  <c r="AM53" i="57" s="1"/>
  <c r="AL52" i="57"/>
  <c r="AL53" i="57" s="1"/>
  <c r="AK52" i="57"/>
  <c r="AK53" i="57" s="1"/>
  <c r="AJ52" i="57"/>
  <c r="AJ53" i="57" s="1"/>
  <c r="AI52" i="57"/>
  <c r="AI53" i="57" s="1"/>
  <c r="AH52" i="57"/>
  <c r="AH53" i="57" s="1"/>
  <c r="AG52" i="57"/>
  <c r="AG53" i="57" s="1"/>
  <c r="AF52" i="57"/>
  <c r="AF53" i="57" s="1"/>
  <c r="AE52" i="57"/>
  <c r="AE53" i="57" s="1"/>
  <c r="AD52" i="57"/>
  <c r="AD53" i="57" s="1"/>
  <c r="AC52" i="57"/>
  <c r="AC53" i="57" s="1"/>
  <c r="AB52" i="57"/>
  <c r="AB53" i="57" s="1"/>
  <c r="AA52" i="57"/>
  <c r="AA53" i="57" s="1"/>
  <c r="Z52" i="57"/>
  <c r="Z53" i="57" s="1"/>
  <c r="Y52" i="57"/>
  <c r="Y53" i="57" s="1"/>
  <c r="X52" i="57"/>
  <c r="X53" i="57" s="1"/>
  <c r="W52" i="57"/>
  <c r="W53" i="57" s="1"/>
  <c r="V52" i="57"/>
  <c r="V53" i="57" s="1"/>
  <c r="U52" i="57"/>
  <c r="U53" i="57" s="1"/>
  <c r="T52" i="57"/>
  <c r="T53" i="57" s="1"/>
  <c r="S52" i="57"/>
  <c r="S53" i="57" s="1"/>
  <c r="R52" i="57"/>
  <c r="R53" i="57" s="1"/>
  <c r="Q52" i="57"/>
  <c r="Q53" i="57" s="1"/>
  <c r="P52" i="57"/>
  <c r="P53" i="57" s="1"/>
  <c r="O52" i="57"/>
  <c r="O53" i="57" s="1"/>
  <c r="N52" i="57"/>
  <c r="N53" i="57" s="1"/>
  <c r="M52" i="57"/>
  <c r="M53" i="57" s="1"/>
  <c r="L52" i="57"/>
  <c r="L53" i="57" s="1"/>
  <c r="K52" i="57"/>
  <c r="K53" i="57" s="1"/>
  <c r="J52" i="57"/>
  <c r="J53" i="57" s="1"/>
  <c r="I52" i="57"/>
  <c r="I53" i="57" s="1"/>
  <c r="H52" i="57"/>
  <c r="H53" i="57" s="1"/>
  <c r="G52" i="57"/>
  <c r="G53" i="57" s="1"/>
  <c r="F52" i="57"/>
  <c r="F53" i="57" s="1"/>
  <c r="E50" i="57"/>
  <c r="F52" i="59"/>
  <c r="F53" i="59" s="1"/>
  <c r="G52" i="59"/>
  <c r="G53" i="59" s="1"/>
  <c r="H52" i="59"/>
  <c r="H53" i="59" s="1"/>
  <c r="I52" i="59"/>
  <c r="I53" i="59" s="1"/>
  <c r="J52" i="59"/>
  <c r="J53" i="59" s="1"/>
  <c r="K52" i="59"/>
  <c r="K53" i="59" s="1"/>
  <c r="L52" i="59"/>
  <c r="L53" i="59" s="1"/>
  <c r="M52" i="59"/>
  <c r="M53" i="59" s="1"/>
  <c r="N52" i="59"/>
  <c r="N53" i="59" s="1"/>
  <c r="O52" i="59"/>
  <c r="O53" i="59" s="1"/>
  <c r="P52" i="59"/>
  <c r="P53" i="59" s="1"/>
  <c r="Q52" i="59"/>
  <c r="Q53" i="59" s="1"/>
  <c r="R52" i="59"/>
  <c r="R53" i="59" s="1"/>
  <c r="S52" i="59"/>
  <c r="S53" i="59" s="1"/>
  <c r="T52" i="59"/>
  <c r="T53" i="59" s="1"/>
  <c r="U52" i="59"/>
  <c r="U53" i="59" s="1"/>
  <c r="V52" i="59"/>
  <c r="V53" i="59" s="1"/>
  <c r="W52" i="59"/>
  <c r="W53" i="59" s="1"/>
  <c r="X52" i="59"/>
  <c r="X53" i="59" s="1"/>
  <c r="Y52" i="59"/>
  <c r="Y53" i="59" s="1"/>
  <c r="Z52" i="59"/>
  <c r="Z53" i="59" s="1"/>
  <c r="AA52" i="59"/>
  <c r="AA53" i="59" s="1"/>
  <c r="AB52" i="59"/>
  <c r="AB53" i="59" s="1"/>
  <c r="AC52" i="59"/>
  <c r="AC53" i="59" s="1"/>
  <c r="AD52" i="59"/>
  <c r="AD53" i="59" s="1"/>
  <c r="AE52" i="59"/>
  <c r="AE53" i="59" s="1"/>
  <c r="AF52" i="59"/>
  <c r="AF53" i="59" s="1"/>
  <c r="AG52" i="59"/>
  <c r="AG53" i="59" s="1"/>
  <c r="AH52" i="59"/>
  <c r="AH53" i="59" s="1"/>
  <c r="AI52" i="59"/>
  <c r="AI53" i="59" s="1"/>
  <c r="AJ52" i="59"/>
  <c r="AJ53" i="59" s="1"/>
  <c r="AK52" i="59"/>
  <c r="AK53" i="59" s="1"/>
  <c r="AL52" i="59"/>
  <c r="AL53" i="59" s="1"/>
  <c r="AM52" i="59"/>
  <c r="AM53" i="59" s="1"/>
  <c r="AN52" i="59"/>
  <c r="AN53" i="59" s="1"/>
  <c r="F58" i="59"/>
  <c r="G58" i="59"/>
  <c r="H58" i="59"/>
  <c r="I58" i="59"/>
  <c r="J58" i="59"/>
  <c r="K58" i="59"/>
  <c r="L58" i="59"/>
  <c r="M58" i="59"/>
  <c r="N58" i="59"/>
  <c r="O58" i="59"/>
  <c r="P58" i="59"/>
  <c r="Q58" i="59"/>
  <c r="R58" i="59"/>
  <c r="S58" i="59"/>
  <c r="T58" i="59"/>
  <c r="U58" i="59"/>
  <c r="V58" i="59"/>
  <c r="W58" i="59"/>
  <c r="X58" i="59"/>
  <c r="Y58" i="59"/>
  <c r="Z58" i="59"/>
  <c r="AA58" i="59"/>
  <c r="AB58" i="59"/>
  <c r="AC58" i="59"/>
  <c r="AD58" i="59"/>
  <c r="AE58" i="59"/>
  <c r="AF58" i="59"/>
  <c r="AG58" i="59"/>
  <c r="AH58" i="59"/>
  <c r="AI58" i="59"/>
  <c r="AJ58" i="59"/>
  <c r="AK58" i="59"/>
  <c r="AL58" i="59"/>
  <c r="AM58" i="59"/>
  <c r="AN58" i="59"/>
  <c r="E50" i="59"/>
  <c r="R52" i="63"/>
  <c r="R53" i="63" s="1"/>
  <c r="AN58" i="63"/>
  <c r="AM58" i="63"/>
  <c r="AL58" i="63"/>
  <c r="AK58" i="63"/>
  <c r="AJ58" i="63"/>
  <c r="AI58" i="63"/>
  <c r="AH58" i="63"/>
  <c r="AG58" i="63"/>
  <c r="AF58" i="63"/>
  <c r="AE58" i="63"/>
  <c r="AD58" i="63"/>
  <c r="AC58" i="63"/>
  <c r="AB58" i="63"/>
  <c r="AA58" i="63"/>
  <c r="Z58" i="63"/>
  <c r="Y58" i="63"/>
  <c r="X58" i="63"/>
  <c r="W58" i="63"/>
  <c r="V58" i="63"/>
  <c r="U58" i="63"/>
  <c r="T58" i="63"/>
  <c r="S58" i="63"/>
  <c r="R58" i="63"/>
  <c r="Q58" i="63"/>
  <c r="P58" i="63"/>
  <c r="O58" i="63"/>
  <c r="N58" i="63"/>
  <c r="M58" i="63"/>
  <c r="L58" i="63"/>
  <c r="K58" i="63"/>
  <c r="J58" i="63"/>
  <c r="I58" i="63"/>
  <c r="H58" i="63"/>
  <c r="G58" i="63"/>
  <c r="F58" i="63"/>
  <c r="P52" i="63"/>
  <c r="P53" i="63" s="1"/>
  <c r="J52" i="63"/>
  <c r="J53" i="63" s="1"/>
  <c r="F52" i="63"/>
  <c r="F53" i="63" s="1"/>
  <c r="AL52" i="63"/>
  <c r="AL53" i="63" s="1"/>
  <c r="AH52" i="63"/>
  <c r="AH53" i="63" s="1"/>
  <c r="AF52" i="63"/>
  <c r="AF53" i="63" s="1"/>
  <c r="AD52" i="63"/>
  <c r="AD53" i="63" s="1"/>
  <c r="AA52" i="63"/>
  <c r="AA53" i="63" s="1"/>
  <c r="Y52" i="63"/>
  <c r="Y53" i="63" s="1"/>
  <c r="W52" i="63"/>
  <c r="W53" i="63" s="1"/>
  <c r="U52" i="63"/>
  <c r="U53" i="63" s="1"/>
  <c r="S52" i="63"/>
  <c r="S53" i="63" s="1"/>
  <c r="O52" i="63"/>
  <c r="O53" i="63" s="1"/>
  <c r="M52" i="63"/>
  <c r="M53" i="63" s="1"/>
  <c r="K52" i="63"/>
  <c r="K53" i="63" s="1"/>
  <c r="I52" i="63"/>
  <c r="I53" i="63" s="1"/>
  <c r="G52" i="63"/>
  <c r="G53" i="63" s="1"/>
  <c r="AN52" i="63"/>
  <c r="AN53" i="63" s="1"/>
  <c r="AM52" i="63"/>
  <c r="AM53" i="63" s="1"/>
  <c r="AK52" i="63"/>
  <c r="AK53" i="63" s="1"/>
  <c r="AJ52" i="63"/>
  <c r="AJ53" i="63" s="1"/>
  <c r="AI52" i="63"/>
  <c r="AI53" i="63" s="1"/>
  <c r="AG52" i="63"/>
  <c r="AG53" i="63" s="1"/>
  <c r="AE52" i="63"/>
  <c r="AE53" i="63" s="1"/>
  <c r="AC52" i="63"/>
  <c r="AC53" i="63" s="1"/>
  <c r="AB52" i="63"/>
  <c r="AB53" i="63" s="1"/>
  <c r="Z52" i="63"/>
  <c r="Z53" i="63" s="1"/>
  <c r="X52" i="63"/>
  <c r="X53" i="63" s="1"/>
  <c r="V52" i="63"/>
  <c r="V53" i="63" s="1"/>
  <c r="T52" i="63"/>
  <c r="T53" i="63" s="1"/>
  <c r="Q52" i="63"/>
  <c r="Q53" i="63" s="1"/>
  <c r="N52" i="63"/>
  <c r="N53" i="63" s="1"/>
  <c r="L52" i="63"/>
  <c r="L53" i="63" s="1"/>
  <c r="H52" i="63"/>
  <c r="H53" i="63" s="1"/>
  <c r="E50" i="63"/>
  <c r="AN52" i="72"/>
  <c r="AN53" i="72" s="1"/>
  <c r="AL52" i="72"/>
  <c r="AL53" i="72" s="1"/>
  <c r="AJ52" i="72"/>
  <c r="AJ53" i="72" s="1"/>
  <c r="AH52" i="72"/>
  <c r="AH53" i="72" s="1"/>
  <c r="AG52" i="72"/>
  <c r="AG53" i="72" s="1"/>
  <c r="AD52" i="72"/>
  <c r="AD53" i="72" s="1"/>
  <c r="AB52" i="72"/>
  <c r="AB53" i="72" s="1"/>
  <c r="Z52" i="72"/>
  <c r="Z53" i="72" s="1"/>
  <c r="X52" i="72"/>
  <c r="X53" i="72" s="1"/>
  <c r="V52" i="72"/>
  <c r="V53" i="72" s="1"/>
  <c r="T52" i="72"/>
  <c r="T53" i="72" s="1"/>
  <c r="R52" i="72"/>
  <c r="R53" i="72" s="1"/>
  <c r="Q52" i="72"/>
  <c r="Q53" i="72" s="1"/>
  <c r="O52" i="72"/>
  <c r="O53" i="72" s="1"/>
  <c r="L52" i="72"/>
  <c r="L53" i="72" s="1"/>
  <c r="H52" i="72"/>
  <c r="H53" i="72" s="1"/>
  <c r="F52" i="72"/>
  <c r="F53" i="72" s="1"/>
  <c r="AN58" i="72"/>
  <c r="AM58" i="72"/>
  <c r="AL58" i="72"/>
  <c r="AK58" i="72"/>
  <c r="AJ58" i="72"/>
  <c r="AI58" i="72"/>
  <c r="AH58" i="72"/>
  <c r="AG58" i="72"/>
  <c r="AF58" i="72"/>
  <c r="AE58" i="72"/>
  <c r="AD58" i="72"/>
  <c r="AC58" i="72"/>
  <c r="AB58" i="72"/>
  <c r="AA58" i="72"/>
  <c r="Z58" i="72"/>
  <c r="X58" i="72"/>
  <c r="W58" i="72"/>
  <c r="V58" i="72"/>
  <c r="U58" i="72"/>
  <c r="S58" i="72"/>
  <c r="Q58" i="72"/>
  <c r="O58" i="72"/>
  <c r="M58" i="72"/>
  <c r="K58" i="72"/>
  <c r="I58" i="72"/>
  <c r="G58" i="72"/>
  <c r="Y58" i="72"/>
  <c r="T58" i="72"/>
  <c r="R58" i="72"/>
  <c r="P58" i="72"/>
  <c r="N58" i="72"/>
  <c r="L58" i="72"/>
  <c r="J58" i="72"/>
  <c r="H58" i="72"/>
  <c r="F58" i="72"/>
  <c r="AM52" i="72"/>
  <c r="AM53" i="72" s="1"/>
  <c r="AK52" i="72"/>
  <c r="AK53" i="72" s="1"/>
  <c r="AI52" i="72"/>
  <c r="AI53" i="72" s="1"/>
  <c r="AF52" i="72"/>
  <c r="AF53" i="72" s="1"/>
  <c r="AE52" i="72"/>
  <c r="AE53" i="72" s="1"/>
  <c r="AC52" i="72"/>
  <c r="AC53" i="72" s="1"/>
  <c r="AA52" i="72"/>
  <c r="AA53" i="72" s="1"/>
  <c r="Y52" i="72"/>
  <c r="Y53" i="72" s="1"/>
  <c r="W52" i="72"/>
  <c r="W53" i="72" s="1"/>
  <c r="U52" i="72"/>
  <c r="U53" i="72" s="1"/>
  <c r="S52" i="72"/>
  <c r="S53" i="72" s="1"/>
  <c r="P52" i="72"/>
  <c r="P53" i="72" s="1"/>
  <c r="N52" i="72"/>
  <c r="N53" i="72" s="1"/>
  <c r="K52" i="72"/>
  <c r="K53" i="72" s="1"/>
  <c r="I52" i="72"/>
  <c r="I53" i="72" s="1"/>
  <c r="M52" i="72"/>
  <c r="M53" i="72" s="1"/>
  <c r="J52" i="72"/>
  <c r="J53" i="72" s="1"/>
  <c r="G52" i="72"/>
  <c r="G53" i="72" s="1"/>
  <c r="E50" i="72"/>
  <c r="G52" i="19"/>
  <c r="G53" i="19" s="1"/>
  <c r="I52" i="19"/>
  <c r="I53" i="19" s="1"/>
  <c r="J52" i="19"/>
  <c r="J53" i="19" s="1"/>
  <c r="K52" i="19"/>
  <c r="K53" i="19" s="1"/>
  <c r="M52" i="19"/>
  <c r="M53" i="19" s="1"/>
  <c r="O52" i="19"/>
  <c r="O53" i="19" s="1"/>
  <c r="P52" i="19"/>
  <c r="P53" i="19" s="1"/>
  <c r="R52" i="19"/>
  <c r="R53" i="19" s="1"/>
  <c r="S52" i="19"/>
  <c r="S53" i="19" s="1"/>
  <c r="T52" i="19"/>
  <c r="T53" i="19" s="1"/>
  <c r="U52" i="19"/>
  <c r="U53" i="19" s="1"/>
  <c r="V52" i="19"/>
  <c r="V53" i="19" s="1"/>
  <c r="W52" i="19"/>
  <c r="W53" i="19" s="1"/>
  <c r="X52" i="19"/>
  <c r="X53" i="19" s="1"/>
  <c r="Y52" i="19"/>
  <c r="Y53" i="19" s="1"/>
  <c r="Z52" i="19"/>
  <c r="Z53" i="19" s="1"/>
  <c r="AA52" i="19"/>
  <c r="AA53" i="19" s="1"/>
  <c r="AB52" i="19"/>
  <c r="AB53" i="19" s="1"/>
  <c r="AC52" i="19"/>
  <c r="AC53" i="19" s="1"/>
  <c r="AD52" i="19"/>
  <c r="AD53" i="19" s="1"/>
  <c r="AE52" i="19"/>
  <c r="AE53" i="19" s="1"/>
  <c r="AF52" i="19"/>
  <c r="AF53" i="19" s="1"/>
  <c r="AG52" i="19"/>
  <c r="AG53" i="19" s="1"/>
  <c r="AH52" i="19"/>
  <c r="AH53" i="19" s="1"/>
  <c r="AI52" i="19"/>
  <c r="AI53" i="19" s="1"/>
  <c r="AJ52" i="19"/>
  <c r="AJ53" i="19" s="1"/>
  <c r="AK52" i="19"/>
  <c r="AK53" i="19" s="1"/>
  <c r="AL52" i="19"/>
  <c r="AL53" i="19" s="1"/>
  <c r="AM52" i="19"/>
  <c r="AM53" i="19" s="1"/>
  <c r="AN52" i="19"/>
  <c r="AN53" i="19" s="1"/>
  <c r="F58" i="19"/>
  <c r="H58" i="19"/>
  <c r="J58" i="19"/>
  <c r="L58" i="19"/>
  <c r="N58" i="19"/>
  <c r="P58" i="19"/>
  <c r="R58" i="19"/>
  <c r="T58" i="19"/>
  <c r="V58" i="19"/>
  <c r="X58" i="19"/>
  <c r="Z58" i="19"/>
  <c r="AB58" i="19"/>
  <c r="AE58" i="19"/>
  <c r="AF58" i="19"/>
  <c r="AH58" i="19"/>
  <c r="AJ58" i="19"/>
  <c r="AL58" i="19"/>
  <c r="AN58" i="19"/>
  <c r="F52" i="19"/>
  <c r="F53" i="19" s="1"/>
  <c r="H52" i="19"/>
  <c r="H53" i="19" s="1"/>
  <c r="L52" i="19"/>
  <c r="L53" i="19" s="1"/>
  <c r="N52" i="19"/>
  <c r="N53" i="19" s="1"/>
  <c r="Q52" i="19"/>
  <c r="Q53" i="19" s="1"/>
  <c r="G58" i="19"/>
  <c r="I58" i="19"/>
  <c r="K58" i="19"/>
  <c r="M58" i="19"/>
  <c r="O58" i="19"/>
  <c r="Q58" i="19"/>
  <c r="S58" i="19"/>
  <c r="U58" i="19"/>
  <c r="W58" i="19"/>
  <c r="Y58" i="19"/>
  <c r="AA58" i="19"/>
  <c r="AC58" i="19"/>
  <c r="AD58" i="19"/>
  <c r="AG58" i="19"/>
  <c r="AI58" i="19"/>
  <c r="AK58" i="19"/>
  <c r="AM58" i="19"/>
  <c r="E50" i="19"/>
  <c r="K52" i="51"/>
  <c r="K53" i="51" s="1"/>
  <c r="F52" i="51"/>
  <c r="F53" i="51" s="1"/>
  <c r="AN58" i="51"/>
  <c r="AM58" i="51"/>
  <c r="AL58" i="51"/>
  <c r="AK58" i="51"/>
  <c r="AJ58" i="51"/>
  <c r="AI58" i="51"/>
  <c r="AH58" i="51"/>
  <c r="AG58" i="51"/>
  <c r="AF58" i="51"/>
  <c r="AE58" i="51"/>
  <c r="AD58" i="51"/>
  <c r="AC58" i="51"/>
  <c r="AB58" i="51"/>
  <c r="AA58" i="51"/>
  <c r="Z58" i="51"/>
  <c r="Y58" i="51"/>
  <c r="X58" i="51"/>
  <c r="W58" i="51"/>
  <c r="V58" i="51"/>
  <c r="U58" i="51"/>
  <c r="T58" i="51"/>
  <c r="S58" i="51"/>
  <c r="R58" i="51"/>
  <c r="Q58" i="51"/>
  <c r="P58" i="51"/>
  <c r="O58" i="51"/>
  <c r="N58" i="51"/>
  <c r="M58" i="51"/>
  <c r="K58" i="51"/>
  <c r="J58" i="51"/>
  <c r="I58" i="51"/>
  <c r="H58" i="51"/>
  <c r="G58" i="51"/>
  <c r="L58" i="51"/>
  <c r="F58" i="51"/>
  <c r="AN52" i="51"/>
  <c r="AN53" i="51" s="1"/>
  <c r="AM52" i="51"/>
  <c r="AM53" i="51" s="1"/>
  <c r="AL52" i="51"/>
  <c r="AL53" i="51" s="1"/>
  <c r="AK52" i="51"/>
  <c r="AK53" i="51" s="1"/>
  <c r="AJ52" i="51"/>
  <c r="AJ53" i="51" s="1"/>
  <c r="AI52" i="51"/>
  <c r="AI53" i="51" s="1"/>
  <c r="AH52" i="51"/>
  <c r="AH53" i="51" s="1"/>
  <c r="AG52" i="51"/>
  <c r="AG53" i="51" s="1"/>
  <c r="AF52" i="51"/>
  <c r="AF53" i="51" s="1"/>
  <c r="AE52" i="51"/>
  <c r="AE53" i="51" s="1"/>
  <c r="AD52" i="51"/>
  <c r="AD53" i="51" s="1"/>
  <c r="AC52" i="51"/>
  <c r="AC53" i="51" s="1"/>
  <c r="AB52" i="51"/>
  <c r="AB53" i="51" s="1"/>
  <c r="AA52" i="51"/>
  <c r="AA53" i="51" s="1"/>
  <c r="Z52" i="51"/>
  <c r="Z53" i="51" s="1"/>
  <c r="Y52" i="51"/>
  <c r="Y53" i="51" s="1"/>
  <c r="X52" i="51"/>
  <c r="X53" i="51" s="1"/>
  <c r="W52" i="51"/>
  <c r="W53" i="51" s="1"/>
  <c r="V52" i="51"/>
  <c r="V53" i="51" s="1"/>
  <c r="U52" i="51"/>
  <c r="U53" i="51" s="1"/>
  <c r="T52" i="51"/>
  <c r="T53" i="51" s="1"/>
  <c r="S52" i="51"/>
  <c r="S53" i="51" s="1"/>
  <c r="R52" i="51"/>
  <c r="R53" i="51" s="1"/>
  <c r="Q52" i="51"/>
  <c r="Q53" i="51" s="1"/>
  <c r="P52" i="51"/>
  <c r="P53" i="51" s="1"/>
  <c r="O52" i="51"/>
  <c r="O53" i="51" s="1"/>
  <c r="N52" i="51"/>
  <c r="N53" i="51" s="1"/>
  <c r="M52" i="51"/>
  <c r="M53" i="51" s="1"/>
  <c r="L52" i="51"/>
  <c r="L53" i="51" s="1"/>
  <c r="J52" i="51"/>
  <c r="J53" i="51" s="1"/>
  <c r="I52" i="51"/>
  <c r="I53" i="51" s="1"/>
  <c r="H52" i="51"/>
  <c r="H53" i="51" s="1"/>
  <c r="G52" i="51"/>
  <c r="G53" i="51" s="1"/>
  <c r="E50" i="51"/>
  <c r="L52" i="68"/>
  <c r="L53" i="68" s="1"/>
  <c r="R52" i="68"/>
  <c r="R53" i="68" s="1"/>
  <c r="K58" i="68"/>
  <c r="O58" i="68"/>
  <c r="Q58" i="68"/>
  <c r="U58" i="68"/>
  <c r="H52" i="68"/>
  <c r="H53" i="68" s="1"/>
  <c r="M52" i="68"/>
  <c r="M53" i="68" s="1"/>
  <c r="Q52" i="68"/>
  <c r="Q53" i="68" s="1"/>
  <c r="V52" i="68"/>
  <c r="V53" i="68" s="1"/>
  <c r="Z52" i="68"/>
  <c r="Z53" i="68" s="1"/>
  <c r="AC52" i="68"/>
  <c r="AC53" i="68" s="1"/>
  <c r="AH52" i="68"/>
  <c r="AH53" i="68" s="1"/>
  <c r="AL52" i="68"/>
  <c r="AL53" i="68" s="1"/>
  <c r="K52" i="68"/>
  <c r="K53" i="68" s="1"/>
  <c r="P52" i="68"/>
  <c r="P53" i="68" s="1"/>
  <c r="U52" i="68"/>
  <c r="U53" i="68" s="1"/>
  <c r="Y52" i="68"/>
  <c r="Y53" i="68" s="1"/>
  <c r="AD52" i="68"/>
  <c r="AD53" i="68" s="1"/>
  <c r="AG52" i="68"/>
  <c r="AG53" i="68" s="1"/>
  <c r="AK52" i="68"/>
  <c r="AK53" i="68" s="1"/>
  <c r="AM52" i="68"/>
  <c r="AM53" i="68" s="1"/>
  <c r="F58" i="68"/>
  <c r="J58" i="68"/>
  <c r="N58" i="68"/>
  <c r="R58" i="68"/>
  <c r="V58" i="68"/>
  <c r="Z58" i="68"/>
  <c r="AB58" i="68"/>
  <c r="AE58" i="68"/>
  <c r="AI58" i="68"/>
  <c r="AK58" i="68"/>
  <c r="AM58" i="68"/>
  <c r="F52" i="68"/>
  <c r="F53" i="68" s="1"/>
  <c r="I52" i="68"/>
  <c r="I53" i="68" s="1"/>
  <c r="G58" i="68"/>
  <c r="I58" i="68"/>
  <c r="M58" i="68"/>
  <c r="S58" i="68"/>
  <c r="Y58" i="68"/>
  <c r="AA58" i="68"/>
  <c r="AF58" i="68"/>
  <c r="J52" i="68"/>
  <c r="J53" i="68" s="1"/>
  <c r="O52" i="68"/>
  <c r="O53" i="68" s="1"/>
  <c r="T52" i="68"/>
  <c r="T53" i="68" s="1"/>
  <c r="X52" i="68"/>
  <c r="X53" i="68" s="1"/>
  <c r="AA52" i="68"/>
  <c r="AA53" i="68" s="1"/>
  <c r="AF52" i="68"/>
  <c r="AF53" i="68" s="1"/>
  <c r="AJ52" i="68"/>
  <c r="AJ53" i="68" s="1"/>
  <c r="G52" i="68"/>
  <c r="G53" i="68" s="1"/>
  <c r="N52" i="68"/>
  <c r="N53" i="68" s="1"/>
  <c r="S52" i="68"/>
  <c r="S53" i="68" s="1"/>
  <c r="W52" i="68"/>
  <c r="W53" i="68" s="1"/>
  <c r="AB52" i="68"/>
  <c r="AB53" i="68" s="1"/>
  <c r="AE52" i="68"/>
  <c r="AE53" i="68" s="1"/>
  <c r="AI52" i="68"/>
  <c r="AI53" i="68" s="1"/>
  <c r="AN52" i="68"/>
  <c r="AN53" i="68" s="1"/>
  <c r="H58" i="68"/>
  <c r="L58" i="68"/>
  <c r="P58" i="68"/>
  <c r="T58" i="68"/>
  <c r="W58" i="68"/>
  <c r="X58" i="68"/>
  <c r="AC58" i="68"/>
  <c r="AD58" i="68"/>
  <c r="AG58" i="68"/>
  <c r="AH58" i="68"/>
  <c r="AJ58" i="68"/>
  <c r="AL58" i="68"/>
  <c r="AN58" i="68"/>
  <c r="E50" i="68"/>
  <c r="F52" i="44"/>
  <c r="F53" i="44" s="1"/>
  <c r="L52" i="44"/>
  <c r="L53" i="44" s="1"/>
  <c r="R52" i="44"/>
  <c r="R53" i="44" s="1"/>
  <c r="W52" i="44"/>
  <c r="W53" i="44" s="1"/>
  <c r="Z52" i="44"/>
  <c r="Z53" i="44" s="1"/>
  <c r="AE52" i="44"/>
  <c r="AE53" i="44" s="1"/>
  <c r="AJ52" i="44"/>
  <c r="AJ53" i="44" s="1"/>
  <c r="AM52" i="44"/>
  <c r="AM53" i="44" s="1"/>
  <c r="G52" i="44"/>
  <c r="G53" i="44" s="1"/>
  <c r="J52" i="44"/>
  <c r="J53" i="44" s="1"/>
  <c r="O52" i="44"/>
  <c r="O53" i="44" s="1"/>
  <c r="Q52" i="44"/>
  <c r="Q53" i="44" s="1"/>
  <c r="V52" i="44"/>
  <c r="V53" i="44" s="1"/>
  <c r="AA52" i="44"/>
  <c r="AA53" i="44" s="1"/>
  <c r="AD52" i="44"/>
  <c r="AD53" i="44" s="1"/>
  <c r="AF52" i="44"/>
  <c r="AF53" i="44" s="1"/>
  <c r="AI52" i="44"/>
  <c r="AI53" i="44" s="1"/>
  <c r="AL52" i="44"/>
  <c r="AL53" i="44" s="1"/>
  <c r="H52" i="44"/>
  <c r="H53" i="44" s="1"/>
  <c r="K52" i="44"/>
  <c r="K53" i="44" s="1"/>
  <c r="N52" i="44"/>
  <c r="N53" i="44" s="1"/>
  <c r="S52" i="44"/>
  <c r="S53" i="44" s="1"/>
  <c r="U52" i="44"/>
  <c r="U53" i="44" s="1"/>
  <c r="Y52" i="44"/>
  <c r="Y53" i="44" s="1"/>
  <c r="AB52" i="44"/>
  <c r="AB53" i="44" s="1"/>
  <c r="AG52" i="44"/>
  <c r="AG53" i="44" s="1"/>
  <c r="AK52" i="44"/>
  <c r="AK53" i="44" s="1"/>
  <c r="AN52" i="44"/>
  <c r="AN53" i="44" s="1"/>
  <c r="F58" i="44"/>
  <c r="H58" i="44"/>
  <c r="L58" i="44"/>
  <c r="Q58" i="44"/>
  <c r="T58" i="44"/>
  <c r="W58" i="44"/>
  <c r="Y58" i="44"/>
  <c r="AB58" i="44"/>
  <c r="AD58" i="44"/>
  <c r="AF58" i="44"/>
  <c r="AJ58" i="44"/>
  <c r="AM58" i="44"/>
  <c r="M52" i="44"/>
  <c r="M53" i="44" s="1"/>
  <c r="AC52" i="44"/>
  <c r="AC53" i="44" s="1"/>
  <c r="G58" i="44"/>
  <c r="I58" i="44"/>
  <c r="R58" i="44"/>
  <c r="M58" i="44"/>
  <c r="O58" i="44"/>
  <c r="U58" i="44"/>
  <c r="AA58" i="44"/>
  <c r="AE58" i="44"/>
  <c r="AG58" i="44"/>
  <c r="AI58" i="44"/>
  <c r="AK58" i="44"/>
  <c r="AN58" i="44"/>
  <c r="P52" i="44"/>
  <c r="P53" i="44" s="1"/>
  <c r="AH52" i="44"/>
  <c r="AH53" i="44" s="1"/>
  <c r="J58" i="44"/>
  <c r="N58" i="44"/>
  <c r="P58" i="44"/>
  <c r="S58" i="44"/>
  <c r="V58" i="44"/>
  <c r="X58" i="44"/>
  <c r="Z58" i="44"/>
  <c r="AC58" i="44"/>
  <c r="AH58" i="44"/>
  <c r="AL58" i="44"/>
  <c r="I52" i="44"/>
  <c r="I53" i="44" s="1"/>
  <c r="T52" i="44"/>
  <c r="T53" i="44" s="1"/>
  <c r="X52" i="44"/>
  <c r="X53" i="44" s="1"/>
  <c r="K58" i="44"/>
  <c r="E50" i="44"/>
  <c r="E50" i="91"/>
  <c r="F52" i="91"/>
  <c r="F53" i="91" s="1"/>
  <c r="H52" i="91"/>
  <c r="H53" i="91" s="1"/>
  <c r="M52" i="91"/>
  <c r="M53" i="91" s="1"/>
  <c r="Q52" i="91"/>
  <c r="Q53" i="91" s="1"/>
  <c r="T52" i="91"/>
  <c r="T53" i="91" s="1"/>
  <c r="X52" i="91"/>
  <c r="X53" i="91" s="1"/>
  <c r="AB52" i="91"/>
  <c r="AB53" i="91" s="1"/>
  <c r="AE52" i="91"/>
  <c r="AE53" i="91" s="1"/>
  <c r="AG52" i="91"/>
  <c r="AG53" i="91" s="1"/>
  <c r="AI52" i="91"/>
  <c r="AI53" i="91" s="1"/>
  <c r="AM52" i="91"/>
  <c r="AM53" i="91" s="1"/>
  <c r="J52" i="91"/>
  <c r="J53" i="91" s="1"/>
  <c r="P52" i="91"/>
  <c r="P53" i="91" s="1"/>
  <c r="U52" i="91"/>
  <c r="U53" i="91" s="1"/>
  <c r="Z52" i="91"/>
  <c r="Z53" i="91" s="1"/>
  <c r="G58" i="91"/>
  <c r="H58" i="91"/>
  <c r="K58" i="91"/>
  <c r="M58" i="91"/>
  <c r="O58" i="91"/>
  <c r="Q58" i="91"/>
  <c r="S58" i="91"/>
  <c r="U58" i="91"/>
  <c r="W58" i="91"/>
  <c r="Y58" i="91"/>
  <c r="AC58" i="91"/>
  <c r="I52" i="91"/>
  <c r="I53" i="91" s="1"/>
  <c r="K52" i="91"/>
  <c r="K53" i="91" s="1"/>
  <c r="O52" i="91"/>
  <c r="O53" i="91" s="1"/>
  <c r="S52" i="91"/>
  <c r="S53" i="91" s="1"/>
  <c r="V52" i="91"/>
  <c r="V53" i="91" s="1"/>
  <c r="Y52" i="91"/>
  <c r="Y53" i="91" s="1"/>
  <c r="F58" i="91"/>
  <c r="I58" i="91"/>
  <c r="J58" i="91"/>
  <c r="L58" i="91"/>
  <c r="N58" i="91"/>
  <c r="P58" i="91"/>
  <c r="R58" i="91"/>
  <c r="T58" i="91"/>
  <c r="V58" i="91"/>
  <c r="X58" i="91"/>
  <c r="Z58" i="91"/>
  <c r="AA58" i="91"/>
  <c r="AB58" i="91"/>
  <c r="AD58" i="91"/>
  <c r="AE58" i="91"/>
  <c r="AF58" i="91"/>
  <c r="AG58" i="91"/>
  <c r="AH58" i="91"/>
  <c r="AI58" i="91"/>
  <c r="AJ58" i="91"/>
  <c r="AK58" i="91"/>
  <c r="AL58" i="91"/>
  <c r="AM58" i="91"/>
  <c r="AN58" i="91"/>
  <c r="G52" i="91"/>
  <c r="G53" i="91" s="1"/>
  <c r="L52" i="91"/>
  <c r="L53" i="91" s="1"/>
  <c r="N52" i="91"/>
  <c r="N53" i="91" s="1"/>
  <c r="R52" i="91"/>
  <c r="R53" i="91" s="1"/>
  <c r="W52" i="91"/>
  <c r="W53" i="91" s="1"/>
  <c r="AA52" i="91"/>
  <c r="AA53" i="91" s="1"/>
  <c r="AC52" i="91"/>
  <c r="AC53" i="91" s="1"/>
  <c r="AD52" i="91"/>
  <c r="AD53" i="91" s="1"/>
  <c r="AF52" i="91"/>
  <c r="AF53" i="91" s="1"/>
  <c r="AH52" i="91"/>
  <c r="AH53" i="91" s="1"/>
  <c r="AJ52" i="91"/>
  <c r="AJ53" i="91" s="1"/>
  <c r="AK52" i="91"/>
  <c r="AK53" i="91" s="1"/>
  <c r="AL52" i="91"/>
  <c r="AL53" i="91" s="1"/>
  <c r="AN52" i="91"/>
  <c r="AN53" i="91" s="1"/>
  <c r="AK52" i="75"/>
  <c r="AK53" i="75" s="1"/>
  <c r="AB52" i="75"/>
  <c r="AB53" i="75" s="1"/>
  <c r="W52" i="75"/>
  <c r="W53" i="75" s="1"/>
  <c r="N52" i="75"/>
  <c r="N53" i="75" s="1"/>
  <c r="K58" i="75"/>
  <c r="AC52" i="75"/>
  <c r="AC53" i="75" s="1"/>
  <c r="X52" i="75"/>
  <c r="X53" i="75" s="1"/>
  <c r="L52" i="75"/>
  <c r="L53" i="75" s="1"/>
  <c r="AM58" i="75"/>
  <c r="AH58" i="75"/>
  <c r="AF58" i="75"/>
  <c r="AA58" i="75"/>
  <c r="AM52" i="75"/>
  <c r="AM53" i="75" s="1"/>
  <c r="AF52" i="75"/>
  <c r="AF53" i="75" s="1"/>
  <c r="R52" i="75"/>
  <c r="R53" i="75" s="1"/>
  <c r="K52" i="75"/>
  <c r="K53" i="75" s="1"/>
  <c r="R58" i="75"/>
  <c r="F58" i="75"/>
  <c r="Z52" i="75"/>
  <c r="Z53" i="75" s="1"/>
  <c r="Q52" i="75"/>
  <c r="Q53" i="75" s="1"/>
  <c r="H52" i="75"/>
  <c r="H53" i="75" s="1"/>
  <c r="AN58" i="75"/>
  <c r="AK58" i="75"/>
  <c r="AI58" i="75"/>
  <c r="AE58" i="75"/>
  <c r="AC58" i="75"/>
  <c r="X58" i="75"/>
  <c r="V58" i="75"/>
  <c r="T58" i="75"/>
  <c r="Q58" i="75"/>
  <c r="O58" i="75"/>
  <c r="M58" i="75"/>
  <c r="J58" i="75"/>
  <c r="G58" i="75"/>
  <c r="AL52" i="75"/>
  <c r="AL53" i="75" s="1"/>
  <c r="AH52" i="75"/>
  <c r="AH53" i="75" s="1"/>
  <c r="AA52" i="75"/>
  <c r="AA53" i="75" s="1"/>
  <c r="S52" i="75"/>
  <c r="S53" i="75" s="1"/>
  <c r="J52" i="75"/>
  <c r="J53" i="75" s="1"/>
  <c r="AI52" i="75"/>
  <c r="AI53" i="75" s="1"/>
  <c r="AD52" i="75"/>
  <c r="AD53" i="75" s="1"/>
  <c r="Y52" i="75"/>
  <c r="Y53" i="75" s="1"/>
  <c r="U52" i="75"/>
  <c r="U53" i="75" s="1"/>
  <c r="F52" i="75"/>
  <c r="F53" i="75" s="1"/>
  <c r="I58" i="75"/>
  <c r="AG52" i="75"/>
  <c r="AG53" i="75" s="1"/>
  <c r="T52" i="75"/>
  <c r="T53" i="75" s="1"/>
  <c r="O52" i="75"/>
  <c r="O53" i="75" s="1"/>
  <c r="I52" i="75"/>
  <c r="I53" i="75" s="1"/>
  <c r="AL58" i="75"/>
  <c r="AJ58" i="75"/>
  <c r="AG58" i="75"/>
  <c r="AD58" i="75"/>
  <c r="AB58" i="75"/>
  <c r="Z58" i="75"/>
  <c r="Y58" i="75"/>
  <c r="W58" i="75"/>
  <c r="U58" i="75"/>
  <c r="S58" i="75"/>
  <c r="P58" i="75"/>
  <c r="N58" i="75"/>
  <c r="L58" i="75"/>
  <c r="H58" i="75"/>
  <c r="AN52" i="75"/>
  <c r="AN53" i="75" s="1"/>
  <c r="AJ52" i="75"/>
  <c r="AJ53" i="75" s="1"/>
  <c r="AE52" i="75"/>
  <c r="AE53" i="75" s="1"/>
  <c r="V52" i="75"/>
  <c r="V53" i="75" s="1"/>
  <c r="P52" i="75"/>
  <c r="P53" i="75" s="1"/>
  <c r="M52" i="75"/>
  <c r="M53" i="75" s="1"/>
  <c r="G52" i="75"/>
  <c r="G53" i="75" s="1"/>
  <c r="E50" i="75"/>
  <c r="E50" i="90"/>
  <c r="G52" i="90"/>
  <c r="G53" i="90" s="1"/>
  <c r="J52" i="90"/>
  <c r="J53" i="90" s="1"/>
  <c r="P52" i="90"/>
  <c r="P53" i="90" s="1"/>
  <c r="R52" i="90"/>
  <c r="R53" i="90" s="1"/>
  <c r="U52" i="90"/>
  <c r="U53" i="90" s="1"/>
  <c r="X52" i="90"/>
  <c r="X53" i="90" s="1"/>
  <c r="AA52" i="90"/>
  <c r="AA53" i="90" s="1"/>
  <c r="AC52" i="90"/>
  <c r="AC53" i="90" s="1"/>
  <c r="AE52" i="90"/>
  <c r="AE53" i="90" s="1"/>
  <c r="AG52" i="90"/>
  <c r="AG53" i="90" s="1"/>
  <c r="AI52" i="90"/>
  <c r="AI53" i="90" s="1"/>
  <c r="AK52" i="90"/>
  <c r="AK53" i="90" s="1"/>
  <c r="AM52" i="90"/>
  <c r="AM53" i="90" s="1"/>
  <c r="G58" i="90"/>
  <c r="I58" i="90"/>
  <c r="K58" i="90"/>
  <c r="M58" i="90"/>
  <c r="O58" i="90"/>
  <c r="Q58" i="90"/>
  <c r="S58" i="90"/>
  <c r="V58" i="90"/>
  <c r="X58" i="90"/>
  <c r="Z58" i="90"/>
  <c r="AF58" i="90"/>
  <c r="F52" i="90"/>
  <c r="F53" i="90" s="1"/>
  <c r="L52" i="90"/>
  <c r="L53" i="90" s="1"/>
  <c r="O52" i="90"/>
  <c r="O53" i="90" s="1"/>
  <c r="W52" i="90"/>
  <c r="W53" i="90" s="1"/>
  <c r="H52" i="90"/>
  <c r="H53" i="90" s="1"/>
  <c r="K52" i="90"/>
  <c r="K53" i="90" s="1"/>
  <c r="M52" i="90"/>
  <c r="M53" i="90" s="1"/>
  <c r="Q52" i="90"/>
  <c r="Q53" i="90" s="1"/>
  <c r="T52" i="90"/>
  <c r="T53" i="90" s="1"/>
  <c r="Y52" i="90"/>
  <c r="Y53" i="90" s="1"/>
  <c r="F58" i="90"/>
  <c r="H58" i="90"/>
  <c r="J58" i="90"/>
  <c r="L58" i="90"/>
  <c r="N58" i="90"/>
  <c r="P58" i="90"/>
  <c r="R58" i="90"/>
  <c r="T58" i="90"/>
  <c r="U58" i="90"/>
  <c r="W58" i="90"/>
  <c r="Y58" i="90"/>
  <c r="AA58" i="90"/>
  <c r="AB58" i="90"/>
  <c r="AC58" i="90"/>
  <c r="AD58" i="90"/>
  <c r="AE58" i="90"/>
  <c r="AG58" i="90"/>
  <c r="AH58" i="90"/>
  <c r="AI58" i="90"/>
  <c r="AJ58" i="90"/>
  <c r="AK58" i="90"/>
  <c r="AL58" i="90"/>
  <c r="AM58" i="90"/>
  <c r="AN58" i="90"/>
  <c r="I52" i="90"/>
  <c r="I53" i="90" s="1"/>
  <c r="N52" i="90"/>
  <c r="N53" i="90" s="1"/>
  <c r="S52" i="90"/>
  <c r="S53" i="90" s="1"/>
  <c r="V52" i="90"/>
  <c r="V53" i="90" s="1"/>
  <c r="Z52" i="90"/>
  <c r="Z53" i="90" s="1"/>
  <c r="AB52" i="90"/>
  <c r="AB53" i="90" s="1"/>
  <c r="AD52" i="90"/>
  <c r="AD53" i="90" s="1"/>
  <c r="AF52" i="90"/>
  <c r="AF53" i="90" s="1"/>
  <c r="AH52" i="90"/>
  <c r="AH53" i="90" s="1"/>
  <c r="AJ52" i="90"/>
  <c r="AJ53" i="90" s="1"/>
  <c r="AL52" i="90"/>
  <c r="AL53" i="90" s="1"/>
  <c r="AN52" i="90"/>
  <c r="AN53" i="90" s="1"/>
  <c r="M36" i="34"/>
  <c r="AK49" i="27"/>
  <c r="AF49" i="27"/>
  <c r="AA49" i="27"/>
  <c r="V49" i="27"/>
  <c r="P49" i="27"/>
  <c r="L49" i="27"/>
  <c r="H49" i="27"/>
  <c r="AL49" i="22"/>
  <c r="AM49" i="27"/>
  <c r="AH49" i="27"/>
  <c r="AC49" i="27"/>
  <c r="X49" i="27"/>
  <c r="S49" i="27"/>
  <c r="N49" i="27"/>
  <c r="I49" i="27"/>
  <c r="AM49" i="22"/>
  <c r="AL49" i="27"/>
  <c r="AG49" i="27"/>
  <c r="AB49" i="27"/>
  <c r="W49" i="27"/>
  <c r="R49" i="27"/>
  <c r="J49" i="27"/>
  <c r="AN49" i="22"/>
  <c r="AN49" i="27"/>
  <c r="AI49" i="27"/>
  <c r="AD49" i="27"/>
  <c r="Y49" i="27"/>
  <c r="U49" i="27"/>
  <c r="Q49" i="27"/>
  <c r="M49" i="27"/>
  <c r="G49" i="27"/>
  <c r="AK49" i="22"/>
  <c r="AJ49" i="27"/>
  <c r="AE49" i="27"/>
  <c r="Z49" i="27"/>
  <c r="T49" i="27"/>
  <c r="O49" i="27"/>
  <c r="K49" i="27"/>
  <c r="F49" i="27"/>
  <c r="AJ49" i="22"/>
  <c r="AI49" i="22"/>
  <c r="AH49" i="22"/>
  <c r="AG49" i="22"/>
  <c r="AF49" i="22"/>
  <c r="AE49" i="22"/>
  <c r="AD49" i="22"/>
  <c r="AC49" i="22"/>
  <c r="AB49" i="22"/>
  <c r="AA49" i="22"/>
  <c r="Z49" i="22"/>
  <c r="Y49" i="22"/>
  <c r="X49" i="22"/>
  <c r="W49" i="22"/>
  <c r="V49" i="22"/>
  <c r="U49" i="22"/>
  <c r="T49" i="22"/>
  <c r="S49" i="22"/>
  <c r="R49" i="22"/>
  <c r="Q49" i="22"/>
  <c r="P49" i="22"/>
  <c r="O49" i="22"/>
  <c r="N49" i="22"/>
  <c r="M49" i="22"/>
  <c r="L49" i="22"/>
  <c r="K49" i="22"/>
  <c r="J49" i="22"/>
  <c r="I49" i="22"/>
  <c r="H49" i="22"/>
  <c r="G49" i="22"/>
  <c r="F49" i="22"/>
  <c r="S22" i="34"/>
  <c r="R22" i="34"/>
  <c r="F27" i="85"/>
  <c r="Q27" i="34" s="1"/>
  <c r="H27" i="85"/>
  <c r="S27" i="34" s="1"/>
  <c r="G36" i="85"/>
  <c r="R36" i="34" s="1"/>
  <c r="H36" i="85"/>
  <c r="S36" i="34" s="1"/>
  <c r="F36" i="85"/>
  <c r="Q36" i="34" s="1"/>
  <c r="G27" i="85"/>
  <c r="R27" i="34" s="1"/>
  <c r="H27" i="84"/>
  <c r="O27" i="34" s="1"/>
  <c r="G27" i="84"/>
  <c r="N27" i="34" s="1"/>
  <c r="F27" i="84"/>
  <c r="M27" i="34" s="1"/>
  <c r="AQ41" i="26" a="1"/>
  <c r="AQ41" i="26" s="1"/>
  <c r="AR41" i="26" a="1"/>
  <c r="AR41" i="26" s="1"/>
  <c r="AP45" i="26" a="1"/>
  <c r="AP45" i="26" s="1"/>
  <c r="AP44" i="26" a="1"/>
  <c r="AP44" i="26" s="1"/>
  <c r="AP46" i="26" a="1"/>
  <c r="AP46" i="26" s="1"/>
  <c r="N26" i="9"/>
  <c r="E22" i="26" a="1"/>
  <c r="E41" i="26"/>
  <c r="E37" i="78"/>
  <c r="C23" i="9" a="1"/>
  <c r="C23" i="9" s="1"/>
  <c r="G22" i="34" l="1"/>
  <c r="G16" i="34" s="1"/>
  <c r="F22" i="34"/>
  <c r="F16" i="34" s="1"/>
  <c r="E58" i="73"/>
  <c r="E59" i="73" s="1" a="1"/>
  <c r="E59" i="73" s="1"/>
  <c r="E52" i="13"/>
  <c r="E53" i="13" s="1"/>
  <c r="E58" i="13"/>
  <c r="E59" i="13" s="1" a="1"/>
  <c r="E59" i="13" s="1"/>
  <c r="E58" i="23"/>
  <c r="E59" i="23" s="1" a="1"/>
  <c r="E59" i="23" s="1"/>
  <c r="E52" i="23"/>
  <c r="E53" i="23" s="1"/>
  <c r="E58" i="29"/>
  <c r="E59" i="29" s="1" a="1"/>
  <c r="E59" i="29" s="1"/>
  <c r="E52" i="29"/>
  <c r="E53" i="29" s="1"/>
  <c r="E58" i="24"/>
  <c r="E59" i="24" s="1" a="1"/>
  <c r="E59" i="24" s="1"/>
  <c r="E52" i="24"/>
  <c r="E53" i="24" s="1"/>
  <c r="E58" i="30"/>
  <c r="E59" i="30" s="1" a="1"/>
  <c r="E59" i="30" s="1"/>
  <c r="E52" i="30"/>
  <c r="E53" i="30" s="1"/>
  <c r="E58" i="33"/>
  <c r="E59" i="33" s="1" a="1"/>
  <c r="E59" i="33" s="1"/>
  <c r="E52" i="33"/>
  <c r="E53" i="33" s="1"/>
  <c r="E52" i="60"/>
  <c r="E53" i="60" s="1"/>
  <c r="E58" i="60"/>
  <c r="E59" i="60" s="1" a="1"/>
  <c r="E59" i="60" s="1"/>
  <c r="E58" i="61"/>
  <c r="E59" i="61" s="1" a="1"/>
  <c r="E59" i="61" s="1"/>
  <c r="E52" i="61"/>
  <c r="E53" i="61" s="1"/>
  <c r="E58" i="88"/>
  <c r="E59" i="88" s="1" a="1"/>
  <c r="E59" i="88" s="1"/>
  <c r="E52" i="88"/>
  <c r="E53" i="88" s="1"/>
  <c r="E58" i="32"/>
  <c r="E59" i="32" s="1" a="1"/>
  <c r="E59" i="32" s="1"/>
  <c r="E52" i="32"/>
  <c r="E53" i="32" s="1"/>
  <c r="E58" i="31"/>
  <c r="E59" i="31" s="1" a="1"/>
  <c r="E59" i="31" s="1"/>
  <c r="E52" i="31"/>
  <c r="E53" i="31" s="1"/>
  <c r="E58" i="25"/>
  <c r="E59" i="25" s="1" a="1"/>
  <c r="E59" i="25" s="1"/>
  <c r="E52" i="25"/>
  <c r="E53" i="25" s="1"/>
  <c r="E58" i="50"/>
  <c r="E59" i="50" s="1" a="1"/>
  <c r="E59" i="50" s="1"/>
  <c r="E52" i="50"/>
  <c r="E53" i="50" s="1"/>
  <c r="E52" i="35"/>
  <c r="E53" i="35" s="1"/>
  <c r="E58" i="35"/>
  <c r="E59" i="35" s="1" a="1"/>
  <c r="E59" i="35" s="1"/>
  <c r="E58" i="70"/>
  <c r="E59" i="70" s="1" a="1"/>
  <c r="E59" i="70" s="1"/>
  <c r="E52" i="70"/>
  <c r="E53" i="70" s="1"/>
  <c r="E52" i="89"/>
  <c r="E53" i="89" s="1"/>
  <c r="E58" i="89"/>
  <c r="E59" i="89" s="1" a="1"/>
  <c r="E59" i="89" s="1"/>
  <c r="E52" i="52"/>
  <c r="E53" i="52" s="1"/>
  <c r="E58" i="52"/>
  <c r="E59" i="52" s="1" a="1"/>
  <c r="E59" i="52" s="1"/>
  <c r="E58" i="37"/>
  <c r="E59" i="37" s="1" a="1"/>
  <c r="E59" i="37" s="1"/>
  <c r="E52" i="37"/>
  <c r="E53" i="37" s="1"/>
  <c r="E58" i="65"/>
  <c r="E59" i="65" s="1" a="1"/>
  <c r="E59" i="65" s="1"/>
  <c r="E52" i="65"/>
  <c r="E53" i="65" s="1"/>
  <c r="E58" i="66"/>
  <c r="E59" i="66" s="1" a="1"/>
  <c r="E59" i="66" s="1"/>
  <c r="E52" i="66"/>
  <c r="E53" i="66" s="1"/>
  <c r="E58" i="67"/>
  <c r="E59" i="67" s="1" a="1"/>
  <c r="E59" i="67" s="1"/>
  <c r="E52" i="67"/>
  <c r="E53" i="67" s="1"/>
  <c r="E52" i="53"/>
  <c r="E53" i="53" s="1"/>
  <c r="E58" i="53"/>
  <c r="E59" i="53" s="1" a="1"/>
  <c r="E59" i="53" s="1"/>
  <c r="E58" i="45"/>
  <c r="E59" i="45" s="1" a="1"/>
  <c r="E59" i="45" s="1"/>
  <c r="E52" i="45"/>
  <c r="E53" i="45" s="1"/>
  <c r="E52" i="62"/>
  <c r="E53" i="62" s="1"/>
  <c r="E58" i="62"/>
  <c r="E59" i="62" s="1" a="1"/>
  <c r="E59" i="62" s="1"/>
  <c r="E58" i="48"/>
  <c r="E59" i="48" s="1" a="1"/>
  <c r="E59" i="48" s="1"/>
  <c r="E52" i="48"/>
  <c r="E53" i="48" s="1"/>
  <c r="E58" i="38"/>
  <c r="E59" i="38" s="1" a="1"/>
  <c r="E59" i="38" s="1"/>
  <c r="E52" i="38"/>
  <c r="E53" i="38" s="1"/>
  <c r="E58" i="54"/>
  <c r="E59" i="54" s="1" a="1"/>
  <c r="E59" i="54" s="1"/>
  <c r="E52" i="54"/>
  <c r="E53" i="54" s="1"/>
  <c r="E58" i="39"/>
  <c r="E59" i="39" s="1" a="1"/>
  <c r="E59" i="39" s="1"/>
  <c r="E52" i="39"/>
  <c r="E53" i="39" s="1"/>
  <c r="E58" i="55"/>
  <c r="E59" i="55" s="1" a="1"/>
  <c r="E59" i="55" s="1"/>
  <c r="E52" i="55"/>
  <c r="E53" i="55" s="1"/>
  <c r="E58" i="56"/>
  <c r="E59" i="56" s="1" a="1"/>
  <c r="E59" i="56" s="1"/>
  <c r="E52" i="56"/>
  <c r="E53" i="56" s="1"/>
  <c r="E58" i="41"/>
  <c r="E59" i="41" s="1" a="1"/>
  <c r="E59" i="41" s="1"/>
  <c r="E52" i="41"/>
  <c r="E53" i="41" s="1"/>
  <c r="E52" i="49"/>
  <c r="E53" i="49" s="1"/>
  <c r="E58" i="49"/>
  <c r="E59" i="49" s="1" a="1"/>
  <c r="E59" i="49" s="1"/>
  <c r="E52" i="71"/>
  <c r="E53" i="71" s="1"/>
  <c r="E58" i="71"/>
  <c r="E59" i="71" s="1" a="1"/>
  <c r="E59" i="71" s="1"/>
  <c r="E58" i="74"/>
  <c r="E59" i="74" s="1" a="1"/>
  <c r="E59" i="74" s="1"/>
  <c r="E52" i="74"/>
  <c r="E53" i="74" s="1"/>
  <c r="E52" i="57"/>
  <c r="E53" i="57" s="1"/>
  <c r="E58" i="57"/>
  <c r="E59" i="57" s="1" a="1"/>
  <c r="E59" i="57" s="1"/>
  <c r="E58" i="59"/>
  <c r="E59" i="59" s="1" a="1"/>
  <c r="E59" i="59" s="1"/>
  <c r="E52" i="59"/>
  <c r="E53" i="59" s="1"/>
  <c r="E52" i="63"/>
  <c r="E53" i="63" s="1"/>
  <c r="E58" i="63"/>
  <c r="E59" i="63" s="1" a="1"/>
  <c r="E59" i="63" s="1"/>
  <c r="E52" i="72"/>
  <c r="E53" i="72" s="1"/>
  <c r="E58" i="72"/>
  <c r="E59" i="72" s="1" a="1"/>
  <c r="E59" i="72" s="1"/>
  <c r="E58" i="19"/>
  <c r="E59" i="19" s="1" a="1"/>
  <c r="E59" i="19" s="1"/>
  <c r="E52" i="19"/>
  <c r="E53" i="19" s="1"/>
  <c r="E52" i="51"/>
  <c r="E53" i="51" s="1"/>
  <c r="E58" i="51"/>
  <c r="E59" i="51" s="1" a="1"/>
  <c r="E59" i="51" s="1"/>
  <c r="E52" i="68"/>
  <c r="E53" i="68" s="1"/>
  <c r="E58" i="68"/>
  <c r="E59" i="68" s="1" a="1"/>
  <c r="E59" i="68" s="1"/>
  <c r="E58" i="44"/>
  <c r="E59" i="44" s="1" a="1"/>
  <c r="E59" i="44" s="1"/>
  <c r="E52" i="44"/>
  <c r="E53" i="44" s="1"/>
  <c r="E58" i="91"/>
  <c r="E59" i="91" s="1" a="1"/>
  <c r="E59" i="91" s="1"/>
  <c r="E52" i="91"/>
  <c r="E53" i="91" s="1"/>
  <c r="E52" i="75"/>
  <c r="E53" i="75" s="1"/>
  <c r="E58" i="75"/>
  <c r="E59" i="75" s="1" a="1"/>
  <c r="E59" i="75" s="1"/>
  <c r="E52" i="90"/>
  <c r="E53" i="90" s="1"/>
  <c r="E58" i="90"/>
  <c r="E59" i="90" s="1" a="1"/>
  <c r="E59" i="90" s="1"/>
  <c r="Z49" i="100"/>
  <c r="Z50" i="100" s="1"/>
  <c r="AI49" i="100"/>
  <c r="AI50" i="100" s="1"/>
  <c r="H49" i="100" a="1"/>
  <c r="H49" i="100" s="1"/>
  <c r="Q49" i="100"/>
  <c r="Q50" i="100" s="1"/>
  <c r="AF49" i="100"/>
  <c r="AF50" i="100" s="1"/>
  <c r="G49" i="100" a="1"/>
  <c r="G49" i="100" s="1"/>
  <c r="G50" i="100" s="1"/>
  <c r="J49" i="100" a="1"/>
  <c r="J49" i="100" s="1"/>
  <c r="J50" i="100" s="1"/>
  <c r="M49" i="100" a="1"/>
  <c r="M49" i="100" s="1"/>
  <c r="M50" i="100" s="1"/>
  <c r="P49" i="100" a="1"/>
  <c r="P49" i="100" s="1"/>
  <c r="P50" i="100" s="1"/>
  <c r="S49" i="100"/>
  <c r="S50" i="100" s="1"/>
  <c r="V49" i="100"/>
  <c r="V50" i="100" s="1"/>
  <c r="Y49" i="100"/>
  <c r="Y50" i="100" s="1"/>
  <c r="AB49" i="100"/>
  <c r="AB50" i="100" s="1"/>
  <c r="AE49" i="100"/>
  <c r="AE50" i="100" s="1"/>
  <c r="AH49" i="100"/>
  <c r="AH50" i="100" s="1"/>
  <c r="AN49" i="100"/>
  <c r="AN50" i="100" s="1"/>
  <c r="N49" i="100" a="1"/>
  <c r="N49" i="100" s="1"/>
  <c r="W49" i="100"/>
  <c r="W50" i="100" s="1"/>
  <c r="AC49" i="100"/>
  <c r="AC50" i="100" s="1"/>
  <c r="AL49" i="100"/>
  <c r="AL50" i="100" s="1"/>
  <c r="K49" i="100" a="1"/>
  <c r="K49" i="100" s="1"/>
  <c r="T49" i="100"/>
  <c r="T50" i="100" s="1"/>
  <c r="F49" i="100" a="1"/>
  <c r="F49" i="100" s="1"/>
  <c r="F50" i="100" s="1"/>
  <c r="I49" i="100" a="1"/>
  <c r="I49" i="100" s="1"/>
  <c r="I50" i="100" s="1"/>
  <c r="L49" i="100" a="1"/>
  <c r="L49" i="100" s="1"/>
  <c r="L50" i="100" s="1"/>
  <c r="O49" i="100" a="1"/>
  <c r="O49" i="100" s="1"/>
  <c r="O50" i="100" s="1"/>
  <c r="R49" i="100"/>
  <c r="R50" i="100" s="1"/>
  <c r="U49" i="100"/>
  <c r="U50" i="100" s="1"/>
  <c r="X49" i="100"/>
  <c r="X50" i="100" s="1"/>
  <c r="AA49" i="100"/>
  <c r="AA50" i="100" s="1"/>
  <c r="AD49" i="100"/>
  <c r="AD50" i="100" s="1"/>
  <c r="AG49" i="100"/>
  <c r="AG50" i="100" s="1"/>
  <c r="AJ49" i="100"/>
  <c r="AJ50" i="100" s="1"/>
  <c r="AM49" i="100"/>
  <c r="AM50" i="100" s="1"/>
  <c r="AL49" i="99"/>
  <c r="AL50" i="99" s="1"/>
  <c r="AL52" i="99" s="1"/>
  <c r="AL53" i="99" s="1"/>
  <c r="AM49" i="99"/>
  <c r="AM50" i="99" s="1"/>
  <c r="AJ49" i="99"/>
  <c r="AJ50" i="99" s="1"/>
  <c r="AI49" i="99"/>
  <c r="AI50" i="99" s="1"/>
  <c r="AH49" i="99"/>
  <c r="AH50" i="99" s="1"/>
  <c r="AG49" i="99"/>
  <c r="AG50" i="99" s="1"/>
  <c r="AF49" i="99"/>
  <c r="AF50" i="99" s="1"/>
  <c r="AE49" i="99"/>
  <c r="AE50" i="99" s="1"/>
  <c r="AD49" i="99"/>
  <c r="AD50" i="99" s="1"/>
  <c r="AC49" i="99"/>
  <c r="AC50" i="99" s="1"/>
  <c r="AB49" i="99"/>
  <c r="AB50" i="99" s="1"/>
  <c r="AA49" i="99"/>
  <c r="AA50" i="99" s="1"/>
  <c r="Z49" i="99"/>
  <c r="Z50" i="99" s="1"/>
  <c r="Y49" i="99"/>
  <c r="Y50" i="99" s="1"/>
  <c r="X49" i="99"/>
  <c r="X50" i="99" s="1"/>
  <c r="W49" i="99"/>
  <c r="W50" i="99" s="1"/>
  <c r="V49" i="99"/>
  <c r="V50" i="99" s="1"/>
  <c r="U49" i="99"/>
  <c r="U50" i="99" s="1"/>
  <c r="T49" i="99"/>
  <c r="T50" i="99" s="1"/>
  <c r="S49" i="99"/>
  <c r="S50" i="99" s="1"/>
  <c r="R49" i="99"/>
  <c r="R50" i="99" s="1"/>
  <c r="Q49" i="99"/>
  <c r="Q50" i="99" s="1"/>
  <c r="P49" i="99" a="1"/>
  <c r="P49" i="99" s="1"/>
  <c r="P50" i="99" s="1"/>
  <c r="O49" i="99" a="1"/>
  <c r="O49" i="99" s="1"/>
  <c r="O50" i="99" s="1"/>
  <c r="N49" i="99" a="1"/>
  <c r="N49" i="99" s="1"/>
  <c r="M49" i="99" a="1"/>
  <c r="M49" i="99" s="1"/>
  <c r="M50" i="99" s="1"/>
  <c r="L49" i="99" a="1"/>
  <c r="L49" i="99" s="1"/>
  <c r="L50" i="99" s="1"/>
  <c r="K49" i="99" a="1"/>
  <c r="K49" i="99" s="1"/>
  <c r="J49" i="99" a="1"/>
  <c r="J49" i="99" s="1"/>
  <c r="J50" i="99" s="1"/>
  <c r="I49" i="99" a="1"/>
  <c r="I49" i="99" s="1"/>
  <c r="I50" i="99" s="1"/>
  <c r="H49" i="99" a="1"/>
  <c r="H49" i="99" s="1"/>
  <c r="G49" i="99" a="1"/>
  <c r="G49" i="99" s="1"/>
  <c r="G50" i="99" s="1"/>
  <c r="F49" i="99" a="1"/>
  <c r="F49" i="99" s="1"/>
  <c r="F50" i="99" s="1"/>
  <c r="AN49" i="99"/>
  <c r="AN50" i="99" s="1"/>
  <c r="AK49" i="99"/>
  <c r="AK50" i="99" s="1"/>
  <c r="AK52" i="99" s="1"/>
  <c r="AK53" i="99" s="1"/>
  <c r="AK49" i="100"/>
  <c r="AK50" i="100" s="1"/>
  <c r="AN59" i="78"/>
  <c r="AN59" i="99"/>
  <c r="AN59" i="100"/>
  <c r="AL59" i="78"/>
  <c r="AL59" i="99"/>
  <c r="AL59" i="100"/>
  <c r="AJ59" i="78"/>
  <c r="AJ59" i="100"/>
  <c r="AJ59" i="99"/>
  <c r="AH59" i="78"/>
  <c r="AH59" i="99"/>
  <c r="AH59" i="100"/>
  <c r="AF59" i="78"/>
  <c r="AF59" i="100"/>
  <c r="AF59" i="99"/>
  <c r="AD59" i="78"/>
  <c r="AD59" i="99"/>
  <c r="AD59" i="100"/>
  <c r="AB59" i="78"/>
  <c r="AB59" i="100"/>
  <c r="AB59" i="99"/>
  <c r="Z59" i="78"/>
  <c r="Z59" i="99"/>
  <c r="Z59" i="100"/>
  <c r="X59" i="78"/>
  <c r="X59" i="100"/>
  <c r="X59" i="99"/>
  <c r="W59" i="78"/>
  <c r="W59" i="99"/>
  <c r="W59" i="100"/>
  <c r="U59" i="78"/>
  <c r="U59" i="99"/>
  <c r="U59" i="100"/>
  <c r="S59" i="78"/>
  <c r="S59" i="99"/>
  <c r="S59" i="100"/>
  <c r="Q59" i="78"/>
  <c r="Q59" i="100"/>
  <c r="Q59" i="99"/>
  <c r="O59" i="78"/>
  <c r="O59" i="99"/>
  <c r="O59" i="100"/>
  <c r="M59" i="78"/>
  <c r="M59" i="100"/>
  <c r="M59" i="99"/>
  <c r="K59" i="78"/>
  <c r="K59" i="100"/>
  <c r="K59" i="99"/>
  <c r="AM59" i="78"/>
  <c r="AM59" i="100"/>
  <c r="AM59" i="99"/>
  <c r="AK59" i="78"/>
  <c r="AK59" i="100"/>
  <c r="AK59" i="99"/>
  <c r="AI59" i="78"/>
  <c r="AI59" i="99"/>
  <c r="AI59" i="100"/>
  <c r="AG59" i="78"/>
  <c r="AG59" i="100"/>
  <c r="AG59" i="99"/>
  <c r="AE59" i="78"/>
  <c r="AE59" i="100"/>
  <c r="AE59" i="99"/>
  <c r="AC59" i="78"/>
  <c r="AC59" i="100"/>
  <c r="AC59" i="99"/>
  <c r="AA59" i="78"/>
  <c r="AA59" i="100"/>
  <c r="AA59" i="99"/>
  <c r="Y59" i="78"/>
  <c r="Y59" i="99"/>
  <c r="Y59" i="100"/>
  <c r="V59" i="78"/>
  <c r="V59" i="100"/>
  <c r="V59" i="99"/>
  <c r="T59" i="78"/>
  <c r="T59" i="100"/>
  <c r="T59" i="99"/>
  <c r="R59" i="78"/>
  <c r="R59" i="100"/>
  <c r="R59" i="99"/>
  <c r="P59" i="78"/>
  <c r="P59" i="100"/>
  <c r="P59" i="99"/>
  <c r="N59" i="78"/>
  <c r="N59" i="100"/>
  <c r="N59" i="99"/>
  <c r="L59" i="78"/>
  <c r="L59" i="99"/>
  <c r="L59" i="100"/>
  <c r="E49" i="22"/>
  <c r="E49" i="27"/>
  <c r="E50" i="27" s="1" a="1"/>
  <c r="S16" i="34"/>
  <c r="R16" i="34"/>
  <c r="M16" i="34"/>
  <c r="N16" i="34"/>
  <c r="E27" i="34"/>
  <c r="G27" i="34"/>
  <c r="F27" i="34"/>
  <c r="F36" i="34"/>
  <c r="G36" i="34"/>
  <c r="E36" i="34"/>
  <c r="AQ22" i="26" a="1"/>
  <c r="AQ22" i="26" s="1"/>
  <c r="AR22" i="26" a="1"/>
  <c r="AR22" i="26" s="1"/>
  <c r="AP22" i="26" a="1"/>
  <c r="AP22" i="26" s="1"/>
  <c r="AP41" i="26" a="1"/>
  <c r="AP41" i="26" s="1"/>
  <c r="O26" i="9"/>
  <c r="L26" i="9"/>
  <c r="M26" i="9"/>
  <c r="F54" i="17"/>
  <c r="E22" i="26"/>
  <c r="H22" i="9"/>
  <c r="H26" i="9"/>
  <c r="AG49" i="78"/>
  <c r="AD49" i="78"/>
  <c r="R49" i="78"/>
  <c r="K49" i="78"/>
  <c r="AN49" i="78"/>
  <c r="Q49" i="78"/>
  <c r="F49" i="78"/>
  <c r="J49" i="78"/>
  <c r="M49" i="78"/>
  <c r="AB49" i="78"/>
  <c r="Z49" i="78"/>
  <c r="G49" i="78"/>
  <c r="T49" i="78"/>
  <c r="U49" i="78"/>
  <c r="H49" i="78"/>
  <c r="N49" i="78"/>
  <c r="I49" i="78"/>
  <c r="AE49" i="78"/>
  <c r="P49" i="78"/>
  <c r="W49" i="78"/>
  <c r="V49" i="78"/>
  <c r="AL49" i="78"/>
  <c r="AC49" i="78"/>
  <c r="AH49" i="78"/>
  <c r="AK49" i="78"/>
  <c r="AF49" i="78"/>
  <c r="X49" i="78"/>
  <c r="AJ49" i="78"/>
  <c r="AI49" i="78"/>
  <c r="L49" i="78"/>
  <c r="Y49" i="78"/>
  <c r="O49" i="78"/>
  <c r="AM49" i="78"/>
  <c r="AA49" i="78"/>
  <c r="S49" i="78"/>
  <c r="AO15" i="98" l="1"/>
  <c r="AN15" i="98"/>
  <c r="AN17" i="98" s="1"/>
  <c r="AP15" i="98"/>
  <c r="AP17" i="98" s="1"/>
  <c r="AO17" i="98"/>
  <c r="AW15" i="98"/>
  <c r="AX15" i="98"/>
  <c r="AV15" i="98"/>
  <c r="H50" i="100"/>
  <c r="N50" i="100"/>
  <c r="K50" i="100"/>
  <c r="AK61" i="99"/>
  <c r="E49" i="100" a="1"/>
  <c r="E49" i="100" s="1"/>
  <c r="AU15" i="98" s="1"/>
  <c r="AL61" i="99"/>
  <c r="E49" i="99" a="1"/>
  <c r="E49" i="99" s="1"/>
  <c r="AM15" i="98" s="1"/>
  <c r="AM52" i="99"/>
  <c r="AM53" i="99" s="1"/>
  <c r="AM61" i="99"/>
  <c r="AJ52" i="99"/>
  <c r="AJ53" i="99" s="1"/>
  <c r="AJ61" i="99"/>
  <c r="AI61" i="99"/>
  <c r="AI52" i="99"/>
  <c r="AI53" i="99" s="1"/>
  <c r="AH61" i="99"/>
  <c r="AH52" i="99"/>
  <c r="AH53" i="99" s="1"/>
  <c r="AG61" i="99"/>
  <c r="AG52" i="99"/>
  <c r="AG53" i="99" s="1"/>
  <c r="AF52" i="99"/>
  <c r="AF53" i="99" s="1"/>
  <c r="AF61" i="99"/>
  <c r="AE61" i="99"/>
  <c r="AE52" i="99"/>
  <c r="AE53" i="99" s="1"/>
  <c r="AD52" i="99"/>
  <c r="AD53" i="99" s="1"/>
  <c r="AD61" i="99"/>
  <c r="AC52" i="99"/>
  <c r="AC53" i="99" s="1"/>
  <c r="AC61" i="99"/>
  <c r="AB61" i="99"/>
  <c r="AB52" i="99"/>
  <c r="AB53" i="99" s="1"/>
  <c r="AA61" i="99"/>
  <c r="AA52" i="99"/>
  <c r="AA53" i="99" s="1"/>
  <c r="Z52" i="99"/>
  <c r="Z53" i="99" s="1"/>
  <c r="Z61" i="99"/>
  <c r="Y52" i="99"/>
  <c r="Y53" i="99" s="1"/>
  <c r="Y61" i="99"/>
  <c r="X52" i="99"/>
  <c r="X53" i="99" s="1"/>
  <c r="X61" i="99"/>
  <c r="W52" i="99"/>
  <c r="W53" i="99" s="1"/>
  <c r="W61" i="99"/>
  <c r="V52" i="99"/>
  <c r="V53" i="99" s="1"/>
  <c r="V61" i="99"/>
  <c r="U52" i="99"/>
  <c r="U53" i="99" s="1"/>
  <c r="U61" i="99"/>
  <c r="T52" i="99"/>
  <c r="T53" i="99" s="1"/>
  <c r="T61" i="99"/>
  <c r="S61" i="99"/>
  <c r="S52" i="99"/>
  <c r="S53" i="99" s="1"/>
  <c r="R61" i="99"/>
  <c r="R52" i="99"/>
  <c r="R53" i="99" s="1"/>
  <c r="Q52" i="99"/>
  <c r="Q53" i="99" s="1"/>
  <c r="Q61" i="99"/>
  <c r="N50" i="99"/>
  <c r="K50" i="99"/>
  <c r="H50" i="99"/>
  <c r="AN52" i="99"/>
  <c r="AN53" i="99" s="1"/>
  <c r="AN61" i="99"/>
  <c r="J59" i="78"/>
  <c r="J59" i="100"/>
  <c r="J59" i="99"/>
  <c r="H59" i="78"/>
  <c r="H59" i="99"/>
  <c r="H59" i="100"/>
  <c r="F59" i="78"/>
  <c r="F59" i="100"/>
  <c r="F59" i="99"/>
  <c r="E59" i="99"/>
  <c r="E59" i="100"/>
  <c r="I59" i="78"/>
  <c r="I59" i="99"/>
  <c r="I59" i="100"/>
  <c r="G59" i="78"/>
  <c r="G59" i="100"/>
  <c r="G59" i="99"/>
  <c r="DC4" i="96" a="1"/>
  <c r="E50" i="22" a="1"/>
  <c r="E50" i="22" s="1"/>
  <c r="E50" i="27"/>
  <c r="G54" i="17"/>
  <c r="M50" i="78"/>
  <c r="M52" i="78" s="1"/>
  <c r="I50" i="78"/>
  <c r="I52" i="78" s="1"/>
  <c r="AN50" i="78"/>
  <c r="AN52" i="78" s="1"/>
  <c r="AH50" i="78"/>
  <c r="AH52" i="78" s="1"/>
  <c r="X50" i="78"/>
  <c r="X52" i="78" s="1"/>
  <c r="O50" i="78"/>
  <c r="O52" i="78" s="1"/>
  <c r="J50" i="78"/>
  <c r="J52" i="78" s="1"/>
  <c r="U50" i="78"/>
  <c r="U52" i="78" s="1"/>
  <c r="AA50" i="78"/>
  <c r="AA52" i="78" s="1"/>
  <c r="AB50" i="78"/>
  <c r="AB52" i="78" s="1"/>
  <c r="T50" i="78"/>
  <c r="T52" i="78" s="1"/>
  <c r="V50" i="78"/>
  <c r="V52" i="78" s="1"/>
  <c r="H50" i="78"/>
  <c r="H52" i="78" s="1"/>
  <c r="W50" i="78"/>
  <c r="W52" i="78" s="1"/>
  <c r="AF50" i="78"/>
  <c r="AF52" i="78" s="1"/>
  <c r="Z50" i="78"/>
  <c r="Z52" i="78" s="1"/>
  <c r="N50" i="78"/>
  <c r="N52" i="78" s="1"/>
  <c r="AC50" i="78"/>
  <c r="AC52" i="78" s="1"/>
  <c r="Q50" i="78"/>
  <c r="Q52" i="78" s="1"/>
  <c r="L50" i="78"/>
  <c r="L52" i="78" s="1"/>
  <c r="AJ50" i="78"/>
  <c r="AJ52" i="78" s="1"/>
  <c r="G50" i="78"/>
  <c r="G52" i="78" s="1"/>
  <c r="AI50" i="78"/>
  <c r="AI52" i="78" s="1"/>
  <c r="AL50" i="78"/>
  <c r="AL52" i="78" s="1"/>
  <c r="AM50" i="78"/>
  <c r="AM52" i="78" s="1"/>
  <c r="AG50" i="78"/>
  <c r="AG52" i="78" s="1"/>
  <c r="AD50" i="78"/>
  <c r="AD52" i="78" s="1"/>
  <c r="R50" i="78"/>
  <c r="R52" i="78" s="1"/>
  <c r="AE50" i="78"/>
  <c r="AE52" i="78" s="1"/>
  <c r="K50" i="78"/>
  <c r="K52" i="78" s="1"/>
  <c r="S50" i="78"/>
  <c r="S52" i="78" s="1"/>
  <c r="P50" i="78"/>
  <c r="P52" i="78" s="1"/>
  <c r="F50" i="78"/>
  <c r="F52" i="78" s="1"/>
  <c r="Y50" i="78"/>
  <c r="Y52" i="78" s="1"/>
  <c r="AK50" i="78"/>
  <c r="AK52" i="78" s="1"/>
  <c r="AE4" i="98" l="1"/>
  <c r="AQ15" i="98"/>
  <c r="AQ17" i="98" s="1"/>
  <c r="AM17" i="98"/>
  <c r="AY15" i="98"/>
  <c r="AY17" i="98" s="1"/>
  <c r="AU17" i="98"/>
  <c r="AV17" i="98"/>
  <c r="AF4" i="98"/>
  <c r="AF19" i="98" s="1"/>
  <c r="AF20" i="98" s="1"/>
  <c r="AX17" i="98"/>
  <c r="AH4" i="98"/>
  <c r="AH19" i="98" s="1"/>
  <c r="AH20" i="98" s="1"/>
  <c r="AW17" i="98"/>
  <c r="AG4" i="98"/>
  <c r="AG19" i="98" s="1"/>
  <c r="AG20" i="98" s="1"/>
  <c r="DC4" i="96"/>
  <c r="E50" i="100"/>
  <c r="E50" i="99"/>
  <c r="S42" i="85"/>
  <c r="T42" i="85"/>
  <c r="L27" i="9"/>
  <c r="M53" i="78"/>
  <c r="I53" i="78"/>
  <c r="AN53" i="78"/>
  <c r="AH53" i="78"/>
  <c r="X53" i="78"/>
  <c r="O53" i="78"/>
  <c r="J53" i="78"/>
  <c r="U53" i="78"/>
  <c r="AA53" i="78"/>
  <c r="AB53" i="78"/>
  <c r="T53" i="78"/>
  <c r="V53" i="78"/>
  <c r="H53" i="78"/>
  <c r="W53" i="78"/>
  <c r="AF53" i="78"/>
  <c r="Z53" i="78"/>
  <c r="N53" i="78"/>
  <c r="AC53" i="78"/>
  <c r="Q53" i="78"/>
  <c r="L53" i="78"/>
  <c r="AJ53" i="78"/>
  <c r="G53" i="78"/>
  <c r="AI53" i="78"/>
  <c r="AL53" i="78"/>
  <c r="AM53" i="78"/>
  <c r="AG53" i="78"/>
  <c r="AD53" i="78"/>
  <c r="R53" i="78"/>
  <c r="AE53" i="78"/>
  <c r="K53" i="78"/>
  <c r="S53" i="78"/>
  <c r="P53" i="78"/>
  <c r="F53" i="78"/>
  <c r="Y53" i="78"/>
  <c r="AK53" i="78"/>
  <c r="H54" i="17"/>
  <c r="AI4" i="98" l="1"/>
  <c r="AI19" i="98" s="1"/>
  <c r="AI20" i="98" s="1"/>
  <c r="AE19" i="98"/>
  <c r="K42" i="85"/>
  <c r="P42" i="85"/>
  <c r="M27" i="9"/>
  <c r="J42" i="85"/>
  <c r="W16" i="98" s="1"/>
  <c r="O27" i="9"/>
  <c r="R42" i="85"/>
  <c r="Y16" i="98" s="1"/>
  <c r="N27" i="9"/>
  <c r="N42" i="85"/>
  <c r="X16" i="98" s="1"/>
  <c r="L42" i="85"/>
  <c r="O42" i="85"/>
  <c r="H42" i="84"/>
  <c r="O42" i="34" s="1"/>
  <c r="F42" i="84"/>
  <c r="V16" i="98" s="1"/>
  <c r="G42" i="84"/>
  <c r="N42" i="34" s="1"/>
  <c r="I54" i="17"/>
  <c r="AL61" i="78"/>
  <c r="AD58" i="26"/>
  <c r="P61" i="78"/>
  <c r="P58" i="26"/>
  <c r="Q61" i="78"/>
  <c r="Q58" i="26"/>
  <c r="AN61" i="78"/>
  <c r="AN58" i="26"/>
  <c r="AL58" i="26"/>
  <c r="AK61" i="78"/>
  <c r="AK58" i="26"/>
  <c r="AJ61" i="78"/>
  <c r="AJ58" i="26"/>
  <c r="AI61" i="78"/>
  <c r="AI58" i="26"/>
  <c r="AH61" i="78"/>
  <c r="AH58" i="26"/>
  <c r="AG61" i="78"/>
  <c r="AG58" i="26"/>
  <c r="AF61" i="78"/>
  <c r="AF58" i="26"/>
  <c r="AE61" i="78"/>
  <c r="AE58" i="26"/>
  <c r="AD61" i="78"/>
  <c r="AA16" i="98" l="1"/>
  <c r="AA20" i="98" s="1"/>
  <c r="G42" i="85"/>
  <c r="R42" i="34" s="1"/>
  <c r="F42" i="34" s="1"/>
  <c r="AE20" i="98"/>
  <c r="M42" i="34"/>
  <c r="H42" i="85"/>
  <c r="S42" i="34" s="1"/>
  <c r="G42" i="34" s="1"/>
  <c r="F42" i="85"/>
  <c r="Q42" i="34" s="1"/>
  <c r="J54" i="17"/>
  <c r="Y61" i="78"/>
  <c r="Y58" i="26"/>
  <c r="X61" i="78"/>
  <c r="X58" i="26"/>
  <c r="W61" i="78"/>
  <c r="W58" i="26"/>
  <c r="V61" i="78"/>
  <c r="V58" i="26"/>
  <c r="U61" i="78"/>
  <c r="U58" i="26"/>
  <c r="T58" i="26"/>
  <c r="T61" i="78"/>
  <c r="S61" i="78"/>
  <c r="S58" i="26"/>
  <c r="R61" i="78"/>
  <c r="R58" i="26"/>
  <c r="AC61" i="78"/>
  <c r="AC58" i="26"/>
  <c r="AB61" i="78"/>
  <c r="AB58" i="26"/>
  <c r="AA61" i="78"/>
  <c r="AA58" i="26"/>
  <c r="Z61" i="78"/>
  <c r="Z58" i="26"/>
  <c r="O61" i="78"/>
  <c r="O58" i="26"/>
  <c r="N61" i="78"/>
  <c r="N58" i="26"/>
  <c r="M61" i="78"/>
  <c r="M58" i="26"/>
  <c r="L61" i="78"/>
  <c r="L58" i="26"/>
  <c r="K61" i="78"/>
  <c r="K58" i="26"/>
  <c r="J61" i="78"/>
  <c r="J58" i="26"/>
  <c r="AM61" i="78"/>
  <c r="AM58" i="26"/>
  <c r="I61" i="78"/>
  <c r="I58" i="26"/>
  <c r="H61" i="78"/>
  <c r="H58" i="26"/>
  <c r="G61" i="78"/>
  <c r="G58" i="26"/>
  <c r="F61" i="78"/>
  <c r="F58" i="26"/>
  <c r="AJ49" i="26"/>
  <c r="AJ50" i="26" s="1"/>
  <c r="Q49" i="26"/>
  <c r="AA49" i="26"/>
  <c r="AA50" i="26" s="1"/>
  <c r="G49" i="26"/>
  <c r="G50" i="26" s="1"/>
  <c r="U49" i="26"/>
  <c r="U50" i="26" s="1"/>
  <c r="O49" i="26"/>
  <c r="O50" i="26" s="1"/>
  <c r="I49" i="26"/>
  <c r="I50" i="26" s="1"/>
  <c r="Y49" i="26"/>
  <c r="Y50" i="26" s="1"/>
  <c r="P49" i="26"/>
  <c r="P50" i="26" s="1"/>
  <c r="S49" i="26"/>
  <c r="S50" i="26" s="1"/>
  <c r="AE49" i="26"/>
  <c r="R49" i="26"/>
  <c r="R50" i="26" s="1"/>
  <c r="AM49" i="26"/>
  <c r="AM50" i="26" s="1"/>
  <c r="AI49" i="26"/>
  <c r="AI50" i="26" s="1"/>
  <c r="AC49" i="26"/>
  <c r="Z49" i="26"/>
  <c r="Z50" i="26" s="1"/>
  <c r="AF49" i="26"/>
  <c r="AF50" i="26" s="1"/>
  <c r="V49" i="26"/>
  <c r="V50" i="26" s="1"/>
  <c r="T49" i="26"/>
  <c r="T50" i="26" s="1"/>
  <c r="AK49" i="26"/>
  <c r="AK50" i="26" s="1"/>
  <c r="F49" i="26"/>
  <c r="F50" i="26" s="1"/>
  <c r="AD49" i="26"/>
  <c r="AD50" i="26" s="1"/>
  <c r="K49" i="26"/>
  <c r="K50" i="26" s="1"/>
  <c r="AG49" i="26"/>
  <c r="AG50" i="26" s="1"/>
  <c r="AL49" i="26"/>
  <c r="AL50" i="26" s="1"/>
  <c r="L49" i="26"/>
  <c r="L50" i="26" s="1"/>
  <c r="N49" i="26"/>
  <c r="N50" i="26" s="1"/>
  <c r="W49" i="26"/>
  <c r="W50" i="26" s="1"/>
  <c r="AB49" i="26"/>
  <c r="AN49" i="26"/>
  <c r="AN50" i="26" s="1"/>
  <c r="H49" i="26"/>
  <c r="H50" i="26" s="1"/>
  <c r="J49" i="26"/>
  <c r="J50" i="26" s="1"/>
  <c r="X49" i="26"/>
  <c r="X50" i="26" s="1"/>
  <c r="AH49" i="26"/>
  <c r="AH50" i="26" s="1"/>
  <c r="M49" i="26"/>
  <c r="M50" i="26" s="1"/>
  <c r="E42" i="34" l="1"/>
  <c r="E45" i="34" s="1"/>
  <c r="AR58" i="26" a="1"/>
  <c r="AR58" i="26" s="1"/>
  <c r="AQ49" i="26" a="1"/>
  <c r="AQ49" i="26" s="1"/>
  <c r="AQ58" i="26" a="1"/>
  <c r="AQ58" i="26" s="1"/>
  <c r="AR49" i="26" a="1"/>
  <c r="AR49" i="26" s="1"/>
  <c r="G54" i="34" a="1"/>
  <c r="G54" i="34" s="1"/>
  <c r="F54" i="34" a="1"/>
  <c r="F54" i="34" s="1"/>
  <c r="K54" i="17"/>
  <c r="E58" i="26"/>
  <c r="Q50" i="26"/>
  <c r="AC50" i="26"/>
  <c r="AE50" i="26"/>
  <c r="AB50" i="26"/>
  <c r="AR50" i="26" l="1"/>
  <c r="AQ50" i="26"/>
  <c r="E54" i="34" a="1"/>
  <c r="E54" i="34" s="1"/>
  <c r="AP58" i="26" a="1"/>
  <c r="AP58" i="26" s="1"/>
  <c r="J45" i="34"/>
  <c r="K45" i="34"/>
  <c r="L54" i="17"/>
  <c r="M54" i="17" l="1"/>
  <c r="N54" i="17" l="1"/>
  <c r="O54" i="17"/>
  <c r="G21" i="98" l="1"/>
  <c r="G20" i="98"/>
  <c r="G19" i="98"/>
  <c r="G18" i="98"/>
  <c r="F21" i="98"/>
  <c r="F20" i="98"/>
  <c r="F19" i="98"/>
  <c r="F18" i="98"/>
  <c r="E21" i="98"/>
  <c r="E20" i="98"/>
  <c r="E19" i="98"/>
  <c r="E18" i="98"/>
  <c r="D21" i="98"/>
  <c r="D20" i="98"/>
  <c r="D19" i="98"/>
  <c r="D18" i="98"/>
  <c r="BF9" i="98" a="1"/>
  <c r="BF9" i="98" s="1"/>
  <c r="BF8" i="98" a="1"/>
  <c r="BF8" i="98" s="1"/>
  <c r="BD8" i="98" a="1"/>
  <c r="BD8" i="98" s="1"/>
  <c r="BE11" i="98" a="1"/>
  <c r="BE11" i="98" s="1"/>
  <c r="BE8" i="98" a="1"/>
  <c r="BE8" i="98" s="1"/>
  <c r="BC10" i="98" a="1"/>
  <c r="BC10" i="98" s="1"/>
  <c r="BC8" i="98" a="1"/>
  <c r="BC8" i="98" s="1"/>
  <c r="BF10" i="98" a="1"/>
  <c r="BF10" i="98" s="1"/>
  <c r="BF11" i="98" a="1"/>
  <c r="BF11" i="98" s="1"/>
  <c r="BD11" i="98" a="1"/>
  <c r="BD11" i="98" s="1"/>
  <c r="BD9" i="98" a="1"/>
  <c r="BD9" i="98" s="1"/>
  <c r="BD10" i="98" a="1"/>
  <c r="BD10" i="98" s="1"/>
  <c r="BE9" i="98" a="1"/>
  <c r="BE9" i="98" s="1"/>
  <c r="BC11" i="98" a="1"/>
  <c r="BC11" i="98" s="1"/>
  <c r="BC9" i="98" a="1"/>
  <c r="BC9" i="98" s="1"/>
  <c r="BE10" i="98" a="1"/>
  <c r="BE10" i="98" s="1"/>
  <c r="P54" i="17"/>
  <c r="H19" i="98" l="1"/>
  <c r="H20" i="98"/>
  <c r="G22" i="98"/>
  <c r="H21" i="98"/>
  <c r="F22" i="98"/>
  <c r="E22" i="98"/>
  <c r="H18" i="98"/>
  <c r="D22" i="98"/>
  <c r="D23" i="98" s="1"/>
  <c r="BG8" i="98"/>
  <c r="BC12" i="98"/>
  <c r="BE12" i="98"/>
  <c r="BD12" i="98"/>
  <c r="BG10" i="98"/>
  <c r="BG11" i="98"/>
  <c r="BG9" i="98"/>
  <c r="BF12" i="98"/>
  <c r="Q54" i="17"/>
  <c r="H22" i="98" l="1"/>
  <c r="E23" i="98"/>
  <c r="F23" i="98" s="1"/>
  <c r="G23" i="98" s="1"/>
  <c r="BG12" i="98"/>
  <c r="R54" i="17"/>
  <c r="S54" i="17" l="1"/>
  <c r="T54" i="17"/>
  <c r="R10" i="85"/>
  <c r="J10" i="85"/>
  <c r="N10" i="85"/>
  <c r="R1" i="85" a="1"/>
  <c r="R1" i="85" s="1"/>
  <c r="E14" i="9" a="1"/>
  <c r="E14" i="9" s="1"/>
  <c r="J1" i="85" a="1"/>
  <c r="J1" i="85" s="1"/>
  <c r="D12" i="9" s="1" a="1"/>
  <c r="D12" i="9" s="1"/>
  <c r="N1" i="85" a="1"/>
  <c r="N1" i="85" s="1"/>
  <c r="E12" i="9" s="1" a="1"/>
  <c r="E12" i="9" s="1"/>
  <c r="F14" i="9" a="1"/>
  <c r="F14" i="9" s="1"/>
  <c r="D7" i="9" a="1"/>
  <c r="D7" i="9" s="1"/>
  <c r="E13" i="9" a="1"/>
  <c r="E13" i="9" s="1"/>
  <c r="E15" i="9" a="1"/>
  <c r="E15" i="9" s="1"/>
  <c r="F15" i="9" a="1"/>
  <c r="F15" i="9" s="1"/>
  <c r="F7" i="9" a="1"/>
  <c r="F7" i="9" s="1"/>
  <c r="E7" i="9" a="1"/>
  <c r="E7" i="9" s="1"/>
  <c r="F13" i="9" a="1"/>
  <c r="F13" i="9" s="1"/>
  <c r="R3" i="85" a="1"/>
  <c r="R3" i="85" s="1"/>
  <c r="F6" i="9" s="1" a="1"/>
  <c r="F6" i="9" s="1"/>
  <c r="J3" i="85" a="1"/>
  <c r="J3" i="85" s="1"/>
  <c r="D6" i="9" s="1" a="1"/>
  <c r="D6" i="9" s="1"/>
  <c r="N3" i="85" a="1"/>
  <c r="N3" i="85" s="1"/>
  <c r="E6" i="9" s="1" a="1"/>
  <c r="E6" i="9" s="1"/>
  <c r="R5" i="85" a="1"/>
  <c r="R5" i="85" s="1"/>
  <c r="F8" i="9" s="1" a="1"/>
  <c r="F8" i="9" s="1"/>
  <c r="J5" i="85" a="1"/>
  <c r="J5" i="85" s="1"/>
  <c r="D8" i="9" s="1" a="1"/>
  <c r="D8" i="9" s="1"/>
  <c r="N5" i="85" a="1"/>
  <c r="N5" i="85" s="1"/>
  <c r="E8" i="9" s="1" a="1"/>
  <c r="E8" i="9" s="1"/>
  <c r="I10" i="9" l="1"/>
  <c r="I7" i="9"/>
  <c r="I6" i="9"/>
  <c r="I8" i="9"/>
  <c r="F10" i="85"/>
  <c r="Q10" i="34" s="1"/>
  <c r="F13" i="85"/>
  <c r="Q13" i="34" s="1"/>
  <c r="E13" i="34" s="1"/>
  <c r="F1" i="85"/>
  <c r="F4" i="85"/>
  <c r="Q4" i="34" s="1"/>
  <c r="E4" i="34" s="1"/>
  <c r="F3" i="85"/>
  <c r="Q3" i="34" s="1"/>
  <c r="F5" i="85"/>
  <c r="Q5" i="34" s="1"/>
  <c r="E5" i="34" s="1"/>
  <c r="I23" i="9" a="1"/>
  <c r="I23" i="9" s="1"/>
  <c r="D13" i="9" a="1"/>
  <c r="D13" i="9" s="1"/>
  <c r="I13" i="9" s="1"/>
  <c r="F12" i="85"/>
  <c r="Q12" i="34" s="1"/>
  <c r="E12" i="34" s="1"/>
  <c r="R7" i="85"/>
  <c r="J7" i="85"/>
  <c r="N7" i="85"/>
  <c r="U54" i="17"/>
  <c r="E22" i="9" a="1"/>
  <c r="E22" i="9" s="1"/>
  <c r="F12" i="9" a="1"/>
  <c r="F12" i="9" s="1"/>
  <c r="I12" i="9" s="1"/>
  <c r="D22" i="9" a="1"/>
  <c r="D22" i="9" s="1"/>
  <c r="D14" i="9" a="1"/>
  <c r="D14" i="9" s="1"/>
  <c r="I14" i="9" s="1"/>
  <c r="D15" i="9" a="1"/>
  <c r="D15" i="9" s="1"/>
  <c r="I15" i="9" s="1"/>
  <c r="F17" i="9"/>
  <c r="E17" i="9"/>
  <c r="D17" i="9"/>
  <c r="F22" i="9" a="1"/>
  <c r="F22" i="9" s="1"/>
  <c r="F35" i="9" l="1"/>
  <c r="C35" i="9"/>
  <c r="C36" i="9" s="1"/>
  <c r="D35" i="9"/>
  <c r="H35" i="9"/>
  <c r="H36" i="9" s="1"/>
  <c r="E35" i="9"/>
  <c r="Q1" i="34"/>
  <c r="Q16" i="34"/>
  <c r="E3" i="34"/>
  <c r="E7" i="34" s="1"/>
  <c r="Q7" i="34"/>
  <c r="F7" i="85"/>
  <c r="V54" i="17"/>
  <c r="E27" i="9"/>
  <c r="E26" i="9"/>
  <c r="D26" i="9"/>
  <c r="D27" i="9"/>
  <c r="I22" i="9"/>
  <c r="I35" i="9" s="1"/>
  <c r="F23" i="9" a="1"/>
  <c r="F23" i="9" s="1"/>
  <c r="E23" i="9" a="1"/>
  <c r="E23" i="9" s="1"/>
  <c r="D23" i="9" a="1"/>
  <c r="D23" i="9" s="1"/>
  <c r="I17" i="9"/>
  <c r="F27" i="9"/>
  <c r="F26" i="9"/>
  <c r="I27" i="9" l="1"/>
  <c r="I26" i="9"/>
  <c r="W54" i="17"/>
  <c r="D36" i="9"/>
  <c r="I36" i="9"/>
  <c r="F36" i="9"/>
  <c r="E36" i="9"/>
  <c r="X54" i="17" l="1"/>
  <c r="Y54" i="17" l="1"/>
  <c r="Z54" i="17" l="1"/>
  <c r="AA54" i="17" l="1"/>
  <c r="AB54" i="17" l="1"/>
  <c r="AC54" i="17" l="1"/>
  <c r="AD54" i="17" l="1"/>
  <c r="AE54" i="17" l="1"/>
  <c r="AF54" i="17" l="1"/>
  <c r="AG54" i="17" l="1"/>
  <c r="AH54" i="17" l="1"/>
  <c r="AI54" i="17" l="1"/>
  <c r="AJ54" i="17" l="1"/>
  <c r="AK54" i="17" l="1"/>
  <c r="AL54" i="17" l="1"/>
  <c r="AN54" i="17"/>
  <c r="AM54" i="17" l="1"/>
  <c r="E52" i="17" l="1"/>
  <c r="E53" i="17" s="1"/>
  <c r="E59" i="17"/>
  <c r="E49" i="78" l="1"/>
  <c r="DY4" i="69" a="1"/>
  <c r="E60" i="17" a="1"/>
  <c r="E60" i="17" s="1"/>
  <c r="E54" i="17"/>
  <c r="P58" i="27"/>
  <c r="W58" i="27"/>
  <c r="T58" i="27"/>
  <c r="AI58" i="27"/>
  <c r="Z58" i="27"/>
  <c r="S58" i="27"/>
  <c r="Y52" i="27"/>
  <c r="Y53" i="27" s="1"/>
  <c r="Z52" i="27"/>
  <c r="Z53" i="27" s="1"/>
  <c r="AL52" i="27"/>
  <c r="AL53" i="27" s="1"/>
  <c r="AG58" i="27"/>
  <c r="I58" i="27"/>
  <c r="AF52" i="27"/>
  <c r="AF53" i="27" s="1"/>
  <c r="AB58" i="27"/>
  <c r="P52" i="27"/>
  <c r="P53" i="27" s="1"/>
  <c r="Q52" i="27"/>
  <c r="Q53" i="27" s="1"/>
  <c r="S52" i="27"/>
  <c r="S53" i="27" s="1"/>
  <c r="T52" i="27"/>
  <c r="T53" i="27" s="1"/>
  <c r="AM58" i="27"/>
  <c r="U52" i="27"/>
  <c r="U53" i="27" s="1"/>
  <c r="O52" i="27"/>
  <c r="O53" i="27" s="1"/>
  <c r="R58" i="27"/>
  <c r="N58" i="27"/>
  <c r="AE58" i="27"/>
  <c r="G52" i="27"/>
  <c r="G53" i="27" s="1"/>
  <c r="H52" i="27"/>
  <c r="H53" i="27" s="1"/>
  <c r="N52" i="27"/>
  <c r="N53" i="27" s="1"/>
  <c r="I52" i="27"/>
  <c r="I53" i="27" s="1"/>
  <c r="J52" i="27"/>
  <c r="J53" i="27" s="1"/>
  <c r="K52" i="27"/>
  <c r="K53" i="27" s="1"/>
  <c r="AK52" i="27"/>
  <c r="AK53" i="27" s="1"/>
  <c r="Y58" i="27"/>
  <c r="J58" i="27"/>
  <c r="L52" i="27"/>
  <c r="L53" i="27" s="1"/>
  <c r="M52" i="27"/>
  <c r="M53" i="27" s="1"/>
  <c r="AJ52" i="27"/>
  <c r="AJ53" i="27" s="1"/>
  <c r="X58" i="27"/>
  <c r="AC58" i="27"/>
  <c r="AI52" i="27"/>
  <c r="AI53" i="27" s="1"/>
  <c r="AH52" i="27"/>
  <c r="AH53" i="27" s="1"/>
  <c r="AG52" i="27"/>
  <c r="AG53" i="27" s="1"/>
  <c r="F52" i="27"/>
  <c r="F53" i="27" s="1"/>
  <c r="AE52" i="27"/>
  <c r="AE53" i="27" s="1"/>
  <c r="O58" i="27"/>
  <c r="AD52" i="27"/>
  <c r="AD53" i="27" s="1"/>
  <c r="AC52" i="27"/>
  <c r="AC53" i="27" s="1"/>
  <c r="AB52" i="27"/>
  <c r="AB53" i="27" s="1"/>
  <c r="AA52" i="27"/>
  <c r="AA53" i="27" s="1"/>
  <c r="AM52" i="27"/>
  <c r="AM53" i="27" s="1"/>
  <c r="V52" i="27"/>
  <c r="V53" i="27" s="1"/>
  <c r="G58" i="27"/>
  <c r="AF58" i="27"/>
  <c r="AD58" i="27"/>
  <c r="K58" i="27"/>
  <c r="AN58" i="27"/>
  <c r="H58" i="27"/>
  <c r="AK58" i="27"/>
  <c r="Q58" i="27"/>
  <c r="AL58" i="27"/>
  <c r="AJ58" i="27"/>
  <c r="R52" i="27"/>
  <c r="R53" i="27" s="1"/>
  <c r="M58" i="27"/>
  <c r="W52" i="27"/>
  <c r="W53" i="27" s="1"/>
  <c r="AH58" i="27"/>
  <c r="F58" i="27"/>
  <c r="L58" i="27"/>
  <c r="U58" i="27"/>
  <c r="AA58" i="27"/>
  <c r="V58" i="27"/>
  <c r="X52" i="27"/>
  <c r="X53" i="27" s="1"/>
  <c r="AN52" i="27"/>
  <c r="AN53" i="27" s="1"/>
  <c r="AN44" i="85" l="1" a="1"/>
  <c r="AN44" i="85" s="1"/>
  <c r="AN45" i="85" s="1"/>
  <c r="AH44" i="85" a="1"/>
  <c r="AH44" i="85" s="1"/>
  <c r="AA44" i="85" a="1"/>
  <c r="AA44" i="85" s="1"/>
  <c r="X44" i="84" a="1"/>
  <c r="X44" i="84" s="1"/>
  <c r="V44" i="84" a="1"/>
  <c r="V44" i="84" s="1"/>
  <c r="S44" i="84" a="1"/>
  <c r="S44" i="84" s="1"/>
  <c r="S45" i="84" s="1"/>
  <c r="K44" i="84" a="1"/>
  <c r="K44" i="84" s="1"/>
  <c r="W44" i="84" a="1"/>
  <c r="W44" i="84" s="1"/>
  <c r="T44" i="84" a="1"/>
  <c r="T44" i="84" s="1"/>
  <c r="T45" i="84" s="1"/>
  <c r="R44" i="84" a="1"/>
  <c r="R44" i="84" s="1"/>
  <c r="L44" i="84" a="1"/>
  <c r="L44" i="84" s="1"/>
  <c r="J44" i="84" a="1"/>
  <c r="J44" i="84" s="1"/>
  <c r="AM44" i="85" a="1"/>
  <c r="AM44" i="85" s="1"/>
  <c r="AM45" i="85" s="1"/>
  <c r="AF44" i="85" a="1"/>
  <c r="AF44" i="85" s="1"/>
  <c r="Z44" i="85" a="1"/>
  <c r="Z44" i="85" s="1"/>
  <c r="AL44" i="85" a="1"/>
  <c r="AL44" i="85" s="1"/>
  <c r="AL45" i="85" s="1"/>
  <c r="AE44" i="85" a="1"/>
  <c r="AE44" i="85" s="1"/>
  <c r="X44" i="85" a="1"/>
  <c r="X44" i="85" s="1"/>
  <c r="AJ44" i="85" a="1"/>
  <c r="AJ44" i="85" s="1"/>
  <c r="AJ45" i="85" s="1"/>
  <c r="AB44" i="85" a="1"/>
  <c r="AB44" i="85" s="1"/>
  <c r="V44" i="85" a="1"/>
  <c r="V44" i="85" s="1"/>
  <c r="AI44" i="85" a="1"/>
  <c r="AI44" i="85" s="1"/>
  <c r="AI45" i="85" s="1"/>
  <c r="AD44" i="85" a="1"/>
  <c r="AD44" i="85" s="1"/>
  <c r="W44" i="85" a="1"/>
  <c r="W44" i="85" s="1"/>
  <c r="AH45" i="85"/>
  <c r="V45" i="84"/>
  <c r="W45" i="84"/>
  <c r="X45" i="84"/>
  <c r="E50" i="78"/>
  <c r="E52" i="78" s="1"/>
  <c r="E49" i="26"/>
  <c r="N52" i="22"/>
  <c r="N53" i="22" s="1"/>
  <c r="U52" i="22"/>
  <c r="U53" i="22" s="1"/>
  <c r="T52" i="22"/>
  <c r="T53" i="22" s="1"/>
  <c r="S52" i="22"/>
  <c r="S53" i="22" s="1"/>
  <c r="R52" i="22"/>
  <c r="R53" i="22" s="1"/>
  <c r="Q52" i="22"/>
  <c r="Q53" i="22" s="1"/>
  <c r="P52" i="22"/>
  <c r="P53" i="22" s="1"/>
  <c r="O52" i="22"/>
  <c r="O53" i="22" s="1"/>
  <c r="AE52" i="22"/>
  <c r="AE53" i="22" s="1"/>
  <c r="L52" i="22"/>
  <c r="L53" i="22" s="1"/>
  <c r="AN52" i="22"/>
  <c r="AN53" i="22" s="1"/>
  <c r="J52" i="22"/>
  <c r="J53" i="22" s="1"/>
  <c r="G52" i="22"/>
  <c r="G53" i="22" s="1"/>
  <c r="AL52" i="22"/>
  <c r="AL53" i="22" s="1"/>
  <c r="F58" i="22"/>
  <c r="G58" i="22"/>
  <c r="H58" i="22"/>
  <c r="I58" i="22"/>
  <c r="J58" i="22"/>
  <c r="K58" i="22"/>
  <c r="L58" i="22"/>
  <c r="M58" i="22"/>
  <c r="N58" i="22"/>
  <c r="O58" i="22"/>
  <c r="Z58" i="22"/>
  <c r="AA58" i="22"/>
  <c r="AB58" i="22"/>
  <c r="AC58" i="22"/>
  <c r="R58" i="22"/>
  <c r="S58" i="22"/>
  <c r="T58" i="22"/>
  <c r="U58" i="22"/>
  <c r="V58" i="22"/>
  <c r="W58" i="22"/>
  <c r="X58" i="22"/>
  <c r="Y58" i="22"/>
  <c r="AD58" i="22"/>
  <c r="AE58" i="22"/>
  <c r="AF58" i="22"/>
  <c r="AG58" i="22"/>
  <c r="AH58" i="22"/>
  <c r="AI58" i="22"/>
  <c r="AJ58" i="22"/>
  <c r="AK58" i="22"/>
  <c r="AL58" i="22"/>
  <c r="AM58" i="22"/>
  <c r="AN58" i="22"/>
  <c r="Q58" i="22"/>
  <c r="P58" i="22"/>
  <c r="X52" i="22"/>
  <c r="X53" i="22" s="1"/>
  <c r="AJ52" i="22"/>
  <c r="AJ53" i="22" s="1"/>
  <c r="AH52" i="22"/>
  <c r="AH53" i="22" s="1"/>
  <c r="AM52" i="22"/>
  <c r="AM53" i="22" s="1"/>
  <c r="AF52" i="22"/>
  <c r="AF53" i="22" s="1"/>
  <c r="F52" i="22"/>
  <c r="F53" i="22" s="1"/>
  <c r="H52" i="22"/>
  <c r="H53" i="22" s="1"/>
  <c r="AB52" i="22"/>
  <c r="AB53" i="22" s="1"/>
  <c r="AK52" i="22"/>
  <c r="AK53" i="22" s="1"/>
  <c r="K52" i="22"/>
  <c r="K53" i="22" s="1"/>
  <c r="AI52" i="22"/>
  <c r="AI53" i="22" s="1"/>
  <c r="M52" i="22"/>
  <c r="M53" i="22" s="1"/>
  <c r="AD52" i="22"/>
  <c r="AD53" i="22" s="1"/>
  <c r="AC52" i="22"/>
  <c r="AC53" i="22" s="1"/>
  <c r="AG52" i="22"/>
  <c r="AG53" i="22" s="1"/>
  <c r="AA52" i="22"/>
  <c r="AA53" i="22" s="1"/>
  <c r="Z52" i="22"/>
  <c r="Z53" i="22" s="1"/>
  <c r="Y52" i="22"/>
  <c r="Y53" i="22" s="1"/>
  <c r="I52" i="22"/>
  <c r="I53" i="22" s="1"/>
  <c r="W52" i="22"/>
  <c r="W53" i="22" s="1"/>
  <c r="V52" i="22"/>
  <c r="V53" i="22" s="1"/>
  <c r="DY4" i="69"/>
  <c r="E58" i="27"/>
  <c r="E59" i="27" s="1" a="1"/>
  <c r="E59" i="27" s="1"/>
  <c r="E52" i="27"/>
  <c r="P44" i="84" l="1" a="1"/>
  <c r="P44" i="84" s="1"/>
  <c r="N44" i="84" a="1"/>
  <c r="N44" i="84" s="1"/>
  <c r="O44" i="84" a="1"/>
  <c r="O44" i="84" s="1"/>
  <c r="AP49" i="26" a="1"/>
  <c r="AP49" i="26" s="1"/>
  <c r="AP50" i="26" s="1"/>
  <c r="Z45" i="85"/>
  <c r="N44" i="85"/>
  <c r="X18" i="98" s="1"/>
  <c r="X20" i="98" s="1"/>
  <c r="AD45" i="85"/>
  <c r="R44" i="85"/>
  <c r="Y18" i="98" s="1"/>
  <c r="Y20" i="98" s="1"/>
  <c r="V45" i="85"/>
  <c r="J44" i="85"/>
  <c r="W18" i="98" s="1"/>
  <c r="W20" i="98" s="1"/>
  <c r="X45" i="85"/>
  <c r="L44" i="85"/>
  <c r="AB45" i="85"/>
  <c r="P44" i="85"/>
  <c r="K45" i="84"/>
  <c r="AF45" i="85"/>
  <c r="T44" i="85"/>
  <c r="AE45" i="85"/>
  <c r="S44" i="85"/>
  <c r="S45" i="85" s="1"/>
  <c r="L45" i="84"/>
  <c r="AA45" i="85"/>
  <c r="O44" i="85"/>
  <c r="O45" i="85" s="1"/>
  <c r="W45" i="85"/>
  <c r="K44" i="85"/>
  <c r="J45" i="84"/>
  <c r="O28" i="9"/>
  <c r="O29" i="9" s="1"/>
  <c r="M28" i="9"/>
  <c r="M29" i="9" s="1"/>
  <c r="E50" i="26"/>
  <c r="R45" i="84"/>
  <c r="L28" i="9"/>
  <c r="L29" i="9" s="1"/>
  <c r="N28" i="9"/>
  <c r="N29" i="9" s="1"/>
  <c r="E52" i="22"/>
  <c r="E58" i="22"/>
  <c r="E59" i="22" s="1" a="1"/>
  <c r="E59" i="22" s="1"/>
  <c r="E53" i="78"/>
  <c r="E53" i="27"/>
  <c r="N45" i="85" l="1"/>
  <c r="R45" i="85"/>
  <c r="E28" i="9" a="1"/>
  <c r="E28" i="9" s="1"/>
  <c r="E29" i="9" s="1"/>
  <c r="P45" i="85"/>
  <c r="F44" i="85"/>
  <c r="J45" i="85"/>
  <c r="D28" i="9" a="1"/>
  <c r="D28" i="9" s="1"/>
  <c r="D29" i="9" s="1"/>
  <c r="L45" i="85"/>
  <c r="T45" i="85"/>
  <c r="F28" i="9" a="1"/>
  <c r="F28" i="9" s="1"/>
  <c r="F29" i="9" s="1"/>
  <c r="G44" i="85"/>
  <c r="K45" i="85"/>
  <c r="H44" i="85"/>
  <c r="P45" i="84"/>
  <c r="H44" i="84"/>
  <c r="O45" i="84"/>
  <c r="G44" i="84"/>
  <c r="N45" i="84"/>
  <c r="F44" i="84"/>
  <c r="I31" i="34" a="1"/>
  <c r="E53" i="22"/>
  <c r="V18" i="98" l="1"/>
  <c r="C28" i="9" a="1"/>
  <c r="C28" i="9" s="1"/>
  <c r="H28" i="9" s="1"/>
  <c r="C27" i="9"/>
  <c r="I28" i="9"/>
  <c r="I29" i="9" s="1"/>
  <c r="F45" i="85"/>
  <c r="Q44" i="34"/>
  <c r="Q45" i="34" s="1"/>
  <c r="G45" i="85"/>
  <c r="R44" i="34"/>
  <c r="R45" i="34" s="1"/>
  <c r="H45" i="85"/>
  <c r="S44" i="34"/>
  <c r="S45" i="34" s="1"/>
  <c r="I31" i="34"/>
  <c r="I32" i="34" s="1"/>
  <c r="H45" i="84"/>
  <c r="O44" i="34"/>
  <c r="G45" i="84"/>
  <c r="N44" i="34"/>
  <c r="F45" i="84"/>
  <c r="M44" i="34"/>
  <c r="M45" i="34" s="1"/>
  <c r="V20" i="98" l="1"/>
  <c r="U6" i="98"/>
  <c r="U22" i="98" s="1"/>
  <c r="U23" i="98" s="1"/>
  <c r="H27" i="9"/>
  <c r="H29" i="9" s="1"/>
  <c r="C29" i="9"/>
  <c r="O45" i="34"/>
  <c r="G44" i="34"/>
  <c r="N45" i="34"/>
  <c r="F44" i="34"/>
  <c r="F45" i="34" s="1"/>
  <c r="E44" i="34"/>
  <c r="E59" i="78"/>
  <c r="G45" i="34" l="1"/>
  <c r="E61" i="78"/>
  <c r="E62" i="78" l="1" a="1"/>
  <c r="E62" i="78" s="1"/>
  <c r="E66" i="78"/>
  <c r="E67" i="78" l="1"/>
  <c r="E69" i="78"/>
  <c r="F66" i="78" s="1"/>
  <c r="E70" i="78"/>
  <c r="F70" i="78" l="1"/>
  <c r="F69" i="78"/>
  <c r="G66" i="78" s="1"/>
  <c r="G70" i="78" s="1"/>
  <c r="E54" i="78"/>
  <c r="G69" i="78" l="1"/>
  <c r="H66" i="78" s="1"/>
  <c r="E56" i="78"/>
  <c r="F65" i="78"/>
  <c r="F67" i="78" s="1"/>
  <c r="F54" i="78" l="1"/>
  <c r="H70" i="78"/>
  <c r="H69" i="78"/>
  <c r="I66" i="78" s="1"/>
  <c r="I70" i="78" s="1"/>
  <c r="F56" i="78" l="1"/>
  <c r="G65" i="78"/>
  <c r="G67" i="78" s="1"/>
  <c r="I69" i="78"/>
  <c r="J66" i="78" s="1"/>
  <c r="G54" i="78" l="1"/>
  <c r="J70" i="78"/>
  <c r="J69" i="78"/>
  <c r="K66" i="78" s="1"/>
  <c r="G56" i="78" l="1"/>
  <c r="H65" i="78"/>
  <c r="H67" i="78" s="1"/>
  <c r="K70" i="78"/>
  <c r="K69" i="78"/>
  <c r="H54" i="78" l="1"/>
  <c r="H56" i="78" l="1"/>
  <c r="I65" i="78"/>
  <c r="I67" i="78" s="1"/>
  <c r="I54" i="78" l="1"/>
  <c r="I56" i="78" l="1"/>
  <c r="J65" i="78"/>
  <c r="J67" i="78" s="1"/>
  <c r="J54" i="78" l="1"/>
  <c r="J56" i="78" l="1"/>
  <c r="K65" i="78"/>
  <c r="K67" i="78" s="1"/>
  <c r="K54" i="78" l="1"/>
  <c r="K56" i="78" l="1"/>
  <c r="L65" i="78"/>
  <c r="L66" i="78" s="1"/>
  <c r="L67" i="78" l="1"/>
  <c r="L54" i="78" s="1"/>
  <c r="L70" i="78"/>
  <c r="L69" i="78"/>
  <c r="L56" i="78" l="1"/>
  <c r="M65" i="78"/>
  <c r="M66" i="78" s="1"/>
  <c r="M67" i="78" l="1"/>
  <c r="M54" i="78" s="1"/>
  <c r="M69" i="78"/>
  <c r="M70" i="78"/>
  <c r="M56" i="78" l="1"/>
  <c r="N65" i="78"/>
  <c r="N66" i="78" s="1"/>
  <c r="N67" i="78" l="1"/>
  <c r="N54" i="78" s="1"/>
  <c r="N70" i="78"/>
  <c r="N69" i="78"/>
  <c r="N56" i="78" l="1"/>
  <c r="O65" i="78"/>
  <c r="O66" i="78" s="1"/>
  <c r="O67" i="78" l="1"/>
  <c r="O70" i="78"/>
  <c r="O69" i="78"/>
  <c r="O54" i="78" l="1"/>
  <c r="O56" i="78" l="1"/>
  <c r="P65" i="78"/>
  <c r="P66" i="78" s="1"/>
  <c r="P70" i="78" l="1"/>
  <c r="P69" i="78"/>
  <c r="P67" i="78"/>
  <c r="P54" i="78" s="1"/>
  <c r="P56" i="78" l="1"/>
  <c r="Q65" i="78"/>
  <c r="Q66" i="78" s="1"/>
  <c r="Q67" i="78" l="1"/>
  <c r="Q70" i="78"/>
  <c r="Q69" i="78"/>
  <c r="Q54" i="78" l="1"/>
  <c r="Q56" i="78" l="1"/>
  <c r="R65" i="78"/>
  <c r="R66" i="78" s="1"/>
  <c r="R67" i="78" l="1"/>
  <c r="R70" i="78"/>
  <c r="R69" i="78"/>
  <c r="R54" i="78" l="1"/>
  <c r="R56" i="78" l="1"/>
  <c r="S65" i="78"/>
  <c r="S66" i="78" s="1"/>
  <c r="S67" i="78" l="1"/>
  <c r="S70" i="78"/>
  <c r="S69" i="78"/>
  <c r="S54" i="78" l="1"/>
  <c r="S56" i="78" l="1"/>
  <c r="T65" i="78"/>
  <c r="T66" i="78" s="1"/>
  <c r="T67" i="78" l="1"/>
  <c r="T70" i="78"/>
  <c r="T69" i="78"/>
  <c r="T54" i="78" l="1"/>
  <c r="T56" i="78" l="1"/>
  <c r="U65" i="78"/>
  <c r="U66" i="78" s="1"/>
  <c r="U67" i="78" l="1"/>
  <c r="U70" i="78"/>
  <c r="U69" i="78"/>
  <c r="U54" i="78" l="1"/>
  <c r="U56" i="78" l="1"/>
  <c r="V65" i="78"/>
  <c r="V66" i="78" s="1"/>
  <c r="V67" i="78" l="1"/>
  <c r="V70" i="78"/>
  <c r="V69" i="78"/>
  <c r="V54" i="78" l="1"/>
  <c r="V56" i="78" l="1"/>
  <c r="W65" i="78"/>
  <c r="W66" i="78" s="1"/>
  <c r="W67" i="78" l="1"/>
  <c r="W70" i="78"/>
  <c r="W69" i="78"/>
  <c r="W54" i="78" l="1"/>
  <c r="W56" i="78" l="1"/>
  <c r="X65" i="78"/>
  <c r="X66" i="78" s="1"/>
  <c r="X67" i="78" l="1"/>
  <c r="X70" i="78"/>
  <c r="X69" i="78"/>
  <c r="X54" i="78" l="1"/>
  <c r="X56" i="78" l="1"/>
  <c r="Y65" i="78"/>
  <c r="Y66" i="78" s="1"/>
  <c r="Y67" i="78" l="1"/>
  <c r="Y70" i="78"/>
  <c r="Y69" i="78"/>
  <c r="Y54" i="78" l="1"/>
  <c r="Y56" i="78" l="1"/>
  <c r="Z65" i="78"/>
  <c r="Z66" i="78" s="1"/>
  <c r="Z67" i="78" l="1"/>
  <c r="Z70" i="78"/>
  <c r="Z69" i="78"/>
  <c r="Z54" i="78" l="1"/>
  <c r="Z56" i="78" l="1"/>
  <c r="AA65" i="78"/>
  <c r="AA66" i="78" s="1"/>
  <c r="AA67" i="78" l="1"/>
  <c r="AA70" i="78"/>
  <c r="AA69" i="78"/>
  <c r="AA54" i="78" l="1"/>
  <c r="AA56" i="78" l="1"/>
  <c r="AB65" i="78"/>
  <c r="AB66" i="78" s="1"/>
  <c r="AB67" i="78" l="1"/>
  <c r="AB70" i="78"/>
  <c r="AB69" i="78"/>
  <c r="AB54" i="78" l="1"/>
  <c r="AB56" i="78" l="1"/>
  <c r="AC65" i="78"/>
  <c r="AC66" i="78" s="1"/>
  <c r="AC67" i="78" l="1"/>
  <c r="AC70" i="78"/>
  <c r="AC69" i="78"/>
  <c r="AC54" i="78" l="1"/>
  <c r="AC56" i="78" l="1"/>
  <c r="AD65" i="78"/>
  <c r="AD66" i="78" s="1"/>
  <c r="AD67" i="78" l="1"/>
  <c r="AD70" i="78"/>
  <c r="AD69" i="78"/>
  <c r="AD54" i="78" l="1"/>
  <c r="AD56" i="78" l="1"/>
  <c r="AE65" i="78"/>
  <c r="AE66" i="78" s="1"/>
  <c r="AE67" i="78" l="1"/>
  <c r="AE70" i="78"/>
  <c r="AE69" i="78"/>
  <c r="AE54" i="78" l="1"/>
  <c r="AE56" i="78" l="1"/>
  <c r="AF65" i="78"/>
  <c r="AF66" i="78" s="1"/>
  <c r="AF67" i="78" l="1"/>
  <c r="AF70" i="78"/>
  <c r="AF69" i="78"/>
  <c r="AF54" i="78" l="1"/>
  <c r="AF56" i="78" l="1"/>
  <c r="AG65" i="78"/>
  <c r="AG66" i="78" s="1"/>
  <c r="AG67" i="78" l="1"/>
  <c r="AG70" i="78"/>
  <c r="AG69" i="78"/>
  <c r="AG54" i="78" l="1"/>
  <c r="AG56" i="78" l="1"/>
  <c r="AH65" i="78"/>
  <c r="AH66" i="78" s="1"/>
  <c r="AH67" i="78" l="1"/>
  <c r="AH70" i="78"/>
  <c r="AH69" i="78"/>
  <c r="AH54" i="78" l="1"/>
  <c r="AH56" i="78" l="1"/>
  <c r="AI65" i="78"/>
  <c r="AI66" i="78" s="1"/>
  <c r="AI67" i="78" l="1"/>
  <c r="AI70" i="78"/>
  <c r="AI69" i="78"/>
  <c r="AI54" i="78" l="1"/>
  <c r="AI56" i="78" l="1"/>
  <c r="AJ65" i="78"/>
  <c r="AJ66" i="78" s="1"/>
  <c r="AJ67" i="78" l="1"/>
  <c r="AJ70" i="78"/>
  <c r="AJ69" i="78"/>
  <c r="AJ54" i="78" l="1"/>
  <c r="AJ56" i="78" l="1"/>
  <c r="AK65" i="78"/>
  <c r="AK66" i="78" s="1"/>
  <c r="AK67" i="78" l="1"/>
  <c r="AK70" i="78"/>
  <c r="AK69" i="78"/>
  <c r="AK54" i="78" l="1"/>
  <c r="AK56" i="78" l="1"/>
  <c r="AL65" i="78"/>
  <c r="AL66" i="78" s="1"/>
  <c r="AL67" i="78" l="1"/>
  <c r="AL70" i="78"/>
  <c r="AL69" i="78"/>
  <c r="AL54" i="78" l="1"/>
  <c r="AL56" i="78" l="1"/>
  <c r="AM65" i="78"/>
  <c r="AM66" i="78" s="1"/>
  <c r="AM67" i="78" l="1"/>
  <c r="AM70" i="78"/>
  <c r="AM69" i="78"/>
  <c r="AM54" i="78" l="1"/>
  <c r="AM56" i="78" l="1"/>
  <c r="AN65" i="78"/>
  <c r="AN66" i="78" s="1"/>
  <c r="AN67" i="78" l="1"/>
  <c r="AN54" i="78" s="1"/>
  <c r="AN56" i="78" s="1"/>
  <c r="AN70" i="78"/>
  <c r="AN69" i="78"/>
  <c r="W36" i="26" l="1"/>
  <c r="V36" i="26"/>
  <c r="AN36" i="26"/>
  <c r="AM36" i="26"/>
  <c r="AL36" i="26"/>
  <c r="AK36" i="26"/>
  <c r="AJ36" i="26"/>
  <c r="AI36" i="26"/>
  <c r="AH36" i="26"/>
  <c r="AG36" i="26"/>
  <c r="AF36" i="26"/>
  <c r="AE36" i="26"/>
  <c r="AD36" i="26"/>
  <c r="AC36" i="26"/>
  <c r="AB36" i="26"/>
  <c r="AA36" i="26"/>
  <c r="Z36" i="26"/>
  <c r="Y36" i="26"/>
  <c r="X36" i="26"/>
  <c r="U36" i="26"/>
  <c r="T36" i="26"/>
  <c r="R36" i="26"/>
  <c r="Q36" i="26"/>
  <c r="P36" i="26"/>
  <c r="O36" i="26"/>
  <c r="N36" i="26"/>
  <c r="M36" i="26"/>
  <c r="S36" i="26"/>
  <c r="K36" i="26"/>
  <c r="J36" i="26"/>
  <c r="I36" i="26"/>
  <c r="H36" i="26"/>
  <c r="G36" i="26"/>
  <c r="F36" i="26"/>
  <c r="L36" i="26"/>
  <c r="I58" i="81"/>
  <c r="AJ58" i="81"/>
  <c r="AE58" i="81"/>
  <c r="Y58" i="81"/>
  <c r="T58" i="81"/>
  <c r="O58" i="81"/>
  <c r="AN58" i="81"/>
  <c r="AI58" i="81"/>
  <c r="AC58" i="81"/>
  <c r="W58" i="81"/>
  <c r="R58" i="81"/>
  <c r="M58" i="81"/>
  <c r="AK58" i="81"/>
  <c r="AF58" i="81"/>
  <c r="AA58" i="81"/>
  <c r="U58" i="81"/>
  <c r="P58" i="81"/>
  <c r="K58" i="81"/>
  <c r="X58" i="81"/>
  <c r="AM58" i="81"/>
  <c r="AH58" i="81"/>
  <c r="AD58" i="81"/>
  <c r="S58" i="81"/>
  <c r="N58" i="81"/>
  <c r="Z58" i="81"/>
  <c r="AL58" i="81"/>
  <c r="AB58" i="81"/>
  <c r="Q58" i="81"/>
  <c r="AG58" i="81"/>
  <c r="V58" i="81"/>
  <c r="L58" i="81"/>
  <c r="F52" i="81"/>
  <c r="F53" i="81" s="1"/>
  <c r="G52" i="81"/>
  <c r="G53" i="81" s="1"/>
  <c r="H52" i="81"/>
  <c r="H53" i="81" s="1"/>
  <c r="I52" i="81"/>
  <c r="I53" i="81" s="1"/>
  <c r="J52" i="81"/>
  <c r="J53" i="81" s="1"/>
  <c r="K52" i="81"/>
  <c r="K53" i="81" s="1"/>
  <c r="L52" i="81"/>
  <c r="L53" i="81" s="1"/>
  <c r="M52" i="81"/>
  <c r="M53" i="81" s="1"/>
  <c r="N52" i="81"/>
  <c r="N53" i="81" s="1"/>
  <c r="O52" i="81"/>
  <c r="O53" i="81" s="1"/>
  <c r="P52" i="81"/>
  <c r="P53" i="81" s="1"/>
  <c r="Q52" i="81"/>
  <c r="Q53" i="81" s="1"/>
  <c r="R52" i="81"/>
  <c r="R53" i="81" s="1"/>
  <c r="S52" i="81"/>
  <c r="S53" i="81" s="1"/>
  <c r="T52" i="81"/>
  <c r="T53" i="81" s="1"/>
  <c r="U52" i="81"/>
  <c r="U53" i="81" s="1"/>
  <c r="V52" i="81"/>
  <c r="V53" i="81" s="1"/>
  <c r="W52" i="81"/>
  <c r="W53" i="81" s="1"/>
  <c r="X52" i="81"/>
  <c r="X53" i="81" s="1"/>
  <c r="Y52" i="81"/>
  <c r="Y53" i="81" s="1"/>
  <c r="Z52" i="81"/>
  <c r="Z53" i="81" s="1"/>
  <c r="AA52" i="81"/>
  <c r="AA53" i="81" s="1"/>
  <c r="AB52" i="81"/>
  <c r="AB53" i="81" s="1"/>
  <c r="AC52" i="81"/>
  <c r="AC53" i="81" s="1"/>
  <c r="AD52" i="81"/>
  <c r="AD53" i="81" s="1"/>
  <c r="AE52" i="81"/>
  <c r="AE53" i="81" s="1"/>
  <c r="AF52" i="81"/>
  <c r="AF53" i="81" s="1"/>
  <c r="AG52" i="81"/>
  <c r="AG53" i="81" s="1"/>
  <c r="AH52" i="81"/>
  <c r="AH53" i="81" s="1"/>
  <c r="AI52" i="81"/>
  <c r="AI53" i="81" s="1"/>
  <c r="AJ52" i="81"/>
  <c r="AJ53" i="81" s="1"/>
  <c r="AK52" i="81"/>
  <c r="AK53" i="81" s="1"/>
  <c r="AL52" i="81"/>
  <c r="AL53" i="81" s="1"/>
  <c r="AM52" i="81"/>
  <c r="AM53" i="81" s="1"/>
  <c r="AN52" i="81"/>
  <c r="AN53" i="81" s="1"/>
  <c r="AN58" i="80"/>
  <c r="AG58" i="80"/>
  <c r="Z58" i="80"/>
  <c r="R58" i="80"/>
  <c r="AL58" i="80"/>
  <c r="AA58" i="80"/>
  <c r="S58" i="80"/>
  <c r="K58" i="80"/>
  <c r="AH58" i="80"/>
  <c r="Y58" i="80"/>
  <c r="M58" i="80"/>
  <c r="AJ58" i="80"/>
  <c r="AD58" i="80"/>
  <c r="V58" i="80"/>
  <c r="N58" i="80"/>
  <c r="AE58" i="80"/>
  <c r="W58" i="80"/>
  <c r="O58" i="80"/>
  <c r="AK58" i="80"/>
  <c r="AC58" i="80"/>
  <c r="U58" i="80"/>
  <c r="Q58" i="80"/>
  <c r="AM58" i="80"/>
  <c r="AI58" i="80"/>
  <c r="AF58" i="80"/>
  <c r="AB58" i="80"/>
  <c r="X58" i="80"/>
  <c r="T58" i="80"/>
  <c r="P58" i="80"/>
  <c r="L58" i="80"/>
  <c r="F52" i="80"/>
  <c r="F53" i="80" s="1"/>
  <c r="G52" i="80"/>
  <c r="G53" i="80" s="1"/>
  <c r="H52" i="80"/>
  <c r="H53" i="80" s="1"/>
  <c r="I52" i="80"/>
  <c r="I53" i="80" s="1"/>
  <c r="J52" i="80"/>
  <c r="J53" i="80" s="1"/>
  <c r="K52" i="80"/>
  <c r="K53" i="80" s="1"/>
  <c r="L52" i="80"/>
  <c r="L53" i="80" s="1"/>
  <c r="M52" i="80"/>
  <c r="M53" i="80" s="1"/>
  <c r="N52" i="80"/>
  <c r="N53" i="80" s="1"/>
  <c r="O52" i="80"/>
  <c r="O53" i="80" s="1"/>
  <c r="P52" i="80"/>
  <c r="P53" i="80" s="1"/>
  <c r="Q52" i="80"/>
  <c r="Q53" i="80" s="1"/>
  <c r="R52" i="80"/>
  <c r="R53" i="80" s="1"/>
  <c r="S52" i="80"/>
  <c r="S53" i="80" s="1"/>
  <c r="T52" i="80"/>
  <c r="T53" i="80" s="1"/>
  <c r="U52" i="80"/>
  <c r="U53" i="80" s="1"/>
  <c r="V52" i="80"/>
  <c r="V53" i="80" s="1"/>
  <c r="W52" i="80"/>
  <c r="W53" i="80" s="1"/>
  <c r="X52" i="80"/>
  <c r="X53" i="80" s="1"/>
  <c r="Y52" i="80"/>
  <c r="Y53" i="80" s="1"/>
  <c r="Z52" i="80"/>
  <c r="Z53" i="80" s="1"/>
  <c r="AA52" i="80"/>
  <c r="AA53" i="80" s="1"/>
  <c r="AB52" i="80"/>
  <c r="AB53" i="80" s="1"/>
  <c r="AC52" i="80"/>
  <c r="AC53" i="80" s="1"/>
  <c r="AD52" i="80"/>
  <c r="AD53" i="80" s="1"/>
  <c r="AE52" i="80"/>
  <c r="AE53" i="80" s="1"/>
  <c r="AF52" i="80"/>
  <c r="AF53" i="80" s="1"/>
  <c r="AG52" i="80"/>
  <c r="AG53" i="80" s="1"/>
  <c r="AH52" i="80"/>
  <c r="AH53" i="80" s="1"/>
  <c r="AI52" i="80"/>
  <c r="AI53" i="80" s="1"/>
  <c r="AJ52" i="80"/>
  <c r="AJ53" i="80" s="1"/>
  <c r="AK52" i="80"/>
  <c r="AK53" i="80" s="1"/>
  <c r="AL52" i="80"/>
  <c r="AL53" i="80" s="1"/>
  <c r="AM52" i="80"/>
  <c r="AM53" i="80" s="1"/>
  <c r="AN52" i="80"/>
  <c r="AN53" i="80" s="1"/>
  <c r="AA58" i="79"/>
  <c r="Q58" i="79"/>
  <c r="Z58" i="79"/>
  <c r="U58" i="79"/>
  <c r="P58" i="79"/>
  <c r="K58" i="79"/>
  <c r="AN58" i="79"/>
  <c r="AM58" i="79"/>
  <c r="N58" i="79"/>
  <c r="Y58" i="79"/>
  <c r="R58" i="79"/>
  <c r="T58" i="79"/>
  <c r="O58" i="79"/>
  <c r="M58" i="79"/>
  <c r="V58" i="79"/>
  <c r="L58" i="79"/>
  <c r="AG58" i="79"/>
  <c r="AF58" i="79"/>
  <c r="AE58" i="79"/>
  <c r="AD58" i="79"/>
  <c r="AB58" i="79"/>
  <c r="X58" i="79"/>
  <c r="S58" i="79"/>
  <c r="AL58" i="79"/>
  <c r="W58" i="79"/>
  <c r="AJ58" i="79"/>
  <c r="AI58" i="79"/>
  <c r="AK58" i="79"/>
  <c r="AH58" i="79"/>
  <c r="AC58" i="79"/>
  <c r="V52" i="79"/>
  <c r="V53" i="79" s="1"/>
  <c r="W52" i="79"/>
  <c r="W53" i="79" s="1"/>
  <c r="X52" i="79"/>
  <c r="X53" i="79" s="1"/>
  <c r="Y52" i="79"/>
  <c r="Y53" i="79" s="1"/>
  <c r="AA52" i="79"/>
  <c r="AA53" i="79" s="1"/>
  <c r="AB52" i="79"/>
  <c r="AB53" i="79" s="1"/>
  <c r="AC52" i="79"/>
  <c r="AC53" i="79" s="1"/>
  <c r="AD52" i="79"/>
  <c r="AD53" i="79" s="1"/>
  <c r="AE52" i="79"/>
  <c r="AE53" i="79" s="1"/>
  <c r="AF52" i="79"/>
  <c r="AF53" i="79" s="1"/>
  <c r="AG52" i="79"/>
  <c r="AG53" i="79" s="1"/>
  <c r="AH52" i="79"/>
  <c r="AH53" i="79" s="1"/>
  <c r="AI52" i="79"/>
  <c r="AI53" i="79" s="1"/>
  <c r="AJ52" i="79"/>
  <c r="AJ53" i="79" s="1"/>
  <c r="AK52" i="79"/>
  <c r="AK53" i="79" s="1"/>
  <c r="AL52" i="79"/>
  <c r="AL53" i="79" s="1"/>
  <c r="AM52" i="79"/>
  <c r="AM53" i="79" s="1"/>
  <c r="Z52" i="79"/>
  <c r="Z53" i="79" s="1"/>
  <c r="AN52" i="79"/>
  <c r="AN53" i="79" s="1"/>
  <c r="S52" i="79"/>
  <c r="S53" i="79" s="1"/>
  <c r="F52" i="79"/>
  <c r="F53" i="79" s="1"/>
  <c r="G52" i="79"/>
  <c r="G53" i="79" s="1"/>
  <c r="H52" i="79"/>
  <c r="H53" i="79" s="1"/>
  <c r="I52" i="79"/>
  <c r="I53" i="79" s="1"/>
  <c r="J52" i="79"/>
  <c r="J53" i="79" s="1"/>
  <c r="K52" i="79"/>
  <c r="K53" i="79" s="1"/>
  <c r="L52" i="79"/>
  <c r="L53" i="79" s="1"/>
  <c r="M52" i="79"/>
  <c r="M53" i="79" s="1"/>
  <c r="N52" i="79"/>
  <c r="N53" i="79" s="1"/>
  <c r="O52" i="79"/>
  <c r="O53" i="79" s="1"/>
  <c r="P52" i="79"/>
  <c r="P53" i="79" s="1"/>
  <c r="Q52" i="79"/>
  <c r="Q53" i="79" s="1"/>
  <c r="R52" i="79"/>
  <c r="R53" i="79" s="1"/>
  <c r="T52" i="79"/>
  <c r="T53" i="79" s="1"/>
  <c r="U52" i="79"/>
  <c r="U53" i="79" s="1"/>
  <c r="AQ36" i="26" l="1" a="1"/>
  <c r="AQ36" i="26" s="1"/>
  <c r="AR36" i="26" a="1"/>
  <c r="AR36" i="26" s="1"/>
  <c r="CO4" i="69" a="1"/>
  <c r="E36" i="26"/>
  <c r="D22" i="77"/>
  <c r="E52" i="81"/>
  <c r="E53" i="81" s="1"/>
  <c r="E58" i="81"/>
  <c r="E58" i="80"/>
  <c r="D22" i="80"/>
  <c r="E52" i="80"/>
  <c r="E53" i="80" s="1"/>
  <c r="E58" i="79"/>
  <c r="D22" i="79"/>
  <c r="E52" i="79"/>
  <c r="E53" i="79" s="1"/>
  <c r="G58" i="81"/>
  <c r="H58" i="81"/>
  <c r="J58" i="81"/>
  <c r="F58" i="81"/>
  <c r="H58" i="80"/>
  <c r="J58" i="80"/>
  <c r="F58" i="80"/>
  <c r="G58" i="80"/>
  <c r="I58" i="80"/>
  <c r="J58" i="79"/>
  <c r="I58" i="79"/>
  <c r="F58" i="79"/>
  <c r="H58" i="79"/>
  <c r="G58" i="79"/>
  <c r="AJ31" i="85" l="1" a="1"/>
  <c r="AJ31" i="85" s="1"/>
  <c r="Z31" i="85" a="1"/>
  <c r="Z31" i="85" s="1"/>
  <c r="J31" i="84" a="1"/>
  <c r="J31" i="84" s="1"/>
  <c r="W31" i="84" a="1"/>
  <c r="W31" i="84" s="1"/>
  <c r="AI31" i="85" a="1"/>
  <c r="AI31" i="85" s="1"/>
  <c r="AD31" i="85" a="1"/>
  <c r="AD31" i="85" s="1"/>
  <c r="R31" i="85" s="1"/>
  <c r="X31" i="85" a="1"/>
  <c r="X31" i="85" s="1"/>
  <c r="S31" i="84" a="1"/>
  <c r="S31" i="84" s="1"/>
  <c r="V31" i="85" a="1"/>
  <c r="V31" i="85" s="1"/>
  <c r="AL31" i="85" a="1"/>
  <c r="AL31" i="85" s="1"/>
  <c r="AM31" i="85" a="1"/>
  <c r="AM31" i="85" s="1"/>
  <c r="AF31" i="85" a="1"/>
  <c r="AF31" i="85" s="1"/>
  <c r="T31" i="85" s="1"/>
  <c r="AA31" i="85" a="1"/>
  <c r="AA31" i="85" s="1"/>
  <c r="V31" i="84" a="1"/>
  <c r="V31" i="84" s="1"/>
  <c r="L31" i="84" a="1"/>
  <c r="L31" i="84" s="1"/>
  <c r="W31" i="85" a="1"/>
  <c r="W31" i="85" s="1"/>
  <c r="T31" i="84" a="1"/>
  <c r="T31" i="84" s="1"/>
  <c r="AH31" i="85" a="1"/>
  <c r="AH31" i="85" s="1"/>
  <c r="X31" i="84" a="1"/>
  <c r="X31" i="84" s="1"/>
  <c r="AB31" i="85" a="1"/>
  <c r="AB31" i="85" s="1"/>
  <c r="K31" i="84" a="1"/>
  <c r="K31" i="84" s="1"/>
  <c r="AE31" i="85" a="1"/>
  <c r="AE31" i="85" s="1"/>
  <c r="S31" i="85" s="1"/>
  <c r="R31" i="84" a="1"/>
  <c r="R31" i="84" s="1"/>
  <c r="AN31" i="85" a="1"/>
  <c r="AN31" i="85" s="1"/>
  <c r="AP36" i="26" a="1"/>
  <c r="AP36" i="26" s="1"/>
  <c r="E59" i="81" a="1"/>
  <c r="E59" i="81" s="1"/>
  <c r="E59" i="79" a="1"/>
  <c r="E59" i="79" s="1"/>
  <c r="L18" i="9" a="1"/>
  <c r="L18" i="9" s="1"/>
  <c r="N18" i="9" a="1"/>
  <c r="N18" i="9" s="1"/>
  <c r="O18" i="9" a="1"/>
  <c r="O18" i="9" s="1"/>
  <c r="CO4" i="69"/>
  <c r="M18" i="9" a="1"/>
  <c r="M18" i="9" s="1"/>
  <c r="E59" i="80" a="1"/>
  <c r="E59" i="80" s="1"/>
  <c r="P31" i="84" l="1" a="1"/>
  <c r="P31" i="84" s="1"/>
  <c r="H31" i="84" s="1"/>
  <c r="O31" i="34" s="1"/>
  <c r="O31" i="84" a="1"/>
  <c r="O31" i="84" s="1"/>
  <c r="G31" i="84" s="1"/>
  <c r="N31" i="34" s="1"/>
  <c r="N31" i="84" a="1"/>
  <c r="N31" i="84" s="1"/>
  <c r="F31" i="84" s="1"/>
  <c r="M31" i="34" s="1"/>
  <c r="P31" i="85"/>
  <c r="N31" i="85"/>
  <c r="K31" i="85"/>
  <c r="O31" i="85"/>
  <c r="L31" i="85"/>
  <c r="J31" i="85"/>
  <c r="H31" i="85" l="1"/>
  <c r="S31" i="34" s="1"/>
  <c r="G31" i="34" s="1"/>
  <c r="G31" i="85"/>
  <c r="R31" i="34" s="1"/>
  <c r="F31" i="34" s="1"/>
  <c r="F31" i="85"/>
  <c r="Q31" i="34" s="1"/>
  <c r="K32" i="34" l="1"/>
  <c r="J32" i="34"/>
  <c r="K47" i="34" l="1"/>
  <c r="J47" i="34"/>
  <c r="K48" i="34" l="1"/>
  <c r="J48" i="34"/>
  <c r="I47" i="34"/>
  <c r="I48" i="34" l="1"/>
  <c r="E12" i="77" l="1"/>
  <c r="E12" i="99" s="1" a="1"/>
  <c r="E12" i="99" s="1"/>
  <c r="Z12" i="77"/>
  <c r="Z12" i="99" s="1" a="1"/>
  <c r="Z12" i="99" s="1"/>
  <c r="V12" i="77"/>
  <c r="V12" i="99" s="1" a="1"/>
  <c r="V12" i="99" s="1"/>
  <c r="H12" i="77"/>
  <c r="H12" i="99" s="1" a="1"/>
  <c r="H12" i="99" s="1"/>
  <c r="AB12" i="77"/>
  <c r="AB12" i="99" s="1" a="1"/>
  <c r="AB12" i="99" s="1"/>
  <c r="F12" i="77"/>
  <c r="F12" i="99" s="1" a="1"/>
  <c r="F12" i="99" s="1"/>
  <c r="Y12" i="77"/>
  <c r="Y12" i="99" s="1" a="1"/>
  <c r="Y12" i="99" s="1"/>
  <c r="T12" i="77"/>
  <c r="T12" i="99" s="1" a="1"/>
  <c r="T12" i="99" s="1"/>
  <c r="L12" i="77"/>
  <c r="L12" i="99" s="1" a="1"/>
  <c r="L12" i="99" s="1"/>
  <c r="U12" i="77"/>
  <c r="U12" i="99" s="1" a="1"/>
  <c r="U12" i="99" s="1"/>
  <c r="I12" i="77"/>
  <c r="I12" i="99" s="1" a="1"/>
  <c r="I12" i="99" s="1"/>
  <c r="AN12" i="77"/>
  <c r="AN12" i="99" s="1" a="1"/>
  <c r="AN12" i="99" s="1"/>
  <c r="S12" i="77"/>
  <c r="S12" i="99" s="1" a="1"/>
  <c r="S12" i="99" s="1"/>
  <c r="G12" i="77"/>
  <c r="G12" i="99" s="1" a="1"/>
  <c r="G12" i="99" s="1"/>
  <c r="AL12" i="77"/>
  <c r="AL12" i="99" s="1" a="1"/>
  <c r="AL12" i="99" s="1"/>
  <c r="AI12" i="77"/>
  <c r="AI12" i="99" s="1" a="1"/>
  <c r="AI12" i="99" s="1"/>
  <c r="AF12" i="77"/>
  <c r="AF12" i="99" s="1" a="1"/>
  <c r="AF12" i="99" s="1"/>
  <c r="K12" i="77"/>
  <c r="K12" i="99" s="1" a="1"/>
  <c r="K12" i="99" s="1"/>
  <c r="AG12" i="77"/>
  <c r="AG12" i="99" s="1" a="1"/>
  <c r="AG12" i="99" s="1"/>
  <c r="X12" i="77"/>
  <c r="X12" i="99" s="1" a="1"/>
  <c r="X12" i="99" s="1"/>
  <c r="P12" i="77"/>
  <c r="P12" i="99" s="1" a="1"/>
  <c r="P12" i="99" s="1"/>
  <c r="J12" i="77"/>
  <c r="J12" i="99" s="1" a="1"/>
  <c r="J12" i="99" s="1"/>
  <c r="Q12" i="77"/>
  <c r="Q12" i="99" s="1" a="1"/>
  <c r="Q12" i="99" s="1"/>
  <c r="O12" i="77"/>
  <c r="O12" i="99" s="1" a="1"/>
  <c r="O12" i="99" s="1"/>
  <c r="M12" i="77"/>
  <c r="M12" i="99" s="1" a="1"/>
  <c r="M12" i="99" s="1"/>
  <c r="AM12" i="77"/>
  <c r="AM12" i="99" s="1" a="1"/>
  <c r="AM12" i="99" s="1"/>
  <c r="AA12" i="77"/>
  <c r="AA12" i="99" s="1" a="1"/>
  <c r="AA12" i="99" s="1"/>
  <c r="R12" i="77"/>
  <c r="R12" i="99" s="1" a="1"/>
  <c r="R12" i="99" s="1"/>
  <c r="W12" i="77"/>
  <c r="W12" i="99" s="1" a="1"/>
  <c r="W12" i="99" s="1"/>
  <c r="AD12" i="77"/>
  <c r="AD12" i="99" s="1" a="1"/>
  <c r="AD12" i="99" s="1"/>
  <c r="N12" i="77"/>
  <c r="N12" i="99" s="1" a="1"/>
  <c r="N12" i="99" s="1"/>
  <c r="AJ12" i="77"/>
  <c r="AJ12" i="99" s="1" a="1"/>
  <c r="AJ12" i="99" s="1"/>
  <c r="AC12" i="77"/>
  <c r="AC12" i="99" s="1" a="1"/>
  <c r="AC12" i="99" s="1"/>
  <c r="AK12" i="77"/>
  <c r="AK12" i="99" s="1" a="1"/>
  <c r="AK12" i="99" s="1"/>
  <c r="AH12" i="77"/>
  <c r="AH12" i="99" s="1" a="1"/>
  <c r="AH12" i="99" s="1"/>
  <c r="AE12" i="77"/>
  <c r="AE12" i="99" s="1" a="1"/>
  <c r="AE12" i="99" s="1"/>
  <c r="AS40" i="5" l="1"/>
  <c r="E31" i="34" l="1"/>
  <c r="E34" i="26" l="1"/>
  <c r="AP34" i="26" s="1" a="1"/>
  <c r="AP34" i="26" s="1"/>
  <c r="E34" i="100" a="1"/>
  <c r="E34" i="100" s="1"/>
  <c r="E34" i="99" a="1"/>
  <c r="E34" i="99" s="1"/>
  <c r="H35" i="100" l="1" a="1"/>
  <c r="H35" i="100" s="1"/>
  <c r="H37" i="100" s="1"/>
  <c r="O35" i="100" a="1"/>
  <c r="O35" i="100" s="1"/>
  <c r="O37" i="100" s="1"/>
  <c r="M35" i="99" a="1"/>
  <c r="M35" i="99" s="1"/>
  <c r="M37" i="99" s="1"/>
  <c r="T35" i="100" a="1"/>
  <c r="T35" i="100" s="1"/>
  <c r="T37" i="100" s="1"/>
  <c r="Z35" i="100" a="1"/>
  <c r="Z35" i="100" s="1"/>
  <c r="Z37" i="100" s="1"/>
  <c r="X35" i="100" a="1"/>
  <c r="X35" i="100" s="1"/>
  <c r="X37" i="100" s="1"/>
  <c r="W35" i="100" a="1"/>
  <c r="W35" i="100" s="1"/>
  <c r="W37" i="100" s="1"/>
  <c r="Q35" i="100" a="1"/>
  <c r="Q35" i="100" s="1"/>
  <c r="Q37" i="100" s="1"/>
  <c r="V35" i="100" a="1"/>
  <c r="V35" i="100" s="1"/>
  <c r="V37" i="100" s="1"/>
  <c r="AB35" i="100" a="1"/>
  <c r="AB35" i="100" s="1"/>
  <c r="AB37" i="100" s="1"/>
  <c r="Y35" i="100" a="1"/>
  <c r="Y35" i="100" s="1"/>
  <c r="Y37" i="100" s="1"/>
  <c r="AF35" i="100" a="1"/>
  <c r="AF35" i="100" s="1"/>
  <c r="AF37" i="100" s="1"/>
  <c r="AG35" i="100" a="1"/>
  <c r="AG35" i="100" s="1"/>
  <c r="AG37" i="100" s="1"/>
  <c r="S35" i="100" a="1"/>
  <c r="S35" i="100" s="1"/>
  <c r="S37" i="100" s="1"/>
  <c r="R35" i="100" a="1"/>
  <c r="R35" i="100" s="1"/>
  <c r="R37" i="100" s="1"/>
  <c r="AM35" i="100" a="1"/>
  <c r="AM35" i="100" s="1"/>
  <c r="AM37" i="100" s="1"/>
  <c r="L35" i="99" a="1"/>
  <c r="L35" i="99" s="1"/>
  <c r="L37" i="99" s="1"/>
  <c r="G35" i="100" a="1"/>
  <c r="G35" i="100" s="1"/>
  <c r="G37" i="100" s="1"/>
  <c r="N35" i="99" a="1"/>
  <c r="N35" i="99" s="1"/>
  <c r="N37" i="99" s="1"/>
  <c r="F35" i="100" a="1"/>
  <c r="F35" i="100" s="1"/>
  <c r="F37" i="100" s="1"/>
  <c r="K35" i="99" a="1"/>
  <c r="K35" i="99" s="1"/>
  <c r="K37" i="99" s="1"/>
  <c r="AL35" i="100" a="1"/>
  <c r="AL35" i="100" s="1"/>
  <c r="AL37" i="100" s="1"/>
  <c r="AE35" i="100" a="1"/>
  <c r="AE35" i="100" s="1"/>
  <c r="AE37" i="100" s="1"/>
  <c r="AJ35" i="100" a="1"/>
  <c r="AJ35" i="100" s="1"/>
  <c r="AJ37" i="100" s="1"/>
  <c r="AA35" i="100" a="1"/>
  <c r="AA35" i="100" s="1"/>
  <c r="AA37" i="100" s="1"/>
  <c r="AN35" i="100" a="1"/>
  <c r="AN35" i="100" s="1"/>
  <c r="AN37" i="100" s="1"/>
  <c r="AC35" i="100" a="1"/>
  <c r="AC35" i="100" s="1"/>
  <c r="AC37" i="100" s="1"/>
  <c r="U35" i="100" a="1"/>
  <c r="U35" i="100" s="1"/>
  <c r="U37" i="100" s="1"/>
  <c r="AI35" i="100" a="1"/>
  <c r="AI35" i="100" s="1"/>
  <c r="AI37" i="100" s="1"/>
  <c r="AH35" i="100" a="1"/>
  <c r="AH35" i="100" s="1"/>
  <c r="AH37" i="100" s="1"/>
  <c r="AD35" i="100" a="1"/>
  <c r="AD35" i="100" s="1"/>
  <c r="AD37" i="100" s="1"/>
  <c r="AK35" i="100" a="1"/>
  <c r="AK35" i="100" s="1"/>
  <c r="AK37" i="100" s="1"/>
  <c r="F35" i="99" a="1"/>
  <c r="F35" i="99" s="1"/>
  <c r="F37" i="99" s="1"/>
  <c r="P35" i="100" a="1"/>
  <c r="P35" i="100" s="1"/>
  <c r="P37" i="100" s="1"/>
  <c r="K35" i="100" a="1"/>
  <c r="K35" i="100" s="1"/>
  <c r="K37" i="100" s="1"/>
  <c r="J35" i="100" a="1"/>
  <c r="J35" i="100" s="1"/>
  <c r="J37" i="100" s="1"/>
  <c r="G35" i="99" a="1"/>
  <c r="G35" i="99" s="1"/>
  <c r="G37" i="99" s="1"/>
  <c r="P35" i="99" a="1"/>
  <c r="P35" i="99" s="1"/>
  <c r="P37" i="99" s="1"/>
  <c r="H35" i="99" a="1"/>
  <c r="H35" i="99" s="1"/>
  <c r="H37" i="99" s="1"/>
  <c r="O35" i="99" a="1"/>
  <c r="O35" i="99" s="1"/>
  <c r="O37" i="99" s="1"/>
  <c r="I35" i="100" a="1"/>
  <c r="I35" i="100" s="1"/>
  <c r="I37" i="100" s="1"/>
  <c r="N35" i="100" a="1"/>
  <c r="N35" i="100" s="1"/>
  <c r="N37" i="100" s="1"/>
  <c r="L35" i="100" a="1"/>
  <c r="L35" i="100" s="1"/>
  <c r="L37" i="100" s="1"/>
  <c r="I35" i="99" a="1"/>
  <c r="I35" i="99" s="1"/>
  <c r="I37" i="99" s="1"/>
  <c r="J35" i="99" a="1"/>
  <c r="J35" i="99" s="1"/>
  <c r="J37" i="99" s="1"/>
  <c r="M35" i="100" a="1"/>
  <c r="M35" i="100" s="1"/>
  <c r="M37" i="100" s="1"/>
  <c r="AI35" i="26"/>
  <c r="AI37" i="26" s="1"/>
  <c r="O35" i="26"/>
  <c r="O37" i="26" s="1"/>
  <c r="AG35" i="26"/>
  <c r="AG37" i="26" s="1"/>
  <c r="AF35" i="26"/>
  <c r="AF37" i="26" s="1"/>
  <c r="W35" i="26"/>
  <c r="W37" i="26" s="1"/>
  <c r="AA35" i="26"/>
  <c r="AA37" i="26" s="1"/>
  <c r="AE35" i="26"/>
  <c r="AE37" i="26" s="1"/>
  <c r="F35" i="26"/>
  <c r="F37" i="26" s="1"/>
  <c r="V35" i="26"/>
  <c r="V37" i="26" s="1"/>
  <c r="T35" i="26"/>
  <c r="T37" i="26" s="1"/>
  <c r="G35" i="26"/>
  <c r="G37" i="26" s="1"/>
  <c r="R35" i="26"/>
  <c r="R37" i="26" s="1"/>
  <c r="AH35" i="26"/>
  <c r="AH37" i="26" s="1"/>
  <c r="AK35" i="26"/>
  <c r="AK37" i="26" s="1"/>
  <c r="AM35" i="26"/>
  <c r="AM37" i="26" s="1"/>
  <c r="AC35" i="26"/>
  <c r="N35" i="26"/>
  <c r="N37" i="26" s="1"/>
  <c r="M35" i="26"/>
  <c r="M37" i="26" s="1"/>
  <c r="K35" i="26"/>
  <c r="K37" i="26" s="1"/>
  <c r="S35" i="26"/>
  <c r="S37" i="26" s="1"/>
  <c r="AJ35" i="26"/>
  <c r="AJ37" i="26" s="1"/>
  <c r="AD35" i="26"/>
  <c r="AD37" i="26" s="1"/>
  <c r="AL35" i="26"/>
  <c r="AL37" i="26" s="1"/>
  <c r="I35" i="26"/>
  <c r="I37" i="26" s="1"/>
  <c r="AN35" i="26"/>
  <c r="AN37" i="26" s="1"/>
  <c r="U35" i="26"/>
  <c r="U37" i="26" s="1"/>
  <c r="X35" i="26"/>
  <c r="X37" i="26" s="1"/>
  <c r="H35" i="26"/>
  <c r="H37" i="26" s="1"/>
  <c r="Q35" i="26"/>
  <c r="Q37" i="26" s="1"/>
  <c r="AB35" i="26"/>
  <c r="AB37" i="26" s="1"/>
  <c r="L35" i="26"/>
  <c r="L37" i="26" s="1"/>
  <c r="J35" i="26"/>
  <c r="J37" i="26" s="1"/>
  <c r="Z35" i="26"/>
  <c r="Z37" i="26" s="1"/>
  <c r="Y35" i="26"/>
  <c r="Y37" i="26" s="1"/>
  <c r="P35" i="26"/>
  <c r="P37" i="26" s="1"/>
  <c r="E35" i="100" a="1"/>
  <c r="E35" i="100" s="1"/>
  <c r="E37" i="100" s="1"/>
  <c r="E35" i="26"/>
  <c r="E37" i="26" s="1"/>
  <c r="E35" i="99" a="1"/>
  <c r="E35" i="99" s="1"/>
  <c r="E37" i="99" s="1"/>
  <c r="T4" i="96" a="1"/>
  <c r="T4" i="96" s="1"/>
  <c r="E37" i="77" a="1"/>
  <c r="BA4" i="69" a="1"/>
  <c r="AC37" i="26" l="1"/>
  <c r="AC52" i="26" s="1"/>
  <c r="AR35" i="26" a="1"/>
  <c r="AR35" i="26" s="1"/>
  <c r="AR37" i="26" s="1"/>
  <c r="AR52" i="26" s="1"/>
  <c r="AR53" i="26" s="1"/>
  <c r="AB30" i="85" a="1"/>
  <c r="AB30" i="85" s="1"/>
  <c r="X30" i="84" a="1"/>
  <c r="X30" i="84" s="1"/>
  <c r="X32" i="84" s="1"/>
  <c r="X47" i="84" s="1"/>
  <c r="X48" i="84" s="1"/>
  <c r="L30" i="84" a="1"/>
  <c r="L30" i="84" s="1"/>
  <c r="L32" i="84" s="1"/>
  <c r="AJ30" i="85" a="1"/>
  <c r="AJ30" i="85" s="1"/>
  <c r="AJ32" i="85" s="1"/>
  <c r="AJ47" i="85" s="1"/>
  <c r="AJ48" i="85" s="1"/>
  <c r="AD30" i="85" a="1"/>
  <c r="AD30" i="85" s="1"/>
  <c r="V30" i="85" a="1"/>
  <c r="V30" i="85" s="1"/>
  <c r="J30" i="84" a="1"/>
  <c r="J30" i="84" s="1"/>
  <c r="J32" i="84" s="1"/>
  <c r="W30" i="84" a="1"/>
  <c r="W30" i="84" s="1"/>
  <c r="W32" i="84" s="1"/>
  <c r="W47" i="84" s="1"/>
  <c r="W48" i="84" s="1"/>
  <c r="AH30" i="85" a="1"/>
  <c r="AH30" i="85" s="1"/>
  <c r="AH32" i="85" s="1"/>
  <c r="AH47" i="85" s="1"/>
  <c r="AH48" i="85" s="1"/>
  <c r="AE30" i="85" a="1"/>
  <c r="AE30" i="85" s="1"/>
  <c r="W30" i="85" a="1"/>
  <c r="W30" i="85" s="1"/>
  <c r="T30" i="84" a="1"/>
  <c r="T30" i="84" s="1"/>
  <c r="T32" i="84" s="1"/>
  <c r="T47" i="84" s="1"/>
  <c r="T48" i="84" s="1"/>
  <c r="K30" i="84" a="1"/>
  <c r="K30" i="84" s="1"/>
  <c r="K32" i="84" s="1"/>
  <c r="X30" i="85" a="1"/>
  <c r="X30" i="85" s="1"/>
  <c r="Z30" i="85" a="1"/>
  <c r="Z30" i="85" s="1"/>
  <c r="S30" i="84" a="1"/>
  <c r="S30" i="84" s="1"/>
  <c r="S32" i="84" s="1"/>
  <c r="S47" i="84" s="1"/>
  <c r="S48" i="84" s="1"/>
  <c r="AN30" i="85" a="1"/>
  <c r="AN30" i="85" s="1"/>
  <c r="AN32" i="85" s="1"/>
  <c r="AN47" i="85" s="1"/>
  <c r="AN48" i="85" s="1"/>
  <c r="AI30" i="85" a="1"/>
  <c r="AI30" i="85" s="1"/>
  <c r="AI32" i="85" s="1"/>
  <c r="AI47" i="85" s="1"/>
  <c r="AI48" i="85" s="1"/>
  <c r="AF30" i="85" a="1"/>
  <c r="AF30" i="85" s="1"/>
  <c r="R30" i="84" a="1"/>
  <c r="R30" i="84" s="1"/>
  <c r="AL30" i="85" a="1"/>
  <c r="AL30" i="85" s="1"/>
  <c r="AL32" i="85" s="1"/>
  <c r="AL47" i="85" s="1"/>
  <c r="AL48" i="85" s="1"/>
  <c r="AA30" i="85" a="1"/>
  <c r="AA30" i="85" s="1"/>
  <c r="V30" i="84" a="1"/>
  <c r="V30" i="84" s="1"/>
  <c r="V32" i="84" s="1"/>
  <c r="V47" i="84" s="1"/>
  <c r="V48" i="84" s="1"/>
  <c r="AM30" i="85" a="1"/>
  <c r="AM30" i="85" s="1"/>
  <c r="AM32" i="85" s="1"/>
  <c r="AM47" i="85" s="1"/>
  <c r="AM48" i="85" s="1"/>
  <c r="AN56" i="77" a="1"/>
  <c r="AN56" i="77" s="1"/>
  <c r="AM56" i="77" a="1"/>
  <c r="AM56" i="77" s="1"/>
  <c r="AL56" i="77" a="1"/>
  <c r="AL56" i="77" s="1"/>
  <c r="AK56" i="77" a="1"/>
  <c r="AK56" i="77" s="1"/>
  <c r="AJ56" i="77" a="1"/>
  <c r="AJ56" i="77" s="1"/>
  <c r="AI56" i="77" a="1"/>
  <c r="AI56" i="77" s="1"/>
  <c r="AH56" i="77" a="1"/>
  <c r="AH56" i="77" s="1"/>
  <c r="AG56" i="77" a="1"/>
  <c r="AG56" i="77" s="1"/>
  <c r="AF56" i="77" a="1"/>
  <c r="AF56" i="77" s="1"/>
  <c r="AE56" i="77" a="1"/>
  <c r="AE56" i="77" s="1"/>
  <c r="AD56" i="77" a="1"/>
  <c r="AD56" i="77" s="1"/>
  <c r="AC56" i="77" a="1"/>
  <c r="AC56" i="77" s="1"/>
  <c r="AB56" i="77" a="1"/>
  <c r="AB56" i="77" s="1"/>
  <c r="AA56" i="77" a="1"/>
  <c r="AA56" i="77" s="1"/>
  <c r="Z56" i="77" a="1"/>
  <c r="Z56" i="77" s="1"/>
  <c r="Y56" i="77" a="1"/>
  <c r="Y56" i="77" s="1"/>
  <c r="X56" i="77" a="1"/>
  <c r="X56" i="77" s="1"/>
  <c r="W56" i="77" a="1"/>
  <c r="W56" i="77" s="1"/>
  <c r="V56" i="77" a="1"/>
  <c r="V56" i="77" s="1"/>
  <c r="U56" i="77" a="1"/>
  <c r="U56" i="77" s="1"/>
  <c r="T56" i="77" a="1"/>
  <c r="T56" i="77" s="1"/>
  <c r="S56" i="77" a="1"/>
  <c r="S56" i="77" s="1"/>
  <c r="R56" i="77" a="1"/>
  <c r="R56" i="77" s="1"/>
  <c r="Q56" i="77" a="1"/>
  <c r="Q56" i="77" s="1"/>
  <c r="P56" i="77" a="1"/>
  <c r="P56" i="77" s="1"/>
  <c r="O56" i="77" a="1"/>
  <c r="O56" i="77" s="1"/>
  <c r="N56" i="77" a="1"/>
  <c r="N56" i="77" s="1"/>
  <c r="M56" i="77" a="1"/>
  <c r="M56" i="77" s="1"/>
  <c r="L56" i="77" a="1"/>
  <c r="L56" i="77" s="1"/>
  <c r="K56" i="77" a="1"/>
  <c r="K56" i="77" s="1"/>
  <c r="J56" i="77" a="1"/>
  <c r="J56" i="77" s="1"/>
  <c r="J59" i="26" s="1"/>
  <c r="J61" i="26" s="1"/>
  <c r="I56" i="77" a="1"/>
  <c r="I56" i="77" s="1"/>
  <c r="H56" i="77" a="1"/>
  <c r="H56" i="77" s="1"/>
  <c r="H59" i="26" s="1"/>
  <c r="H61" i="26" s="1"/>
  <c r="G56" i="77" a="1"/>
  <c r="G56" i="77" s="1"/>
  <c r="F56" i="77" a="1"/>
  <c r="F56" i="77" s="1"/>
  <c r="F59" i="26" s="1"/>
  <c r="F61" i="26" s="1"/>
  <c r="M52" i="99"/>
  <c r="M53" i="99" s="1"/>
  <c r="M61" i="99"/>
  <c r="L61" i="99"/>
  <c r="L52" i="99"/>
  <c r="L53" i="99" s="1"/>
  <c r="N52" i="99"/>
  <c r="N53" i="99" s="1"/>
  <c r="N61" i="99"/>
  <c r="AP4" i="98"/>
  <c r="AP19" i="98" s="1"/>
  <c r="K61" i="99"/>
  <c r="K52" i="99"/>
  <c r="K53" i="99" s="1"/>
  <c r="AO4" i="98"/>
  <c r="AO19" i="98" s="1"/>
  <c r="F61" i="99"/>
  <c r="F52" i="99"/>
  <c r="F53" i="99" s="1"/>
  <c r="G61" i="99"/>
  <c r="G52" i="99"/>
  <c r="G53" i="99" s="1"/>
  <c r="P61" i="99"/>
  <c r="P52" i="99"/>
  <c r="P53" i="99" s="1"/>
  <c r="H52" i="99"/>
  <c r="H53" i="99" s="1"/>
  <c r="AN4" i="98"/>
  <c r="AN19" i="98" s="1"/>
  <c r="H61" i="99"/>
  <c r="O52" i="99"/>
  <c r="O53" i="99" s="1"/>
  <c r="O61" i="99"/>
  <c r="I52" i="99"/>
  <c r="I53" i="99" s="1"/>
  <c r="I61" i="99"/>
  <c r="J52" i="99"/>
  <c r="J53" i="99" s="1"/>
  <c r="J61" i="99"/>
  <c r="AI52" i="26"/>
  <c r="O52" i="26"/>
  <c r="AG52" i="26"/>
  <c r="AF52" i="26"/>
  <c r="W52" i="26"/>
  <c r="AA52" i="26"/>
  <c r="AE52" i="26"/>
  <c r="F52" i="26"/>
  <c r="V52" i="26"/>
  <c r="T52" i="26"/>
  <c r="G52" i="26"/>
  <c r="R52" i="26"/>
  <c r="AH52" i="26"/>
  <c r="AK52" i="26"/>
  <c r="AM52" i="26"/>
  <c r="AM53" i="26" s="1"/>
  <c r="N52" i="26"/>
  <c r="M52" i="26"/>
  <c r="K52" i="26"/>
  <c r="S52" i="26"/>
  <c r="AJ52" i="26"/>
  <c r="AD52" i="26"/>
  <c r="AL52" i="26"/>
  <c r="I52" i="26"/>
  <c r="AN52" i="26"/>
  <c r="AN53" i="26" s="1"/>
  <c r="U52" i="26"/>
  <c r="X52" i="26"/>
  <c r="H52" i="26"/>
  <c r="Q52" i="26"/>
  <c r="Q53" i="26" s="1"/>
  <c r="AB52" i="26"/>
  <c r="L52" i="26"/>
  <c r="J52" i="26"/>
  <c r="Z52" i="26"/>
  <c r="Y52" i="26"/>
  <c r="P52" i="26"/>
  <c r="E52" i="26"/>
  <c r="AM4" i="98"/>
  <c r="E61" i="99"/>
  <c r="E52" i="99"/>
  <c r="E53" i="99" s="1"/>
  <c r="AQ35" i="26" a="1"/>
  <c r="AQ35" i="26" s="1"/>
  <c r="AQ37" i="26" s="1"/>
  <c r="AV4" i="98"/>
  <c r="H52" i="100"/>
  <c r="H53" i="100" s="1"/>
  <c r="H61" i="100"/>
  <c r="O52" i="100"/>
  <c r="O53" i="100" s="1"/>
  <c r="O61" i="100"/>
  <c r="T61" i="100"/>
  <c r="T52" i="100"/>
  <c r="T53" i="100" s="1"/>
  <c r="Z52" i="100"/>
  <c r="Z53" i="100" s="1"/>
  <c r="Z61" i="100"/>
  <c r="X52" i="100"/>
  <c r="X53" i="100" s="1"/>
  <c r="X61" i="100"/>
  <c r="W52" i="100"/>
  <c r="W53" i="100" s="1"/>
  <c r="W61" i="100"/>
  <c r="Q52" i="100"/>
  <c r="Q53" i="100" s="1"/>
  <c r="Q61" i="100"/>
  <c r="V52" i="100"/>
  <c r="V53" i="100" s="1"/>
  <c r="V61" i="100"/>
  <c r="AB52" i="100"/>
  <c r="AB53" i="100" s="1"/>
  <c r="AB61" i="100"/>
  <c r="Y52" i="100"/>
  <c r="Y53" i="100" s="1"/>
  <c r="Y61" i="100"/>
  <c r="AF61" i="100"/>
  <c r="AF52" i="100"/>
  <c r="AF53" i="100" s="1"/>
  <c r="AG52" i="100"/>
  <c r="AG53" i="100" s="1"/>
  <c r="AG61" i="100"/>
  <c r="S52" i="100"/>
  <c r="S53" i="100" s="1"/>
  <c r="S61" i="100"/>
  <c r="R61" i="100"/>
  <c r="R52" i="100"/>
  <c r="R53" i="100" s="1"/>
  <c r="AM52" i="100"/>
  <c r="AM53" i="100" s="1"/>
  <c r="AM61" i="100"/>
  <c r="G52" i="100"/>
  <c r="G53" i="100" s="1"/>
  <c r="G61" i="100"/>
  <c r="F61" i="100"/>
  <c r="F52" i="100"/>
  <c r="F53" i="100" s="1"/>
  <c r="AL52" i="100"/>
  <c r="AL53" i="100" s="1"/>
  <c r="AL61" i="100"/>
  <c r="AE52" i="100"/>
  <c r="AE53" i="100" s="1"/>
  <c r="AE61" i="100"/>
  <c r="AJ52" i="100"/>
  <c r="AJ53" i="100" s="1"/>
  <c r="AJ61" i="100"/>
  <c r="AA61" i="100"/>
  <c r="AA52" i="100"/>
  <c r="AA53" i="100" s="1"/>
  <c r="AN61" i="100"/>
  <c r="AN52" i="100"/>
  <c r="AN53" i="100" s="1"/>
  <c r="AC61" i="100"/>
  <c r="AC52" i="100"/>
  <c r="AC53" i="100" s="1"/>
  <c r="U52" i="100"/>
  <c r="U53" i="100" s="1"/>
  <c r="U61" i="100"/>
  <c r="AI52" i="100"/>
  <c r="AI53" i="100" s="1"/>
  <c r="AI61" i="100"/>
  <c r="AH52" i="100"/>
  <c r="AH53" i="100" s="1"/>
  <c r="AH61" i="100"/>
  <c r="AD52" i="100"/>
  <c r="AD53" i="100" s="1"/>
  <c r="AD61" i="100"/>
  <c r="AK52" i="100"/>
  <c r="AK53" i="100" s="1"/>
  <c r="AK61" i="100"/>
  <c r="P52" i="100"/>
  <c r="P53" i="100" s="1"/>
  <c r="P61" i="100"/>
  <c r="K52" i="100"/>
  <c r="K53" i="100" s="1"/>
  <c r="K61" i="100"/>
  <c r="AW4" i="98"/>
  <c r="AW19" i="98" s="1"/>
  <c r="J61" i="100"/>
  <c r="J52" i="100"/>
  <c r="J53" i="100" s="1"/>
  <c r="I52" i="100"/>
  <c r="I53" i="100" s="1"/>
  <c r="I61" i="100"/>
  <c r="N52" i="100"/>
  <c r="N53" i="100" s="1"/>
  <c r="AX4" i="98"/>
  <c r="AX19" i="98" s="1"/>
  <c r="N61" i="100"/>
  <c r="L61" i="100"/>
  <c r="L52" i="100"/>
  <c r="L53" i="100" s="1"/>
  <c r="M52" i="100"/>
  <c r="M53" i="100" s="1"/>
  <c r="M61" i="100"/>
  <c r="AP35" i="26" a="1"/>
  <c r="AP35" i="26" s="1"/>
  <c r="AP37" i="26" s="1"/>
  <c r="U52" i="77"/>
  <c r="U53" i="77" s="1"/>
  <c r="R52" i="77"/>
  <c r="R53" i="77" s="1"/>
  <c r="AI52" i="77"/>
  <c r="AI53" i="77" s="1"/>
  <c r="H52" i="77"/>
  <c r="H53" i="77" s="1"/>
  <c r="J52" i="77"/>
  <c r="J53" i="77" s="1"/>
  <c r="M52" i="77"/>
  <c r="M53" i="77" s="1"/>
  <c r="P52" i="77"/>
  <c r="P53" i="77" s="1"/>
  <c r="S52" i="77"/>
  <c r="S53" i="77" s="1"/>
  <c r="V52" i="77"/>
  <c r="V53" i="77" s="1"/>
  <c r="Z52" i="77"/>
  <c r="Z53" i="77" s="1"/>
  <c r="T52" i="77"/>
  <c r="T53" i="77" s="1"/>
  <c r="N52" i="77"/>
  <c r="N53" i="77" s="1"/>
  <c r="AL52" i="77"/>
  <c r="AL53" i="77" s="1"/>
  <c r="Y52" i="77"/>
  <c r="Y53" i="77" s="1"/>
  <c r="AC52" i="77"/>
  <c r="AC53" i="77" s="1"/>
  <c r="G52" i="77"/>
  <c r="G53" i="77" s="1"/>
  <c r="AD52" i="77"/>
  <c r="AD53" i="77" s="1"/>
  <c r="AN52" i="77"/>
  <c r="AN53" i="77" s="1"/>
  <c r="AG52" i="77"/>
  <c r="AG53" i="77" s="1"/>
  <c r="AK52" i="77"/>
  <c r="AK53" i="77" s="1"/>
  <c r="I52" i="77"/>
  <c r="I53" i="77" s="1"/>
  <c r="L52" i="77"/>
  <c r="L53" i="77" s="1"/>
  <c r="AJ52" i="77"/>
  <c r="AJ53" i="77" s="1"/>
  <c r="F52" i="77"/>
  <c r="F53" i="77" s="1"/>
  <c r="AE52" i="77"/>
  <c r="AE53" i="77" s="1"/>
  <c r="X52" i="77"/>
  <c r="X53" i="77" s="1"/>
  <c r="AM52" i="77"/>
  <c r="AM53" i="77" s="1"/>
  <c r="AA52" i="77"/>
  <c r="AA53" i="77" s="1"/>
  <c r="AF52" i="77"/>
  <c r="AF53" i="77" s="1"/>
  <c r="AH52" i="77"/>
  <c r="AH53" i="77" s="1"/>
  <c r="O52" i="77"/>
  <c r="O53" i="77" s="1"/>
  <c r="K52" i="77"/>
  <c r="K53" i="77" s="1"/>
  <c r="Q52" i="77"/>
  <c r="Q53" i="77" s="1"/>
  <c r="W52" i="77"/>
  <c r="W53" i="77" s="1"/>
  <c r="AB52" i="77"/>
  <c r="AB53" i="77" s="1"/>
  <c r="E37" i="77"/>
  <c r="BA4" i="69"/>
  <c r="AU4" i="98"/>
  <c r="AU19" i="98" s="1"/>
  <c r="E52" i="100"/>
  <c r="E53" i="100" s="1"/>
  <c r="E61" i="100"/>
  <c r="E66" i="100" s="1"/>
  <c r="E52" i="77"/>
  <c r="E53" i="77" s="1"/>
  <c r="O4" i="96" a="1"/>
  <c r="O4" i="96" s="1"/>
  <c r="AW4" i="69" a="1"/>
  <c r="AW4" i="69" s="1"/>
  <c r="E56" i="77" a="1"/>
  <c r="E56" i="77" s="1"/>
  <c r="AN58" i="77" l="1"/>
  <c r="AN59" i="26"/>
  <c r="AM58" i="77"/>
  <c r="AM59" i="26"/>
  <c r="AM61" i="26" s="1"/>
  <c r="AL58" i="77"/>
  <c r="AL59" i="26"/>
  <c r="AL61" i="26" s="1"/>
  <c r="AK58" i="77"/>
  <c r="AK59" i="26"/>
  <c r="AK61" i="26" s="1"/>
  <c r="AJ58" i="77"/>
  <c r="AJ59" i="26"/>
  <c r="AJ61" i="26" s="1"/>
  <c r="AI58" i="77"/>
  <c r="AI59" i="26"/>
  <c r="AI61" i="26" s="1"/>
  <c r="AH58" i="77"/>
  <c r="AH59" i="26"/>
  <c r="AH61" i="26" s="1"/>
  <c r="AG58" i="77"/>
  <c r="AG59" i="26"/>
  <c r="AG61" i="26" s="1"/>
  <c r="AF58" i="77"/>
  <c r="AF59" i="26"/>
  <c r="AF61" i="26" s="1"/>
  <c r="AE58" i="77"/>
  <c r="AE59" i="26"/>
  <c r="AE61" i="26" s="1"/>
  <c r="AD58" i="77"/>
  <c r="AD59" i="26"/>
  <c r="AD61" i="26" s="1"/>
  <c r="AC58" i="77"/>
  <c r="AC59" i="26"/>
  <c r="AB58" i="77"/>
  <c r="AB59" i="26"/>
  <c r="AA58" i="77"/>
  <c r="AA59" i="26"/>
  <c r="AA61" i="26" s="1"/>
  <c r="Z58" i="77"/>
  <c r="Z59" i="26"/>
  <c r="Z61" i="26" s="1"/>
  <c r="Y58" i="77"/>
  <c r="Y59" i="26"/>
  <c r="Y61" i="26" s="1"/>
  <c r="X58" i="77"/>
  <c r="X59" i="26"/>
  <c r="X61" i="26" s="1"/>
  <c r="W58" i="77"/>
  <c r="W59" i="26"/>
  <c r="W61" i="26" s="1"/>
  <c r="V58" i="77"/>
  <c r="V59" i="26"/>
  <c r="V61" i="26" s="1"/>
  <c r="U58" i="77"/>
  <c r="U59" i="26"/>
  <c r="U61" i="26" s="1"/>
  <c r="T58" i="77"/>
  <c r="T59" i="26"/>
  <c r="T61" i="26" s="1"/>
  <c r="S58" i="77"/>
  <c r="S59" i="26"/>
  <c r="S61" i="26" s="1"/>
  <c r="R58" i="77"/>
  <c r="R59" i="26"/>
  <c r="R61" i="26" s="1"/>
  <c r="Q58" i="77"/>
  <c r="Q59" i="26"/>
  <c r="P58" i="77"/>
  <c r="P59" i="26"/>
  <c r="O58" i="77"/>
  <c r="O59" i="26"/>
  <c r="O61" i="26" s="1"/>
  <c r="N58" i="77"/>
  <c r="N59" i="26"/>
  <c r="N61" i="26" s="1"/>
  <c r="M58" i="77"/>
  <c r="M59" i="26"/>
  <c r="M61" i="26" s="1"/>
  <c r="L58" i="77"/>
  <c r="L59" i="26"/>
  <c r="L61" i="26" s="1"/>
  <c r="K58" i="77"/>
  <c r="K59" i="26"/>
  <c r="K61" i="26" s="1"/>
  <c r="I58" i="77"/>
  <c r="I59" i="26"/>
  <c r="I61" i="26" s="1"/>
  <c r="G58" i="77"/>
  <c r="G59" i="26"/>
  <c r="G61" i="26" s="1"/>
  <c r="E58" i="77"/>
  <c r="E59" i="26"/>
  <c r="AV19" i="98"/>
  <c r="AY4" i="98"/>
  <c r="AY19" i="98" s="1"/>
  <c r="AY20" i="98" s="1"/>
  <c r="N30" i="84" a="1"/>
  <c r="N30" i="84" s="1"/>
  <c r="N32" i="84" s="1"/>
  <c r="O30" i="84" a="1"/>
  <c r="O30" i="84" s="1"/>
  <c r="P30" i="84" a="1"/>
  <c r="P30" i="84" s="1"/>
  <c r="L19" i="9"/>
  <c r="L20" i="9" s="1"/>
  <c r="L24" i="9" s="1"/>
  <c r="L31" i="9" s="1"/>
  <c r="R32" i="84"/>
  <c r="R47" i="84" s="1"/>
  <c r="R48" i="84" s="1"/>
  <c r="E62" i="100" a="1"/>
  <c r="E62" i="100" s="1"/>
  <c r="AP21" i="98"/>
  <c r="AP23" i="98" s="1"/>
  <c r="AP24" i="98" s="1"/>
  <c r="AP20" i="98"/>
  <c r="AO21" i="98"/>
  <c r="AO23" i="98" s="1"/>
  <c r="AO24" i="98" s="1"/>
  <c r="AO20" i="98"/>
  <c r="AN21" i="98"/>
  <c r="AN23" i="98" s="1"/>
  <c r="AN24" i="98" s="1"/>
  <c r="AN20" i="98"/>
  <c r="AI53" i="26"/>
  <c r="O53" i="26"/>
  <c r="AG53" i="26"/>
  <c r="AF53" i="26"/>
  <c r="W53" i="26"/>
  <c r="AA53" i="26"/>
  <c r="AE53" i="26"/>
  <c r="F53" i="26"/>
  <c r="V53" i="26"/>
  <c r="T53" i="26"/>
  <c r="G53" i="26"/>
  <c r="R53" i="26"/>
  <c r="AH53" i="26"/>
  <c r="AK53" i="26"/>
  <c r="AC53" i="26"/>
  <c r="N53" i="26"/>
  <c r="M53" i="26"/>
  <c r="K53" i="26"/>
  <c r="S53" i="26"/>
  <c r="AJ53" i="26"/>
  <c r="AD53" i="26"/>
  <c r="AL53" i="26"/>
  <c r="I53" i="26"/>
  <c r="U53" i="26"/>
  <c r="X53" i="26"/>
  <c r="H53" i="26"/>
  <c r="AB53" i="26"/>
  <c r="L53" i="26"/>
  <c r="J53" i="26"/>
  <c r="Z53" i="26"/>
  <c r="Y53" i="26"/>
  <c r="P53" i="26"/>
  <c r="E53" i="26"/>
  <c r="AQ4" i="98"/>
  <c r="AQ19" i="98" s="1"/>
  <c r="AQ20" i="98" s="1"/>
  <c r="AM19" i="98"/>
  <c r="E66" i="99"/>
  <c r="E69" i="99" s="1"/>
  <c r="F66" i="99" s="1"/>
  <c r="F70" i="99" s="1"/>
  <c r="E62" i="99" a="1"/>
  <c r="E62" i="99" s="1"/>
  <c r="AQ52" i="26"/>
  <c r="AP52" i="26"/>
  <c r="J58" i="77"/>
  <c r="H58" i="77"/>
  <c r="AW21" i="98"/>
  <c r="AW23" i="98" s="1"/>
  <c r="AW24" i="98" s="1"/>
  <c r="AW20" i="98"/>
  <c r="AX21" i="98"/>
  <c r="AX23" i="98" s="1"/>
  <c r="AX24" i="98" s="1"/>
  <c r="AX20" i="98"/>
  <c r="AA32" i="85"/>
  <c r="AA47" i="85" s="1"/>
  <c r="AA48" i="85" s="1"/>
  <c r="O30" i="85"/>
  <c r="O32" i="85" s="1"/>
  <c r="AD32" i="85"/>
  <c r="AD47" i="85" s="1"/>
  <c r="AD48" i="85" s="1"/>
  <c r="O19" i="9"/>
  <c r="O20" i="9" s="1"/>
  <c r="O24" i="9" s="1"/>
  <c r="O31" i="9" s="1"/>
  <c r="R30" i="85"/>
  <c r="R32" i="85" s="1"/>
  <c r="X32" i="85"/>
  <c r="X47" i="85" s="1"/>
  <c r="X48" i="85" s="1"/>
  <c r="L30" i="85"/>
  <c r="L32" i="85" s="1"/>
  <c r="AF32" i="85"/>
  <c r="AF47" i="85" s="1"/>
  <c r="AF48" i="85" s="1"/>
  <c r="T30" i="85"/>
  <c r="T32" i="85" s="1"/>
  <c r="V32" i="85"/>
  <c r="V47" i="85" s="1"/>
  <c r="V48" i="85" s="1"/>
  <c r="M19" i="9"/>
  <c r="M20" i="9" s="1"/>
  <c r="M24" i="9" s="1"/>
  <c r="M31" i="9" s="1"/>
  <c r="J30" i="85"/>
  <c r="W32" i="85"/>
  <c r="W47" i="85" s="1"/>
  <c r="W48" i="85" s="1"/>
  <c r="K30" i="85"/>
  <c r="S30" i="85"/>
  <c r="S32" i="85" s="1"/>
  <c r="AE32" i="85"/>
  <c r="AE47" i="85" s="1"/>
  <c r="AE48" i="85" s="1"/>
  <c r="AB32" i="85"/>
  <c r="AB47" i="85" s="1"/>
  <c r="AB48" i="85" s="1"/>
  <c r="P30" i="85"/>
  <c r="N19" i="9"/>
  <c r="N20" i="9" s="1"/>
  <c r="N24" i="9" s="1"/>
  <c r="N31" i="9" s="1"/>
  <c r="N30" i="85"/>
  <c r="Z32" i="85"/>
  <c r="Z47" i="85" s="1"/>
  <c r="Z48" i="85" s="1"/>
  <c r="J47" i="84"/>
  <c r="L47" i="84"/>
  <c r="K47" i="84"/>
  <c r="AU20" i="98"/>
  <c r="AU21" i="98"/>
  <c r="E67" i="100"/>
  <c r="E70" i="100"/>
  <c r="E69" i="100"/>
  <c r="F66" i="100" s="1"/>
  <c r="AV21" i="98" l="1"/>
  <c r="AF21" i="98" s="1"/>
  <c r="AF23" i="98" s="1"/>
  <c r="AF24" i="98" s="1"/>
  <c r="AV20" i="98"/>
  <c r="AN61" i="26"/>
  <c r="AR59" i="26" a="1"/>
  <c r="AR59" i="26" s="1"/>
  <c r="AR61" i="26" s="1"/>
  <c r="AC61" i="26"/>
  <c r="G55" i="34" a="1"/>
  <c r="G55" i="34" s="1"/>
  <c r="AB61" i="26"/>
  <c r="AQ59" i="26" a="1"/>
  <c r="AQ59" i="26" s="1"/>
  <c r="AQ61" i="26" s="1"/>
  <c r="Q61" i="26"/>
  <c r="F55" i="34" a="1"/>
  <c r="F55" i="34" s="1"/>
  <c r="P61" i="26"/>
  <c r="AP59" i="26" a="1"/>
  <c r="AP59" i="26" s="1"/>
  <c r="AP61" i="26" s="1"/>
  <c r="E61" i="26"/>
  <c r="E55" i="34" a="1"/>
  <c r="E55" i="34" s="1"/>
  <c r="F69" i="100"/>
  <c r="F70" i="100"/>
  <c r="F69" i="99"/>
  <c r="G66" i="99" s="1"/>
  <c r="AM21" i="98"/>
  <c r="AM20" i="98"/>
  <c r="E67" i="99"/>
  <c r="E70" i="99"/>
  <c r="AQ53" i="26"/>
  <c r="AP53" i="26"/>
  <c r="AH21" i="98"/>
  <c r="AH23" i="98" s="1"/>
  <c r="AH24" i="98" s="1"/>
  <c r="AG21" i="98"/>
  <c r="AG23" i="98" s="1"/>
  <c r="AG24" i="98" s="1"/>
  <c r="N47" i="84"/>
  <c r="H30" i="84"/>
  <c r="P32" i="84"/>
  <c r="G30" i="84"/>
  <c r="O32" i="84"/>
  <c r="F58" i="77"/>
  <c r="E59" i="77" s="1" a="1"/>
  <c r="E59" i="77" s="1"/>
  <c r="EG4" i="69" a="1"/>
  <c r="F19" i="9"/>
  <c r="F18" i="9" a="1"/>
  <c r="F18" i="9" s="1"/>
  <c r="E19" i="9"/>
  <c r="N32" i="85"/>
  <c r="E18" i="9" a="1"/>
  <c r="E18" i="9" s="1"/>
  <c r="F30" i="84"/>
  <c r="F32" i="84" s="1"/>
  <c r="J19" i="9" a="1"/>
  <c r="J19" i="9" s="1"/>
  <c r="J18" i="9" a="1"/>
  <c r="J18" i="9" s="1"/>
  <c r="F30" i="85"/>
  <c r="D19" i="9"/>
  <c r="D18" i="9" a="1"/>
  <c r="D18" i="9" s="1"/>
  <c r="J32" i="85"/>
  <c r="G30" i="85"/>
  <c r="K32" i="85"/>
  <c r="P32" i="85"/>
  <c r="H30" i="85"/>
  <c r="T54" i="85"/>
  <c r="T47" i="85"/>
  <c r="J48" i="84"/>
  <c r="O54" i="85"/>
  <c r="O47" i="85"/>
  <c r="L48" i="84"/>
  <c r="S54" i="85"/>
  <c r="S47" i="85"/>
  <c r="R47" i="85"/>
  <c r="Y5" i="98"/>
  <c r="Y22" i="98" s="1"/>
  <c r="L54" i="85"/>
  <c r="L47" i="85"/>
  <c r="K48" i="84"/>
  <c r="E54" i="100"/>
  <c r="AU23" i="98"/>
  <c r="AU24" i="98" s="1"/>
  <c r="AV23" i="98" l="1"/>
  <c r="AV24" i="98" s="1"/>
  <c r="AY21" i="98"/>
  <c r="AY23" i="98" s="1"/>
  <c r="AY24" i="98" s="1"/>
  <c r="E62" i="26" a="1"/>
  <c r="E62" i="26" s="1"/>
  <c r="E66" i="26"/>
  <c r="G66" i="100"/>
  <c r="G69" i="99"/>
  <c r="G70" i="99"/>
  <c r="W52" i="84" a="1"/>
  <c r="W52" i="84" s="1"/>
  <c r="AH52" i="85" a="1"/>
  <c r="AH52" i="85" s="1"/>
  <c r="AH54" i="85" s="1"/>
  <c r="AE52" i="85" a="1"/>
  <c r="AE52" i="85" s="1"/>
  <c r="AA52" i="85" a="1"/>
  <c r="AA52" i="85" s="1"/>
  <c r="X52" i="85" a="1"/>
  <c r="X52" i="85" s="1"/>
  <c r="L52" i="84" a="1"/>
  <c r="L52" i="84" s="1"/>
  <c r="L54" i="84" s="1"/>
  <c r="K52" i="84" a="1"/>
  <c r="K52" i="84" s="1"/>
  <c r="K54" i="84" s="1"/>
  <c r="J52" i="84" a="1"/>
  <c r="J52" i="84" s="1"/>
  <c r="J54" i="84" s="1"/>
  <c r="S52" i="84" a="1"/>
  <c r="S52" i="84" s="1"/>
  <c r="S54" i="84" s="1"/>
  <c r="AQ52" i="85" a="1"/>
  <c r="AQ52" i="85" s="1"/>
  <c r="AQ54" i="85" s="1"/>
  <c r="AN52" i="85" a="1"/>
  <c r="AN52" i="85" s="1"/>
  <c r="AN54" i="85" s="1"/>
  <c r="AL52" i="85" a="1"/>
  <c r="AL52" i="85" s="1"/>
  <c r="AL54" i="85" s="1"/>
  <c r="AI52" i="85" a="1"/>
  <c r="AI52" i="85" s="1"/>
  <c r="AI54" i="85" s="1"/>
  <c r="T52" i="84" a="1"/>
  <c r="T52" i="84" s="1"/>
  <c r="T54" i="84" s="1"/>
  <c r="R52" i="84" a="1"/>
  <c r="R52" i="84" s="1"/>
  <c r="R54" i="84" s="1"/>
  <c r="AR52" i="85" a="1"/>
  <c r="AR52" i="85" s="1"/>
  <c r="AR54" i="85" s="1"/>
  <c r="AP52" i="85" a="1"/>
  <c r="AP52" i="85" s="1"/>
  <c r="AP54" i="85" s="1"/>
  <c r="AM52" i="85" a="1"/>
  <c r="AM52" i="85" s="1"/>
  <c r="AM54" i="85" s="1"/>
  <c r="AJ52" i="85" a="1"/>
  <c r="AJ52" i="85" s="1"/>
  <c r="AJ54" i="85" s="1"/>
  <c r="AB52" i="85" a="1"/>
  <c r="AB52" i="85" s="1"/>
  <c r="W52" i="85" a="1"/>
  <c r="W52" i="85" s="1"/>
  <c r="X52" i="84" a="1"/>
  <c r="X52" i="84" s="1"/>
  <c r="V52" i="84" a="1"/>
  <c r="V52" i="84" s="1"/>
  <c r="AF52" i="85" a="1"/>
  <c r="AF52" i="85" s="1"/>
  <c r="AD52" i="85" a="1"/>
  <c r="AD52" i="85" s="1"/>
  <c r="Z52" i="85" a="1"/>
  <c r="Z52" i="85" s="1"/>
  <c r="V52" i="85" a="1"/>
  <c r="V52" i="85" s="1"/>
  <c r="J20" i="9"/>
  <c r="J24" i="9" s="1"/>
  <c r="J28" i="9" s="1"/>
  <c r="J29" i="9" s="1"/>
  <c r="J31" i="9" s="1"/>
  <c r="J32" i="9" s="1"/>
  <c r="E20" i="9"/>
  <c r="E24" i="9" s="1"/>
  <c r="E31" i="9" s="1"/>
  <c r="E32" i="9" s="1"/>
  <c r="F20" i="9"/>
  <c r="F24" i="9" s="1"/>
  <c r="F31" i="9" s="1"/>
  <c r="F32" i="9" s="1"/>
  <c r="I19" i="9"/>
  <c r="AQ21" i="98"/>
  <c r="AQ23" i="98" s="1"/>
  <c r="AQ24" i="98" s="1"/>
  <c r="AE21" i="98"/>
  <c r="AM23" i="98"/>
  <c r="AM24" i="98" s="1"/>
  <c r="E54" i="99"/>
  <c r="N48" i="84"/>
  <c r="H32" i="84"/>
  <c r="O30" i="34"/>
  <c r="O32" i="34" s="1"/>
  <c r="O47" i="34" s="1"/>
  <c r="P47" i="84"/>
  <c r="G32" i="84"/>
  <c r="N30" i="34"/>
  <c r="N32" i="34" s="1"/>
  <c r="N47" i="34" s="1"/>
  <c r="O47" i="84"/>
  <c r="V5" i="98"/>
  <c r="F47" i="84"/>
  <c r="F48" i="84" s="1"/>
  <c r="EG4" i="69"/>
  <c r="X5" i="98"/>
  <c r="X22" i="98" s="1"/>
  <c r="N47" i="85"/>
  <c r="N48" i="85" s="1"/>
  <c r="C18" i="9" a="1"/>
  <c r="C18" i="9" s="1"/>
  <c r="M30" i="34"/>
  <c r="M32" i="34" s="1"/>
  <c r="M47" i="34" s="1"/>
  <c r="C19" i="9"/>
  <c r="H19" i="9" s="1"/>
  <c r="F32" i="85"/>
  <c r="Q30" i="34"/>
  <c r="Q32" i="34" s="1"/>
  <c r="Q47" i="34" s="1"/>
  <c r="I18" i="9"/>
  <c r="D20" i="9"/>
  <c r="D24" i="9" s="1"/>
  <c r="D31" i="9" s="1"/>
  <c r="D32" i="9" s="1"/>
  <c r="J47" i="85"/>
  <c r="J48" i="85" s="1"/>
  <c r="W5" i="98"/>
  <c r="W22" i="98" s="1"/>
  <c r="G32" i="85"/>
  <c r="R30" i="34"/>
  <c r="K54" i="85"/>
  <c r="K47" i="85"/>
  <c r="P54" i="85"/>
  <c r="P47" i="85"/>
  <c r="S30" i="34"/>
  <c r="H32" i="85"/>
  <c r="T48" i="85"/>
  <c r="O48" i="85"/>
  <c r="S48" i="85"/>
  <c r="R48" i="85"/>
  <c r="Y24" i="98"/>
  <c r="Y26" i="98" s="1"/>
  <c r="Y27" i="98" s="1"/>
  <c r="Y23" i="98"/>
  <c r="L48" i="85"/>
  <c r="E56" i="100"/>
  <c r="F65" i="100"/>
  <c r="F67" i="100" s="1"/>
  <c r="E69" i="26" l="1"/>
  <c r="E70" i="26"/>
  <c r="E67" i="26"/>
  <c r="E54" i="26" s="1"/>
  <c r="G70" i="100"/>
  <c r="G69" i="100"/>
  <c r="H66" i="99"/>
  <c r="P52" i="84" a="1"/>
  <c r="P52" i="84" s="1"/>
  <c r="N52" i="84" a="1"/>
  <c r="N52" i="84" s="1"/>
  <c r="O52" i="84" a="1"/>
  <c r="O52" i="84" s="1"/>
  <c r="I20" i="9"/>
  <c r="I24" i="9" s="1"/>
  <c r="I31" i="9" s="1"/>
  <c r="I32" i="9" s="1"/>
  <c r="AI21" i="98"/>
  <c r="AI23" i="98" s="1"/>
  <c r="AI24" i="98" s="1"/>
  <c r="AE23" i="98"/>
  <c r="AE24" i="98" s="1"/>
  <c r="H47" i="84"/>
  <c r="H48" i="84" s="1"/>
  <c r="O48" i="34"/>
  <c r="O49" i="34"/>
  <c r="P48" i="84"/>
  <c r="G47" i="84"/>
  <c r="G48" i="84" s="1"/>
  <c r="N48" i="34"/>
  <c r="N49" i="34"/>
  <c r="O48" i="84"/>
  <c r="AA5" i="98"/>
  <c r="AA22" i="98" s="1"/>
  <c r="V22" i="98"/>
  <c r="E30" i="34"/>
  <c r="E32" i="34" s="1"/>
  <c r="E56" i="99"/>
  <c r="F65" i="99"/>
  <c r="F67" i="99" s="1"/>
  <c r="M48" i="34"/>
  <c r="M49" i="34"/>
  <c r="M50" i="34" s="1"/>
  <c r="R32" i="34"/>
  <c r="R47" i="34" s="1"/>
  <c r="F30" i="34"/>
  <c r="F32" i="34" s="1"/>
  <c r="S32" i="34"/>
  <c r="S47" i="34" s="1"/>
  <c r="G30" i="34"/>
  <c r="AL55" i="85"/>
  <c r="AM55" i="85"/>
  <c r="AN55" i="85"/>
  <c r="R52" i="85"/>
  <c r="AD54" i="85"/>
  <c r="X54" i="84"/>
  <c r="V54" i="84"/>
  <c r="W54" i="84"/>
  <c r="AB54" i="85"/>
  <c r="P52" i="85"/>
  <c r="Z54" i="85"/>
  <c r="N52" i="85"/>
  <c r="N54" i="85" s="1"/>
  <c r="AQ55" i="85"/>
  <c r="AP55" i="85"/>
  <c r="AR55" i="85"/>
  <c r="S55" i="84"/>
  <c r="R55" i="84"/>
  <c r="T55" i="84"/>
  <c r="X54" i="85"/>
  <c r="L52" i="85"/>
  <c r="S52" i="85"/>
  <c r="AE54" i="85"/>
  <c r="W54" i="85"/>
  <c r="K52" i="85"/>
  <c r="T52" i="85"/>
  <c r="AF54" i="85"/>
  <c r="AA54" i="85"/>
  <c r="O52" i="85"/>
  <c r="AI55" i="85"/>
  <c r="AH55" i="85"/>
  <c r="AJ55" i="85"/>
  <c r="V54" i="85"/>
  <c r="J52" i="85"/>
  <c r="J54" i="85" s="1"/>
  <c r="X23" i="98"/>
  <c r="X24" i="98"/>
  <c r="X26" i="98" s="1"/>
  <c r="X27" i="98" s="1"/>
  <c r="C20" i="9"/>
  <c r="C24" i="9" s="1"/>
  <c r="H18" i="9"/>
  <c r="H20" i="9" s="1"/>
  <c r="H24" i="9" s="1"/>
  <c r="H31" i="9" s="1"/>
  <c r="H32" i="9" s="1"/>
  <c r="F47" i="85"/>
  <c r="Q49" i="34"/>
  <c r="Q50" i="34" s="1"/>
  <c r="Q48" i="34"/>
  <c r="W23" i="98"/>
  <c r="W24" i="98"/>
  <c r="W26" i="98" s="1"/>
  <c r="W27" i="98" s="1"/>
  <c r="G47" i="85"/>
  <c r="K48" i="85"/>
  <c r="P48" i="85"/>
  <c r="H47" i="85"/>
  <c r="F54" i="100"/>
  <c r="E56" i="26" l="1"/>
  <c r="F65" i="26"/>
  <c r="F66" i="26"/>
  <c r="F69" i="26" s="1"/>
  <c r="H66" i="100"/>
  <c r="H70" i="99"/>
  <c r="H69" i="99"/>
  <c r="H52" i="84"/>
  <c r="H54" i="84" s="1"/>
  <c r="P54" i="84"/>
  <c r="G52" i="84"/>
  <c r="G54" i="84" s="1"/>
  <c r="O54" i="84"/>
  <c r="R49" i="34"/>
  <c r="R48" i="34"/>
  <c r="S48" i="34"/>
  <c r="S49" i="34"/>
  <c r="F48" i="85"/>
  <c r="G52" i="85"/>
  <c r="G54" i="85" s="1"/>
  <c r="X55" i="85"/>
  <c r="W55" i="85"/>
  <c r="V55" i="85"/>
  <c r="O50" i="34"/>
  <c r="N50" i="34"/>
  <c r="AA23" i="98"/>
  <c r="AA26" i="98"/>
  <c r="AA27" i="98" s="1"/>
  <c r="V24" i="98"/>
  <c r="V23" i="98"/>
  <c r="E56" i="34"/>
  <c r="E47" i="34"/>
  <c r="F54" i="99"/>
  <c r="M51" i="34"/>
  <c r="M57" i="34"/>
  <c r="F56" i="34"/>
  <c r="F47" i="34"/>
  <c r="G32" i="34"/>
  <c r="I49" i="34"/>
  <c r="N55" i="85"/>
  <c r="E33" i="9" s="1" a="1"/>
  <c r="E33" i="9" s="1"/>
  <c r="E34" i="9" s="1"/>
  <c r="O55" i="85"/>
  <c r="P55" i="85"/>
  <c r="H52" i="85"/>
  <c r="H54" i="85" s="1"/>
  <c r="R54" i="85"/>
  <c r="F52" i="85"/>
  <c r="F54" i="85" s="1"/>
  <c r="AF55" i="85"/>
  <c r="AE55" i="85"/>
  <c r="AD55" i="85"/>
  <c r="X55" i="84"/>
  <c r="W55" i="84"/>
  <c r="V55" i="84"/>
  <c r="F52" i="84"/>
  <c r="F54" i="84" s="1"/>
  <c r="N54" i="84"/>
  <c r="AB55" i="85"/>
  <c r="AA55" i="85"/>
  <c r="Z55" i="85"/>
  <c r="H48" i="85"/>
  <c r="G48" i="85"/>
  <c r="N32" i="9"/>
  <c r="C31" i="9"/>
  <c r="C32" i="9" s="1"/>
  <c r="L32" i="9"/>
  <c r="M32" i="9"/>
  <c r="O32" i="9"/>
  <c r="Q51" i="34"/>
  <c r="Q57" i="34"/>
  <c r="J55" i="85"/>
  <c r="K55" i="85"/>
  <c r="L55" i="85"/>
  <c r="F56" i="100"/>
  <c r="G65" i="100"/>
  <c r="G67" i="100" s="1"/>
  <c r="F67" i="26" l="1"/>
  <c r="F70" i="26"/>
  <c r="G66" i="26"/>
  <c r="H70" i="100"/>
  <c r="H69" i="100"/>
  <c r="I66" i="100" s="1"/>
  <c r="I66" i="99"/>
  <c r="L55" i="84"/>
  <c r="K55" i="84"/>
  <c r="J55" i="84"/>
  <c r="R50" i="34"/>
  <c r="J49" i="34"/>
  <c r="S50" i="34"/>
  <c r="K49" i="34"/>
  <c r="O51" i="34"/>
  <c r="O57" i="34"/>
  <c r="N51" i="34"/>
  <c r="N57" i="34"/>
  <c r="E48" i="34"/>
  <c r="F48" i="34"/>
  <c r="G47" i="34"/>
  <c r="G56" i="34"/>
  <c r="E49" i="34"/>
  <c r="E50" i="34" s="1"/>
  <c r="I50" i="34"/>
  <c r="U24" i="98"/>
  <c r="U26" i="98" s="1"/>
  <c r="U27" i="98" s="1"/>
  <c r="V26" i="98"/>
  <c r="V27" i="98" s="1"/>
  <c r="F56" i="99"/>
  <c r="G65" i="99"/>
  <c r="G67" i="99" s="1"/>
  <c r="H55" i="85"/>
  <c r="G55" i="85"/>
  <c r="F55" i="85"/>
  <c r="O55" i="84"/>
  <c r="P55" i="84"/>
  <c r="N55" i="84"/>
  <c r="C33" i="9" s="1" a="1"/>
  <c r="C33" i="9" s="1"/>
  <c r="S55" i="85"/>
  <c r="T55" i="85"/>
  <c r="R55" i="85"/>
  <c r="I33" i="9" s="1" a="1"/>
  <c r="I33" i="9" s="1"/>
  <c r="I34" i="9" s="1"/>
  <c r="H55" i="84"/>
  <c r="G55" i="84"/>
  <c r="F55" i="84"/>
  <c r="D33" i="9" a="1"/>
  <c r="D33" i="9" s="1"/>
  <c r="D34" i="9" s="1"/>
  <c r="G54" i="100"/>
  <c r="F54" i="26" l="1"/>
  <c r="G70" i="26"/>
  <c r="G69" i="26"/>
  <c r="I70" i="100"/>
  <c r="I69" i="100"/>
  <c r="J50" i="34"/>
  <c r="F49" i="34"/>
  <c r="F50" i="34" s="1"/>
  <c r="S51" i="34"/>
  <c r="S57" i="34"/>
  <c r="G49" i="34"/>
  <c r="G50" i="34" s="1"/>
  <c r="K50" i="34"/>
  <c r="I70" i="99"/>
  <c r="I69" i="99"/>
  <c r="R51" i="34"/>
  <c r="R57" i="34"/>
  <c r="H33" i="9"/>
  <c r="H34" i="9" s="1"/>
  <c r="C34" i="9"/>
  <c r="E51" i="34"/>
  <c r="G48" i="34"/>
  <c r="I51" i="34"/>
  <c r="I57" i="34"/>
  <c r="G54" i="99"/>
  <c r="F33" i="9" a="1"/>
  <c r="F33" i="9" s="1"/>
  <c r="F34" i="9" s="1"/>
  <c r="G56" i="100"/>
  <c r="H65" i="100"/>
  <c r="H67" i="100" s="1"/>
  <c r="H66" i="26" l="1"/>
  <c r="F56" i="26"/>
  <c r="G65" i="26"/>
  <c r="G67" i="26" s="1"/>
  <c r="J51" i="34"/>
  <c r="J57" i="34"/>
  <c r="F51" i="34"/>
  <c r="J66" i="100"/>
  <c r="K57" i="34"/>
  <c r="K51" i="34"/>
  <c r="I58" i="34" a="1"/>
  <c r="I58" i="34" s="1"/>
  <c r="G56" i="99"/>
  <c r="H65" i="99"/>
  <c r="H67" i="99" s="1"/>
  <c r="H54" i="99" s="1"/>
  <c r="G51" i="34"/>
  <c r="H54" i="100"/>
  <c r="G54" i="26" l="1"/>
  <c r="H70" i="26"/>
  <c r="H69" i="26"/>
  <c r="J70" i="100"/>
  <c r="J69" i="100"/>
  <c r="H56" i="99"/>
  <c r="I65" i="99"/>
  <c r="I67" i="99" s="1"/>
  <c r="H56" i="100"/>
  <c r="I65" i="100"/>
  <c r="I67" i="100" s="1"/>
  <c r="I66" i="26" l="1"/>
  <c r="G56" i="26"/>
  <c r="H65" i="26"/>
  <c r="H67" i="26" s="1"/>
  <c r="K66" i="100"/>
  <c r="I54" i="99"/>
  <c r="I54" i="100"/>
  <c r="H54" i="26" l="1"/>
  <c r="I70" i="26"/>
  <c r="I69" i="26"/>
  <c r="K70" i="100"/>
  <c r="K69" i="100"/>
  <c r="I56" i="99"/>
  <c r="J65" i="99"/>
  <c r="I56" i="100"/>
  <c r="J65" i="100"/>
  <c r="J67" i="100" s="1"/>
  <c r="J66" i="26" l="1"/>
  <c r="H56" i="26"/>
  <c r="I65" i="26"/>
  <c r="I67" i="26" s="1"/>
  <c r="L66" i="100"/>
  <c r="J66" i="99"/>
  <c r="J67" i="99" s="1"/>
  <c r="J54" i="99" s="1"/>
  <c r="J54" i="100"/>
  <c r="I54" i="26" l="1"/>
  <c r="J70" i="26"/>
  <c r="J69" i="26"/>
  <c r="L70" i="100"/>
  <c r="L69" i="100"/>
  <c r="J69" i="99"/>
  <c r="J70" i="99"/>
  <c r="J56" i="99"/>
  <c r="K65" i="99"/>
  <c r="J56" i="100"/>
  <c r="K65" i="100"/>
  <c r="K67" i="100" s="1"/>
  <c r="K66" i="26" l="1"/>
  <c r="I56" i="26"/>
  <c r="J65" i="26"/>
  <c r="J67" i="26" s="1"/>
  <c r="M66" i="100"/>
  <c r="K66" i="99"/>
  <c r="K67" i="99" s="1"/>
  <c r="K54" i="99" s="1"/>
  <c r="K54" i="100"/>
  <c r="J54" i="26" l="1"/>
  <c r="K70" i="26"/>
  <c r="K69" i="26"/>
  <c r="M70" i="100"/>
  <c r="M69" i="100"/>
  <c r="K69" i="99"/>
  <c r="K70" i="99"/>
  <c r="K56" i="99"/>
  <c r="L65" i="99"/>
  <c r="K56" i="100"/>
  <c r="L65" i="100"/>
  <c r="L67" i="100" s="1"/>
  <c r="L66" i="26" l="1"/>
  <c r="J56" i="26"/>
  <c r="K65" i="26"/>
  <c r="K67" i="26" s="1"/>
  <c r="N66" i="100"/>
  <c r="L66" i="99"/>
  <c r="L67" i="99" s="1"/>
  <c r="L54" i="100"/>
  <c r="K54" i="26" l="1"/>
  <c r="L70" i="26"/>
  <c r="L69" i="26"/>
  <c r="N70" i="100"/>
  <c r="N69" i="100"/>
  <c r="L54" i="99"/>
  <c r="L69" i="99"/>
  <c r="L70" i="99"/>
  <c r="L56" i="100"/>
  <c r="M65" i="100"/>
  <c r="M67" i="100" s="1"/>
  <c r="M66" i="26" l="1"/>
  <c r="K56" i="26"/>
  <c r="L65" i="26"/>
  <c r="L67" i="26" s="1"/>
  <c r="O66" i="100"/>
  <c r="L56" i="99"/>
  <c r="M65" i="99"/>
  <c r="M54" i="100"/>
  <c r="M70" i="26" l="1"/>
  <c r="M69" i="26"/>
  <c r="N66" i="26" s="1"/>
  <c r="L54" i="26"/>
  <c r="O70" i="100"/>
  <c r="O69" i="100"/>
  <c r="M66" i="99"/>
  <c r="M67" i="99" s="1"/>
  <c r="M54" i="99" s="1"/>
  <c r="M56" i="100"/>
  <c r="N65" i="100"/>
  <c r="N67" i="100" s="1"/>
  <c r="N70" i="26" l="1"/>
  <c r="N69" i="26"/>
  <c r="O66" i="26"/>
  <c r="L56" i="26"/>
  <c r="M65" i="26"/>
  <c r="M67" i="26" s="1"/>
  <c r="M54" i="26" s="1"/>
  <c r="P66" i="100"/>
  <c r="M70" i="99"/>
  <c r="M69" i="99"/>
  <c r="M56" i="99"/>
  <c r="N65" i="99"/>
  <c r="N54" i="100"/>
  <c r="N65" i="26" l="1"/>
  <c r="N67" i="26" s="1"/>
  <c r="M56" i="26"/>
  <c r="O70" i="26"/>
  <c r="O69" i="26"/>
  <c r="P66" i="26" s="1"/>
  <c r="P70" i="100"/>
  <c r="P69" i="100"/>
  <c r="N66" i="99"/>
  <c r="N67" i="99" s="1"/>
  <c r="N56" i="100"/>
  <c r="O65" i="100"/>
  <c r="O67" i="100" s="1"/>
  <c r="N54" i="26" l="1"/>
  <c r="O65" i="26" s="1"/>
  <c r="O67" i="26" s="1"/>
  <c r="P69" i="26"/>
  <c r="P70" i="26"/>
  <c r="AP70" i="26" s="1" a="1"/>
  <c r="AP70" i="26" s="1"/>
  <c r="Q66" i="100"/>
  <c r="N69" i="99"/>
  <c r="N70" i="99"/>
  <c r="N54" i="99"/>
  <c r="O54" i="100"/>
  <c r="O54" i="26" l="1"/>
  <c r="N56" i="26"/>
  <c r="Q66" i="26"/>
  <c r="AP69" i="26" a="1"/>
  <c r="AP69" i="26" s="1"/>
  <c r="E65" i="34" a="1"/>
  <c r="E65" i="34" s="1"/>
  <c r="Q70" i="100"/>
  <c r="Q69" i="100"/>
  <c r="N56" i="99"/>
  <c r="O65" i="99"/>
  <c r="O56" i="100"/>
  <c r="P65" i="100"/>
  <c r="P67" i="100" s="1"/>
  <c r="O56" i="26" l="1"/>
  <c r="P65" i="26"/>
  <c r="P67" i="26" s="1"/>
  <c r="Q70" i="26"/>
  <c r="Q69" i="26"/>
  <c r="R66" i="100"/>
  <c r="O66" i="99"/>
  <c r="O67" i="99" s="1"/>
  <c r="P54" i="100"/>
  <c r="E62" i="34" l="1" a="1"/>
  <c r="E62" i="34" s="1"/>
  <c r="AP67" i="26" a="1"/>
  <c r="AP67" i="26" s="1"/>
  <c r="AP66" i="26" s="1"/>
  <c r="P54" i="26"/>
  <c r="Q65" i="26" s="1"/>
  <c r="R66" i="26"/>
  <c r="R70" i="100"/>
  <c r="R69" i="100"/>
  <c r="O54" i="99"/>
  <c r="O69" i="99"/>
  <c r="O70" i="99"/>
  <c r="P56" i="100"/>
  <c r="Q65" i="100"/>
  <c r="Q67" i="100" s="1"/>
  <c r="AP54" i="26" l="1" a="1"/>
  <c r="AP54" i="26" s="1"/>
  <c r="AP56" i="26" s="1"/>
  <c r="P56" i="26"/>
  <c r="AQ65" i="26" a="1"/>
  <c r="AQ65" i="26" s="1"/>
  <c r="Q67" i="26"/>
  <c r="F61" i="34" a="1"/>
  <c r="F61" i="34" s="1"/>
  <c r="R70" i="26"/>
  <c r="R69" i="26"/>
  <c r="S66" i="100"/>
  <c r="O56" i="99"/>
  <c r="P65" i="99"/>
  <c r="Q54" i="100"/>
  <c r="Q54" i="26" l="1"/>
  <c r="S66" i="26"/>
  <c r="S70" i="100"/>
  <c r="S69" i="100"/>
  <c r="P66" i="99"/>
  <c r="P67" i="99" s="1"/>
  <c r="Q56" i="100"/>
  <c r="R65" i="100"/>
  <c r="R67" i="100" s="1"/>
  <c r="Q56" i="26" l="1"/>
  <c r="R65" i="26"/>
  <c r="R67" i="26" s="1"/>
  <c r="R54" i="26" s="1"/>
  <c r="S70" i="26"/>
  <c r="S69" i="26"/>
  <c r="T66" i="26" s="1"/>
  <c r="T66" i="100"/>
  <c r="P54" i="99"/>
  <c r="P69" i="99"/>
  <c r="P70" i="99"/>
  <c r="R54" i="100"/>
  <c r="R56" i="26" l="1"/>
  <c r="S65" i="26"/>
  <c r="S67" i="26" s="1"/>
  <c r="T70" i="26"/>
  <c r="T69" i="26"/>
  <c r="T70" i="100"/>
  <c r="T69" i="100"/>
  <c r="P56" i="99"/>
  <c r="Q65" i="99"/>
  <c r="R56" i="100"/>
  <c r="S65" i="100"/>
  <c r="S67" i="100" s="1"/>
  <c r="S54" i="26" l="1"/>
  <c r="U66" i="26"/>
  <c r="U66" i="100"/>
  <c r="Q66" i="99"/>
  <c r="Q67" i="99" s="1"/>
  <c r="S54" i="100"/>
  <c r="S56" i="26" l="1"/>
  <c r="T65" i="26"/>
  <c r="T67" i="26" s="1"/>
  <c r="T54" i="26" s="1"/>
  <c r="U70" i="26"/>
  <c r="U69" i="26"/>
  <c r="V66" i="26" s="1"/>
  <c r="U70" i="100"/>
  <c r="U69" i="100"/>
  <c r="Q69" i="99"/>
  <c r="Q70" i="99"/>
  <c r="Q54" i="99"/>
  <c r="S56" i="100"/>
  <c r="T65" i="100"/>
  <c r="T67" i="100" s="1"/>
  <c r="V69" i="26" l="1"/>
  <c r="V70" i="26"/>
  <c r="T56" i="26"/>
  <c r="U65" i="26"/>
  <c r="U67" i="26" s="1"/>
  <c r="V66" i="100"/>
  <c r="Q56" i="99"/>
  <c r="R65" i="99"/>
  <c r="T54" i="100"/>
  <c r="W66" i="26" l="1"/>
  <c r="U54" i="26"/>
  <c r="V70" i="100"/>
  <c r="V69" i="100"/>
  <c r="R66" i="99"/>
  <c r="R67" i="99" s="1"/>
  <c r="T56" i="100"/>
  <c r="U65" i="100"/>
  <c r="U67" i="100" s="1"/>
  <c r="W70" i="26" l="1"/>
  <c r="W69" i="26"/>
  <c r="X66" i="26" s="1"/>
  <c r="U56" i="26"/>
  <c r="V65" i="26"/>
  <c r="V67" i="26" s="1"/>
  <c r="W66" i="100"/>
  <c r="R54" i="99"/>
  <c r="R69" i="99"/>
  <c r="R70" i="99"/>
  <c r="U54" i="100"/>
  <c r="X69" i="26" l="1"/>
  <c r="X70" i="26"/>
  <c r="V54" i="26"/>
  <c r="W70" i="100"/>
  <c r="W69" i="100"/>
  <c r="R56" i="99"/>
  <c r="S65" i="99"/>
  <c r="U56" i="100"/>
  <c r="V65" i="100"/>
  <c r="V67" i="100" s="1"/>
  <c r="Y66" i="26" l="1"/>
  <c r="V56" i="26"/>
  <c r="W65" i="26"/>
  <c r="W67" i="26" s="1"/>
  <c r="X66" i="100"/>
  <c r="S66" i="99"/>
  <c r="S67" i="99" s="1"/>
  <c r="V54" i="100"/>
  <c r="W54" i="26" l="1"/>
  <c r="Y70" i="26"/>
  <c r="Y69" i="26"/>
  <c r="Z66" i="26" s="1"/>
  <c r="X70" i="100"/>
  <c r="X69" i="100"/>
  <c r="S54" i="99"/>
  <c r="S69" i="99"/>
  <c r="S70" i="99"/>
  <c r="V56" i="100"/>
  <c r="W65" i="100"/>
  <c r="W67" i="100" s="1"/>
  <c r="Z69" i="26" l="1"/>
  <c r="Z70" i="26"/>
  <c r="W56" i="26"/>
  <c r="X65" i="26"/>
  <c r="X67" i="26" s="1"/>
  <c r="Y66" i="100"/>
  <c r="S56" i="99"/>
  <c r="T65" i="99"/>
  <c r="W54" i="100"/>
  <c r="AA66" i="26" l="1"/>
  <c r="X54" i="26"/>
  <c r="Y70" i="100"/>
  <c r="Y69" i="100"/>
  <c r="T66" i="99"/>
  <c r="T67" i="99" s="1"/>
  <c r="W56" i="100"/>
  <c r="X65" i="100"/>
  <c r="X67" i="100" s="1"/>
  <c r="X56" i="26" l="1"/>
  <c r="Y65" i="26"/>
  <c r="Y67" i="26" s="1"/>
  <c r="Y54" i="26" s="1"/>
  <c r="AA70" i="26"/>
  <c r="AA69" i="26"/>
  <c r="AB66" i="26" s="1"/>
  <c r="Z66" i="100"/>
  <c r="T54" i="99"/>
  <c r="T69" i="99"/>
  <c r="T70" i="99"/>
  <c r="X54" i="100"/>
  <c r="Y56" i="26" l="1"/>
  <c r="Z65" i="26"/>
  <c r="Z67" i="26" s="1"/>
  <c r="Z54" i="26" s="1"/>
  <c r="AA65" i="26" s="1"/>
  <c r="AA67" i="26" s="1"/>
  <c r="AB69" i="26"/>
  <c r="AB70" i="26"/>
  <c r="AQ70" i="26" s="1" a="1"/>
  <c r="AQ70" i="26" s="1"/>
  <c r="Z70" i="100"/>
  <c r="Z69" i="100"/>
  <c r="T56" i="99"/>
  <c r="U65" i="99"/>
  <c r="X56" i="100"/>
  <c r="Y65" i="100"/>
  <c r="Y67" i="100" s="1"/>
  <c r="AA54" i="26" l="1"/>
  <c r="Z56" i="26"/>
  <c r="AQ69" i="26" a="1"/>
  <c r="AQ69" i="26" s="1"/>
  <c r="AC66" i="26"/>
  <c r="F65" i="34" a="1"/>
  <c r="F65" i="34" s="1"/>
  <c r="AA66" i="100"/>
  <c r="U66" i="99"/>
  <c r="U67" i="99" s="1"/>
  <c r="Y54" i="100"/>
  <c r="AA56" i="26" l="1"/>
  <c r="AB65" i="26"/>
  <c r="AB67" i="26" s="1"/>
  <c r="AQ67" i="26" s="1" a="1"/>
  <c r="AQ67" i="26" s="1"/>
  <c r="AQ66" i="26" s="1"/>
  <c r="AC70" i="26"/>
  <c r="AC69" i="26"/>
  <c r="AA70" i="100"/>
  <c r="AA69" i="100"/>
  <c r="U54" i="99"/>
  <c r="U69" i="99"/>
  <c r="U70" i="99"/>
  <c r="Y56" i="100"/>
  <c r="Z65" i="100"/>
  <c r="Z67" i="100" s="1"/>
  <c r="AB54" i="26" l="1"/>
  <c r="AQ54" i="26" s="1" a="1"/>
  <c r="AQ54" i="26" s="1"/>
  <c r="AQ56" i="26" s="1"/>
  <c r="F62" i="34" a="1"/>
  <c r="F62" i="34" s="1"/>
  <c r="AD66" i="26"/>
  <c r="AB66" i="100"/>
  <c r="U56" i="99"/>
  <c r="V65" i="99"/>
  <c r="Z54" i="100"/>
  <c r="AD70" i="26" l="1"/>
  <c r="AD69" i="26"/>
  <c r="AE66" i="26" s="1"/>
  <c r="AC65" i="26"/>
  <c r="AB56" i="26"/>
  <c r="AB70" i="100"/>
  <c r="AB69" i="100"/>
  <c r="V66" i="99"/>
  <c r="V67" i="99" s="1"/>
  <c r="Z56" i="100"/>
  <c r="AA65" i="100"/>
  <c r="AA67" i="100" s="1"/>
  <c r="AC67" i="26" l="1"/>
  <c r="AC54" i="26" s="1"/>
  <c r="G61" i="34" a="1"/>
  <c r="G61" i="34" s="1"/>
  <c r="AR65" i="26" a="1"/>
  <c r="AR65" i="26" s="1"/>
  <c r="AE70" i="26"/>
  <c r="AE69" i="26"/>
  <c r="AC66" i="100"/>
  <c r="V54" i="99"/>
  <c r="V69" i="99"/>
  <c r="V70" i="99"/>
  <c r="AA54" i="100"/>
  <c r="AC56" i="26" l="1"/>
  <c r="AD65" i="26"/>
  <c r="AD67" i="26" s="1"/>
  <c r="AF66" i="26"/>
  <c r="AC70" i="100"/>
  <c r="AC69" i="100"/>
  <c r="V56" i="99"/>
  <c r="W65" i="99"/>
  <c r="AA56" i="100"/>
  <c r="AB65" i="100"/>
  <c r="AB67" i="100" s="1"/>
  <c r="AD54" i="26" l="1"/>
  <c r="AF70" i="26"/>
  <c r="AF69" i="26"/>
  <c r="AG66" i="26" s="1"/>
  <c r="AD66" i="100"/>
  <c r="W66" i="99"/>
  <c r="W67" i="99" s="1"/>
  <c r="AB54" i="100"/>
  <c r="AD56" i="26" l="1"/>
  <c r="AE65" i="26"/>
  <c r="AE67" i="26" s="1"/>
  <c r="AG70" i="26"/>
  <c r="AG69" i="26"/>
  <c r="AD70" i="100"/>
  <c r="AD69" i="100"/>
  <c r="AE66" i="100" s="1"/>
  <c r="W54" i="99"/>
  <c r="W69" i="99"/>
  <c r="W70" i="99"/>
  <c r="AB56" i="100"/>
  <c r="AC65" i="100"/>
  <c r="AC67" i="100" s="1"/>
  <c r="AE54" i="26" l="1"/>
  <c r="AH66" i="26"/>
  <c r="AE70" i="100"/>
  <c r="AE69" i="100"/>
  <c r="W56" i="99"/>
  <c r="X65" i="99"/>
  <c r="AC54" i="100"/>
  <c r="AE56" i="26" l="1"/>
  <c r="AF65" i="26"/>
  <c r="AF67" i="26" s="1"/>
  <c r="AH70" i="26"/>
  <c r="AH69" i="26"/>
  <c r="AF66" i="100"/>
  <c r="X66" i="99"/>
  <c r="X67" i="99" s="1"/>
  <c r="AC56" i="100"/>
  <c r="AD65" i="100"/>
  <c r="AD67" i="100" s="1"/>
  <c r="AF54" i="26" l="1"/>
  <c r="AI66" i="26"/>
  <c r="AF70" i="100"/>
  <c r="AF69" i="100"/>
  <c r="X54" i="99"/>
  <c r="X69" i="99"/>
  <c r="X70" i="99"/>
  <c r="AD54" i="100"/>
  <c r="AF56" i="26" l="1"/>
  <c r="AG65" i="26"/>
  <c r="AG67" i="26" s="1"/>
  <c r="AI70" i="26"/>
  <c r="AI69" i="26"/>
  <c r="AG66" i="100"/>
  <c r="X56" i="99"/>
  <c r="Y65" i="99"/>
  <c r="AD56" i="100"/>
  <c r="AE65" i="100"/>
  <c r="AE67" i="100" s="1"/>
  <c r="AG54" i="26" l="1"/>
  <c r="AJ66" i="26"/>
  <c r="AG70" i="100"/>
  <c r="AG69" i="100"/>
  <c r="Y66" i="99"/>
  <c r="Y67" i="99" s="1"/>
  <c r="AE54" i="100"/>
  <c r="AG56" i="26" l="1"/>
  <c r="AH65" i="26"/>
  <c r="AH67" i="26" s="1"/>
  <c r="AJ70" i="26"/>
  <c r="AJ69" i="26"/>
  <c r="AH66" i="100"/>
  <c r="Y54" i="99"/>
  <c r="Y69" i="99"/>
  <c r="Y70" i="99"/>
  <c r="AE56" i="100"/>
  <c r="AF65" i="100"/>
  <c r="AF67" i="100" s="1"/>
  <c r="AH54" i="26" l="1"/>
  <c r="AK66" i="26"/>
  <c r="AH70" i="100"/>
  <c r="AH69" i="100"/>
  <c r="Y56" i="99"/>
  <c r="Z65" i="99"/>
  <c r="AF54" i="100"/>
  <c r="AH56" i="26" l="1"/>
  <c r="AI65" i="26"/>
  <c r="AI67" i="26" s="1"/>
  <c r="AK70" i="26"/>
  <c r="AK69" i="26"/>
  <c r="AI66" i="100"/>
  <c r="Z66" i="99"/>
  <c r="Z67" i="99" s="1"/>
  <c r="AF56" i="100"/>
  <c r="AG65" i="100"/>
  <c r="AG67" i="100" s="1"/>
  <c r="AI54" i="26" l="1"/>
  <c r="AL66" i="26"/>
  <c r="AI70" i="100"/>
  <c r="AI69" i="100"/>
  <c r="Z54" i="99"/>
  <c r="Z69" i="99"/>
  <c r="Z70" i="99"/>
  <c r="AG54" i="100"/>
  <c r="AI56" i="26" l="1"/>
  <c r="AJ65" i="26"/>
  <c r="AJ67" i="26" s="1"/>
  <c r="AL70" i="26"/>
  <c r="AL69" i="26"/>
  <c r="AJ66" i="100"/>
  <c r="E63" i="34" a="1"/>
  <c r="E63" i="34" s="1"/>
  <c r="F63" i="34" a="1"/>
  <c r="F63" i="34" s="1"/>
  <c r="Z56" i="99"/>
  <c r="AA65" i="99"/>
  <c r="AG56" i="100"/>
  <c r="AH65" i="100"/>
  <c r="AH67" i="100" s="1"/>
  <c r="AJ54" i="26" l="1"/>
  <c r="AJ70" i="100"/>
  <c r="AJ69" i="100"/>
  <c r="AM66" i="26"/>
  <c r="AM69" i="26" s="1"/>
  <c r="AA66" i="99"/>
  <c r="AA67" i="99" s="1"/>
  <c r="AH54" i="100"/>
  <c r="AJ56" i="26" l="1"/>
  <c r="AK65" i="26"/>
  <c r="AK67" i="26" s="1"/>
  <c r="AK66" i="100"/>
  <c r="AM70" i="26"/>
  <c r="AN66" i="26"/>
  <c r="G63" i="34" s="1" a="1"/>
  <c r="G63" i="34" s="1"/>
  <c r="F66" i="34" a="1"/>
  <c r="F66" i="34" s="1"/>
  <c r="E66" i="34" a="1"/>
  <c r="E66" i="34" s="1"/>
  <c r="AA69" i="99"/>
  <c r="AA70" i="99"/>
  <c r="AA54" i="99"/>
  <c r="AH56" i="100"/>
  <c r="AI65" i="100"/>
  <c r="AI67" i="100" s="1"/>
  <c r="AK54" i="26" l="1"/>
  <c r="AK70" i="100"/>
  <c r="AK69" i="100"/>
  <c r="AL66" i="100"/>
  <c r="AL70" i="100" s="1"/>
  <c r="AR70" i="26" a="1"/>
  <c r="AR70" i="26" s="1"/>
  <c r="AN70" i="26"/>
  <c r="AN69" i="26"/>
  <c r="F57" i="34"/>
  <c r="F52" i="34"/>
  <c r="E57" i="34"/>
  <c r="E52" i="34"/>
  <c r="AA56" i="99"/>
  <c r="AB65" i="99"/>
  <c r="AI54" i="100"/>
  <c r="AL69" i="100" l="1"/>
  <c r="AM66" i="100" s="1"/>
  <c r="AK56" i="26"/>
  <c r="AL65" i="26"/>
  <c r="AL67" i="26" s="1"/>
  <c r="AL54" i="26" s="1"/>
  <c r="AR69" i="26" a="1"/>
  <c r="AR69" i="26" s="1"/>
  <c r="G65" i="34" a="1"/>
  <c r="G65" i="34" s="1"/>
  <c r="AB66" i="99"/>
  <c r="AB67" i="99" s="1"/>
  <c r="AI56" i="100"/>
  <c r="AJ65" i="100"/>
  <c r="AJ67" i="100" s="1"/>
  <c r="AM70" i="100" l="1"/>
  <c r="AM69" i="100"/>
  <c r="AN66" i="100" s="1"/>
  <c r="AL56" i="26"/>
  <c r="AM65" i="26"/>
  <c r="AM67" i="26" s="1"/>
  <c r="AB54" i="99"/>
  <c r="AB69" i="99"/>
  <c r="AB70" i="99"/>
  <c r="AJ54" i="100"/>
  <c r="AM54" i="26" l="1"/>
  <c r="AB56" i="99"/>
  <c r="AC65" i="99"/>
  <c r="AN70" i="100"/>
  <c r="AN69" i="100"/>
  <c r="AJ56" i="100"/>
  <c r="AK65" i="100"/>
  <c r="AK67" i="100" s="1"/>
  <c r="AM56" i="26" l="1"/>
  <c r="AN65" i="26"/>
  <c r="AN67" i="26" s="1"/>
  <c r="AC66" i="99"/>
  <c r="AC67" i="99" s="1"/>
  <c r="AK54" i="100"/>
  <c r="AN54" i="26" l="1"/>
  <c r="DQ4" i="96" s="1" a="1"/>
  <c r="DQ4" i="96" s="1"/>
  <c r="AR67" i="26" a="1"/>
  <c r="AR67" i="26" s="1"/>
  <c r="AR66" i="26" s="1"/>
  <c r="G62" i="34" a="1"/>
  <c r="G62" i="34" s="1"/>
  <c r="AC54" i="99"/>
  <c r="AC69" i="99"/>
  <c r="AC70" i="99"/>
  <c r="AK56" i="100"/>
  <c r="AL65" i="100"/>
  <c r="AL67" i="100" s="1"/>
  <c r="EK4" i="69" l="1" a="1"/>
  <c r="EK4" i="69" s="1"/>
  <c r="AR54" i="26" a="1"/>
  <c r="AR54" i="26" s="1"/>
  <c r="AR56" i="26" s="1"/>
  <c r="AN56" i="26"/>
  <c r="G66" i="34" a="1"/>
  <c r="G66" i="34" s="1"/>
  <c r="AC56" i="99"/>
  <c r="AD65" i="99"/>
  <c r="AL54" i="100"/>
  <c r="G52" i="34" l="1"/>
  <c r="G57" i="34"/>
  <c r="AD66" i="99"/>
  <c r="AD67" i="99" s="1"/>
  <c r="AL56" i="100"/>
  <c r="AM65" i="100"/>
  <c r="AM67" i="100" s="1"/>
  <c r="E58" i="34" l="1" a="1"/>
  <c r="E58" i="34" s="1"/>
  <c r="N58" i="34"/>
  <c r="O58" i="34"/>
  <c r="S58" i="34"/>
  <c r="Q58" i="34"/>
  <c r="R58" i="34"/>
  <c r="M58" i="34"/>
  <c r="AD54" i="99"/>
  <c r="AD69" i="99"/>
  <c r="AD70" i="99"/>
  <c r="AM54" i="100"/>
  <c r="AD56" i="99" l="1"/>
  <c r="AE65" i="99"/>
  <c r="AM56" i="100"/>
  <c r="AN65" i="100"/>
  <c r="AN67" i="100" s="1"/>
  <c r="AN54" i="100" s="1"/>
  <c r="AN56" i="100" s="1"/>
  <c r="AE66" i="99" l="1"/>
  <c r="AE67" i="99" s="1"/>
  <c r="AE54" i="99" l="1"/>
  <c r="AE69" i="99"/>
  <c r="AE70" i="99"/>
  <c r="AE56" i="99" l="1"/>
  <c r="AF65" i="99"/>
  <c r="AF66" i="99" l="1"/>
  <c r="AF67" i="99" s="1"/>
  <c r="AF54" i="99" l="1"/>
  <c r="AF69" i="99"/>
  <c r="AF70" i="99"/>
  <c r="AF56" i="99" l="1"/>
  <c r="AG65" i="99"/>
  <c r="AG66" i="99" l="1"/>
  <c r="AG67" i="99" s="1"/>
  <c r="AG54" i="99" l="1"/>
  <c r="AG69" i="99"/>
  <c r="AG70" i="99"/>
  <c r="AG56" i="99" l="1"/>
  <c r="AH65" i="99"/>
  <c r="AH66" i="99" l="1"/>
  <c r="AH67" i="99" s="1"/>
  <c r="AH54" i="99" l="1"/>
  <c r="AH69" i="99"/>
  <c r="AH70" i="99"/>
  <c r="AH56" i="99" l="1"/>
  <c r="AI65" i="99"/>
  <c r="AI66" i="99" l="1"/>
  <c r="AI67" i="99" s="1"/>
  <c r="AI54" i="99" l="1"/>
  <c r="AI69" i="99"/>
  <c r="AI70" i="99"/>
  <c r="AI56" i="99" l="1"/>
  <c r="AJ65" i="99"/>
  <c r="AJ66" i="99" l="1"/>
  <c r="AJ67" i="99" s="1"/>
  <c r="AJ54" i="99" l="1"/>
  <c r="AJ69" i="99"/>
  <c r="AJ70" i="99"/>
  <c r="AJ56" i="99" l="1"/>
  <c r="AK65" i="99"/>
  <c r="AK66" i="99" l="1"/>
  <c r="AK67" i="99" s="1"/>
  <c r="AK69" i="99" l="1"/>
  <c r="AK70" i="99"/>
  <c r="AK54" i="99"/>
  <c r="AK56" i="99" l="1"/>
  <c r="AL65" i="99"/>
  <c r="AL66" i="99" l="1"/>
  <c r="AL67" i="99" s="1"/>
  <c r="AL54" i="99" l="1"/>
  <c r="AL69" i="99"/>
  <c r="AL70" i="99"/>
  <c r="AL56" i="99" l="1"/>
  <c r="AM65" i="99"/>
  <c r="AM66" i="99" l="1"/>
  <c r="AM67" i="99" s="1"/>
  <c r="AM69" i="99" l="1"/>
  <c r="AM70" i="99"/>
  <c r="AM54" i="99"/>
  <c r="AM56" i="99" l="1"/>
  <c r="AN65" i="99"/>
  <c r="AN66" i="99" l="1"/>
  <c r="AN67" i="99" s="1"/>
  <c r="AN54" i="99" s="1"/>
  <c r="AN56" i="99" s="1"/>
  <c r="AN69" i="99" l="1"/>
  <c r="AN70" i="99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<sst xmlns="http://schemas.openxmlformats.org/spreadsheetml/2006/main" count="3468" uniqueCount="519">
  <si>
    <t>2026 Budget - Summary KPIs</t>
  </si>
  <si>
    <t>2026 Budget - Revenue Summary</t>
  </si>
  <si>
    <t>2026 Budget - Summary of P&amp;L by Entity and State</t>
  </si>
  <si>
    <t>Quarterly CAPEX by State</t>
  </si>
  <si>
    <t>All numbers include M&amp;A</t>
  </si>
  <si>
    <t>Total revenue by service line; all numbers include M&amp;A</t>
  </si>
  <si>
    <t>All numbers include M&amp;A; ST/OT does not include overhead load</t>
  </si>
  <si>
    <t>Including 35% EBITDA management fee markup</t>
  </si>
  <si>
    <t>Q1</t>
  </si>
  <si>
    <t>Q2</t>
  </si>
  <si>
    <t>Q3</t>
  </si>
  <si>
    <t>Q4</t>
  </si>
  <si>
    <t>2026 Total</t>
  </si>
  <si>
    <t>MSO</t>
  </si>
  <si>
    <t>JV1</t>
  </si>
  <si>
    <t>JV2</t>
  </si>
  <si>
    <t>NJ</t>
  </si>
  <si>
    <t>MD</t>
  </si>
  <si>
    <t>NC</t>
  </si>
  <si>
    <t>AZ</t>
  </si>
  <si>
    <t>Net Revenue</t>
  </si>
  <si>
    <t>Revenue</t>
  </si>
  <si>
    <t xml:space="preserve">Mergers closed </t>
  </si>
  <si>
    <t>Salary &amp; benefits</t>
  </si>
  <si>
    <t>Therapy Costs</t>
  </si>
  <si>
    <t>New sites</t>
  </si>
  <si>
    <t>Total</t>
  </si>
  <si>
    <t>Operating Costs</t>
  </si>
  <si>
    <t>Rent</t>
  </si>
  <si>
    <t>New Jersey</t>
  </si>
  <si>
    <t>at quarter end</t>
  </si>
  <si>
    <t>Building Expenses</t>
  </si>
  <si>
    <t>Maryland</t>
  </si>
  <si>
    <t>Staff Headcount</t>
  </si>
  <si>
    <t>IT &amp; Software</t>
  </si>
  <si>
    <t>North Carolina</t>
  </si>
  <si>
    <t>Marketing</t>
  </si>
  <si>
    <t>Arizona</t>
  </si>
  <si>
    <t>Other Direct Expenses</t>
  </si>
  <si>
    <t>Total new sites</t>
  </si>
  <si>
    <t>Indirect Expenses</t>
  </si>
  <si>
    <t>Prepaid Opex</t>
  </si>
  <si>
    <t>Corporate Overhead</t>
  </si>
  <si>
    <t>M&amp;A</t>
  </si>
  <si>
    <t>Center Footprint</t>
  </si>
  <si>
    <t>Total Operating Costs</t>
  </si>
  <si>
    <t>New Centers - NJ</t>
  </si>
  <si>
    <t>New Centers - MD</t>
  </si>
  <si>
    <t>EBITDA</t>
  </si>
  <si>
    <t>New Centers - NC</t>
  </si>
  <si>
    <t>New Centers - AZ</t>
  </si>
  <si>
    <t>Total New Centers</t>
  </si>
  <si>
    <t>Total Operating Centers</t>
  </si>
  <si>
    <t>Billable Hours</t>
  </si>
  <si>
    <t>EMR (Central Reach)</t>
  </si>
  <si>
    <t>Payroll (Paylocity)</t>
  </si>
  <si>
    <t>OT</t>
  </si>
  <si>
    <t>CAPEX</t>
  </si>
  <si>
    <t>Entity</t>
  </si>
  <si>
    <t>State</t>
  </si>
  <si>
    <t>Site</t>
  </si>
  <si>
    <t>Center</t>
  </si>
  <si>
    <t>Discharges</t>
  </si>
  <si>
    <t>Class</t>
  </si>
  <si>
    <t>Location</t>
  </si>
  <si>
    <t>NJ-2026-01</t>
  </si>
  <si>
    <t>NJ-2026-02</t>
  </si>
  <si>
    <t>NJ-2027-01</t>
  </si>
  <si>
    <t>NJ-2027-02</t>
  </si>
  <si>
    <t>NJ-2027-03</t>
  </si>
  <si>
    <t>NJ-2027-04</t>
  </si>
  <si>
    <t>NJ-2027-05</t>
  </si>
  <si>
    <t>NJ-2028-01</t>
  </si>
  <si>
    <t>NJ-2028-02</t>
  </si>
  <si>
    <t>NJ-2028-03</t>
  </si>
  <si>
    <t>NJ-2028-04</t>
  </si>
  <si>
    <t>NJ-2028-05</t>
  </si>
  <si>
    <t>NJ-2028-06</t>
  </si>
  <si>
    <t>MD-2026-01</t>
  </si>
  <si>
    <t>MD-2027-01</t>
  </si>
  <si>
    <t>MD-2028-01</t>
  </si>
  <si>
    <t>NC-2026-01</t>
  </si>
  <si>
    <t>NC-2027-01</t>
  </si>
  <si>
    <t>NC-2026-02</t>
  </si>
  <si>
    <t>Locations</t>
  </si>
  <si>
    <t>Launch Date</t>
  </si>
  <si>
    <t>Max Headcount / acquired headcount for M&amp;A</t>
  </si>
  <si>
    <t>grows over 25 mo.</t>
  </si>
  <si>
    <t>Ramp-up (months) / starting headcount for M&amp;A</t>
  </si>
  <si>
    <t>6mo ramp M&amp;A</t>
  </si>
  <si>
    <r>
      <rPr>
        <sz val="11"/>
        <color rgb="FF000000"/>
        <rFont val="Calibri"/>
        <family val="2"/>
      </rPr>
      <t>A/R Collection 0-30 days</t>
    </r>
    <r>
      <rPr>
        <i/>
        <u/>
        <sz val="11"/>
        <color rgb="FFFF0000"/>
        <rFont val="Calibri"/>
        <family val="2"/>
      </rPr>
      <t xml:space="preserve"> (same month)</t>
    </r>
  </si>
  <si>
    <t>A/R Collection 31-60 days</t>
  </si>
  <si>
    <t>A/R Collection 61-90 days</t>
  </si>
  <si>
    <t>A/R Collection 91-120 days</t>
  </si>
  <si>
    <t>A/R Collection 121-150 days</t>
  </si>
  <si>
    <t>A/R Collection 151-180 days</t>
  </si>
  <si>
    <t>Payor Mix (%)</t>
  </si>
  <si>
    <t>Revenue (Rates)</t>
  </si>
  <si>
    <t>per (EE)</t>
  </si>
  <si>
    <t>Adjustments to revenue</t>
  </si>
  <si>
    <t>A/R Collection rate</t>
  </si>
  <si>
    <t>6% bad debt</t>
  </si>
  <si>
    <t>Average Reimbursement</t>
  </si>
  <si>
    <t>Speech - Treatment</t>
  </si>
  <si>
    <t>Speech - Eval</t>
  </si>
  <si>
    <t>90791 &amp; 96112</t>
  </si>
  <si>
    <t>Blended Billed Hourly Rate</t>
  </si>
  <si>
    <t>Headcount</t>
  </si>
  <si>
    <t>how many kiddos each staff can support</t>
  </si>
  <si>
    <t>Intake</t>
  </si>
  <si>
    <t>6 weekly (new/replac.)</t>
  </si>
  <si>
    <t>Scheduler</t>
  </si>
  <si>
    <t>Trainer</t>
  </si>
  <si>
    <t>Recruiter</t>
  </si>
  <si>
    <t>fractional FTE</t>
  </si>
  <si>
    <t>Community Outreach</t>
  </si>
  <si>
    <t>Compensation (hourly/monthly)</t>
  </si>
  <si>
    <t>Fringe Benefits</t>
  </si>
  <si>
    <t>Operating Expenses</t>
  </si>
  <si>
    <t>Utilities</t>
  </si>
  <si>
    <t>CAM fees</t>
  </si>
  <si>
    <t>Real Estate Taxes</t>
  </si>
  <si>
    <t>Cleaning Services</t>
  </si>
  <si>
    <t>Repairs &amp; Maintenance</t>
  </si>
  <si>
    <t>Misc.</t>
  </si>
  <si>
    <t>Digital Marketing (Unlock Health)</t>
  </si>
  <si>
    <t>Social Media</t>
  </si>
  <si>
    <t>per center</t>
  </si>
  <si>
    <t>Events &amp; Sponsorships</t>
  </si>
  <si>
    <t>Recruiting Fee (Turnover)</t>
  </si>
  <si>
    <t>Fee/FTE</t>
  </si>
  <si>
    <t>Employee Expenses &amp; CE</t>
  </si>
  <si>
    <t>Uniforms &amp; Laundry</t>
  </si>
  <si>
    <t>Consulting &amp; Legal</t>
  </si>
  <si>
    <t>Real Estate legal in CAPEX</t>
  </si>
  <si>
    <t>Corporate Allocation</t>
  </si>
  <si>
    <r>
      <t xml:space="preserve">Travel </t>
    </r>
    <r>
      <rPr>
        <i/>
        <sz val="11"/>
        <color rgb="FFFF0000"/>
        <rFont val="Calibri"/>
        <family val="2"/>
      </rPr>
      <t>(increases 50% annually in line with HQ headcount)</t>
    </r>
  </si>
  <si>
    <t>Bridgelight - Data Analytics</t>
  </si>
  <si>
    <t>Seminars &amp; Convention</t>
  </si>
  <si>
    <r>
      <t xml:space="preserve">Insurance - Umbrella </t>
    </r>
    <r>
      <rPr>
        <i/>
        <sz val="11"/>
        <color rgb="FFFF0000"/>
        <rFont val="Calibri"/>
        <family val="2"/>
      </rPr>
      <t>(doubles each year in line with buildouts)</t>
    </r>
  </si>
  <si>
    <t>Office Supplies</t>
  </si>
  <si>
    <t>Telephone &amp; Cell</t>
  </si>
  <si>
    <t>Banking Fees</t>
  </si>
  <si>
    <r>
      <t xml:space="preserve">Misc. </t>
    </r>
    <r>
      <rPr>
        <i/>
        <sz val="11"/>
        <color rgb="FFFF0000"/>
        <rFont val="Calibri"/>
        <family val="2"/>
      </rPr>
      <t>(to cover infrequent adhoc expenses)</t>
    </r>
  </si>
  <si>
    <t>Software Expense</t>
  </si>
  <si>
    <t>Cost per User</t>
  </si>
  <si>
    <t>Insights Bundle + Claims Processings</t>
  </si>
  <si>
    <t>Fixed</t>
  </si>
  <si>
    <t>Fee/User</t>
  </si>
  <si>
    <t>Noteguard</t>
  </si>
  <si>
    <t>Advanced Business Designer</t>
  </si>
  <si>
    <t>$25 Fee/User</t>
  </si>
  <si>
    <t>fee/user scales based on total users</t>
  </si>
  <si>
    <t>CRM (Hubspot)</t>
  </si>
  <si>
    <t>Marketing Hub Professional</t>
  </si>
  <si>
    <t>Sales Hub Enterprise</t>
  </si>
  <si>
    <t>$1206/yr/seat</t>
  </si>
  <si>
    <t>Users #</t>
  </si>
  <si>
    <t>Core Seats</t>
  </si>
  <si>
    <t>$900/yr/seat</t>
  </si>
  <si>
    <t>Bucketlist</t>
  </si>
  <si>
    <t>IT Services (CNS)</t>
  </si>
  <si>
    <t>Managed IT Service</t>
  </si>
  <si>
    <t>$165/User</t>
  </si>
  <si>
    <t>PowerBI license</t>
  </si>
  <si>
    <t>$17/License</t>
  </si>
  <si>
    <t>Secure Email</t>
  </si>
  <si>
    <t>$28/User</t>
  </si>
  <si>
    <t>Adobe Acrobat</t>
  </si>
  <si>
    <t>$14.99/License</t>
  </si>
  <si>
    <t xml:space="preserve">Misc. </t>
  </si>
  <si>
    <t>$30/User</t>
  </si>
  <si>
    <t>Headcount Turnover</t>
  </si>
  <si>
    <t>Othe positions modeled off recruiting turnover fee</t>
  </si>
  <si>
    <r>
      <t>Corporate Staff</t>
    </r>
    <r>
      <rPr>
        <i/>
        <sz val="11"/>
        <color theme="1"/>
        <rFont val="Calibri"/>
        <family val="2"/>
      </rPr>
      <t xml:space="preserve"> (static positions only)</t>
    </r>
  </si>
  <si>
    <t>[CEO]</t>
  </si>
  <si>
    <t>[COO]</t>
  </si>
  <si>
    <t>[Chief Strategy Officer]</t>
  </si>
  <si>
    <t>[Vice President of HR]</t>
  </si>
  <si>
    <t>[Director of Talent Acquisition]</t>
  </si>
  <si>
    <t>[Director of Employee Experience]</t>
  </si>
  <si>
    <t>[M&amp;A Support Staff]</t>
  </si>
  <si>
    <t>[Director of Compliance]</t>
  </si>
  <si>
    <t>[Compliance Manager]</t>
  </si>
  <si>
    <t>[Senior Director of Marketing]</t>
  </si>
  <si>
    <t>[Events Director]</t>
  </si>
  <si>
    <t>[Community Outreach Director]</t>
  </si>
  <si>
    <t>[Marketing Project Manager]</t>
  </si>
  <si>
    <t>[Social Media Manager]</t>
  </si>
  <si>
    <t>[Demand Generation Marketer]</t>
  </si>
  <si>
    <t>[Graphic Design]</t>
  </si>
  <si>
    <t>[Director of Partnership Operations]</t>
  </si>
  <si>
    <t>[Director of Intake]</t>
  </si>
  <si>
    <t>[Associate Director of Intake]</t>
  </si>
  <si>
    <t>[Director of Quality Assurance]</t>
  </si>
  <si>
    <t>[Research Director]</t>
  </si>
  <si>
    <t>[Senior Accountant]</t>
  </si>
  <si>
    <t>[Director of Payer Relations]</t>
  </si>
  <si>
    <t>[Director of RCM]</t>
  </si>
  <si>
    <t>[Director of IT]</t>
  </si>
  <si>
    <t>[Activations Manager]</t>
  </si>
  <si>
    <t>[Facilities Manager]</t>
  </si>
  <si>
    <t>&lt;Insert new line above for new staff&gt;</t>
  </si>
  <si>
    <t>[Admin Recruiter] (might stay 1)</t>
  </si>
  <si>
    <t>[HR generalist - onboarding]</t>
  </si>
  <si>
    <t>[IT/Data Specialist]</t>
  </si>
  <si>
    <t>Budget Year</t>
  </si>
  <si>
    <t>3-year term fixed-reimbursement rates</t>
  </si>
  <si>
    <t>rates renegotiated for 2027</t>
  </si>
  <si>
    <t>Compensation</t>
  </si>
  <si>
    <t>10% YOY</t>
  </si>
  <si>
    <t>Digital Marketing</t>
  </si>
  <si>
    <t>Make sure this is appropriate with scaling of business</t>
  </si>
  <si>
    <t>Banking &amp; Payroll Fees</t>
  </si>
  <si>
    <t>3-Year contract with 2% increase, scales with FTE</t>
  </si>
  <si>
    <t>Simulates discount pricing by volume ($65&gt;$60&gt;$55&gt;$50/user)</t>
  </si>
  <si>
    <t>Advanced Designer Fee/User</t>
  </si>
  <si>
    <t>Corporate Staff (Compensation Growth)</t>
  </si>
  <si>
    <t>Debt and Mezzanine Financing</t>
  </si>
  <si>
    <t>Line of Credit</t>
  </si>
  <si>
    <t>Interest Rates</t>
  </si>
  <si>
    <t>Cash &amp; Cash Equivalents</t>
  </si>
  <si>
    <t>Principal (Beginning Balance)</t>
  </si>
  <si>
    <t>Cash &amp; Equivalent (Beginning Balance)</t>
  </si>
  <si>
    <t>Minimum Working Capital (Cash Balance)</t>
  </si>
  <si>
    <t>Startup Costs paid date</t>
  </si>
  <si>
    <t>Leasehold improvements</t>
  </si>
  <si>
    <t>Capex - hard cost</t>
  </si>
  <si>
    <t>Leasehold credits / Rent Holiday</t>
  </si>
  <si>
    <t>Permitting and approvals</t>
  </si>
  <si>
    <t>Consultants (Architect, Engineering, Expeditor)</t>
  </si>
  <si>
    <t>Capex - soft cost</t>
  </si>
  <si>
    <t>Consultants (Diligence)</t>
  </si>
  <si>
    <t>Kit of parts (e.g., mood board, finish, etc.)</t>
  </si>
  <si>
    <t>Center design</t>
  </si>
  <si>
    <t>Project Management (6% of build out)</t>
  </si>
  <si>
    <t>Contingencies (10% of build-out)</t>
  </si>
  <si>
    <t>Startup Costs (GC Scope)</t>
  </si>
  <si>
    <t>IT setup (automatic door, TVs, camera, routers, etc.)</t>
  </si>
  <si>
    <t>Opening Event</t>
  </si>
  <si>
    <t>Opex - but cost to open a center</t>
  </si>
  <si>
    <t>Advertising/Promotional</t>
  </si>
  <si>
    <t>Opex</t>
  </si>
  <si>
    <t>Security Deposit + Last Month</t>
  </si>
  <si>
    <t>Opex - prepaid</t>
  </si>
  <si>
    <t>1st Month Rent</t>
  </si>
  <si>
    <t>Startup costs (excl. Opex)</t>
  </si>
  <si>
    <t>Months paid before site opening</t>
  </si>
  <si>
    <t>CAPEX paid over how many months</t>
  </si>
  <si>
    <t>Select year below</t>
  </si>
  <si>
    <t>Buildouts</t>
  </si>
  <si>
    <t>Communities</t>
  </si>
  <si>
    <t>JV 1</t>
  </si>
  <si>
    <t>Year</t>
  </si>
  <si>
    <t>Month</t>
  </si>
  <si>
    <t>N/A</t>
  </si>
  <si>
    <t>Other Center &amp; Home Staff</t>
  </si>
  <si>
    <t>Corporate Staff</t>
  </si>
  <si>
    <t>New Build outs</t>
  </si>
  <si>
    <t>New Patient</t>
  </si>
  <si>
    <t>Patients Treated</t>
  </si>
  <si>
    <t>Other Revenue</t>
  </si>
  <si>
    <t>Net Billable Rate</t>
  </si>
  <si>
    <t>Hourly Cost (Direct)</t>
  </si>
  <si>
    <t>Hourly Cost (Indirect)</t>
  </si>
  <si>
    <t>EBITDA (Hourly)</t>
  </si>
  <si>
    <t>Calculated</t>
  </si>
  <si>
    <t>Checksum</t>
  </si>
  <si>
    <t>Billing Services Cost / $Hr</t>
  </si>
  <si>
    <t>Metrics</t>
  </si>
  <si>
    <t>Total Staff</t>
  </si>
  <si>
    <t>Total Revenues</t>
  </si>
  <si>
    <t>Total Expense</t>
  </si>
  <si>
    <t>Margin %</t>
  </si>
  <si>
    <t>Net Income</t>
  </si>
  <si>
    <t>A/R impact on Cash</t>
  </si>
  <si>
    <t>FCF</t>
  </si>
  <si>
    <t>Cumulative FCF</t>
  </si>
  <si>
    <t>Principal (Beginning of Year)</t>
  </si>
  <si>
    <t>Principal (End of Year)</t>
  </si>
  <si>
    <r>
      <t>Acc. Drawdowns</t>
    </r>
    <r>
      <rPr>
        <i/>
        <sz val="11"/>
        <color theme="1"/>
        <rFont val="Aptos Narrow"/>
        <family val="2"/>
        <scheme val="minor"/>
      </rPr>
      <t xml:space="preserve"> (negative means repayment)</t>
    </r>
  </si>
  <si>
    <t>Cash Balance</t>
  </si>
  <si>
    <t>Interest Expense</t>
  </si>
  <si>
    <t>excl. M&amp;A</t>
  </si>
  <si>
    <t>M&amp;A Only</t>
  </si>
  <si>
    <t>A/R Balance</t>
  </si>
  <si>
    <t>ABA  Rate  $ (Avg.)</t>
  </si>
  <si>
    <t>FY2025 Balance</t>
  </si>
  <si>
    <t>Principal (Beginning)</t>
  </si>
  <si>
    <t>Drawdown</t>
  </si>
  <si>
    <t>Principal ( End)</t>
  </si>
  <si>
    <t>Cash &amp; Equivalent</t>
  </si>
  <si>
    <t>Net Change in Cash</t>
  </si>
  <si>
    <t>Assumes all CAPEX costs are paid for by initial $12M investment</t>
  </si>
  <si>
    <t>Excludes M&amp;A</t>
  </si>
  <si>
    <t>Clinical Staff</t>
  </si>
  <si>
    <t>Interest</t>
  </si>
  <si>
    <t>Total Revenue</t>
  </si>
  <si>
    <t>Adjustments to Revenue</t>
  </si>
  <si>
    <t>Salary &amp; Benefits</t>
  </si>
  <si>
    <t>Prepaid OPEX</t>
  </si>
  <si>
    <t>Admin</t>
  </si>
  <si>
    <t>ST / OT Revenue and Costs</t>
  </si>
  <si>
    <t>Total ST/OT Revenue</t>
  </si>
  <si>
    <t>ST Headcount</t>
  </si>
  <si>
    <t>OT Headcount</t>
  </si>
  <si>
    <t>ST/OT EBITDA</t>
  </si>
  <si>
    <t>Customer</t>
  </si>
  <si>
    <t>New Customer</t>
  </si>
  <si>
    <t>Primary Direct Staff</t>
  </si>
  <si>
    <t>Secondary Direct Staff</t>
  </si>
  <si>
    <t>Center Manager</t>
  </si>
  <si>
    <t>Usually 1/center</t>
  </si>
  <si>
    <t>Revenue Types</t>
  </si>
  <si>
    <t>Primary Direct Staff - Service A Hours</t>
  </si>
  <si>
    <t>Primary Direct Staff - Service B Hours</t>
  </si>
  <si>
    <t>Secondary Direct Staff - Service A Hours</t>
  </si>
  <si>
    <t>Secondary Direct Staff - Service B Hours</t>
  </si>
  <si>
    <t>Secondary Direct Staff - Service C Hours</t>
  </si>
  <si>
    <t>Tertiary Direct Staff - Service A Hours</t>
  </si>
  <si>
    <t>Tertiary Direct Staff - Service B Hours</t>
  </si>
  <si>
    <t>Quaternary Direct Staff - Service A Hours</t>
  </si>
  <si>
    <t>Quinary Direct Staff - Service A Hours</t>
  </si>
  <si>
    <t>80% of customers 1 hour</t>
  </si>
  <si>
    <t>80% of new customers 1 hour</t>
  </si>
  <si>
    <t>~2 hours/customer</t>
  </si>
  <si>
    <t>8-10 hours every 6 months</t>
  </si>
  <si>
    <t>Headcount (customers each staff can support)</t>
  </si>
  <si>
    <t>Site-specific</t>
  </si>
  <si>
    <t>1 per 10 new Primary Staff</t>
  </si>
  <si>
    <t>1 per 20 new Primary Staff</t>
  </si>
  <si>
    <t>Tertiary Direct Staff</t>
  </si>
  <si>
    <t>Quinary Direct Staff</t>
  </si>
  <si>
    <t>Quaternary Direct Staff</t>
  </si>
  <si>
    <t>no remote service</t>
  </si>
  <si>
    <t>Primary Direct Staff Lead</t>
  </si>
  <si>
    <t>Center Marketing Outreach</t>
  </si>
  <si>
    <t>Center Director / Remote Site Director</t>
  </si>
  <si>
    <t>Initial Consultation Expert</t>
  </si>
  <si>
    <t>3 customers/week</t>
  </si>
  <si>
    <t>Hourly Rates</t>
  </si>
  <si>
    <t>Monthly from hours*cust.</t>
  </si>
  <si>
    <t>Primary Service B not provided remotely.</t>
  </si>
  <si>
    <t>Corporate</t>
  </si>
  <si>
    <t>Remote</t>
  </si>
  <si>
    <t>NJ-2026-01-Remote</t>
  </si>
  <si>
    <t>NJ-2026-02-Remote</t>
  </si>
  <si>
    <t>NJ-2027-01-Remote</t>
  </si>
  <si>
    <t>NJ-2027-02-Remote</t>
  </si>
  <si>
    <t>NJ-2027-04-Remote</t>
  </si>
  <si>
    <t>NJ-2028-01-Remote</t>
  </si>
  <si>
    <t>NJ-2028-02-Remote</t>
  </si>
  <si>
    <t>NJ-2028-06-Remote</t>
  </si>
  <si>
    <t>MD-2026-01-Remote</t>
  </si>
  <si>
    <t>Other Center &amp; Remote Staff</t>
  </si>
  <si>
    <t>Center, Remote, and M&amp;A</t>
  </si>
  <si>
    <t>Center and Remote</t>
  </si>
  <si>
    <t>NJ-2026-01-Center</t>
  </si>
  <si>
    <t>NJ-2026-02-Center</t>
  </si>
  <si>
    <t>NJ-2027-01-Center</t>
  </si>
  <si>
    <t>NJ-2027-02-Center</t>
  </si>
  <si>
    <t>NJ-2027-03-Center</t>
  </si>
  <si>
    <t>NJ-2027-04-Center</t>
  </si>
  <si>
    <t>NJ-2027-05-Center</t>
  </si>
  <si>
    <t>NJ-2028-01-Center</t>
  </si>
  <si>
    <t>NJ-2028-02-Center</t>
  </si>
  <si>
    <t>NJ-2028-03-Center</t>
  </si>
  <si>
    <t>NJ-2028-04-Center</t>
  </si>
  <si>
    <t>NJ-2028-05-Center</t>
  </si>
  <si>
    <t>MD-2026-01-Center</t>
  </si>
  <si>
    <t>MD-2027-01-Center</t>
  </si>
  <si>
    <t>MD-2028-01-Center</t>
  </si>
  <si>
    <t>NC-2026-01-Center</t>
  </si>
  <si>
    <t>NC-2027-01-Center</t>
  </si>
  <si>
    <t>NC-2026-02-Center</t>
  </si>
  <si>
    <t>Center startup costs</t>
  </si>
  <si>
    <t>M&amp;A per billable hour</t>
  </si>
  <si>
    <t>Assumes passthru acquisition</t>
  </si>
  <si>
    <t>For cashflow modeling</t>
  </si>
  <si>
    <t>Primary - Service A</t>
  </si>
  <si>
    <t>Primary - Service B</t>
  </si>
  <si>
    <t>Secondary - Service A</t>
  </si>
  <si>
    <t>Secondary - Service C</t>
  </si>
  <si>
    <t>Secondary - Service B</t>
  </si>
  <si>
    <t>Payor Profile 1</t>
  </si>
  <si>
    <t>Payor Profile 3</t>
  </si>
  <si>
    <t>Payor Profile 2</t>
  </si>
  <si>
    <t>operational risk of revenue</t>
  </si>
  <si>
    <t>M&amp;A Costs</t>
  </si>
  <si>
    <t>Primary + Secondary Staff</t>
  </si>
  <si>
    <t>Customers</t>
  </si>
  <si>
    <t>New Customers</t>
  </si>
  <si>
    <t>Accretion</t>
  </si>
  <si>
    <t>Customer Interaction</t>
  </si>
  <si>
    <t>Rate (Primary/Secondary)</t>
  </si>
  <si>
    <t>Primary &amp; Secondary Staff</t>
  </si>
  <si>
    <t>Direct Supplies</t>
  </si>
  <si>
    <t>PM/Center</t>
  </si>
  <si>
    <t>Primary Services</t>
  </si>
  <si>
    <t>Quatenary Services</t>
  </si>
  <si>
    <t>Quinary Services</t>
  </si>
  <si>
    <t>Active Customers</t>
  </si>
  <si>
    <t>Quat. Services</t>
  </si>
  <si>
    <t>Tertiary Direct Staff - Service A</t>
  </si>
  <si>
    <t>Tertiary Direct Staff - Service B</t>
  </si>
  <si>
    <t>Quaternary Direct Staff - Service A</t>
  </si>
  <si>
    <t>Quinary Direct Staff - Service A</t>
  </si>
  <si>
    <t>Management Fee</t>
  </si>
  <si>
    <t>New York City</t>
  </si>
  <si>
    <t>Microsoft</t>
  </si>
  <si>
    <t>Apple</t>
  </si>
  <si>
    <t>Netflix</t>
  </si>
  <si>
    <t>Meta</t>
  </si>
  <si>
    <t>New York City-MSO</t>
  </si>
  <si>
    <t>Microsoft-M&amp;A</t>
  </si>
  <si>
    <t>Apple-M&amp;A</t>
  </si>
  <si>
    <t>Netflix-M&amp;A</t>
  </si>
  <si>
    <t>Meta-M&amp;A</t>
  </si>
  <si>
    <t>MDA1</t>
  </si>
  <si>
    <t>MDA3</t>
  </si>
  <si>
    <t>NJA1</t>
  </si>
  <si>
    <t>MDB1</t>
  </si>
  <si>
    <t>NJA2</t>
  </si>
  <si>
    <t>NJA3</t>
  </si>
  <si>
    <t>NJB1</t>
  </si>
  <si>
    <t>NJA4</t>
  </si>
  <si>
    <t>NJB2</t>
  </si>
  <si>
    <t>NJA5</t>
  </si>
  <si>
    <t>NJA6</t>
  </si>
  <si>
    <t>NJA7</t>
  </si>
  <si>
    <t>NJB3</t>
  </si>
  <si>
    <t>GBA1</t>
  </si>
  <si>
    <t>GBB1</t>
  </si>
  <si>
    <t>AZB2</t>
  </si>
  <si>
    <t>AZB1</t>
  </si>
  <si>
    <t>AZB3</t>
  </si>
  <si>
    <t>MDB2</t>
  </si>
  <si>
    <t>NJB4</t>
  </si>
  <si>
    <t>MDA1-Center</t>
  </si>
  <si>
    <t>MDB1-Remote</t>
  </si>
  <si>
    <t>MDA3-Center</t>
  </si>
  <si>
    <t>NJA1-Center</t>
  </si>
  <si>
    <t>NJA2-Center</t>
  </si>
  <si>
    <t>NJA3-Center</t>
  </si>
  <si>
    <t>NJB1-Remote</t>
  </si>
  <si>
    <t>NJA4-Center</t>
  </si>
  <si>
    <t>NJB2-Remote</t>
  </si>
  <si>
    <t>NJA5-Center</t>
  </si>
  <si>
    <t>NJB3-Remote</t>
  </si>
  <si>
    <t>NJA6-Center</t>
  </si>
  <si>
    <t>NJA7-Center</t>
  </si>
  <si>
    <t>NJB4-Remote</t>
  </si>
  <si>
    <t>GBA1-Center</t>
  </si>
  <si>
    <t>GBB1-Remote</t>
  </si>
  <si>
    <t>AZB2-Remote</t>
  </si>
  <si>
    <t>AZB3-Remote</t>
  </si>
  <si>
    <t>AZB1-Remote</t>
  </si>
  <si>
    <t>NCA9</t>
  </si>
  <si>
    <t>NCA9-Center</t>
  </si>
  <si>
    <t>MDB2-Remote</t>
  </si>
  <si>
    <t>Other Corporate Staff</t>
  </si>
  <si>
    <t>Adj. EBITDA</t>
  </si>
  <si>
    <t>Assumes all pre-2026 CAPEX costs are paid for by initial investment</t>
  </si>
  <si>
    <t>PPE - Millwork</t>
  </si>
  <si>
    <t>PPE - Reception</t>
  </si>
  <si>
    <t>PPE - Equipment</t>
  </si>
  <si>
    <t>Initial Supplies</t>
  </si>
  <si>
    <t>Pre-opening Payroll Costs</t>
  </si>
  <si>
    <t>Operating FCF</t>
  </si>
  <si>
    <t>Net Change in A/R</t>
  </si>
  <si>
    <t>New Patient (External Referrals and Qualified Leads)</t>
  </si>
  <si>
    <t>New Patients from internal marketing funnel</t>
  </si>
  <si>
    <t>Marketing &gt; Sales conversion %</t>
  </si>
  <si>
    <t>[Director of People &amp; Benefits]</t>
  </si>
  <si>
    <t>[Director of Human Resources]</t>
  </si>
  <si>
    <t>[Director of Customer Experience]</t>
  </si>
  <si>
    <t>[AVP of Center Quality and Training]</t>
  </si>
  <si>
    <t>[Center Quality Manager]</t>
  </si>
  <si>
    <t>[Regional Center Director]</t>
  </si>
  <si>
    <t>[QA Analyst] (1 per 150 active customers)</t>
  </si>
  <si>
    <t>[Director of Initiatives]</t>
  </si>
  <si>
    <t>[Director of Tertiary Services]</t>
  </si>
  <si>
    <t>[Director of Quinary Services]</t>
  </si>
  <si>
    <t>[Director of Quaternary Services]</t>
  </si>
  <si>
    <t>[Director of Misc. Revenue]</t>
  </si>
  <si>
    <t>[Chief Financial Officer]</t>
  </si>
  <si>
    <t>[Financial Controller]</t>
  </si>
  <si>
    <t>[Payroll Manager]</t>
  </si>
  <si>
    <t>[Director of Contracts ]</t>
  </si>
  <si>
    <t>[Director of Billing Compliance]</t>
  </si>
  <si>
    <t>[Billing compliance Manager]</t>
  </si>
  <si>
    <t>[FP&amp;A Manager]</t>
  </si>
  <si>
    <t>[Customer Finance Manager]</t>
  </si>
  <si>
    <t>[FP&amp;A Analyst]</t>
  </si>
  <si>
    <t>[Director of FP&amp;A]</t>
  </si>
  <si>
    <t>[IT Manager]</t>
  </si>
  <si>
    <t>[IT Analyst]</t>
  </si>
  <si>
    <t>[Real Estate director]</t>
  </si>
  <si>
    <t>[Director of Construction and  Facility]</t>
  </si>
  <si>
    <t>Customer per Staff #</t>
  </si>
  <si>
    <t>[Auths Specialist] (1 per 100 Customer ~~)</t>
  </si>
  <si>
    <t>[AR Specialist] (1 per 100 Customer ~~)</t>
  </si>
  <si>
    <t>[Primary Direct Staff Recruiter] (1 in 5 weekly)</t>
  </si>
  <si>
    <t>[Primary Direct Staff Trainers] (1 in 10 new Primary Direct Staffs/weekly)</t>
  </si>
  <si>
    <t>[Credentialling Specialist] (1 per 100 Primary Direct Staff+Secondary Direct Staff)</t>
  </si>
  <si>
    <t>[Secondary Direct Staff Recruiter, Current] (1 per 8 monthly Secondary Direct Staff)</t>
  </si>
  <si>
    <t>[Secondary Direct Staff Trainer] (1 in 50 Secondary Direct Staffs)</t>
  </si>
  <si>
    <t>[Recruiter Generalist]</t>
  </si>
  <si>
    <t>[Secondary Direct Staff Coordinator] (1in 50 Secondary Direct Staffs)</t>
  </si>
  <si>
    <t>Scaling Staff (100:90:15 Customer:Primary:Secondary ratio)</t>
  </si>
  <si>
    <t>Primary &amp; Secondary Revenue</t>
  </si>
  <si>
    <t>Hourly Cost (Corp)</t>
  </si>
  <si>
    <t>Tertiary Direct Staff Headcount</t>
  </si>
  <si>
    <t>Quaternary Direct Staff Headcount</t>
  </si>
  <si>
    <t>Primary Staff Headcount</t>
  </si>
  <si>
    <t>Secondary Staff Headcount</t>
  </si>
  <si>
    <t>Primary + Secondary Revenues</t>
  </si>
  <si>
    <t>Quinary Direct Staff Headcount</t>
  </si>
  <si>
    <t>Center &amp; Remote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</si>
</sst>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6" formatCode="&quot;$&quot;#,##0_);[Red]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_);_(* \(#,##0.0\);_(* &quot;-&quot;??_);_(@_)"/>
    <numFmt numFmtId="165" formatCode="_(* #,##0_);_(* \(#,##0\);_(* &quot;-&quot;??_);_(@_)"/>
    <numFmt numFmtId="166" formatCode="_(&quot;$&quot;* #,##0_);_(&quot;$&quot;* \(#,##0\);_(&quot;$&quot;* &quot;-&quot;??_);_(@_)"/>
    <numFmt numFmtId="167" formatCode="_(&quot;$&quot;* #,##0.0_);_(&quot;$&quot;* \(#,##0.0\);_(&quot;$&quot;* &quot;-&quot;??_);_(@_)"/>
    <numFmt numFmtId="168" formatCode="_(* #,##0.0_);_(* \(#,##0.0\);_(* &quot;-&quot;?_);_(@_)"/>
    <numFmt numFmtId="169" formatCode="_(&quot;$&quot;* #,##0.0_);_(&quot;$&quot;* \(#,##0.0\);_(&quot;$&quot;* &quot;-&quot;?_);_(@_)"/>
    <numFmt numFmtId="170" formatCode="_([$$-409]* #,##0.00_);_([$$-409]* \(#,##0.00\);_([$$-409]* &quot;-&quot;??_);_(@_)"/>
    <numFmt numFmtId="171" formatCode="0.0%"/>
    <numFmt numFmtId="172" formatCode="0.0"/>
    <numFmt numFmtId="173" formatCode="_([$$-409]* #,##0_);_([$$-409]* \(#,##0\);_([$$-409]* &quot;-&quot;??_);_(@_)"/>
  </numFmts>
  <fonts count="44" x14ac:knownFonts="1">
    <font>
      <sz val="11"/>
      <color theme="1"/>
      <name val="Aptos Narrow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i/>
      <sz val="11"/>
      <color theme="1"/>
      <name val="Aptos Narrow"/>
      <family val="2"/>
      <scheme val="minor"/>
    </font>
    <font>
      <sz val="11"/>
      <color rgb="FF0070C0"/>
      <name val="Aptos Narrow"/>
      <family val="2"/>
      <scheme val="minor"/>
    </font>
    <font>
      <u/>
      <sz val="11"/>
      <color rgb="FFFF0000"/>
      <name val="Aptos Narrow"/>
      <family val="2"/>
      <scheme val="minor"/>
    </font>
    <font>
      <b/>
      <sz val="11"/>
      <color rgb="FF0070C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u/>
      <sz val="11"/>
      <color rgb="FFFF0000"/>
      <name val="Calibri"/>
      <family val="2"/>
    </font>
    <font>
      <sz val="11"/>
      <color rgb="FF0070C0"/>
      <name val="Calibri"/>
      <family val="2"/>
    </font>
    <font>
      <i/>
      <sz val="11"/>
      <color theme="1"/>
      <name val="Calibri"/>
      <family val="2"/>
    </font>
    <font>
      <i/>
      <sz val="11"/>
      <color rgb="FF0070C0"/>
      <name val="Calibri"/>
      <family val="2"/>
    </font>
    <font>
      <i/>
      <sz val="11"/>
      <color rgb="FFFF0000"/>
      <name val="Calibri"/>
      <family val="2"/>
    </font>
    <font>
      <i/>
      <u/>
      <sz val="11"/>
      <color theme="1"/>
      <name val="Calibri"/>
      <family val="2"/>
    </font>
    <font>
      <sz val="11"/>
      <name val="Calibri"/>
      <family val="2"/>
    </font>
    <font>
      <i/>
      <sz val="11"/>
      <name val="Calibri"/>
      <family val="2"/>
    </font>
    <font>
      <sz val="11"/>
      <color theme="0"/>
      <name val="Aptos Narrow"/>
      <family val="2"/>
      <scheme val="minor"/>
    </font>
    <font>
      <b/>
      <sz val="11"/>
      <color theme="0" tint="-0.14999847407452621"/>
      <name val="Calibri"/>
      <family val="2"/>
    </font>
    <font>
      <b/>
      <u/>
      <sz val="11"/>
      <color theme="1"/>
      <name val="Calibri"/>
      <family val="2"/>
    </font>
    <font>
      <i/>
      <u/>
      <sz val="11"/>
      <color theme="1"/>
      <name val="Aptos Narrow"/>
      <family val="2"/>
      <scheme val="minor"/>
    </font>
    <font>
      <sz val="11"/>
      <name val="Aptos Narrow"/>
      <family val="2"/>
      <scheme val="minor"/>
    </font>
    <font>
      <b/>
      <i/>
      <sz val="11"/>
      <color theme="1"/>
      <name val="Aptos Narrow"/>
      <family val="2"/>
      <scheme val="minor"/>
    </font>
    <font>
      <sz val="11"/>
      <color rgb="FF00B050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i/>
      <u/>
      <sz val="11"/>
      <name val="Calibri"/>
      <family val="2"/>
    </font>
    <font>
      <sz val="11"/>
      <color rgb="FF000000"/>
      <name val="Calibri"/>
      <family val="2"/>
    </font>
    <font>
      <b/>
      <sz val="11"/>
      <name val="Aptos Narrow"/>
      <family val="2"/>
      <scheme val="minor"/>
    </font>
    <font>
      <i/>
      <sz val="11"/>
      <color rgb="FFFF0000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i/>
      <sz val="11"/>
      <name val="Calibri"/>
      <family val="2"/>
    </font>
    <font>
      <b/>
      <sz val="11"/>
      <color rgb="FFFF0000"/>
      <name val="Calibri"/>
      <family val="2"/>
    </font>
    <font>
      <b/>
      <u/>
      <sz val="11"/>
      <color rgb="FFFF0000"/>
      <name val="Calibri"/>
      <family val="2"/>
    </font>
    <font>
      <strike/>
      <sz val="11"/>
      <color rgb="FFFF0000"/>
      <name val="Calibri"/>
      <family val="2"/>
    </font>
    <font>
      <b/>
      <sz val="11"/>
      <color theme="0" tint="-4.9989318521683403E-2"/>
      <name val="Aptos Narrow"/>
      <family val="2"/>
      <scheme val="minor"/>
    </font>
    <font>
      <b/>
      <i/>
      <u/>
      <sz val="11"/>
      <color theme="1"/>
      <name val="Calibri"/>
      <family val="2"/>
    </font>
    <font>
      <sz val="11"/>
      <color theme="0" tint="-0.14999847407452621"/>
      <name val="Aptos Narrow"/>
      <family val="2"/>
      <scheme val="minor"/>
    </font>
    <font>
      <i/>
      <sz val="11"/>
      <color rgb="FF0070C0"/>
      <name val="Aptos Narrow"/>
      <family val="2"/>
      <scheme val="minor"/>
    </font>
    <font>
      <i/>
      <u/>
      <sz val="11"/>
      <color rgb="FFFF0000"/>
      <name val="Calibri"/>
      <family val="2"/>
    </font>
  </fonts>
  <fills count="1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indexed="64"/>
      </bottom>
      <diagonal/>
    </border>
  </borders>
  <cellStyleXfs count="4">
    <xf numFmtId="0" fontId="0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</cellStyleXfs>
  <cellXfs count="227">
    <xf numFmtId="0" fontId="0" fillId="0" borderId="0" xfId="0"/>
    <xf numFmtId="0" fontId="6" fillId="0" borderId="0" xfId="0" applyFont="1"/>
    <xf numFmtId="0" fontId="6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center"/>
    </xf>
    <xf numFmtId="166" fontId="8" fillId="2" borderId="0" xfId="2" applyNumberFormat="1" applyFont="1" applyFill="1"/>
    <xf numFmtId="0" fontId="9" fillId="0" borderId="0" xfId="0" applyFont="1"/>
    <xf numFmtId="0" fontId="6" fillId="3" borderId="0" xfId="0" applyFont="1" applyFill="1" applyAlignment="1">
      <alignment horizontal="right"/>
    </xf>
    <xf numFmtId="0" fontId="6" fillId="3" borderId="0" xfId="0" applyFont="1" applyFill="1"/>
    <xf numFmtId="0" fontId="8" fillId="2" borderId="0" xfId="0" applyFont="1" applyFill="1" applyAlignment="1">
      <alignment horizontal="center"/>
    </xf>
    <xf numFmtId="0" fontId="10" fillId="2" borderId="0" xfId="0" applyFont="1" applyFill="1"/>
    <xf numFmtId="166" fontId="0" fillId="0" borderId="0" xfId="2" applyNumberFormat="1" applyFont="1"/>
    <xf numFmtId="166" fontId="6" fillId="0" borderId="0" xfId="2" applyNumberFormat="1" applyFont="1"/>
    <xf numFmtId="14" fontId="0" fillId="0" borderId="0" xfId="0" applyNumberFormat="1"/>
    <xf numFmtId="9" fontId="7" fillId="0" borderId="0" xfId="0" applyNumberFormat="1" applyFont="1"/>
    <xf numFmtId="0" fontId="8" fillId="2" borderId="0" xfId="0" applyFont="1" applyFill="1"/>
    <xf numFmtId="0" fontId="4" fillId="0" borderId="0" xfId="0" applyFont="1"/>
    <xf numFmtId="0" fontId="14" fillId="0" borderId="0" xfId="0" applyFont="1"/>
    <xf numFmtId="0" fontId="13" fillId="3" borderId="0" xfId="0" applyFont="1" applyFill="1" applyAlignment="1">
      <alignment horizontal="right"/>
    </xf>
    <xf numFmtId="0" fontId="13" fillId="3" borderId="0" xfId="0" applyFont="1" applyFill="1"/>
    <xf numFmtId="14" fontId="15" fillId="2" borderId="0" xfId="0" applyNumberFormat="1" applyFont="1" applyFill="1"/>
    <xf numFmtId="0" fontId="15" fillId="2" borderId="0" xfId="0" applyFont="1" applyFill="1" applyAlignment="1">
      <alignment horizontal="center"/>
    </xf>
    <xf numFmtId="0" fontId="13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44" fontId="17" fillId="2" borderId="0" xfId="2" applyFont="1" applyFill="1"/>
    <xf numFmtId="9" fontId="17" fillId="2" borderId="0" xfId="0" applyNumberFormat="1" applyFont="1" applyFill="1"/>
    <xf numFmtId="0" fontId="16" fillId="0" borderId="0" xfId="0" applyFont="1"/>
    <xf numFmtId="164" fontId="15" fillId="2" borderId="0" xfId="1" applyNumberFormat="1" applyFont="1" applyFill="1"/>
    <xf numFmtId="0" fontId="18" fillId="0" borderId="0" xfId="0" applyFont="1"/>
    <xf numFmtId="165" fontId="15" fillId="2" borderId="0" xfId="1" applyNumberFormat="1" applyFont="1" applyFill="1"/>
    <xf numFmtId="166" fontId="15" fillId="2" borderId="0" xfId="2" applyNumberFormat="1" applyFont="1" applyFill="1"/>
    <xf numFmtId="9" fontId="17" fillId="2" borderId="0" xfId="0" applyNumberFormat="1" applyFont="1" applyFill="1" applyAlignment="1">
      <alignment horizontal="center"/>
    </xf>
    <xf numFmtId="0" fontId="19" fillId="0" borderId="0" xfId="0" applyFont="1" applyAlignment="1">
      <alignment horizontal="left"/>
    </xf>
    <xf numFmtId="0" fontId="13" fillId="0" borderId="0" xfId="0" applyFont="1"/>
    <xf numFmtId="0" fontId="13" fillId="0" borderId="0" xfId="0" applyFont="1" applyAlignment="1">
      <alignment horizontal="right"/>
    </xf>
    <xf numFmtId="44" fontId="21" fillId="0" borderId="0" xfId="2" applyFont="1" applyFill="1"/>
    <xf numFmtId="9" fontId="8" fillId="2" borderId="0" xfId="0" applyNumberFormat="1" applyFont="1" applyFill="1"/>
    <xf numFmtId="14" fontId="6" fillId="3" borderId="0" xfId="0" applyNumberFormat="1" applyFont="1" applyFill="1"/>
    <xf numFmtId="0" fontId="0" fillId="0" borderId="0" xfId="0" applyAlignment="1">
      <alignment horizontal="left" indent="2"/>
    </xf>
    <xf numFmtId="164" fontId="17" fillId="2" borderId="0" xfId="1" applyNumberFormat="1" applyFont="1" applyFill="1"/>
    <xf numFmtId="166" fontId="20" fillId="0" borderId="0" xfId="2" applyNumberFormat="1" applyFont="1" applyFill="1"/>
    <xf numFmtId="166" fontId="12" fillId="2" borderId="0" xfId="2" applyNumberFormat="1" applyFont="1" applyFill="1"/>
    <xf numFmtId="0" fontId="0" fillId="0" borderId="0" xfId="0" applyAlignment="1">
      <alignment horizontal="left" indent="4"/>
    </xf>
    <xf numFmtId="167" fontId="15" fillId="2" borderId="0" xfId="2" applyNumberFormat="1" applyFont="1" applyFill="1"/>
    <xf numFmtId="44" fontId="15" fillId="2" borderId="0" xfId="2" applyFont="1" applyFill="1"/>
    <xf numFmtId="9" fontId="15" fillId="2" borderId="0" xfId="3" applyFont="1" applyFill="1"/>
    <xf numFmtId="0" fontId="22" fillId="0" borderId="0" xfId="0" applyFont="1"/>
    <xf numFmtId="0" fontId="23" fillId="3" borderId="0" xfId="0" applyFont="1" applyFill="1"/>
    <xf numFmtId="0" fontId="13" fillId="3" borderId="0" xfId="0" applyFont="1" applyFill="1" applyAlignment="1">
      <alignment horizontal="center" vertical="center" wrapText="1"/>
    </xf>
    <xf numFmtId="165" fontId="8" fillId="2" borderId="0" xfId="1" applyNumberFormat="1" applyFont="1" applyFill="1"/>
    <xf numFmtId="0" fontId="24" fillId="0" borderId="0" xfId="0" applyFont="1" applyAlignment="1">
      <alignment horizontal="center"/>
    </xf>
    <xf numFmtId="165" fontId="7" fillId="0" borderId="0" xfId="1" applyNumberFormat="1" applyFont="1" applyAlignment="1">
      <alignment horizontal="center"/>
    </xf>
    <xf numFmtId="165" fontId="0" fillId="0" borderId="0" xfId="1" applyNumberFormat="1" applyFont="1"/>
    <xf numFmtId="9" fontId="16" fillId="0" borderId="0" xfId="0" applyNumberFormat="1" applyFont="1"/>
    <xf numFmtId="0" fontId="0" fillId="0" borderId="0" xfId="0" applyAlignment="1">
      <alignment horizontal="right"/>
    </xf>
    <xf numFmtId="43" fontId="7" fillId="0" borderId="0" xfId="0" applyNumberFormat="1" applyFont="1" applyAlignment="1">
      <alignment horizontal="center"/>
    </xf>
    <xf numFmtId="0" fontId="6" fillId="0" borderId="0" xfId="0" applyFont="1" applyAlignment="1">
      <alignment horizontal="right"/>
    </xf>
    <xf numFmtId="0" fontId="15" fillId="2" borderId="0" xfId="0" applyFont="1" applyFill="1"/>
    <xf numFmtId="0" fontId="25" fillId="0" borderId="0" xfId="0" applyFont="1"/>
    <xf numFmtId="44" fontId="0" fillId="0" borderId="0" xfId="2" applyFont="1"/>
    <xf numFmtId="166" fontId="26" fillId="0" borderId="0" xfId="2" applyNumberFormat="1" applyFont="1" applyFill="1"/>
    <xf numFmtId="169" fontId="0" fillId="0" borderId="0" xfId="0" applyNumberFormat="1"/>
    <xf numFmtId="0" fontId="6" fillId="0" borderId="0" xfId="0" applyFont="1" applyAlignment="1">
      <alignment horizontal="left" indent="1"/>
    </xf>
    <xf numFmtId="0" fontId="7" fillId="0" borderId="0" xfId="0" applyFont="1" applyAlignment="1">
      <alignment horizontal="right"/>
    </xf>
    <xf numFmtId="0" fontId="26" fillId="0" borderId="0" xfId="0" applyFont="1"/>
    <xf numFmtId="0" fontId="27" fillId="0" borderId="0" xfId="0" applyFont="1" applyAlignment="1">
      <alignment horizontal="center"/>
    </xf>
    <xf numFmtId="166" fontId="0" fillId="0" borderId="0" xfId="0" applyNumberFormat="1"/>
    <xf numFmtId="166" fontId="7" fillId="0" borderId="0" xfId="0" applyNumberFormat="1" applyFont="1" applyAlignment="1">
      <alignment horizontal="center"/>
    </xf>
    <xf numFmtId="1" fontId="7" fillId="0" borderId="0" xfId="0" applyNumberFormat="1" applyFont="1" applyAlignment="1">
      <alignment horizontal="center"/>
    </xf>
    <xf numFmtId="0" fontId="11" fillId="6" borderId="0" xfId="0" applyFont="1" applyFill="1" applyAlignment="1">
      <alignment horizontal="centerContinuous"/>
    </xf>
    <xf numFmtId="170" fontId="0" fillId="0" borderId="0" xfId="0" applyNumberFormat="1"/>
    <xf numFmtId="165" fontId="0" fillId="0" borderId="0" xfId="1" applyNumberFormat="1" applyFont="1" applyAlignment="1">
      <alignment horizontal="center"/>
    </xf>
    <xf numFmtId="0" fontId="6" fillId="3" borderId="0" xfId="0" applyFont="1" applyFill="1" applyAlignment="1">
      <alignment horizontal="centerContinuous"/>
    </xf>
    <xf numFmtId="166" fontId="6" fillId="0" borderId="0" xfId="0" applyNumberFormat="1" applyFont="1"/>
    <xf numFmtId="165" fontId="6" fillId="0" borderId="0" xfId="0" applyNumberFormat="1" applyFont="1"/>
    <xf numFmtId="0" fontId="6" fillId="3" borderId="0" xfId="0" applyFont="1" applyFill="1" applyAlignment="1">
      <alignment horizontal="center"/>
    </xf>
    <xf numFmtId="166" fontId="0" fillId="0" borderId="0" xfId="2" applyNumberFormat="1" applyFont="1" applyAlignment="1">
      <alignment horizontal="center"/>
    </xf>
    <xf numFmtId="166" fontId="7" fillId="0" borderId="0" xfId="2" applyNumberFormat="1" applyFont="1" applyAlignment="1">
      <alignment horizontal="center"/>
    </xf>
    <xf numFmtId="9" fontId="0" fillId="0" borderId="0" xfId="0" applyNumberFormat="1"/>
    <xf numFmtId="0" fontId="12" fillId="0" borderId="0" xfId="0" applyFont="1"/>
    <xf numFmtId="0" fontId="12" fillId="0" borderId="0" xfId="0" applyFont="1" applyAlignment="1">
      <alignment horizontal="left" indent="2"/>
    </xf>
    <xf numFmtId="0" fontId="29" fillId="0" borderId="0" xfId="0" applyFont="1"/>
    <xf numFmtId="171" fontId="0" fillId="0" borderId="0" xfId="0" applyNumberFormat="1"/>
    <xf numFmtId="165" fontId="20" fillId="0" borderId="0" xfId="1" applyNumberFormat="1" applyFont="1" applyFill="1"/>
    <xf numFmtId="0" fontId="6" fillId="9" borderId="0" xfId="0" applyFont="1" applyFill="1"/>
    <xf numFmtId="0" fontId="13" fillId="0" borderId="0" xfId="0" applyFont="1" applyAlignment="1">
      <alignment horizontal="left"/>
    </xf>
    <xf numFmtId="171" fontId="15" fillId="2" borderId="0" xfId="3" applyNumberFormat="1" applyFont="1" applyFill="1"/>
    <xf numFmtId="0" fontId="30" fillId="0" borderId="0" xfId="0" applyFont="1"/>
    <xf numFmtId="14" fontId="0" fillId="0" borderId="0" xfId="2" applyNumberFormat="1" applyFont="1"/>
    <xf numFmtId="166" fontId="0" fillId="0" borderId="0" xfId="2" applyNumberFormat="1" applyFont="1" applyAlignment="1">
      <alignment wrapText="1"/>
    </xf>
    <xf numFmtId="0" fontId="19" fillId="0" borderId="0" xfId="0" applyFont="1" applyAlignment="1">
      <alignment horizontal="center"/>
    </xf>
    <xf numFmtId="0" fontId="31" fillId="0" borderId="0" xfId="0" applyFont="1" applyAlignment="1">
      <alignment horizontal="left" indent="2"/>
    </xf>
    <xf numFmtId="165" fontId="12" fillId="2" borderId="0" xfId="1" applyNumberFormat="1" applyFont="1" applyFill="1"/>
    <xf numFmtId="0" fontId="0" fillId="0" borderId="0" xfId="0" applyAlignment="1">
      <alignment horizontal="right" indent="2"/>
    </xf>
    <xf numFmtId="0" fontId="33" fillId="0" borderId="0" xfId="0" applyFont="1"/>
    <xf numFmtId="0" fontId="34" fillId="0" borderId="0" xfId="0" applyFont="1"/>
    <xf numFmtId="44" fontId="35" fillId="0" borderId="0" xfId="2" applyFont="1"/>
    <xf numFmtId="0" fontId="37" fillId="0" borderId="0" xfId="0" applyFont="1"/>
    <xf numFmtId="14" fontId="12" fillId="0" borderId="0" xfId="0" applyNumberFormat="1" applyFont="1"/>
    <xf numFmtId="0" fontId="19" fillId="0" borderId="0" xfId="0" applyFont="1" applyAlignment="1">
      <alignment horizontal="right"/>
    </xf>
    <xf numFmtId="166" fontId="13" fillId="0" borderId="0" xfId="2" applyNumberFormat="1" applyFont="1"/>
    <xf numFmtId="9" fontId="18" fillId="0" borderId="0" xfId="0" applyNumberFormat="1" applyFont="1"/>
    <xf numFmtId="0" fontId="18" fillId="0" borderId="0" xfId="0" applyFont="1" applyAlignment="1">
      <alignment horizontal="right"/>
    </xf>
    <xf numFmtId="14" fontId="0" fillId="0" borderId="0" xfId="0" applyNumberFormat="1" applyAlignment="1">
      <alignment horizontal="center"/>
    </xf>
    <xf numFmtId="171" fontId="0" fillId="0" borderId="0" xfId="3" applyNumberFormat="1" applyFont="1"/>
    <xf numFmtId="172" fontId="7" fillId="0" borderId="0" xfId="0" applyNumberFormat="1" applyFont="1" applyAlignment="1">
      <alignment horizontal="center"/>
    </xf>
    <xf numFmtId="44" fontId="7" fillId="0" borderId="0" xfId="2" applyFont="1" applyAlignment="1">
      <alignment horizontal="center"/>
    </xf>
    <xf numFmtId="9" fontId="15" fillId="2" borderId="0" xfId="0" applyNumberFormat="1" applyFont="1" applyFill="1" applyAlignment="1">
      <alignment horizontal="center"/>
    </xf>
    <xf numFmtId="171" fontId="7" fillId="0" borderId="0" xfId="3" applyNumberFormat="1" applyFont="1"/>
    <xf numFmtId="0" fontId="7" fillId="0" borderId="0" xfId="0" applyFont="1" applyAlignment="1">
      <alignment horizontal="left" indent="1"/>
    </xf>
    <xf numFmtId="0" fontId="38" fillId="0" borderId="0" xfId="0" applyFont="1"/>
    <xf numFmtId="0" fontId="18" fillId="0" borderId="0" xfId="0" applyFont="1" applyAlignment="1">
      <alignment horizontal="left"/>
    </xf>
    <xf numFmtId="0" fontId="36" fillId="0" borderId="0" xfId="0" applyFont="1" applyAlignment="1">
      <alignment horizontal="left" indent="2"/>
    </xf>
    <xf numFmtId="43" fontId="0" fillId="0" borderId="0" xfId="1" applyFont="1"/>
    <xf numFmtId="1" fontId="6" fillId="0" borderId="0" xfId="1" applyNumberFormat="1" applyFont="1" applyAlignment="1">
      <alignment horizontal="center"/>
    </xf>
    <xf numFmtId="0" fontId="39" fillId="4" borderId="0" xfId="0" applyFont="1" applyFill="1" applyAlignment="1">
      <alignment horizontal="centerContinuous"/>
    </xf>
    <xf numFmtId="1" fontId="27" fillId="0" borderId="0" xfId="0" applyNumberFormat="1" applyFont="1" applyAlignment="1">
      <alignment horizontal="center"/>
    </xf>
    <xf numFmtId="3" fontId="7" fillId="0" borderId="0" xfId="1" applyNumberFormat="1" applyFont="1" applyAlignment="1">
      <alignment horizontal="center"/>
    </xf>
    <xf numFmtId="0" fontId="6" fillId="6" borderId="0" xfId="0" applyFont="1" applyFill="1" applyAlignment="1">
      <alignment horizontal="centerContinuous"/>
    </xf>
    <xf numFmtId="14" fontId="11" fillId="4" borderId="0" xfId="0" applyNumberFormat="1" applyFont="1" applyFill="1"/>
    <xf numFmtId="14" fontId="32" fillId="11" borderId="0" xfId="0" applyNumberFormat="1" applyFont="1" applyFill="1"/>
    <xf numFmtId="14" fontId="32" fillId="10" borderId="0" xfId="0" applyNumberFormat="1" applyFont="1" applyFill="1"/>
    <xf numFmtId="14" fontId="32" fillId="7" borderId="0" xfId="0" applyNumberFormat="1" applyFont="1" applyFill="1"/>
    <xf numFmtId="165" fontId="0" fillId="0" borderId="0" xfId="0" applyNumberFormat="1"/>
    <xf numFmtId="1" fontId="0" fillId="0" borderId="0" xfId="0" applyNumberFormat="1"/>
    <xf numFmtId="170" fontId="34" fillId="0" borderId="0" xfId="0" applyNumberFormat="1" applyFont="1"/>
    <xf numFmtId="173" fontId="0" fillId="0" borderId="0" xfId="0" applyNumberFormat="1"/>
    <xf numFmtId="173" fontId="6" fillId="0" borderId="0" xfId="0" applyNumberFormat="1" applyFont="1"/>
    <xf numFmtId="170" fontId="6" fillId="0" borderId="0" xfId="0" applyNumberFormat="1" applyFont="1"/>
    <xf numFmtId="1" fontId="6" fillId="0" borderId="0" xfId="0" applyNumberFormat="1" applyFont="1"/>
    <xf numFmtId="170" fontId="8" fillId="0" borderId="0" xfId="0" applyNumberFormat="1" applyFont="1"/>
    <xf numFmtId="0" fontId="9" fillId="2" borderId="0" xfId="0" applyFont="1" applyFill="1" applyAlignment="1">
      <alignment horizontal="center"/>
    </xf>
    <xf numFmtId="14" fontId="15" fillId="12" borderId="0" xfId="0" applyNumberFormat="1" applyFont="1" applyFill="1"/>
    <xf numFmtId="0" fontId="15" fillId="12" borderId="0" xfId="0" applyFont="1" applyFill="1" applyAlignment="1">
      <alignment horizontal="center"/>
    </xf>
    <xf numFmtId="43" fontId="0" fillId="0" borderId="0" xfId="0" applyNumberFormat="1"/>
    <xf numFmtId="3" fontId="6" fillId="9" borderId="0" xfId="0" applyNumberFormat="1" applyFont="1" applyFill="1" applyAlignment="1">
      <alignment horizontal="centerContinuous"/>
    </xf>
    <xf numFmtId="0" fontId="6" fillId="9" borderId="0" xfId="0" applyFont="1" applyFill="1" applyAlignment="1">
      <alignment horizontal="centerContinuous"/>
    </xf>
    <xf numFmtId="14" fontId="32" fillId="11" borderId="0" xfId="0" applyNumberFormat="1" applyFont="1" applyFill="1" applyAlignment="1">
      <alignment horizontal="centerContinuous"/>
    </xf>
    <xf numFmtId="14" fontId="32" fillId="7" borderId="0" xfId="0" applyNumberFormat="1" applyFont="1" applyFill="1" applyAlignment="1">
      <alignment horizontal="centerContinuous"/>
    </xf>
    <xf numFmtId="14" fontId="32" fillId="10" borderId="0" xfId="0" applyNumberFormat="1" applyFont="1" applyFill="1" applyAlignment="1">
      <alignment horizontal="centerContinuous"/>
    </xf>
    <xf numFmtId="6" fontId="15" fillId="2" borderId="0" xfId="0" applyNumberFormat="1" applyFont="1" applyFill="1" applyAlignment="1">
      <alignment horizontal="center"/>
    </xf>
    <xf numFmtId="166" fontId="7" fillId="0" borderId="0" xfId="2" applyNumberFormat="1" applyFont="1"/>
    <xf numFmtId="0" fontId="0" fillId="0" borderId="0" xfId="0" applyAlignment="1">
      <alignment horizontal="right" indent="1"/>
    </xf>
    <xf numFmtId="9" fontId="0" fillId="0" borderId="0" xfId="2" applyNumberFormat="1" applyFont="1"/>
    <xf numFmtId="166" fontId="5" fillId="0" borderId="0" xfId="2" applyNumberFormat="1" applyFont="1"/>
    <xf numFmtId="166" fontId="22" fillId="0" borderId="0" xfId="2" applyNumberFormat="1" applyFont="1"/>
    <xf numFmtId="0" fontId="41" fillId="3" borderId="0" xfId="0" applyFont="1" applyFill="1"/>
    <xf numFmtId="170" fontId="41" fillId="3" borderId="0" xfId="0" applyNumberFormat="1" applyFont="1" applyFill="1"/>
    <xf numFmtId="171" fontId="41" fillId="3" borderId="0" xfId="0" applyNumberFormat="1" applyFont="1" applyFill="1"/>
    <xf numFmtId="171" fontId="7" fillId="0" borderId="0" xfId="0" applyNumberFormat="1" applyFont="1"/>
    <xf numFmtId="166" fontId="28" fillId="0" borderId="0" xfId="2" applyNumberFormat="1" applyFont="1" applyAlignment="1">
      <alignment horizontal="center"/>
    </xf>
    <xf numFmtId="171" fontId="8" fillId="2" borderId="0" xfId="0" applyNumberFormat="1" applyFont="1" applyFill="1"/>
    <xf numFmtId="166" fontId="0" fillId="13" borderId="0" xfId="2" applyNumberFormat="1" applyFont="1" applyFill="1"/>
    <xf numFmtId="1" fontId="42" fillId="0" borderId="0" xfId="0" applyNumberFormat="1" applyFont="1" applyAlignment="1">
      <alignment horizontal="center"/>
    </xf>
    <xf numFmtId="165" fontId="7" fillId="0" borderId="0" xfId="0" applyNumberFormat="1" applyFont="1" applyAlignment="1">
      <alignment horizontal="center"/>
    </xf>
    <xf numFmtId="9" fontId="35" fillId="0" borderId="0" xfId="2" applyNumberFormat="1" applyFont="1"/>
    <xf numFmtId="44" fontId="0" fillId="0" borderId="0" xfId="2" applyFont="1" applyAlignment="1">
      <alignment horizontal="center"/>
    </xf>
    <xf numFmtId="1" fontId="6" fillId="0" borderId="0" xfId="0" applyNumberFormat="1" applyFon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" fontId="0" fillId="0" borderId="0" xfId="1" applyNumberFormat="1" applyFont="1" applyAlignment="1">
      <alignment horizontal="center" vertical="center"/>
    </xf>
    <xf numFmtId="1" fontId="7" fillId="0" borderId="0" xfId="1" applyNumberFormat="1" applyFont="1" applyAlignment="1">
      <alignment horizontal="center"/>
    </xf>
    <xf numFmtId="0" fontId="31" fillId="0" borderId="0" xfId="0" applyFont="1"/>
    <xf numFmtId="0" fontId="6" fillId="3" borderId="0" xfId="1" applyNumberFormat="1" applyFont="1" applyFill="1" applyAlignment="1">
      <alignment horizontal="center"/>
    </xf>
    <xf numFmtId="1" fontId="0" fillId="0" borderId="0" xfId="1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3" fontId="27" fillId="0" borderId="0" xfId="1" applyNumberFormat="1" applyFont="1" applyAlignment="1">
      <alignment horizontal="center"/>
    </xf>
    <xf numFmtId="3" fontId="27" fillId="0" borderId="0" xfId="0" applyNumberFormat="1" applyFont="1" applyAlignment="1">
      <alignment horizontal="center"/>
    </xf>
    <xf numFmtId="1" fontId="6" fillId="0" borderId="0" xfId="0" applyNumberFormat="1" applyFont="1" applyAlignment="1">
      <alignment horizontal="center"/>
    </xf>
    <xf numFmtId="166" fontId="7" fillId="0" borderId="0" xfId="0" applyNumberFormat="1" applyFont="1"/>
    <xf numFmtId="44" fontId="0" fillId="0" borderId="0" xfId="0" applyNumberFormat="1"/>
    <xf numFmtId="172" fontId="0" fillId="0" borderId="0" xfId="0" applyNumberFormat="1" applyAlignment="1">
      <alignment horizontal="center"/>
    </xf>
    <xf numFmtId="0" fontId="0" fillId="0" borderId="0" xfId="1" applyNumberFormat="1" applyFont="1" applyAlignment="1">
      <alignment horizontal="center"/>
    </xf>
    <xf numFmtId="44" fontId="21" fillId="0" borderId="0" xfId="2" applyFont="1"/>
    <xf numFmtId="165" fontId="20" fillId="0" borderId="0" xfId="1" applyNumberFormat="1" applyFont="1"/>
    <xf numFmtId="166" fontId="20" fillId="0" borderId="0" xfId="2" applyNumberFormat="1" applyFont="1"/>
    <xf numFmtId="165" fontId="6" fillId="0" borderId="0" xfId="1" applyNumberFormat="1" applyFont="1"/>
    <xf numFmtId="168" fontId="0" fillId="0" borderId="0" xfId="0" applyNumberFormat="1"/>
    <xf numFmtId="0" fontId="6" fillId="0" borderId="0" xfId="0" applyFont="1" applyAlignment="1">
      <alignment horizontal="left" indent="2"/>
    </xf>
    <xf numFmtId="6" fontId="0" fillId="0" borderId="0" xfId="0" applyNumberFormat="1"/>
    <xf numFmtId="165" fontId="6" fillId="0" borderId="0" xfId="1" applyNumberFormat="1" applyFont="1" applyAlignment="1">
      <alignment horizontal="center"/>
    </xf>
    <xf numFmtId="0" fontId="6" fillId="0" borderId="0" xfId="0" applyFont="1" applyAlignment="1">
      <alignment horizontal="centerContinuous"/>
    </xf>
    <xf numFmtId="0" fontId="34" fillId="0" borderId="0" xfId="0" applyFont="1" applyAlignment="1">
      <alignment horizontal="centerContinuous"/>
    </xf>
    <xf numFmtId="166" fontId="8" fillId="0" borderId="0" xfId="2" applyNumberFormat="1" applyFont="1"/>
    <xf numFmtId="166" fontId="8" fillId="0" borderId="0" xfId="0" applyNumberFormat="1" applyFont="1"/>
    <xf numFmtId="14" fontId="0" fillId="0" borderId="0" xfId="1" applyNumberFormat="1" applyFont="1"/>
    <xf numFmtId="0" fontId="6" fillId="0" borderId="0" xfId="0" applyFont="1" applyAlignment="1">
      <alignment horizontal="left"/>
    </xf>
    <xf numFmtId="0" fontId="0" fillId="0" borderId="1" xfId="0" applyBorder="1"/>
    <xf numFmtId="165" fontId="0" fillId="0" borderId="1" xfId="1" applyNumberFormat="1" applyFont="1" applyBorder="1" applyAlignment="1">
      <alignment horizontal="center"/>
    </xf>
    <xf numFmtId="165" fontId="6" fillId="0" borderId="1" xfId="0" applyNumberFormat="1" applyFont="1" applyBorder="1"/>
    <xf numFmtId="0" fontId="0" fillId="0" borderId="1" xfId="0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11" fillId="6" borderId="1" xfId="0" applyFont="1" applyFill="1" applyBorder="1" applyAlignment="1">
      <alignment horizontal="left"/>
    </xf>
    <xf numFmtId="0" fontId="11" fillId="6" borderId="1" xfId="0" applyFont="1" applyFill="1" applyBorder="1" applyAlignment="1">
      <alignment horizontal="center"/>
    </xf>
    <xf numFmtId="166" fontId="0" fillId="0" borderId="1" xfId="2" applyNumberFormat="1" applyFont="1" applyBorder="1"/>
    <xf numFmtId="166" fontId="6" fillId="0" borderId="1" xfId="2" applyNumberFormat="1" applyFont="1" applyBorder="1"/>
    <xf numFmtId="0" fontId="11" fillId="14" borderId="1" xfId="0" applyFont="1" applyFill="1" applyBorder="1" applyAlignment="1">
      <alignment horizontal="center"/>
    </xf>
    <xf numFmtId="0" fontId="6" fillId="0" borderId="2" xfId="0" applyFont="1" applyBorder="1"/>
    <xf numFmtId="165" fontId="0" fillId="0" borderId="2" xfId="1" applyNumberFormat="1" applyFont="1" applyBorder="1"/>
    <xf numFmtId="165" fontId="6" fillId="0" borderId="2" xfId="1" applyNumberFormat="1" applyFont="1" applyBorder="1"/>
    <xf numFmtId="1" fontId="0" fillId="0" borderId="1" xfId="0" applyNumberFormat="1" applyBorder="1" applyAlignment="1">
      <alignment horizontal="center"/>
    </xf>
    <xf numFmtId="0" fontId="11" fillId="6" borderId="1" xfId="0" applyFont="1" applyFill="1" applyBorder="1"/>
    <xf numFmtId="0" fontId="3" fillId="0" borderId="0" xfId="0" applyFont="1"/>
    <xf numFmtId="0" fontId="3" fillId="5" borderId="0" xfId="0" applyFont="1" applyFill="1"/>
    <xf numFmtId="0" fontId="3" fillId="0" borderId="0" xfId="0" applyFont="1" applyAlignment="1">
      <alignment horizontal="left" indent="2"/>
    </xf>
    <xf numFmtId="9" fontId="3" fillId="0" borderId="0" xfId="0" applyNumberFormat="1" applyFont="1"/>
    <xf numFmtId="0" fontId="3" fillId="3" borderId="0" xfId="0" applyFont="1" applyFill="1"/>
    <xf numFmtId="43" fontId="3" fillId="0" borderId="0" xfId="0" applyNumberFormat="1" applyFont="1"/>
    <xf numFmtId="168" fontId="3" fillId="0" borderId="0" xfId="0" applyNumberFormat="1" applyFont="1"/>
    <xf numFmtId="0" fontId="3" fillId="8" borderId="0" xfId="0" applyFont="1" applyFill="1"/>
    <xf numFmtId="166" fontId="3" fillId="0" borderId="0" xfId="0" applyNumberFormat="1" applyFont="1"/>
    <xf numFmtId="166" fontId="3" fillId="0" borderId="0" xfId="2" applyNumberFormat="1" applyFont="1"/>
    <xf numFmtId="167" fontId="3" fillId="0" borderId="0" xfId="0" applyNumberFormat="1" applyFont="1"/>
    <xf numFmtId="14" fontId="3" fillId="0" borderId="0" xfId="0" applyNumberFormat="1" applyFont="1"/>
    <xf numFmtId="0" fontId="2" fillId="0" borderId="0" xfId="0" applyFont="1"/>
    <xf numFmtId="0" fontId="2" fillId="8" borderId="0" xfId="0" applyFont="1" applyFill="1"/>
    <xf numFmtId="9" fontId="18" fillId="0" borderId="0" xfId="0" applyNumberFormat="1" applyFont="1" applyAlignment="1">
      <alignment horizontal="right"/>
    </xf>
    <xf numFmtId="0" fontId="16" fillId="0" borderId="0" xfId="0" applyFont="1" applyAlignment="1">
      <alignment horizontal="right"/>
    </xf>
    <xf numFmtId="0" fontId="2" fillId="0" borderId="0" xfId="0" applyFont="1" applyAlignment="1">
      <alignment horizontal="left" indent="2"/>
    </xf>
    <xf numFmtId="0" fontId="32" fillId="9" borderId="1" xfId="0" applyFont="1" applyFill="1" applyBorder="1" applyAlignment="1">
      <alignment horizontal="center"/>
    </xf>
    <xf numFmtId="0" fontId="32" fillId="6" borderId="1" xfId="0" applyFont="1" applyFill="1" applyBorder="1" applyAlignment="1">
      <alignment horizontal="center"/>
    </xf>
    <xf numFmtId="0" fontId="33" fillId="0" borderId="0" xfId="0" applyFont="1" applyAlignment="1">
      <alignment horizontal="center"/>
    </xf>
    <xf numFmtId="0" fontId="32" fillId="9" borderId="1" xfId="0" applyFont="1" applyFill="1" applyBorder="1" applyAlignment="1">
      <alignment horizontal="center"/>
    </xf>
    <xf numFmtId="0" fontId="39" fillId="4" borderId="0" xfId="0" applyFont="1" applyFill="1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left" indent="2"/>
    </xf>
    <xf numFmtId="0" fontId="40" fillId="0" borderId="0" xfId="0" applyFont="1" applyAlignment="1">
      <alignment horizontal="center"/>
    </xf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71" Type="http://schemas.openxmlformats.org/officeDocument/2006/relationships/calcChain" Target="calcChain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DF854-BE07-45A7-A212-3B9AF5BC22E9}">
  <sheetPr>
    <pageSetUpPr fitToPage="1"/>
  </sheetPr>
  <dimension ref="A1:BG69"/>
  <sheetViews>
    <sheetView tabSelected="1" view="pageBreakPreview" zoomScale="85" zoomScaleNormal="100" zoomScaleSheetLayoutView="85" workbookViewId="0">
      <selection activeCell="G20" sqref="G20"/>
    </sheetView>
  </sheetViews>
  <sheetFormatPr defaultRowHeight="15" x14ac:dyDescent="0.25"/>
  <cols>
    <col min="1" max="1" width="4.7109375" customWidth="1"/>
    <col min="2" max="2" width="2.42578125" customWidth="1"/>
    <col min="3" max="3" width="27.140625" customWidth="1"/>
    <col min="4" max="6" width="12.5703125" bestFit="1" customWidth="1"/>
    <col min="7" max="7" width="12.85546875" bestFit="1" customWidth="1"/>
    <col min="8" max="8" width="13.7109375" bestFit="1" customWidth="1"/>
    <col min="9" max="9" width="12.7109375" customWidth="1"/>
    <col min="10" max="10" width="5.28515625" customWidth="1"/>
    <col min="11" max="11" width="12.5703125" bestFit="1" customWidth="1"/>
    <col min="12" max="12" width="12.85546875" bestFit="1" customWidth="1"/>
    <col min="13" max="16" width="12.5703125" bestFit="1" customWidth="1"/>
    <col min="17" max="17" width="15.140625" customWidth="1"/>
    <col min="18" max="18" width="14.7109375" customWidth="1"/>
    <col min="19" max="19" width="5.7109375" customWidth="1"/>
    <col min="20" max="20" width="23" bestFit="1" customWidth="1"/>
    <col min="21" max="24" width="12.85546875" bestFit="1" customWidth="1"/>
    <col min="25" max="26" width="11.7109375" bestFit="1" customWidth="1"/>
    <col min="27" max="27" width="12.85546875" bestFit="1" customWidth="1"/>
    <col min="28" max="28" width="5.7109375" customWidth="1"/>
    <col min="29" max="29" width="5.42578125" customWidth="1"/>
    <col min="30" max="30" width="23" bestFit="1" customWidth="1"/>
    <col min="31" max="33" width="12.7109375" bestFit="1" customWidth="1"/>
    <col min="34" max="34" width="12.5703125" bestFit="1" customWidth="1"/>
    <col min="35" max="36" width="13.42578125" bestFit="1" customWidth="1"/>
    <col min="37" max="37" width="5.7109375" customWidth="1"/>
    <col min="38" max="38" width="23" bestFit="1" customWidth="1"/>
    <col min="39" max="41" width="12.7109375" bestFit="1" customWidth="1"/>
    <col min="42" max="42" width="12.5703125" bestFit="1" customWidth="1"/>
    <col min="43" max="44" width="13.42578125" bestFit="1" customWidth="1"/>
    <col min="45" max="45" width="5.42578125" customWidth="1"/>
    <col min="46" max="46" width="23" bestFit="1" customWidth="1"/>
    <col min="47" max="49" width="12.7109375" bestFit="1" customWidth="1"/>
    <col min="50" max="50" width="12.5703125" bestFit="1" customWidth="1"/>
    <col min="51" max="52" width="13.42578125" bestFit="1" customWidth="1"/>
    <col min="53" max="53" width="6.5703125" customWidth="1"/>
    <col min="54" max="54" width="22.85546875" customWidth="1"/>
    <col min="55" max="55" width="13.28515625" bestFit="1" customWidth="1"/>
    <col min="56" max="58" width="14.28515625" bestFit="1" customWidth="1"/>
    <col min="59" max="59" width="12.5703125" bestFit="1" customWidth="1"/>
  </cols>
  <sheetData>
    <row r="1" spans="1:59" x14ac:dyDescent="0.25">
      <c r="A1" s="1" t="s">
        <v>0</v>
      </c>
      <c r="J1" s="1" t="s">
        <v>1</v>
      </c>
      <c r="S1" s="1" t="s">
        <v>2</v>
      </c>
      <c r="AC1" s="1" t="str">
        <f>AD3&amp;" P&amp;L Summary by Quarter"</f>
        <v>Corporate P&amp;L Summary by Quarter</v>
      </c>
      <c r="AK1" s="1" t="str">
        <f>AL3&amp;" P&amp;L Summary by Quarter"</f>
        <v>JV1 P&amp;L Summary by Quarter</v>
      </c>
      <c r="AS1" s="1" t="str">
        <f>AT3&amp;" P&amp;L Summary by Quarter"</f>
        <v>JV2 P&amp;L Summary by Quarter</v>
      </c>
      <c r="BA1" s="1" t="s">
        <v>3</v>
      </c>
    </row>
    <row r="2" spans="1:59" x14ac:dyDescent="0.25">
      <c r="A2" s="4" t="s">
        <v>4</v>
      </c>
      <c r="J2" s="4" t="s">
        <v>5</v>
      </c>
      <c r="S2" s="4" t="s">
        <v>6</v>
      </c>
      <c r="AC2" s="4" t="s">
        <v>7</v>
      </c>
      <c r="AK2" s="4"/>
      <c r="AS2" s="4"/>
      <c r="BA2" s="4"/>
    </row>
    <row r="3" spans="1:59" x14ac:dyDescent="0.25">
      <c r="A3" s="1"/>
      <c r="B3" s="192" t="s">
        <v>401</v>
      </c>
      <c r="C3" s="192"/>
      <c r="D3" s="193" t="s">
        <v>8</v>
      </c>
      <c r="E3" s="193" t="s">
        <v>9</v>
      </c>
      <c r="F3" s="193" t="s">
        <v>10</v>
      </c>
      <c r="G3" s="193" t="s">
        <v>11</v>
      </c>
      <c r="H3" s="193" t="s">
        <v>12</v>
      </c>
      <c r="K3" s="192" t="s">
        <v>398</v>
      </c>
      <c r="L3" s="192"/>
      <c r="M3" s="192" t="s">
        <v>8</v>
      </c>
      <c r="N3" s="193" t="s">
        <v>9</v>
      </c>
      <c r="O3" s="193" t="s">
        <v>10</v>
      </c>
      <c r="P3" s="193" t="s">
        <v>11</v>
      </c>
      <c r="Q3" s="193" t="s">
        <v>12</v>
      </c>
      <c r="U3" s="219" t="s">
        <v>343</v>
      </c>
      <c r="V3" s="220" t="s">
        <v>14</v>
      </c>
      <c r="W3" s="222" t="s">
        <v>15</v>
      </c>
      <c r="X3" s="222"/>
      <c r="Y3" s="222"/>
      <c r="Z3" s="220" t="s">
        <v>402</v>
      </c>
      <c r="AA3" s="220" t="s">
        <v>12</v>
      </c>
      <c r="AD3" s="196" t="s">
        <v>343</v>
      </c>
      <c r="AE3" s="193" t="s">
        <v>8</v>
      </c>
      <c r="AF3" s="193" t="s">
        <v>9</v>
      </c>
      <c r="AG3" s="193" t="s">
        <v>10</v>
      </c>
      <c r="AH3" s="193" t="s">
        <v>11</v>
      </c>
      <c r="AI3" s="193" t="s">
        <v>12</v>
      </c>
      <c r="AL3" s="196" t="s">
        <v>14</v>
      </c>
      <c r="AM3" s="193" t="s">
        <v>8</v>
      </c>
      <c r="AN3" s="193" t="s">
        <v>9</v>
      </c>
      <c r="AO3" s="193" t="s">
        <v>10</v>
      </c>
      <c r="AP3" s="193" t="s">
        <v>11</v>
      </c>
      <c r="AQ3" s="193" t="s">
        <v>12</v>
      </c>
      <c r="AT3" s="196" t="s">
        <v>15</v>
      </c>
      <c r="AU3" s="193" t="s">
        <v>8</v>
      </c>
      <c r="AV3" s="193" t="s">
        <v>9</v>
      </c>
      <c r="AW3" s="193" t="s">
        <v>10</v>
      </c>
      <c r="AX3" s="193" t="s">
        <v>11</v>
      </c>
      <c r="AY3" s="193" t="s">
        <v>12</v>
      </c>
      <c r="BB3" s="196">
        <v>2026</v>
      </c>
      <c r="BC3" s="193" t="s">
        <v>8</v>
      </c>
      <c r="BD3" s="193" t="s">
        <v>9</v>
      </c>
      <c r="BE3" s="193" t="s">
        <v>10</v>
      </c>
      <c r="BF3" s="193" t="s">
        <v>11</v>
      </c>
      <c r="BG3" s="193" t="s">
        <v>12</v>
      </c>
    </row>
    <row r="4" spans="1:59" x14ac:dyDescent="0.25">
      <c r="C4" t="s">
        <v>16</v>
      </c>
      <c r="D4" s="3">
        <f>SUMIFS(QTR!EZ:EZ,QTR!$D:$D,"New Jersey")+SUMIFS(QTR!EZ:EZ,QTR!$D:$D,"M&amp;A")</f>
        <v>302</v>
      </c>
      <c r="E4" s="3">
        <f>SUMIFS(QTR!FA:FA,QTR!$D:$D,"New Jersey")+SUMIFS(QTR!FA:FA,QTR!$D:$D,"M&amp;A")</f>
        <v>573</v>
      </c>
      <c r="F4" s="3">
        <f>SUMIFS(QTR!FB:FB,QTR!$D:$D,"New Jersey")+SUMIFS(QTR!FB:FB,QTR!$D:$D,"M&amp;A")</f>
        <v>652</v>
      </c>
      <c r="G4" s="3">
        <f>SUMIFS(QTR!FC:FC,QTR!$D:$D,"New Jersey")+SUMIFS(QTR!FC:FC,QTR!$D:$D,"M&amp;A")</f>
        <v>818</v>
      </c>
      <c r="L4" t="s">
        <v>16</v>
      </c>
      <c r="M4" s="12" cm="1">
        <f t="array" ref="M4:P4">_xlfn.LET(_xlpm.data,_xlfn.ANCHORARRAY(QTR!$J$4),_xlpm.states,_xlfn.ANCHORARRAY(QTR!$D$4),_xlpm.rev,_xlfn._xlws.FILTER(_xlpm.data,(_xlpm.states="M&amp;A")+(_xlpm.states="New Jersey")),
_xlfn.BYCOL(_xlpm.rev,_xlfn.LAMBDA(_xlpm.a,SUM(_xlpm.a))))*0.88</f>
        <v>6652993.8475733316</v>
      </c>
      <c r="N4" s="12">
        <v>14400481.920293329</v>
      </c>
      <c r="O4" s="12">
        <v>19125659.36658667</v>
      </c>
      <c r="P4" s="12">
        <v>24066601.000053331</v>
      </c>
      <c r="Q4" s="13">
        <f>SUM(_xlfn.ANCHORARRAY(M4))</f>
        <v>64245736.134506658</v>
      </c>
      <c r="R4" s="13"/>
      <c r="U4" s="3"/>
      <c r="V4" s="3" t="s">
        <v>16</v>
      </c>
      <c r="W4" s="3" t="s">
        <v>17</v>
      </c>
      <c r="X4" s="3" t="s">
        <v>18</v>
      </c>
      <c r="Y4" s="3" t="s">
        <v>19</v>
      </c>
      <c r="AD4" s="1" t="s">
        <v>20</v>
      </c>
      <c r="AE4" s="67">
        <f>AM15+AU15</f>
        <v>2888871.8909941264</v>
      </c>
      <c r="AF4" s="67">
        <f>AN15+AV15</f>
        <v>2993910.4061386166</v>
      </c>
      <c r="AG4" s="67">
        <f>AO15+AW15</f>
        <v>3124598.8357561282</v>
      </c>
      <c r="AH4" s="67">
        <f>AP15+AX15</f>
        <v>3280587.2398466594</v>
      </c>
      <c r="AI4" s="74">
        <f>SUM(AE4:AH4)</f>
        <v>12287968.372735532</v>
      </c>
      <c r="AL4" s="1" t="s">
        <v>20</v>
      </c>
      <c r="AM4" s="67">
        <f>SUM('JV1-Monthly'!E37:G37)</f>
        <v>6903817.0869066641</v>
      </c>
      <c r="AN4" s="67">
        <f>SUM('JV1-Monthly'!H37:J37)</f>
        <v>14810919.94829333</v>
      </c>
      <c r="AO4" s="67">
        <f>SUM('JV1-Monthly'!K37:M37)</f>
        <v>19627305.845253326</v>
      </c>
      <c r="AP4" s="67">
        <f>SUM('JV1-Monthly'!N37:P37)</f>
        <v>24659455.92938666</v>
      </c>
      <c r="AQ4" s="74">
        <f>SUM(AM4:AP4)</f>
        <v>66001498.809839979</v>
      </c>
      <c r="AT4" s="1" t="s">
        <v>20</v>
      </c>
      <c r="AU4" s="67">
        <f>SUM('JV2-Monthly'!E37:G37)</f>
        <v>6398573.356905194</v>
      </c>
      <c r="AV4" s="67">
        <f>SUM('JV2-Monthly'!H37:J37)</f>
        <v>6797163.6263660798</v>
      </c>
      <c r="AW4" s="67">
        <f>SUM('JV2-Monthly'!K37:M37)</f>
        <v>7648894.6436407994</v>
      </c>
      <c r="AX4" s="67">
        <f>SUM('JV2-Monthly'!N37:P37)</f>
        <v>8441456.7353131827</v>
      </c>
      <c r="AY4" s="74">
        <f>SUM(AU4:AX4)</f>
        <v>29286088.362225257</v>
      </c>
      <c r="BB4" s="1"/>
      <c r="BC4" s="185"/>
      <c r="BD4" s="185"/>
      <c r="BE4" s="185"/>
      <c r="BF4" s="185"/>
      <c r="BG4" s="176"/>
    </row>
    <row r="5" spans="1:59" x14ac:dyDescent="0.25">
      <c r="C5" t="s">
        <v>17</v>
      </c>
      <c r="D5" s="3">
        <f>SUMIFS(QTR!EZ:EZ,QTR!$D:$D,"maryland")</f>
        <v>168</v>
      </c>
      <c r="E5" s="3">
        <f>SUMIFS(QTR!FA:FA,QTR!$D:$D,"maryland")</f>
        <v>175</v>
      </c>
      <c r="F5" s="3">
        <f>SUMIFS(QTR!FB:FB,QTR!$D:$D,"maryland")</f>
        <v>191</v>
      </c>
      <c r="G5" s="3">
        <f>SUMIFS(QTR!FC:FC,QTR!$D:$D,"maryland")</f>
        <v>206</v>
      </c>
      <c r="L5" t="s">
        <v>17</v>
      </c>
      <c r="M5" s="12" cm="1">
        <f t="array" ref="M5:P5">_xlfn.LET(_xlpm.data,_xlfn.ANCHORARRAY(QTR!$J$4),_xlpm.states,_xlfn.ANCHORARRAY(QTR!$D$4),_xlpm.rev,_xlfn._xlws.FILTER(_xlpm.data,(_xlpm.states="Maryland")),
_xlfn.BYCOL(_xlpm.rev,_xlfn.LAMBDA(_xlpm.a,SUM(_xlpm.a))))*0.88</f>
        <v>3522502.1580408001</v>
      </c>
      <c r="N5" s="12">
        <v>3620303.05804992</v>
      </c>
      <c r="O5" s="12">
        <v>3966738.1952932794</v>
      </c>
      <c r="P5" s="12">
        <v>4202669.2270991998</v>
      </c>
      <c r="Q5" s="13">
        <f>SUM(M5:P5)</f>
        <v>15312212.6384832</v>
      </c>
      <c r="R5" s="13"/>
      <c r="T5" t="s">
        <v>21</v>
      </c>
      <c r="U5" s="67">
        <v>0</v>
      </c>
      <c r="V5" s="67">
        <f>'JV1'!$F$32</f>
        <v>66001498.809840009</v>
      </c>
      <c r="W5" s="67">
        <f>'JV2'!$J$32</f>
        <v>15972074.288931198</v>
      </c>
      <c r="X5" s="67">
        <f>'JV2'!$N$32</f>
        <v>10650586.070254592</v>
      </c>
      <c r="Y5" s="67">
        <f>'JV2'!$R$32</f>
        <v>2663428.0030394658</v>
      </c>
      <c r="Z5" s="67">
        <f>SUM('MDA1:NCA9'!$E67:$P67)</f>
        <v>4481921.1021908801</v>
      </c>
      <c r="AA5" s="67">
        <f>SUM(U5:Z5)</f>
        <v>99769508.274256155</v>
      </c>
      <c r="AB5" s="67"/>
      <c r="AI5" s="67"/>
      <c r="AQ5" s="67"/>
      <c r="AY5" s="67"/>
      <c r="BB5" s="1" t="s">
        <v>22</v>
      </c>
      <c r="BC5" s="53">
        <f>COUNTIFS(Base!$D$5:$BD$5,"&gt;="&amp;DATE($BB$3,RIGHT(BC$3,1)*3-2,1),
Base!$D$5:$BD$5,"&lt;"&amp;DATE($BB$3,RIGHT(BC$3,1)*3+1,1),
Base!$D$1:$BD$1,"M&amp;A")</f>
        <v>1</v>
      </c>
      <c r="BD5" s="53">
        <f>COUNTIFS(Base!$D$5:$BD$5,"&gt;="&amp;DATE($BB$3,RIGHT(BD$3,1)*3-2,1),
Base!$D$5:$BD$5,"&lt;"&amp;DATE($BB$3,RIGHT(BD$3,1)*3+1,1),
Base!$D$1:$BD$1,"M&amp;A")</f>
        <v>0</v>
      </c>
      <c r="BE5" s="53">
        <f>COUNTIFS(Base!$D$5:$BD$5,"&gt;="&amp;DATE($BB$3,RIGHT(BE$3,1)*3-2,1),
Base!$D$5:$BD$5,"&lt;"&amp;DATE($BB$3,RIGHT(BE$3,1)*3+1,1),
Base!$D$1:$BD$1,"M&amp;A")</f>
        <v>0</v>
      </c>
      <c r="BF5" s="53">
        <f>COUNTIFS(Base!$D$5:$BD$5,"&gt;="&amp;DATE($BB$3,RIGHT(BF$3,1)*3-2,1),
Base!$D$5:$BD$5,"&lt;"&amp;DATE($BB$3,RIGHT(BF$3,1)*3+1,1),
Base!$D$1:$BD$1,"M&amp;A")</f>
        <v>1</v>
      </c>
      <c r="BG5" s="176">
        <f t="shared" ref="BG5:BG11" si="0">SUM(BC5:BF5)</f>
        <v>2</v>
      </c>
    </row>
    <row r="6" spans="1:59" x14ac:dyDescent="0.25">
      <c r="C6" t="s">
        <v>18</v>
      </c>
      <c r="D6" s="3">
        <f>SUMIFS(QTR!EZ:EZ,QTR!$D:$D,"North carolina")</f>
        <v>138</v>
      </c>
      <c r="E6" s="3">
        <f>SUMIFS(QTR!FA:FA,QTR!$D:$D,"North carolina")</f>
        <v>150</v>
      </c>
      <c r="F6" s="3">
        <f>SUMIFS(QTR!FB:FB,QTR!$D:$D,"North carolina")</f>
        <v>167</v>
      </c>
      <c r="G6" s="3">
        <f>SUMIFS(QTR!FC:FC,QTR!$D:$D,"North carolina")</f>
        <v>192</v>
      </c>
      <c r="L6" t="s">
        <v>18</v>
      </c>
      <c r="M6" s="12" cm="1">
        <f t="array" ref="M6:P6">_xlfn.LET(_xlpm.data,_xlfn.ANCHORARRAY(QTR!$J$4),_xlpm.states,_xlfn.ANCHORARRAY(QTR!$D$4),_xlpm.rev,_xlfn._xlws.FILTER(_xlpm.data,(_xlpm.states="North Carolina")),
_xlfn.BYCOL(_xlpm.rev,_xlfn.LAMBDA(_xlpm.a,SUM(_xlpm.a))))*0.88</f>
        <v>2129349.1574733546</v>
      </c>
      <c r="N6" s="12">
        <v>2333803.8211311996</v>
      </c>
      <c r="O6" s="12">
        <v>2652109.3931235196</v>
      </c>
      <c r="P6" s="12">
        <v>3138029.975033184</v>
      </c>
      <c r="Q6" s="13">
        <f>SUM(M6:P6)</f>
        <v>10253292.346761258</v>
      </c>
      <c r="R6" s="13"/>
      <c r="T6" t="s">
        <v>135</v>
      </c>
      <c r="U6" s="67">
        <f>SUM(V18:Y18)</f>
        <v>12287968.37273553</v>
      </c>
      <c r="V6" s="67">
        <v>0</v>
      </c>
      <c r="W6" s="67">
        <v>0</v>
      </c>
      <c r="X6" s="67">
        <v>0</v>
      </c>
      <c r="Y6" s="67">
        <v>0</v>
      </c>
      <c r="Z6" s="67">
        <v>0</v>
      </c>
      <c r="AA6" s="67"/>
      <c r="AB6" s="67"/>
      <c r="AD6" t="s">
        <v>23</v>
      </c>
      <c r="AE6" s="12">
        <f>SUM('Corp.'!E40:G40)</f>
        <v>2294148.8620892018</v>
      </c>
      <c r="AF6" s="12">
        <f>SUM('Corp.'!H40:J40)</f>
        <v>2393022.4275434157</v>
      </c>
      <c r="AG6" s="12">
        <f>SUM('Corp.'!K40:M40)</f>
        <v>2516202.4111717902</v>
      </c>
      <c r="AH6" s="12">
        <f>SUM('Corp.'!N40:P40)</f>
        <v>2663688.8129743263</v>
      </c>
      <c r="AI6" s="74">
        <f t="shared" ref="AI6:AI15" si="1">SUM(AE6:AH6)</f>
        <v>9867062.513778735</v>
      </c>
      <c r="AL6" t="s">
        <v>23</v>
      </c>
      <c r="AM6" s="12">
        <f>SUM('JV1-Monthly'!E40:G40)</f>
        <v>1870480.8298206541</v>
      </c>
      <c r="AN6" s="12">
        <f>SUM('JV1-Monthly'!H40:J40)</f>
        <v>3155939.922733489</v>
      </c>
      <c r="AO6" s="12">
        <f>SUM('JV1-Monthly'!K40:M40)</f>
        <v>4408908.8665392306</v>
      </c>
      <c r="AP6" s="12">
        <f>SUM('JV1-Monthly'!N40:P40)</f>
        <v>6016974.5807341337</v>
      </c>
      <c r="AQ6" s="74">
        <f t="shared" ref="AQ6:AQ15" si="2">SUM(AM6:AP6)</f>
        <v>15452304.199827507</v>
      </c>
      <c r="AT6" t="s">
        <v>23</v>
      </c>
      <c r="AU6" s="12">
        <f>SUM('JV2-Monthly'!E40:G40)</f>
        <v>3542027.7826392315</v>
      </c>
      <c r="AV6" s="12">
        <f>SUM('JV2-Monthly'!H40:J40)</f>
        <v>3751082.1148861856</v>
      </c>
      <c r="AW6" s="12">
        <f>SUM('JV2-Monthly'!K40:M40)</f>
        <v>4326296.1772531839</v>
      </c>
      <c r="AX6" s="12">
        <f>SUM('JV2-Monthly'!N40:P40)</f>
        <v>4794581.3247526772</v>
      </c>
      <c r="AY6" s="74">
        <f t="shared" ref="AY6:AY15" si="3">SUM(AU6:AX6)</f>
        <v>16413987.399531279</v>
      </c>
      <c r="BC6" s="53"/>
      <c r="BD6" s="53"/>
      <c r="BE6" s="53"/>
      <c r="BF6" s="53"/>
      <c r="BG6" s="176"/>
    </row>
    <row r="7" spans="1:59" x14ac:dyDescent="0.25">
      <c r="C7" s="187" t="s">
        <v>19</v>
      </c>
      <c r="D7" s="190">
        <f>SUMIFS(QTR!EZ:EZ,QTR!$D:$D,"Arizona")</f>
        <v>41</v>
      </c>
      <c r="E7" s="190">
        <f>SUMIFS(QTR!FA:FA,QTR!$D:$D,"Arizona")</f>
        <v>46</v>
      </c>
      <c r="F7" s="190">
        <f>SUMIFS(QTR!FB:FB,QTR!$D:$D,"Arizona")</f>
        <v>52</v>
      </c>
      <c r="G7" s="190">
        <f>SUMIFS(QTR!FC:FC,QTR!$D:$D,"Arizona")</f>
        <v>57</v>
      </c>
      <c r="L7" s="187" t="s">
        <v>19</v>
      </c>
      <c r="M7" s="194" cm="1">
        <f t="array" ref="M7:P7">_xlfn.LET(_xlpm.data,_xlfn.ANCHORARRAY(QTR!$J$4),_xlpm.states,_xlfn.ANCHORARRAY(QTR!$D$4),_xlpm.rev,_xlfn._xlws.FILTER(_xlpm.data,(_xlpm.states="Arizona")),
_xlfn.BYCOL(_xlpm.rev,_xlfn.LAMBDA(_xlpm.a,SUM(_xlpm.a))))*0.88</f>
        <v>551541.72806303983</v>
      </c>
      <c r="N7" s="194">
        <v>626966.23788362648</v>
      </c>
      <c r="O7" s="194">
        <v>707104.77956799977</v>
      </c>
      <c r="P7" s="194">
        <v>777815.25752479979</v>
      </c>
      <c r="Q7" s="195">
        <f>SUM(M7:P7)</f>
        <v>2663428.0030394662</v>
      </c>
      <c r="R7" s="13"/>
      <c r="AD7" t="s">
        <v>24</v>
      </c>
      <c r="AE7" s="12">
        <f>SUM('Corp.'!E41:G41)</f>
        <v>0</v>
      </c>
      <c r="AF7" s="12">
        <f>SUM('Corp.'!H41:J41)</f>
        <v>0</v>
      </c>
      <c r="AG7" s="12">
        <f>SUM('Corp.'!K41:M41)</f>
        <v>0</v>
      </c>
      <c r="AH7" s="12">
        <f>SUM('Corp.'!N41:P41)</f>
        <v>0</v>
      </c>
      <c r="AI7" s="74">
        <f t="shared" si="1"/>
        <v>0</v>
      </c>
      <c r="AL7" t="s">
        <v>24</v>
      </c>
      <c r="AM7" s="12">
        <f>SUM('JV1-Monthly'!E41:G41)</f>
        <v>1970073.6000000001</v>
      </c>
      <c r="AN7" s="12">
        <f>SUM('JV1-Monthly'!H41:J41)</f>
        <v>4925183.9999999991</v>
      </c>
      <c r="AO7" s="12">
        <f>SUM('JV1-Monthly'!K41:M41)</f>
        <v>6021734.3999999994</v>
      </c>
      <c r="AP7" s="12">
        <f>SUM('JV1-Monthly'!N41:P41)</f>
        <v>6811622.3999999994</v>
      </c>
      <c r="AQ7" s="74">
        <f t="shared" si="2"/>
        <v>19728614.399999999</v>
      </c>
      <c r="AT7" t="s">
        <v>24</v>
      </c>
      <c r="AU7" s="12">
        <f>SUM('JV2-Monthly'!E41:G41)</f>
        <v>0</v>
      </c>
      <c r="AV7" s="12">
        <f>SUM('JV2-Monthly'!H41:J41)</f>
        <v>0</v>
      </c>
      <c r="AW7" s="12">
        <f>SUM('JV2-Monthly'!K41:M41)</f>
        <v>0</v>
      </c>
      <c r="AX7" s="12">
        <f>SUM('JV2-Monthly'!N41:P41)</f>
        <v>0</v>
      </c>
      <c r="AY7" s="74">
        <f t="shared" si="3"/>
        <v>0</v>
      </c>
      <c r="BB7" s="197" t="s">
        <v>25</v>
      </c>
      <c r="BC7" s="198"/>
      <c r="BD7" s="198"/>
      <c r="BE7" s="198"/>
      <c r="BF7" s="198"/>
      <c r="BG7" s="199"/>
    </row>
    <row r="8" spans="1:59" x14ac:dyDescent="0.25">
      <c r="C8" s="1" t="s">
        <v>26</v>
      </c>
      <c r="D8" s="2">
        <f>SUM(D4:D7)</f>
        <v>649</v>
      </c>
      <c r="E8" s="2">
        <f>SUM(E4:E7)</f>
        <v>944</v>
      </c>
      <c r="F8" s="2">
        <f>SUM(F4:F7)</f>
        <v>1062</v>
      </c>
      <c r="G8" s="2">
        <f>SUM(G4:G7)</f>
        <v>1273</v>
      </c>
      <c r="H8" s="2"/>
      <c r="I8" s="2"/>
      <c r="M8" s="13">
        <f>SUM(M4:M7)</f>
        <v>12856386.891150527</v>
      </c>
      <c r="N8" s="13">
        <f>SUM(N4:N7)</f>
        <v>20981555.037358075</v>
      </c>
      <c r="O8" s="13">
        <f>SUM(O4:O7)</f>
        <v>26451611.734571464</v>
      </c>
      <c r="P8" s="13">
        <f>SUM(P4:P7)</f>
        <v>32185115.459710512</v>
      </c>
      <c r="Q8" s="13">
        <f>SUM(Q4:Q7)</f>
        <v>92474669.122790575</v>
      </c>
      <c r="R8" s="13"/>
      <c r="T8" s="1" t="s">
        <v>27</v>
      </c>
      <c r="AD8" t="s">
        <v>28</v>
      </c>
      <c r="AE8" s="12">
        <f>SUM('Corp.'!E42:G42)</f>
        <v>0</v>
      </c>
      <c r="AF8" s="12">
        <f>SUM('Corp.'!H42:J42)</f>
        <v>0</v>
      </c>
      <c r="AG8" s="12">
        <f>SUM('Corp.'!K42:M42)</f>
        <v>0</v>
      </c>
      <c r="AH8" s="12">
        <f>SUM('Corp.'!N42:P42)</f>
        <v>0</v>
      </c>
      <c r="AI8" s="74">
        <f t="shared" si="1"/>
        <v>0</v>
      </c>
      <c r="AL8" t="s">
        <v>28</v>
      </c>
      <c r="AM8" s="12">
        <f>SUM('JV1-Monthly'!E42:G42)</f>
        <v>183484.47000000003</v>
      </c>
      <c r="AN8" s="12">
        <f>SUM('JV1-Monthly'!H42:J42)</f>
        <v>288484.47000000003</v>
      </c>
      <c r="AO8" s="12">
        <f>SUM('JV1-Monthly'!K42:M42)</f>
        <v>348484.47000000003</v>
      </c>
      <c r="AP8" s="12">
        <f>SUM('JV1-Monthly'!N42:P42)</f>
        <v>408484.47</v>
      </c>
      <c r="AQ8" s="74">
        <f t="shared" si="2"/>
        <v>1228937.8800000001</v>
      </c>
      <c r="AT8" t="s">
        <v>28</v>
      </c>
      <c r="AU8" s="12">
        <f>SUM('JV2-Monthly'!E42:G42)</f>
        <v>77687.400000000009</v>
      </c>
      <c r="AV8" s="12">
        <f>SUM('JV2-Monthly'!H42:J42)</f>
        <v>84400.400000000009</v>
      </c>
      <c r="AW8" s="12">
        <f>SUM('JV2-Monthly'!K42:M42)</f>
        <v>140703.51</v>
      </c>
      <c r="AX8" s="12">
        <f>SUM('JV2-Monthly'!N42:P42)</f>
        <v>160842.51</v>
      </c>
      <c r="AY8" s="74">
        <f t="shared" si="3"/>
        <v>463633.82000000007</v>
      </c>
      <c r="BB8" t="s">
        <v>29</v>
      </c>
      <c r="BC8" s="53" cm="1">
        <f t="array" ref="BC8">SUM(COUNTIFS('P&amp;Ls'!$S:$S,2026,'P&amp;Ls'!$Q:$Q,$BB8,'P&amp;Ls'!$T:$T,{1,2,3}))</f>
        <v>2</v>
      </c>
      <c r="BD8" s="53" cm="1">
        <f t="array" ref="BD8">SUM(COUNTIFS('P&amp;Ls'!$S:$S,2026,'P&amp;Ls'!$Q:$Q,$BB8,'P&amp;Ls'!$T:$T,{4,5,6}))</f>
        <v>1</v>
      </c>
      <c r="BE8" s="53" cm="1">
        <f t="array" ref="BE8">SUM(COUNTIFS('P&amp;Ls'!$S:$S,2026,'P&amp;Ls'!$Q:$Q,$BB8,'P&amp;Ls'!$T:$T,{7,8,9}))</f>
        <v>2</v>
      </c>
      <c r="BF8" s="53" cm="1">
        <f t="array" ref="BF8">SUM(COUNTIFS('P&amp;Ls'!$S:$S,2026,'P&amp;Ls'!$Q:$Q,$BB8,'P&amp;Ls'!$T:$T,{10,11,12}))</f>
        <v>1</v>
      </c>
      <c r="BG8" s="176">
        <f t="shared" si="0"/>
        <v>6</v>
      </c>
    </row>
    <row r="9" spans="1:59" x14ac:dyDescent="0.25">
      <c r="A9" s="182"/>
      <c r="B9" s="221" t="s">
        <v>30</v>
      </c>
      <c r="C9" s="221"/>
      <c r="D9" s="221"/>
      <c r="E9" s="221"/>
      <c r="F9" s="221"/>
      <c r="G9" s="221"/>
      <c r="H9" s="181"/>
      <c r="I9" s="181"/>
      <c r="R9" s="13"/>
      <c r="T9" s="39" t="s">
        <v>23</v>
      </c>
      <c r="U9" s="12">
        <f>SUM('Corp.'!E40:P40)</f>
        <v>9867062.5137787331</v>
      </c>
      <c r="V9" s="12">
        <f>'JV1'!F35</f>
        <v>15452304.199827505</v>
      </c>
      <c r="W9" s="12">
        <f>'JV2'!J35</f>
        <v>9219259.4861770123</v>
      </c>
      <c r="X9" s="12">
        <f>'JV2'!N35</f>
        <v>5749477.7424457632</v>
      </c>
      <c r="Y9" s="12">
        <f>'JV2'!R35</f>
        <v>1445250.1709085044</v>
      </c>
      <c r="Z9" s="67">
        <f>SUM('MDA1:NCA9'!$E72:$P72)</f>
        <v>2581252.4568087878</v>
      </c>
      <c r="AA9" s="67">
        <f t="shared" ref="AA9:AA17" si="4">SUM(U9:Z9)</f>
        <v>44314606.569946311</v>
      </c>
      <c r="AB9" s="67"/>
      <c r="AD9" t="s">
        <v>31</v>
      </c>
      <c r="AE9" s="12">
        <f>SUM('Corp.'!E43:G43)</f>
        <v>0</v>
      </c>
      <c r="AF9" s="12">
        <f>SUM('Corp.'!H43:J43)</f>
        <v>0</v>
      </c>
      <c r="AG9" s="12">
        <f>SUM('Corp.'!K43:M43)</f>
        <v>0</v>
      </c>
      <c r="AH9" s="12">
        <f>SUM('Corp.'!N43:P43)</f>
        <v>0</v>
      </c>
      <c r="AI9" s="74">
        <f t="shared" si="1"/>
        <v>0</v>
      </c>
      <c r="AL9" t="s">
        <v>31</v>
      </c>
      <c r="AM9" s="12">
        <f>SUM('JV1-Monthly'!E43:G43)</f>
        <v>83585.009999999995</v>
      </c>
      <c r="AN9" s="12">
        <f>SUM('JV1-Monthly'!H43:J43)</f>
        <v>144485.01</v>
      </c>
      <c r="AO9" s="12">
        <f>SUM('JV1-Monthly'!K43:M43)</f>
        <v>179285.01</v>
      </c>
      <c r="AP9" s="12">
        <f>SUM('JV1-Monthly'!N43:P43)</f>
        <v>214085.01</v>
      </c>
      <c r="AQ9" s="74">
        <f t="shared" si="2"/>
        <v>621440.04</v>
      </c>
      <c r="AT9" t="s">
        <v>31</v>
      </c>
      <c r="AU9" s="12">
        <f>SUM('JV2-Monthly'!E43:G43)</f>
        <v>45483.78</v>
      </c>
      <c r="AV9" s="12">
        <f>SUM('JV2-Monthly'!H43:J43)</f>
        <v>51083.78</v>
      </c>
      <c r="AW9" s="12">
        <f>SUM('JV2-Monthly'!K43:M43)</f>
        <v>79383.78</v>
      </c>
      <c r="AX9" s="12">
        <f>SUM('JV2-Monthly'!N43:P43)</f>
        <v>93183.78</v>
      </c>
      <c r="AY9" s="74">
        <f t="shared" si="3"/>
        <v>269135.12</v>
      </c>
      <c r="BB9" t="s">
        <v>32</v>
      </c>
      <c r="BC9" s="53" cm="1">
        <f t="array" ref="BC9">SUM(COUNTIFS('P&amp;Ls'!$S:$S,2026,'P&amp;Ls'!$Q:$Q,$BB9,'P&amp;Ls'!$T:$T,{1,2,3}))</f>
        <v>0</v>
      </c>
      <c r="BD9" s="53" cm="1">
        <f t="array" ref="BD9">SUM(COUNTIFS('P&amp;Ls'!$S:$S,2026,'P&amp;Ls'!$Q:$Q,$BB9,'P&amp;Ls'!$T:$T,{4,5,6}))</f>
        <v>0</v>
      </c>
      <c r="BE9" s="53" cm="1">
        <f t="array" ref="BE9">SUM(COUNTIFS('P&amp;Ls'!$S:$S,2026,'P&amp;Ls'!$Q:$Q,$BB9,'P&amp;Ls'!$T:$T,{7,8,9}))</f>
        <v>1</v>
      </c>
      <c r="BF9" s="53" cm="1">
        <f t="array" ref="BF9">SUM(COUNTIFS('P&amp;Ls'!$S:$S,2026,'P&amp;Ls'!$Q:$Q,$BB9,'P&amp;Ls'!$T:$T,{10,11,12}))</f>
        <v>0</v>
      </c>
      <c r="BG9" s="176">
        <f t="shared" si="0"/>
        <v>1</v>
      </c>
    </row>
    <row r="10" spans="1:59" x14ac:dyDescent="0.25">
      <c r="A10" s="186"/>
      <c r="B10" s="201" t="s">
        <v>33</v>
      </c>
      <c r="C10" s="201"/>
      <c r="D10" s="201" t="s">
        <v>8</v>
      </c>
      <c r="E10" s="201" t="s">
        <v>9</v>
      </c>
      <c r="F10" s="201" t="s">
        <v>10</v>
      </c>
      <c r="G10" s="201" t="s">
        <v>11</v>
      </c>
      <c r="H10" s="201"/>
      <c r="K10" s="192" t="s">
        <v>400</v>
      </c>
      <c r="L10" s="192"/>
      <c r="M10" s="192" t="s">
        <v>8</v>
      </c>
      <c r="N10" s="193" t="s">
        <v>9</v>
      </c>
      <c r="O10" s="193" t="s">
        <v>10</v>
      </c>
      <c r="P10" s="193" t="s">
        <v>11</v>
      </c>
      <c r="Q10" s="193" t="s">
        <v>12</v>
      </c>
      <c r="R10" s="13"/>
      <c r="T10" s="39" t="s">
        <v>24</v>
      </c>
      <c r="U10" s="12">
        <f>SUM('Corp.'!E41:P41)</f>
        <v>0</v>
      </c>
      <c r="V10" s="12">
        <f>'JV1'!F36</f>
        <v>19728614.400000002</v>
      </c>
      <c r="W10" s="12">
        <f>'JV2'!J36</f>
        <v>0</v>
      </c>
      <c r="X10" s="12">
        <f>'JV2'!N36</f>
        <v>0</v>
      </c>
      <c r="Y10" s="12">
        <f>'JV2'!R36</f>
        <v>0</v>
      </c>
      <c r="Z10" s="67">
        <f>SUM('MDA1:NCA9'!E73)</f>
        <v>0</v>
      </c>
      <c r="AA10" s="67">
        <f t="shared" si="4"/>
        <v>19728614.400000002</v>
      </c>
      <c r="AB10" s="67"/>
      <c r="AD10" t="s">
        <v>34</v>
      </c>
      <c r="AE10" s="12">
        <f>SUM('Corp.'!E44:G44)</f>
        <v>128223.02890492469</v>
      </c>
      <c r="AF10" s="12">
        <f>SUM('Corp.'!H44:J44)</f>
        <v>134387.97859520133</v>
      </c>
      <c r="AG10" s="12">
        <f>SUM('Corp.'!K44:M44)</f>
        <v>141896.42458433766</v>
      </c>
      <c r="AH10" s="12">
        <f>SUM('Corp.'!N44:P44)</f>
        <v>150398.4268723336</v>
      </c>
      <c r="AI10" s="74">
        <f t="shared" si="1"/>
        <v>554905.85895679728</v>
      </c>
      <c r="AL10" t="s">
        <v>34</v>
      </c>
      <c r="AM10" s="12">
        <f>SUM('JV1-Monthly'!E44:G44)</f>
        <v>13780.845999999998</v>
      </c>
      <c r="AN10" s="12">
        <f>SUM('JV1-Monthly'!H44:J44)</f>
        <v>24360.762000000002</v>
      </c>
      <c r="AO10" s="12">
        <f>SUM('JV1-Monthly'!K44:M44)</f>
        <v>31332.050600000002</v>
      </c>
      <c r="AP10" s="12">
        <f>SUM('JV1-Monthly'!N44:P44)</f>
        <v>41372.8626</v>
      </c>
      <c r="AQ10" s="74">
        <f t="shared" si="2"/>
        <v>110846.52119999999</v>
      </c>
      <c r="AT10" t="s">
        <v>34</v>
      </c>
      <c r="AU10" s="12">
        <f>SUM('JV2-Monthly'!E44:G44)</f>
        <v>30466.114800000003</v>
      </c>
      <c r="AV10" s="12">
        <f>SUM('JV2-Monthly'!H44:J44)</f>
        <v>32352.978800000004</v>
      </c>
      <c r="AW10" s="12">
        <f>SUM('JV2-Monthly'!K44:M44)</f>
        <v>39192.860799999995</v>
      </c>
      <c r="AX10" s="12">
        <f>SUM('JV2-Monthly'!N44:P44)</f>
        <v>42747.577799999999</v>
      </c>
      <c r="AY10" s="74">
        <f t="shared" si="3"/>
        <v>144759.53220000002</v>
      </c>
      <c r="BB10" t="s">
        <v>35</v>
      </c>
      <c r="BC10" s="53" cm="1">
        <f t="array" ref="BC10">SUM(COUNTIFS('P&amp;Ls'!$S:$S,2026,'P&amp;Ls'!$Q:$Q,$BB10,'P&amp;Ls'!$T:$T,{1,2,3}))</f>
        <v>0</v>
      </c>
      <c r="BD10" s="53" cm="1">
        <f t="array" ref="BD10">SUM(COUNTIFS('P&amp;Ls'!$S:$S,2026,'P&amp;Ls'!$Q:$Q,$BB10,'P&amp;Ls'!$T:$T,{4,5,6}))</f>
        <v>1</v>
      </c>
      <c r="BE10" s="53" cm="1">
        <f t="array" ref="BE10">SUM(COUNTIFS('P&amp;Ls'!$S:$S,2026,'P&amp;Ls'!$Q:$Q,$BB10,'P&amp;Ls'!$T:$T,{7,8,9}))</f>
        <v>0</v>
      </c>
      <c r="BF10" s="53" cm="1">
        <f t="array" ref="BF10">SUM(COUNTIFS('P&amp;Ls'!$S:$S,2026,'P&amp;Ls'!$Q:$Q,$BB10,'P&amp;Ls'!$T:$T,{10,11,12}))</f>
        <v>1</v>
      </c>
      <c r="BG10" s="176">
        <f t="shared" si="0"/>
        <v>2</v>
      </c>
    </row>
    <row r="11" spans="1:59" x14ac:dyDescent="0.25">
      <c r="C11" t="s">
        <v>309</v>
      </c>
      <c r="D11" s="165" cm="1">
        <f t="array" ref="D11:G11">_xlfn.LET(_xlpm.data,_xlfn.ANCHORARRAY(QTR!$EF$4),_xlpm.states,_xlfn.ANCHORARRAY(QTR!$D$4),_xlpm.rev,_xlfn._xlws.FILTER(_xlpm.data,(_xlpm.states="M&amp;A")+(_xlpm.states="New Jersey")),
_xlfn.BYCOL(_xlpm.data,_xlfn.LAMBDA(_xlpm.a,SUM(_xlpm.a))))</f>
        <v>271.92</v>
      </c>
      <c r="E11" s="165">
        <v>334.4</v>
      </c>
      <c r="F11" s="165">
        <v>418.57000000000005</v>
      </c>
      <c r="G11" s="165">
        <v>523.77</v>
      </c>
      <c r="L11" t="s">
        <v>16</v>
      </c>
      <c r="M11" s="12" cm="1">
        <f t="array" ref="M11:P11">_xlfn.LET(_xlpm.data,_xlfn.ANCHORARRAY(QTR!$BH$4),_xlpm.states,_xlfn.ANCHORARRAY(QTR!$D$4),_xlpm.rev,_xlfn._xlws.FILTER(_xlpm.data,(_xlpm.states="M&amp;A")+(_xlpm.states="New Jersey")),
_xlfn.BYCOL(_xlpm.rev,_xlfn.LAMBDA(_xlpm.a,SUM(_xlpm.a))))*0.88</f>
        <v>250823.23933333327</v>
      </c>
      <c r="N11" s="12">
        <v>410438.02799999993</v>
      </c>
      <c r="O11" s="12">
        <v>501646.47866666655</v>
      </c>
      <c r="P11" s="12">
        <v>592854.92933333328</v>
      </c>
      <c r="Q11" s="13">
        <f>SUM(M11:P11)</f>
        <v>1755762.6753333332</v>
      </c>
      <c r="R11" s="13"/>
      <c r="T11" s="39" t="s">
        <v>28</v>
      </c>
      <c r="U11" s="12">
        <f>SUM('Corp.'!E42:P42)</f>
        <v>0</v>
      </c>
      <c r="V11" s="12">
        <f>'JV1'!F37</f>
        <v>1228937.8799999999</v>
      </c>
      <c r="W11" s="12">
        <f>'JV2'!J37</f>
        <v>315947.81999999995</v>
      </c>
      <c r="X11" s="12">
        <f>'JV2'!N37</f>
        <v>147686</v>
      </c>
      <c r="Y11" s="12">
        <f>'JV2'!R37</f>
        <v>0</v>
      </c>
      <c r="Z11" s="12">
        <v>0</v>
      </c>
      <c r="AA11" s="67">
        <f t="shared" si="4"/>
        <v>1692571.6999999997</v>
      </c>
      <c r="AB11" s="67"/>
      <c r="AD11" t="s">
        <v>36</v>
      </c>
      <c r="AE11" s="12">
        <f>SUM('Corp.'!E45:G45)</f>
        <v>108000</v>
      </c>
      <c r="AF11" s="12">
        <f>SUM('Corp.'!H45:J45)</f>
        <v>108000</v>
      </c>
      <c r="AG11" s="12">
        <f>SUM('Corp.'!K45:M45)</f>
        <v>108000</v>
      </c>
      <c r="AH11" s="12">
        <f>SUM('Corp.'!N45:P45)</f>
        <v>108000</v>
      </c>
      <c r="AI11" s="74">
        <f t="shared" si="1"/>
        <v>432000</v>
      </c>
      <c r="AL11" t="s">
        <v>36</v>
      </c>
      <c r="AM11" s="12">
        <f>SUM('JV1-Monthly'!E45:G45)</f>
        <v>82500</v>
      </c>
      <c r="AN11" s="12">
        <f>SUM('JV1-Monthly'!H45:J45)</f>
        <v>135000</v>
      </c>
      <c r="AO11" s="12">
        <f>SUM('JV1-Monthly'!K45:M45)</f>
        <v>165000</v>
      </c>
      <c r="AP11" s="12">
        <f>SUM('JV1-Monthly'!N45:P45)</f>
        <v>195000</v>
      </c>
      <c r="AQ11" s="74">
        <f t="shared" si="2"/>
        <v>577500</v>
      </c>
      <c r="AT11" t="s">
        <v>36</v>
      </c>
      <c r="AU11" s="12">
        <f>SUM('JV2-Monthly'!E45:G45)</f>
        <v>70500</v>
      </c>
      <c r="AV11" s="12">
        <f>SUM('JV2-Monthly'!H45:J45)</f>
        <v>76500</v>
      </c>
      <c r="AW11" s="12">
        <f>SUM('JV2-Monthly'!K45:M45)</f>
        <v>101250</v>
      </c>
      <c r="AX11" s="12">
        <f>SUM('JV2-Monthly'!N45:P45)</f>
        <v>114750</v>
      </c>
      <c r="AY11" s="74">
        <f t="shared" si="3"/>
        <v>363000</v>
      </c>
      <c r="BB11" t="s">
        <v>37</v>
      </c>
      <c r="BC11" s="53" cm="1">
        <f t="array" ref="BC11">SUM(COUNTIFS('P&amp;Ls'!$S:$S,2026,'P&amp;Ls'!$Q:$Q,$BB11,'P&amp;Ls'!$T:$T,{1,2,3}))</f>
        <v>0</v>
      </c>
      <c r="BD11" s="53" cm="1">
        <f t="array" ref="BD11">SUM(COUNTIFS('P&amp;Ls'!$S:$S,2026,'P&amp;Ls'!$Q:$Q,$BB11,'P&amp;Ls'!$T:$T,{4,5,6}))</f>
        <v>0</v>
      </c>
      <c r="BE11" s="53" cm="1">
        <f t="array" ref="BE11">SUM(COUNTIFS('P&amp;Ls'!$S:$S,2026,'P&amp;Ls'!$Q:$Q,$BB11,'P&amp;Ls'!$T:$T,{7,8,9}))</f>
        <v>0</v>
      </c>
      <c r="BF11" s="53" cm="1">
        <f t="array" ref="BF11">SUM(COUNTIFS('P&amp;Ls'!$S:$S,2026,'P&amp;Ls'!$Q:$Q,$BB11,'P&amp;Ls'!$T:$T,{10,11,12}))</f>
        <v>0</v>
      </c>
      <c r="BG11" s="176">
        <f t="shared" si="0"/>
        <v>0</v>
      </c>
    </row>
    <row r="12" spans="1:59" x14ac:dyDescent="0.25">
      <c r="C12" t="s">
        <v>310</v>
      </c>
      <c r="D12" s="165" cm="1">
        <f t="array" ref="D12:G12">_xlfn.LET(_xlpm.data,_xlfn.ANCHORARRAY(QTR!$EK$4),_xlpm.states,_xlfn.ANCHORARRAY(QTR!$D$4),_xlpm.rev,_xlfn._xlws.FILTER(_xlpm.data,(_xlpm.states="M&amp;A")+(_xlpm.states="New Jersey")),
_xlfn.BYCOL(_xlpm.data,_xlfn.LAMBDA(_xlpm.a,SUM(_xlpm.a))))</f>
        <v>49.51</v>
      </c>
      <c r="E12" s="165">
        <v>60.139999999999993</v>
      </c>
      <c r="F12" s="165">
        <v>74.040000000000006</v>
      </c>
      <c r="G12" s="165">
        <v>91.329999999999984</v>
      </c>
      <c r="L12" t="s">
        <v>17</v>
      </c>
      <c r="M12" s="12" cm="1">
        <f t="array" ref="M12:P12">_xlfn.LET(_xlpm.data,_xlfn.ANCHORARRAY(QTR!$BH$4),_xlpm.states,_xlfn.ANCHORARRAY(QTR!$D$4),_xlpm.rev,_xlfn._xlws.FILTER(_xlpm.data,(_xlpm.states="Maryland")),
_xlfn.BYCOL(_xlpm.rev,_xlfn.LAMBDA(_xlpm.a,SUM(_xlpm.a))))*0.88</f>
        <v>132449.72540799997</v>
      </c>
      <c r="N12" s="12">
        <v>132449.72540799997</v>
      </c>
      <c r="O12" s="12">
        <v>197481.09981599994</v>
      </c>
      <c r="P12" s="12">
        <v>197481.09981599994</v>
      </c>
      <c r="Q12" s="13">
        <f>SUM(M12:P12)</f>
        <v>659861.65044799983</v>
      </c>
      <c r="R12" s="13"/>
      <c r="T12" s="39" t="s">
        <v>31</v>
      </c>
      <c r="U12" s="12">
        <f>SUM('Corp.'!E43:P43)</f>
        <v>0</v>
      </c>
      <c r="V12" s="12">
        <f>'JV1'!F38</f>
        <v>621440.04</v>
      </c>
      <c r="W12" s="12">
        <f>'JV2'!J38</f>
        <v>148935.12000000002</v>
      </c>
      <c r="X12" s="12">
        <f>'JV2'!N38</f>
        <v>120200</v>
      </c>
      <c r="Y12" s="12">
        <f>'JV2'!R38</f>
        <v>0</v>
      </c>
      <c r="Z12" s="12">
        <v>0</v>
      </c>
      <c r="AA12" s="67">
        <f t="shared" si="4"/>
        <v>890575.16</v>
      </c>
      <c r="AB12" s="67"/>
      <c r="AD12" t="s">
        <v>38</v>
      </c>
      <c r="AE12" s="12">
        <f>SUM('Corp.'!E46:G46)</f>
        <v>0</v>
      </c>
      <c r="AF12" s="12">
        <f>SUM('Corp.'!H46:J46)</f>
        <v>0</v>
      </c>
      <c r="AG12" s="12">
        <f>SUM('Corp.'!K46:M46)</f>
        <v>0</v>
      </c>
      <c r="AH12" s="12">
        <f>SUM('Corp.'!N46:P46)</f>
        <v>0</v>
      </c>
      <c r="AI12" s="74">
        <f t="shared" si="1"/>
        <v>0</v>
      </c>
      <c r="AL12" t="s">
        <v>38</v>
      </c>
      <c r="AM12" s="12">
        <f>SUM('JV1-Monthly'!E46:G46)</f>
        <v>125104.99999999999</v>
      </c>
      <c r="AN12" s="12">
        <f>SUM('JV1-Monthly'!H46:J46)</f>
        <v>223200</v>
      </c>
      <c r="AO12" s="12">
        <f>SUM('JV1-Monthly'!K46:M46)</f>
        <v>313039.5</v>
      </c>
      <c r="AP12" s="12">
        <f>SUM('JV1-Monthly'!N46:P46)</f>
        <v>432456</v>
      </c>
      <c r="AQ12" s="74">
        <f t="shared" si="2"/>
        <v>1093800.5</v>
      </c>
      <c r="AT12" t="s">
        <v>38</v>
      </c>
      <c r="AU12" s="12">
        <f>SUM('JV2-Monthly'!E46:G46)</f>
        <v>331208.5</v>
      </c>
      <c r="AV12" s="12">
        <f>SUM('JV2-Monthly'!H46:J46)</f>
        <v>353254.5</v>
      </c>
      <c r="AW12" s="12">
        <f>SUM('JV2-Monthly'!K46:M46)</f>
        <v>400418.5</v>
      </c>
      <c r="AX12" s="12">
        <f>SUM('JV2-Monthly'!N46:P46)</f>
        <v>444100.5</v>
      </c>
      <c r="AY12" s="74">
        <f t="shared" si="3"/>
        <v>1528982</v>
      </c>
      <c r="BB12" s="1" t="s">
        <v>39</v>
      </c>
      <c r="BC12" s="176">
        <f>SUM(BC5:BC11)</f>
        <v>3</v>
      </c>
      <c r="BD12" s="176">
        <f>SUM(BD5:BD11)</f>
        <v>2</v>
      </c>
      <c r="BE12" s="176">
        <f>SUM(BE5:BE11)</f>
        <v>3</v>
      </c>
      <c r="BF12" s="176">
        <f>SUM(BF5:BF11)</f>
        <v>3</v>
      </c>
      <c r="BG12" s="176">
        <f>SUM(BG5:BG11)</f>
        <v>11</v>
      </c>
    </row>
    <row r="13" spans="1:59" ht="14.45" customHeight="1" x14ac:dyDescent="0.25">
      <c r="C13" t="s">
        <v>354</v>
      </c>
      <c r="D13" s="3" cm="1">
        <f t="array" ref="D13:G13">_xlfn.LET(_xlpm.data,_xlfn.VSTACK(_xlfn.ANCHORARRAY(QTR!$DV$4),_xlfn.ANCHORARRAY(QTR!$EA$4)),_xlpm.states,_xlfn.VSTACK(_xlfn.ANCHORARRAY(QTR!$D$4),_xlfn.ANCHORARRAY(QTR!$D$4)),_xlpm.rev,_xlfn._xlws.FILTER(_xlpm.data,(_xlpm.states="M&amp;A")+(_xlpm.states="New Jersey")),
_xlfn.BYCOL(_xlpm.data,_xlfn.LAMBDA(_xlpm.a,SUM(_xlpm.a))))+_xlfn.HSTACK(Monthly!G5,Monthly!J5,Monthly!M5,Monthly!P5)</f>
        <v>93</v>
      </c>
      <c r="E13" s="3">
        <v>116</v>
      </c>
      <c r="F13" s="3">
        <v>143</v>
      </c>
      <c r="G13" s="3">
        <v>169</v>
      </c>
      <c r="L13" t="s">
        <v>18</v>
      </c>
      <c r="M13" s="12" cm="1">
        <f t="array" ref="M13:P13">_xlfn.LET(_xlpm.data,_xlfn.ANCHORARRAY(QTR!$BH$4),_xlpm.states,_xlfn.ANCHORARRAY(QTR!$D$4),_xlpm.rev,_xlfn._xlws.FILTER(_xlpm.data,(_xlpm.states="North Carolina")),
_xlfn.BYCOL(_xlpm.rev,_xlfn.LAMBDA(_xlpm.a,SUM(_xlpm.a))))*0.88</f>
        <v>62730.587919999991</v>
      </c>
      <c r="N13" s="12">
        <v>83640.783893333326</v>
      </c>
      <c r="O13" s="12">
        <v>125461.17583999998</v>
      </c>
      <c r="P13" s="12">
        <v>125461.17583999998</v>
      </c>
      <c r="Q13" s="13">
        <f>SUM(M13:P13)</f>
        <v>397293.72349333327</v>
      </c>
      <c r="R13" s="13"/>
      <c r="T13" s="39" t="s">
        <v>34</v>
      </c>
      <c r="U13" s="12">
        <f>SUM('Corp.'!E44:P44)</f>
        <v>554905.85895679728</v>
      </c>
      <c r="V13" s="12">
        <f>'JV1'!F39</f>
        <v>110846.52119999999</v>
      </c>
      <c r="W13" s="12">
        <f>'JV2'!J39</f>
        <v>75299.351200000005</v>
      </c>
      <c r="X13" s="12">
        <f>'JV2'!N39</f>
        <v>45655.37000000001</v>
      </c>
      <c r="Y13" s="12">
        <f>'JV2'!R39</f>
        <v>23804.811000000002</v>
      </c>
      <c r="Z13" s="12">
        <v>0</v>
      </c>
      <c r="AA13" s="67">
        <f t="shared" si="4"/>
        <v>810511.91235679726</v>
      </c>
      <c r="AB13" s="67"/>
      <c r="AD13" t="s">
        <v>40</v>
      </c>
      <c r="AE13" s="12">
        <f>SUM('Corp.'!E47:G47)</f>
        <v>358500</v>
      </c>
      <c r="AF13" s="12">
        <f>SUM('Corp.'!H47:J47)</f>
        <v>358500</v>
      </c>
      <c r="AG13" s="12">
        <f>SUM('Corp.'!K47:M47)</f>
        <v>358500</v>
      </c>
      <c r="AH13" s="12">
        <f>SUM('Corp.'!N47:P47)</f>
        <v>358500</v>
      </c>
      <c r="AI13" s="74">
        <f t="shared" si="1"/>
        <v>1434000</v>
      </c>
      <c r="AL13" t="s">
        <v>40</v>
      </c>
      <c r="AM13" s="12">
        <f>SUM('JV1-Monthly'!E47:G47)</f>
        <v>66000</v>
      </c>
      <c r="AN13" s="12">
        <f>SUM('JV1-Monthly'!H47:J47)</f>
        <v>108000</v>
      </c>
      <c r="AO13" s="12">
        <f>SUM('JV1-Monthly'!K47:M47)</f>
        <v>132000</v>
      </c>
      <c r="AP13" s="12">
        <f>SUM('JV1-Monthly'!N47:P47)</f>
        <v>156000</v>
      </c>
      <c r="AQ13" s="74">
        <f t="shared" si="2"/>
        <v>462000</v>
      </c>
      <c r="AT13" t="s">
        <v>40</v>
      </c>
      <c r="AU13" s="12">
        <f>SUM('JV2-Monthly'!E47:G47)</f>
        <v>52650</v>
      </c>
      <c r="AV13" s="12">
        <f>SUM('JV2-Monthly'!H47:J47)</f>
        <v>57400</v>
      </c>
      <c r="AW13" s="12">
        <f>SUM('JV2-Monthly'!K47:M47)</f>
        <v>84150</v>
      </c>
      <c r="AX13" s="12">
        <f>SUM('JV2-Monthly'!N47:P47)</f>
        <v>96000</v>
      </c>
      <c r="AY13" s="74">
        <f t="shared" si="3"/>
        <v>290200</v>
      </c>
      <c r="BB13" s="1"/>
      <c r="BC13" s="12"/>
      <c r="BD13" s="12"/>
      <c r="BE13" s="12"/>
      <c r="BF13" s="12"/>
      <c r="BG13" s="13"/>
    </row>
    <row r="14" spans="1:59" ht="14.45" customHeight="1" x14ac:dyDescent="0.25">
      <c r="C14" s="187" t="s">
        <v>460</v>
      </c>
      <c r="D14" s="200">
        <f>'Corp.'!G3</f>
        <v>78.436249245714649</v>
      </c>
      <c r="E14" s="200">
        <f>'Corp.'!J3</f>
        <v>83.83718445714328</v>
      </c>
      <c r="F14" s="200">
        <f>'Corp.'!M3</f>
        <v>91.734764365714796</v>
      </c>
      <c r="G14" s="200">
        <f>'Corp.'!P3</f>
        <v>100.32420349714346</v>
      </c>
      <c r="L14" s="187" t="s">
        <v>19</v>
      </c>
      <c r="M14" s="194" cm="1">
        <f t="array" ref="M14:P14">_xlfn.LET(_xlpm.data,_xlfn.ANCHORARRAY(QTR!$BH$4),_xlpm.states,_xlfn.ANCHORARRAY(QTR!$D$4),_xlpm.rev,_xlfn._xlws.FILTER(_xlpm.data,(_xlpm.states="Arizona")),
_xlfn.BYCOL(_xlpm.rev,_xlfn.LAMBDA(_xlpm.a,SUM(_xlpm.a))))*0.88</f>
        <v>0</v>
      </c>
      <c r="N14" s="194">
        <v>0</v>
      </c>
      <c r="O14" s="194">
        <v>0</v>
      </c>
      <c r="P14" s="194">
        <v>0</v>
      </c>
      <c r="Q14" s="195">
        <f>SUM(M14:P14)</f>
        <v>0</v>
      </c>
      <c r="R14" s="13"/>
      <c r="T14" s="39" t="s">
        <v>36</v>
      </c>
      <c r="U14" s="12">
        <f>SUM('Corp.'!E45:P45)</f>
        <v>432000</v>
      </c>
      <c r="V14" s="12">
        <f>'JV1'!F40</f>
        <v>577500</v>
      </c>
      <c r="W14" s="12">
        <f>'JV2'!J40</f>
        <v>127500</v>
      </c>
      <c r="X14" s="12">
        <f>'JV2'!N40</f>
        <v>127500</v>
      </c>
      <c r="Y14" s="12">
        <f>'JV2'!R40</f>
        <v>108000</v>
      </c>
      <c r="Z14" s="12">
        <v>0</v>
      </c>
      <c r="AA14" s="67">
        <f t="shared" si="4"/>
        <v>1372500</v>
      </c>
      <c r="AB14" s="67"/>
      <c r="AD14" t="s">
        <v>41</v>
      </c>
      <c r="AE14" s="12">
        <f>SUM('Corp.'!E48:G48)</f>
        <v>0</v>
      </c>
      <c r="AF14" s="12">
        <f>SUM('Corp.'!H48:J48)</f>
        <v>0</v>
      </c>
      <c r="AG14" s="12">
        <f>SUM('Corp.'!K48:M48)</f>
        <v>0</v>
      </c>
      <c r="AH14" s="12">
        <f>SUM('Corp.'!N48:P48)</f>
        <v>0</v>
      </c>
      <c r="AI14" s="74">
        <f t="shared" si="1"/>
        <v>0</v>
      </c>
      <c r="AL14" t="s">
        <v>41</v>
      </c>
      <c r="AM14" s="12">
        <f>SUM('JV1-Monthly'!E48:G48)</f>
        <v>431468.93999999994</v>
      </c>
      <c r="AN14" s="12">
        <f>SUM('JV1-Monthly'!H48:J48)</f>
        <v>151234.47</v>
      </c>
      <c r="AO14" s="12">
        <f>SUM('JV1-Monthly'!K48:M48)</f>
        <v>302468.94</v>
      </c>
      <c r="AP14" s="12">
        <f>SUM('JV1-Monthly'!N48:P48)</f>
        <v>0</v>
      </c>
      <c r="AQ14" s="74">
        <f t="shared" si="2"/>
        <v>885172.34999999986</v>
      </c>
      <c r="AT14" t="s">
        <v>41</v>
      </c>
      <c r="AU14" s="12">
        <f>SUM('JV2-Monthly'!E48:G48)</f>
        <v>0</v>
      </c>
      <c r="AV14" s="12">
        <f>SUM('JV2-Monthly'!H48:J48)</f>
        <v>231016.11</v>
      </c>
      <c r="AW14" s="12">
        <f>SUM('JV2-Monthly'!K48:M48)</f>
        <v>103139</v>
      </c>
      <c r="AX14" s="12">
        <f>SUM('JV2-Monthly'!N48:P48)</f>
        <v>0</v>
      </c>
      <c r="AY14" s="74">
        <f t="shared" si="3"/>
        <v>334155.11</v>
      </c>
      <c r="BC14" s="12"/>
      <c r="BD14" s="12"/>
      <c r="BE14" s="12"/>
      <c r="BF14" s="12"/>
      <c r="BG14" s="12"/>
    </row>
    <row r="15" spans="1:59" ht="14.45" customHeight="1" x14ac:dyDescent="0.25">
      <c r="B15" s="1"/>
      <c r="C15" s="186" t="s">
        <v>26</v>
      </c>
      <c r="D15" s="168">
        <f>SUM(D11:D14)</f>
        <v>492.86624924571464</v>
      </c>
      <c r="E15" s="168">
        <f>SUM(E11:E14)</f>
        <v>594.37718445714324</v>
      </c>
      <c r="F15" s="168">
        <f>SUM(F11:F14)</f>
        <v>727.34476436571492</v>
      </c>
      <c r="G15" s="168">
        <f>SUM(G11:G14)</f>
        <v>884.42420349714337</v>
      </c>
      <c r="M15" s="13">
        <f>SUM(M11:M14)</f>
        <v>446003.55266133323</v>
      </c>
      <c r="N15" s="13">
        <f>SUM(N11:N14)</f>
        <v>626528.53730133316</v>
      </c>
      <c r="O15" s="13">
        <f>SUM(O11:O14)</f>
        <v>824588.75432266644</v>
      </c>
      <c r="P15" s="13">
        <f>SUM(P11:P14)</f>
        <v>915797.20498933317</v>
      </c>
      <c r="Q15" s="13">
        <f>SUM(Q11:Q14)</f>
        <v>2812918.0492746667</v>
      </c>
      <c r="R15" s="13"/>
      <c r="T15" s="39" t="s">
        <v>38</v>
      </c>
      <c r="U15" s="12">
        <f>SUM('Corp.'!E46:P46)</f>
        <v>0</v>
      </c>
      <c r="V15" s="12">
        <f>'JV1'!F41</f>
        <v>1093800.5</v>
      </c>
      <c r="W15" s="12">
        <f>'JV2'!J41</f>
        <v>663228</v>
      </c>
      <c r="X15" s="12">
        <f>'JV2'!N41</f>
        <v>653274</v>
      </c>
      <c r="Y15" s="12">
        <f>'JV2'!R41</f>
        <v>212479.99999999997</v>
      </c>
      <c r="Z15" s="12">
        <v>0</v>
      </c>
      <c r="AA15" s="67">
        <f t="shared" si="4"/>
        <v>2622782.5</v>
      </c>
      <c r="AB15" s="67"/>
      <c r="AD15" t="s">
        <v>42</v>
      </c>
      <c r="AE15" s="12">
        <f>SUM('Corp.'!E49:G49)</f>
        <v>0</v>
      </c>
      <c r="AF15" s="12">
        <f>SUM('Corp.'!H49:J49)</f>
        <v>0</v>
      </c>
      <c r="AG15" s="12">
        <f>SUM('Corp.'!K49:M49)</f>
        <v>0</v>
      </c>
      <c r="AH15" s="12">
        <f>SUM('Corp.'!N49:P49)</f>
        <v>0</v>
      </c>
      <c r="AI15" s="74">
        <f t="shared" si="1"/>
        <v>0</v>
      </c>
      <c r="AL15" t="s">
        <v>42</v>
      </c>
      <c r="AM15" s="12">
        <f>SUM('JV1-Monthly'!E49:G49)</f>
        <v>998057.12984256248</v>
      </c>
      <c r="AN15" s="12">
        <f>SUM('JV1-Monthly'!H49:J49)</f>
        <v>1408874.5002670428</v>
      </c>
      <c r="AO15" s="12">
        <f>SUM('JV1-Monthly'!K49:M49)</f>
        <v>1680701.5538575677</v>
      </c>
      <c r="AP15" s="12">
        <f>SUM('JV1-Monthly'!N49:P49)</f>
        <v>1962308.1627721256</v>
      </c>
      <c r="AQ15" s="74">
        <f t="shared" si="2"/>
        <v>6049941.3467392987</v>
      </c>
      <c r="AT15" t="s">
        <v>42</v>
      </c>
      <c r="AU15" s="12">
        <f>SUM('JV2-Monthly'!E49:G49)</f>
        <v>1890814.7611515641</v>
      </c>
      <c r="AV15" s="12">
        <f>SUM('JV2-Monthly'!H49:J49)</f>
        <v>1585035.9058715738</v>
      </c>
      <c r="AW15" s="12">
        <f>SUM('JV2-Monthly'!K49:M49)</f>
        <v>1443897.2818985605</v>
      </c>
      <c r="AX15" s="12">
        <f>SUM('JV2-Monthly'!N49:P49)</f>
        <v>1318279.0770745338</v>
      </c>
      <c r="AY15" s="74">
        <f t="shared" si="3"/>
        <v>6238027.0259962324</v>
      </c>
      <c r="BB15" t="s">
        <v>43</v>
      </c>
      <c r="BC15" s="12" cm="1">
        <f t="array" ref="BC15:BF15">_xlfn.LET(_xlpm.hours,_xlfn.ANCHORARRAY(QTR!$EU$4),_xlpm.type,ISNUMBER(SEARCH($C$4,_xlfn._TRO_TRAILING(Sites!$C:$C))),_xlpm.states,ISNUMBER(SEARCH($BB15,_xlfn.ANCHORARRAY(QTR!$D$4))),
_xlfn.BYCOL(_xlfn._xlws.FILTER(_xlpm.hours,_xlpm.states,0),_xlfn.LAMBDA(_xlpm.cols,SUM(_xlpm.cols))))</f>
        <v>300000</v>
      </c>
      <c r="BD15" s="12">
        <v>100000</v>
      </c>
      <c r="BE15" s="12">
        <v>100000</v>
      </c>
      <c r="BF15" s="12">
        <v>400000</v>
      </c>
      <c r="BG15" s="13">
        <f t="shared" ref="BG15:BG19" si="5">SUM(BC15:BF15)</f>
        <v>900000</v>
      </c>
    </row>
    <row r="16" spans="1:59" ht="14.45" customHeight="1" x14ac:dyDescent="0.25">
      <c r="A16" s="182"/>
      <c r="B16" s="221" t="s">
        <v>30</v>
      </c>
      <c r="C16" s="221"/>
      <c r="D16" s="221"/>
      <c r="E16" s="221"/>
      <c r="F16" s="221"/>
      <c r="G16" s="221"/>
      <c r="M16" s="13"/>
      <c r="N16" s="13"/>
      <c r="O16" s="13"/>
      <c r="P16" s="13"/>
      <c r="Q16" s="13"/>
      <c r="R16" s="13"/>
      <c r="T16" s="39" t="s">
        <v>40</v>
      </c>
      <c r="U16" s="12">
        <f>SUM('Corp.'!E47:P47)</f>
        <v>1434000</v>
      </c>
      <c r="V16" s="12">
        <f>'JV1'!F42</f>
        <v>462000</v>
      </c>
      <c r="W16" s="12">
        <f>'JV2'!J42</f>
        <v>141300</v>
      </c>
      <c r="X16" s="12">
        <f>'JV2'!N42</f>
        <v>102100</v>
      </c>
      <c r="Y16" s="12">
        <f>'JV2'!R42</f>
        <v>46800</v>
      </c>
      <c r="Z16" s="12">
        <v>0</v>
      </c>
      <c r="AA16" s="67">
        <f t="shared" si="4"/>
        <v>2186200</v>
      </c>
      <c r="AB16" s="67"/>
      <c r="BB16" t="s">
        <v>29</v>
      </c>
      <c r="BC16" s="12" cm="1">
        <f t="array" ref="BC16:BF16">_xlfn.LET(_xlpm.hours,_xlfn.ANCHORARRAY(QTR!$EU$4),_xlpm.type,ISNUMBER(SEARCH($C$4,_xlfn._TRO_TRAILING(Sites!$C:$C))),_xlpm.states,ISNUMBER(SEARCH($BB16,_xlfn.ANCHORARRAY(QTR!$D$4))),
_xlfn.BYCOL(_xlfn._xlws.FILTER(_xlpm.hours,_xlpm.states,0),_xlfn.LAMBDA(_xlpm.cols,SUM(_xlpm.cols))))</f>
        <v>3307333.3333333335</v>
      </c>
      <c r="BD16" s="12">
        <v>2591833.3333333335</v>
      </c>
      <c r="BE16" s="12">
        <v>1881333.3333333333</v>
      </c>
      <c r="BF16" s="12">
        <v>1646166.6666666667</v>
      </c>
      <c r="BG16" s="13">
        <f t="shared" si="5"/>
        <v>9426666.666666666</v>
      </c>
    </row>
    <row r="17" spans="1:59" x14ac:dyDescent="0.25">
      <c r="B17" s="192" t="s">
        <v>44</v>
      </c>
      <c r="C17" s="192"/>
      <c r="D17" s="192" t="s">
        <v>8</v>
      </c>
      <c r="E17" s="192" t="s">
        <v>9</v>
      </c>
      <c r="F17" s="192" t="s">
        <v>10</v>
      </c>
      <c r="G17" s="192" t="s">
        <v>11</v>
      </c>
      <c r="H17" s="192" t="s">
        <v>12</v>
      </c>
      <c r="K17" s="192" t="s">
        <v>399</v>
      </c>
      <c r="L17" s="192"/>
      <c r="M17" s="192" t="s">
        <v>8</v>
      </c>
      <c r="N17" s="193" t="s">
        <v>9</v>
      </c>
      <c r="O17" s="193" t="s">
        <v>10</v>
      </c>
      <c r="P17" s="193" t="s">
        <v>11</v>
      </c>
      <c r="Q17" s="193" t="s">
        <v>12</v>
      </c>
      <c r="R17" s="13"/>
      <c r="T17" s="39" t="s">
        <v>41</v>
      </c>
      <c r="U17" s="12">
        <f>SUM('Corp.'!E48:P48)</f>
        <v>0</v>
      </c>
      <c r="V17" s="12">
        <f>'JV1'!F43</f>
        <v>885172.34999999986</v>
      </c>
      <c r="W17" s="12">
        <f>'JV2'!J43</f>
        <v>126877.11</v>
      </c>
      <c r="X17" s="12">
        <f>'JV2'!N43</f>
        <v>207278</v>
      </c>
      <c r="Y17" s="12">
        <f>'JV2'!R43</f>
        <v>0</v>
      </c>
      <c r="Z17" s="12">
        <v>0</v>
      </c>
      <c r="AA17" s="67">
        <f t="shared" si="4"/>
        <v>1219327.46</v>
      </c>
      <c r="AB17" s="67"/>
      <c r="AD17" s="39" t="s">
        <v>45</v>
      </c>
      <c r="AE17" s="179">
        <f>SUM(AE6:AE16)</f>
        <v>2888871.8909941264</v>
      </c>
      <c r="AF17" s="179">
        <f>SUM(AF6:AF16)</f>
        <v>2993910.4061386171</v>
      </c>
      <c r="AG17" s="179">
        <f>SUM(AG6:AG16)</f>
        <v>3124598.8357561277</v>
      </c>
      <c r="AH17" s="179">
        <f>SUM(AH6:AH16)</f>
        <v>3280587.2398466598</v>
      </c>
      <c r="AI17" s="179">
        <f>SUM(AI6:AI16)</f>
        <v>12287968.372735532</v>
      </c>
      <c r="AL17" s="39" t="s">
        <v>45</v>
      </c>
      <c r="AM17" s="179">
        <f>SUM(AM6:AM16)</f>
        <v>5824535.8256632164</v>
      </c>
      <c r="AN17" s="179">
        <f>SUM(AN6:AN16)</f>
        <v>10564763.135000531</v>
      </c>
      <c r="AO17" s="179">
        <f>SUM(AO6:AO16)</f>
        <v>13582954.790996797</v>
      </c>
      <c r="AP17" s="179">
        <f>SUM(AP6:AP16)</f>
        <v>16238303.486106258</v>
      </c>
      <c r="AQ17" s="179">
        <f>SUM(AQ6:AQ16)</f>
        <v>46210557.23776681</v>
      </c>
      <c r="AT17" s="39" t="s">
        <v>45</v>
      </c>
      <c r="AU17" s="179">
        <f>SUM(AU6:AU16)</f>
        <v>6040838.3385907952</v>
      </c>
      <c r="AV17" s="179">
        <f>SUM(AV6:AV16)</f>
        <v>6222125.7895577597</v>
      </c>
      <c r="AW17" s="179">
        <f>SUM(AW6:AW16)</f>
        <v>6718431.1099517439</v>
      </c>
      <c r="AX17" s="179">
        <f>SUM(AX6:AX16)</f>
        <v>7064484.7696272116</v>
      </c>
      <c r="AY17" s="179">
        <f>SUM(AY6:AY16)</f>
        <v>26045880.007727511</v>
      </c>
      <c r="BB17" t="s">
        <v>32</v>
      </c>
      <c r="BC17" s="12" cm="1">
        <f t="array" ref="BC17:BF17">_xlfn.LET(_xlpm.hours,_xlfn.ANCHORARRAY(QTR!$EU$4),_xlpm.type,ISNUMBER(SEARCH($C$4,_xlfn._TRO_TRAILING(Sites!$C:$C))),_xlpm.states,ISNUMBER(SEARCH($BB17,_xlfn.ANCHORARRAY(QTR!$D$4))),
_xlfn.BYCOL(_xlfn._xlws.FILTER(_xlpm.hours,_xlpm.states,0),_xlfn.LAMBDA(_xlpm.cols,SUM(_xlpm.cols))))</f>
        <v>0</v>
      </c>
      <c r="BD17" s="12">
        <v>262280</v>
      </c>
      <c r="BE17" s="12">
        <v>393420</v>
      </c>
      <c r="BF17" s="12">
        <v>131140</v>
      </c>
      <c r="BG17" s="13">
        <f t="shared" si="5"/>
        <v>786840</v>
      </c>
    </row>
    <row r="18" spans="1:59" ht="14.45" customHeight="1" x14ac:dyDescent="0.25">
      <c r="C18" t="s">
        <v>46</v>
      </c>
      <c r="D18" s="3">
        <f>COUNTIFS('P&amp;Ls'!$S:$S,2026,'P&amp;Ls'!$Q:$Q,"New Jersey",'P&amp;Ls'!$T:$T,1)+COUNTIFS('P&amp;Ls'!$S:$S,2026,'P&amp;Ls'!$Q:$Q,"New Jersey",'P&amp;Ls'!$T:$T,2)+COUNTIFS('P&amp;Ls'!$S:$S,2026,'P&amp;Ls'!$Q:$Q,"New Jersey",'P&amp;Ls'!$T:$T,3)</f>
        <v>2</v>
      </c>
      <c r="E18" s="3">
        <f>COUNTIFS('P&amp;Ls'!$S:$S,2026,'P&amp;Ls'!$Q:$Q,"New Jersey",'P&amp;Ls'!$T:$T,4)+COUNTIFS('P&amp;Ls'!$S:$S,2026,'P&amp;Ls'!$Q:$Q,"New Jersey",'P&amp;Ls'!$T:$T,5)+COUNTIFS('P&amp;Ls'!$S:$S,2026,'P&amp;Ls'!$Q:$Q,"New Jersey",'P&amp;Ls'!$T:$T,6)</f>
        <v>1</v>
      </c>
      <c r="F18" s="3">
        <f>COUNTIFS('P&amp;Ls'!$S:$S,2026,'P&amp;Ls'!$Q:$Q,"New Jersey",'P&amp;Ls'!$T:$T,7)+COUNTIFS('P&amp;Ls'!$S:$S,2026,'P&amp;Ls'!$Q:$Q,"New Jersey",'P&amp;Ls'!$T:$T,8)+COUNTIFS('P&amp;Ls'!$S:$S,2026,'P&amp;Ls'!$Q:$Q,"New Jersey",'P&amp;Ls'!$T:$T,9)</f>
        <v>2</v>
      </c>
      <c r="G18" s="3">
        <f>COUNTIFS('P&amp;Ls'!$S:$S,2026,'P&amp;Ls'!$Q:$Q,"New Jersey",'P&amp;Ls'!$T:$T,12)+COUNTIFS('P&amp;Ls'!$S:$S,2026,'P&amp;Ls'!$Q:$Q,"New Jersey",'P&amp;Ls'!$T:$T,11)+COUNTIFS('P&amp;Ls'!$S:$S,2026,'P&amp;Ls'!$Q:$Q,"New Jersey",'P&amp;Ls'!$T:$T,10)</f>
        <v>1</v>
      </c>
      <c r="H18" s="2">
        <f>SUM(D18:G18)</f>
        <v>6</v>
      </c>
      <c r="L18" t="s">
        <v>16</v>
      </c>
      <c r="M18" s="12" cm="1">
        <f t="array" ref="M18">_xlfn.LET(_xlpm.qtr,RIGHT(M17,1),_xlpm.state1,"New Jersey",_xlpm.state2,"M&amp;A",
SUM(_xlfn._xlws.FILTER(_xlfn.CHOOSECOLS(_xlfn.ANCHORARRAY(QTR!$BM$4),_xlpm.qtr),(_xlfn.ANCHORARRAY(QTR!$D$4)=_xlpm.state1)+(_xlfn.ANCHORARRAY(QTR!$D$4)=_xlpm.state2)))+
SUM(_xlfn._xlws.FILTER(_xlfn.CHOOSECOLS(_xlfn.ANCHORARRAY(QTR!$BC$4),_xlpm.qtr),(_xlfn.ANCHORARRAY(QTR!$D$4)=_xlpm.state1)+(_xlfn.ANCHORARRAY(QTR!$D$4)=_xlpm.state2))))</f>
        <v>307251.11673704442</v>
      </c>
      <c r="N18" s="12" cm="1">
        <f t="array" ref="N18">_xlfn.LET(_xlpm.qtr,RIGHT(N17,1),_xlpm.state1,"New Jersey",_xlpm.state2,"M&amp;A",
SUM(_xlfn._xlws.FILTER(_xlfn.CHOOSECOLS(_xlfn.ANCHORARRAY(QTR!$BM$4),_xlpm.qtr),(_xlfn.ANCHORARRAY(QTR!$D$4)=_xlpm.state1)+(_xlfn.ANCHORARRAY(QTR!$D$4)=_xlpm.state2)))+
SUM(_xlfn._xlws.FILTER(_xlfn.CHOOSECOLS(_xlfn.ANCHORARRAY(QTR!$BC$4),_xlpm.qtr),(_xlfn.ANCHORARRAY(QTR!$D$4)=_xlpm.state1)+(_xlfn.ANCHORARRAY(QTR!$D$4)=_xlpm.state2))))</f>
        <v>573285.62025326584</v>
      </c>
      <c r="O18" s="12" cm="1">
        <f t="array" ref="O18">_xlfn.LET(_xlpm.qtr,RIGHT(O17,1),_xlpm.state1,"New Jersey",_xlpm.state2,"M&amp;A",
SUM(_xlfn._xlws.FILTER(_xlfn.CHOOSECOLS(_xlfn.ANCHORARRAY(QTR!$BM$4),_xlpm.qtr),(_xlfn.ANCHORARRAY(QTR!$D$4)=_xlpm.state1)+(_xlfn.ANCHORARRAY(QTR!$D$4)=_xlpm.state2)))+
SUM(_xlfn._xlws.FILTER(_xlfn.CHOOSECOLS(_xlfn.ANCHORARRAY(QTR!$BC$4),_xlpm.qtr),(_xlfn.ANCHORARRAY(QTR!$D$4)=_xlpm.state1)+(_xlfn.ANCHORARRAY(QTR!$D$4)=_xlpm.state2))))</f>
        <v>855028.55328371702</v>
      </c>
      <c r="P18" s="12" cm="1">
        <f t="array" ref="P18">_xlfn.LET(_xlpm.qtr,RIGHT(P17,1),_xlpm.state1,"New Jersey",_xlpm.state2,"M&amp;A",
SUM(_xlfn._xlws.FILTER(_xlfn.CHOOSECOLS(_xlfn.ANCHORARRAY(QTR!$BM$4),_xlpm.qtr),(_xlfn.ANCHORARRAY(QTR!$D$4)=_xlpm.state1)+(_xlfn.ANCHORARRAY(QTR!$D$4)=_xlpm.state2)))+
SUM(_xlfn._xlws.FILTER(_xlfn.CHOOSECOLS(_xlfn.ANCHORARRAY(QTR!$BC$4),_xlpm.qtr),(_xlfn.ANCHORARRAY(QTR!$D$4)=_xlpm.state1)+(_xlfn.ANCHORARRAY(QTR!$D$4)=_xlpm.state2))))</f>
        <v>1194808.2658693632</v>
      </c>
      <c r="Q18" s="13">
        <f>SUM(M18:P18)</f>
        <v>2930373.5561433905</v>
      </c>
      <c r="R18" s="13"/>
      <c r="T18" s="39" t="s">
        <v>42</v>
      </c>
      <c r="U18" s="12">
        <f>SUM('Corp.'!E49:P49)</f>
        <v>0</v>
      </c>
      <c r="V18" s="12">
        <f>'JV1'!F44</f>
        <v>6049941.3467392977</v>
      </c>
      <c r="W18" s="12">
        <f>'JV2'!J44</f>
        <v>3454371.9699370745</v>
      </c>
      <c r="X18" s="12">
        <f>'JV2'!N44</f>
        <v>2194841.4319267557</v>
      </c>
      <c r="Y18" s="12">
        <f>'JV2'!R44</f>
        <v>588813.62413240178</v>
      </c>
      <c r="Z18" s="12">
        <v>0</v>
      </c>
      <c r="AA18" s="67"/>
      <c r="AB18" s="67"/>
      <c r="BB18" t="s">
        <v>35</v>
      </c>
      <c r="BC18" s="12" cm="1">
        <f t="array" ref="BC18:BF18">_xlfn.LET(_xlpm.hours,_xlfn.ANCHORARRAY(QTR!$EU$4),_xlpm.type,ISNUMBER(SEARCH($C$4,_xlfn._TRO_TRAILING(Sites!$C:$C))),_xlpm.states,ISNUMBER(SEARCH($BB18,_xlfn.ANCHORARRAY(QTR!$D$4))),
_xlfn.BYCOL(_xlfn._xlws.FILTER(_xlpm.hours,_xlpm.states,0),_xlfn.LAMBDA(_xlpm.cols,SUM(_xlpm.cols))))</f>
        <v>0</v>
      </c>
      <c r="BD18" s="12">
        <v>393420</v>
      </c>
      <c r="BE18" s="12">
        <v>695833.33333333326</v>
      </c>
      <c r="BF18" s="12">
        <v>453620</v>
      </c>
      <c r="BG18" s="13">
        <f t="shared" si="5"/>
        <v>1542873.3333333333</v>
      </c>
    </row>
    <row r="19" spans="1:59" ht="14.45" customHeight="1" x14ac:dyDescent="0.25">
      <c r="C19" t="s">
        <v>47</v>
      </c>
      <c r="D19" s="3">
        <f>COUNTIFS('P&amp;Ls'!$S:$S,2026,'P&amp;Ls'!$Q:$Q,"Maryland",'P&amp;Ls'!$T:$T,1)+COUNTIFS('P&amp;Ls'!$S:$S,2026,'P&amp;Ls'!$Q:$Q,"Maryland",'P&amp;Ls'!$T:$T,2)+COUNTIFS('P&amp;Ls'!$S:$S,2026,'P&amp;Ls'!$Q:$Q,"Maryland",'P&amp;Ls'!$T:$T,3)</f>
        <v>0</v>
      </c>
      <c r="E19" s="3">
        <f>COUNTIFS('P&amp;Ls'!$S:$S,2026,'P&amp;Ls'!$Q:$Q,"Maryland",'P&amp;Ls'!$T:$T,4)+COUNTIFS('P&amp;Ls'!$S:$S,2026,'P&amp;Ls'!$Q:$Q,"Maryland",'P&amp;Ls'!$T:$T,5)+COUNTIFS('P&amp;Ls'!$S:$S,2026,'P&amp;Ls'!$Q:$Q,"Maryland",'P&amp;Ls'!$T:$T,6)</f>
        <v>0</v>
      </c>
      <c r="F19" s="3">
        <f>COUNTIFS('P&amp;Ls'!$S:$S,2026,'P&amp;Ls'!$Q:$Q,"Maryland",'P&amp;Ls'!$T:$T,7)+COUNTIFS('P&amp;Ls'!$S:$S,2026,'P&amp;Ls'!$Q:$Q,"Maryland",'P&amp;Ls'!$T:$T,8)+COUNTIFS('P&amp;Ls'!$S:$S,2026,'P&amp;Ls'!$Q:$Q,"Maryland",'P&amp;Ls'!$T:$T,9)</f>
        <v>1</v>
      </c>
      <c r="G19" s="3">
        <f>COUNTIFS('P&amp;Ls'!$S:$S,2026,'P&amp;Ls'!$Q:$Q,"Maryland",'P&amp;Ls'!$T:$T,12)+COUNTIFS('P&amp;Ls'!$S:$S,2026,'P&amp;Ls'!$Q:$Q,"Maryland",'P&amp;Ls'!$T:$T,11)+COUNTIFS('P&amp;Ls'!$S:$S,2026,'P&amp;Ls'!$Q:$Q,"Maryland",'P&amp;Ls'!$T:$T,10)</f>
        <v>0</v>
      </c>
      <c r="H19" s="2">
        <f>SUM(D19:G19)</f>
        <v>1</v>
      </c>
      <c r="L19" t="s">
        <v>17</v>
      </c>
      <c r="M19" s="12" cm="1">
        <f t="array" ref="M19">_xlfn.LET(_xlpm.qtr,RIGHT(M17,1),_xlpm.state1,"Maryland",_xlpm.state2,"M&amp;A",
SUM(_xlfn._xlws.FILTER(_xlfn.CHOOSECOLS(_xlfn.ANCHORARRAY(QTR!$BM$4),_xlpm.qtr),(_xlfn.ANCHORARRAY(QTR!$D$4)=_xlpm.state1)))+
SUM(_xlfn._xlws.FILTER(_xlfn.CHOOSECOLS(_xlfn.ANCHORARRAY(QTR!$BC$4),_xlpm.qtr),(_xlfn.ANCHORARRAY(QTR!$D$4)=_xlpm.state1))))</f>
        <v>265528.86967833596</v>
      </c>
      <c r="N19" s="12" cm="1">
        <f t="array" ref="N19">_xlfn.LET(_xlpm.qtr,RIGHT(N17,1),_xlpm.state1,"Maryland",_xlpm.state2,"M&amp;A",
SUM(_xlfn._xlws.FILTER(_xlfn.CHOOSECOLS(_xlfn.ANCHORARRAY(QTR!$BM$4),_xlpm.qtr),(_xlfn.ANCHORARRAY(QTR!$D$4)=_xlpm.state1)))+
SUM(_xlfn._xlws.FILTER(_xlfn.CHOOSECOLS(_xlfn.ANCHORARRAY(QTR!$BC$4),_xlpm.qtr),(_xlfn.ANCHORARRAY(QTR!$D$4)=_xlpm.state1))))</f>
        <v>265528.86967833596</v>
      </c>
      <c r="O19" s="12" cm="1">
        <f t="array" ref="O19">_xlfn.LET(_xlpm.qtr,RIGHT(O17,1),_xlpm.state1,"Maryland",_xlpm.state2,"M&amp;A",
SUM(_xlfn._xlws.FILTER(_xlfn.CHOOSECOLS(_xlfn.ANCHORARRAY(QTR!$BM$4),_xlpm.qtr),(_xlfn.ANCHORARRAY(QTR!$D$4)=_xlpm.state1)))+
SUM(_xlfn._xlws.FILTER(_xlfn.CHOOSECOLS(_xlfn.ANCHORARRAY(QTR!$BC$4),_xlpm.qtr),(_xlfn.ANCHORARRAY(QTR!$D$4)=_xlpm.state1))))</f>
        <v>290637.41180390399</v>
      </c>
      <c r="P19" s="12" cm="1">
        <f t="array" ref="P19">_xlfn.LET(_xlpm.qtr,RIGHT(P17,1),_xlpm.state1,"Maryland",_xlpm.state2,"M&amp;A",
SUM(_xlfn._xlws.FILTER(_xlfn.CHOOSECOLS(_xlfn.ANCHORARRAY(QTR!$BM$4),_xlpm.qtr),(_xlfn.ANCHORARRAY(QTR!$D$4)=_xlpm.state1)))+
SUM(_xlfn._xlws.FILTER(_xlfn.CHOOSECOLS(_xlfn.ANCHORARRAY(QTR!$BC$4),_xlpm.qtr),(_xlfn.ANCHORARRAY(QTR!$D$4)=_xlpm.state1))))</f>
        <v>304586.60187366395</v>
      </c>
      <c r="Q19" s="13">
        <f>SUM(M19:P19)</f>
        <v>1126281.7530342399</v>
      </c>
      <c r="R19" s="13"/>
      <c r="AD19" s="178" t="s">
        <v>48</v>
      </c>
      <c r="AE19" s="74">
        <f>AE4-AE17</f>
        <v>0</v>
      </c>
      <c r="AF19" s="74">
        <f>AF4-AF17</f>
        <v>0</v>
      </c>
      <c r="AG19" s="74">
        <f>AG4-AG17</f>
        <v>0</v>
      </c>
      <c r="AH19" s="74">
        <f>AH4-AH17</f>
        <v>0</v>
      </c>
      <c r="AI19" s="74">
        <f>AI4-AI17</f>
        <v>0</v>
      </c>
      <c r="AL19" s="178" t="s">
        <v>48</v>
      </c>
      <c r="AM19" s="74">
        <f>AM4-AM17</f>
        <v>1079281.2612434477</v>
      </c>
      <c r="AN19" s="74">
        <f>AN4-AN17</f>
        <v>4246156.8132927995</v>
      </c>
      <c r="AO19" s="74">
        <f>AO4-AO17</f>
        <v>6044351.0542565286</v>
      </c>
      <c r="AP19" s="74">
        <f>AP4-AP17</f>
        <v>8421152.4432804026</v>
      </c>
      <c r="AQ19" s="74">
        <f>AQ4-AQ17</f>
        <v>19790941.572073169</v>
      </c>
      <c r="AT19" s="178" t="s">
        <v>48</v>
      </c>
      <c r="AU19" s="74">
        <f>AU4-AU17</f>
        <v>357735.01831439883</v>
      </c>
      <c r="AV19" s="74">
        <f>AV4-AV17</f>
        <v>575037.83680832013</v>
      </c>
      <c r="AW19" s="74">
        <f>AW4-AW17</f>
        <v>930463.53368905559</v>
      </c>
      <c r="AX19" s="74">
        <f>AX4-AX17</f>
        <v>1376971.9656859711</v>
      </c>
      <c r="AY19" s="74">
        <f>AY4-AY17</f>
        <v>3240208.3544977456</v>
      </c>
      <c r="BB19" t="s">
        <v>37</v>
      </c>
      <c r="BC19" s="12" cm="1">
        <f t="array" ref="BC19:BF19">_xlfn.LET(_xlpm.hours,_xlfn.ANCHORARRAY(QTR!$EU$4),_xlpm.type,ISNUMBER(SEARCH($C$4,_xlfn._TRO_TRAILING(Sites!$C:$C))),_xlpm.states,ISNUMBER(SEARCH($BB19,_xlfn.ANCHORARRAY(QTR!$D$4))),
_xlfn.BYCOL(_xlfn._xlws.FILTER(_xlpm.hours,_xlpm.states,0),_xlfn.LAMBDA(_xlpm.cols,SUM(_xlpm.cols))))</f>
        <v>0</v>
      </c>
      <c r="BD19" s="12">
        <v>0</v>
      </c>
      <c r="BE19" s="12">
        <v>0</v>
      </c>
      <c r="BF19" s="12">
        <v>0</v>
      </c>
      <c r="BG19" s="13">
        <f t="shared" si="5"/>
        <v>0</v>
      </c>
    </row>
    <row r="20" spans="1:59" ht="14.45" customHeight="1" x14ac:dyDescent="0.25">
      <c r="C20" t="s">
        <v>49</v>
      </c>
      <c r="D20" s="3">
        <f>COUNTIFS('P&amp;Ls'!$S:$S,2026,'P&amp;Ls'!$Q:$Q,"North Carolina",'P&amp;Ls'!$T:$T,1)+COUNTIFS('P&amp;Ls'!$S:$S,2026,'P&amp;Ls'!$Q:$Q,"North Carolina",'P&amp;Ls'!$T:$T,2)+COUNTIFS('P&amp;Ls'!$S:$S,2026,'P&amp;Ls'!$Q:$Q,"North Carolina",'P&amp;Ls'!$T:$T,3)</f>
        <v>0</v>
      </c>
      <c r="E20" s="3">
        <f>COUNTIFS('P&amp;Ls'!$S:$S,2026,'P&amp;Ls'!$Q:$Q,"North Carolina",'P&amp;Ls'!$T:$T,4)+COUNTIFS('P&amp;Ls'!$S:$S,2026,'P&amp;Ls'!$Q:$Q,"North Carolina",'P&amp;Ls'!$T:$T,5)+COUNTIFS('P&amp;Ls'!$S:$S,2026,'P&amp;Ls'!$Q:$Q,"North Carolina",'P&amp;Ls'!$T:$T,6)</f>
        <v>1</v>
      </c>
      <c r="F20" s="3">
        <f>COUNTIFS('P&amp;Ls'!$S:$S,2026,'P&amp;Ls'!$Q:$Q,"North Carolina",'P&amp;Ls'!$T:$T,7)+COUNTIFS('P&amp;Ls'!$S:$S,2026,'P&amp;Ls'!$Q:$Q,"North Carolina",'P&amp;Ls'!$T:$T,8)+COUNTIFS('P&amp;Ls'!$S:$S,2026,'P&amp;Ls'!$Q:$Q,"North Carolina",'P&amp;Ls'!$T:$T,9)</f>
        <v>0</v>
      </c>
      <c r="G20" s="3">
        <f>COUNTIFS('P&amp;Ls'!$S:$S,2026,'P&amp;Ls'!$Q:$Q,"North Carolina",'P&amp;Ls'!$T:$T,12)+COUNTIFS('P&amp;Ls'!$S:$S,2026,'P&amp;Ls'!$Q:$Q,"North Carolina",'P&amp;Ls'!$T:$T,11)+COUNTIFS('P&amp;Ls'!$S:$S,2026,'P&amp;Ls'!$Q:$Q,"North Carolina",'P&amp;Ls'!$T:$T,10)</f>
        <v>1</v>
      </c>
      <c r="H20" s="2">
        <f>SUM(D20:G20)</f>
        <v>2</v>
      </c>
      <c r="L20" t="s">
        <v>18</v>
      </c>
      <c r="M20" s="12" cm="1">
        <f t="array" ref="M20">_xlfn.LET(_xlpm.qtr,RIGHT(M17,1),_xlpm.state1,"North Carolina",_xlpm.state2,"M&amp;A",
SUM(_xlfn._xlws.FILTER(_xlfn.CHOOSECOLS(_xlfn.ANCHORARRAY(QTR!$BM$4),_xlpm.qtr),(_xlfn.ANCHORARRAY(QTR!$D$4)=_xlpm.state1)))+
SUM(_xlfn._xlws.FILTER(_xlfn.CHOOSECOLS(_xlfn.ANCHORARRAY(QTR!$BC$4),_xlpm.qtr),(_xlfn.ANCHORARRAY(QTR!$D$4)=_xlpm.state1))))</f>
        <v>82592.943271168013</v>
      </c>
      <c r="N20" s="12" cm="1">
        <f t="array" ref="N20">_xlfn.LET(_xlpm.qtr,RIGHT(N17,1),_xlpm.state1,"North Carolina",_xlpm.state2,"M&amp;A",
SUM(_xlfn._xlws.FILTER(_xlfn.CHOOSECOLS(_xlfn.ANCHORARRAY(QTR!$BM$4),_xlpm.qtr),(_xlfn.ANCHORARRAY(QTR!$D$4)=_xlpm.state1)))+
SUM(_xlfn._xlws.FILTER(_xlfn.CHOOSECOLS(_xlfn.ANCHORARRAY(QTR!$BC$4),_xlpm.qtr),(_xlfn.ANCHORARRAY(QTR!$D$4)=_xlpm.state1))))</f>
        <v>92258.074930560018</v>
      </c>
      <c r="O20" s="12" cm="1">
        <f t="array" ref="O20">_xlfn.LET(_xlpm.qtr,RIGHT(O17,1),_xlpm.state1,"North Carolina",_xlpm.state2,"M&amp;A",
SUM(_xlfn._xlws.FILTER(_xlfn.CHOOSECOLS(_xlfn.ANCHORARRAY(QTR!$BM$4),_xlpm.qtr),(_xlfn.ANCHORARRAY(QTR!$D$4)=_xlpm.state1)))+
SUM(_xlfn._xlws.FILTER(_xlfn.CHOOSECOLS(_xlfn.ANCHORARRAY(QTR!$BC$4),_xlpm.qtr),(_xlfn.ANCHORARRAY(QTR!$D$4)=_xlpm.state1))))</f>
        <v>113345.63491468801</v>
      </c>
      <c r="P20" s="12" cm="1">
        <f t="array" ref="P20">_xlfn.LET(_xlpm.qtr,RIGHT(P17,1),_xlpm.state1,"North Carolina",_xlpm.state2,"M&amp;A",
SUM(_xlfn._xlws.FILTER(_xlfn.CHOOSECOLS(_xlfn.ANCHORARRAY(QTR!$BM$4),_xlpm.qtr),(_xlfn.ANCHORARRAY(QTR!$D$4)=_xlpm.state1)))+
SUM(_xlfn._xlws.FILTER(_xlfn.CHOOSECOLS(_xlfn.ANCHORARRAY(QTR!$BC$4),_xlpm.qtr),(_xlfn.ANCHORARRAY(QTR!$D$4)=_xlpm.state1))))</f>
        <v>137069.139896832</v>
      </c>
      <c r="Q20" s="13">
        <f>SUM(M20:P20)</f>
        <v>425265.79301324807</v>
      </c>
      <c r="R20" s="13"/>
      <c r="T20" s="39" t="s">
        <v>45</v>
      </c>
      <c r="U20" s="12">
        <f t="shared" ref="U20:AA20" si="6">SUM(U9:U19)</f>
        <v>12287968.37273553</v>
      </c>
      <c r="V20" s="179">
        <f t="shared" si="6"/>
        <v>46210557.23776681</v>
      </c>
      <c r="W20" s="179">
        <f t="shared" si="6"/>
        <v>14272718.857314086</v>
      </c>
      <c r="X20" s="67">
        <f>SUM(X9:X19)</f>
        <v>9348012.5443725195</v>
      </c>
      <c r="Y20" s="179">
        <f t="shared" si="6"/>
        <v>2425148.6060409062</v>
      </c>
      <c r="Z20" s="179">
        <f t="shared" si="6"/>
        <v>2581252.4568087878</v>
      </c>
      <c r="AA20" s="179">
        <f t="shared" si="6"/>
        <v>74837689.702303097</v>
      </c>
      <c r="AB20" s="179"/>
      <c r="AE20" s="105">
        <f>IFERROR(AE19/AE4,"")</f>
        <v>0</v>
      </c>
      <c r="AF20" s="105">
        <f>IFERROR(AF19/AF4,"")</f>
        <v>0</v>
      </c>
      <c r="AG20" s="105">
        <f>IFERROR(AG19/AG4,"")</f>
        <v>0</v>
      </c>
      <c r="AH20" s="105">
        <f>IFERROR(AH19/AH4,"")</f>
        <v>0</v>
      </c>
      <c r="AI20" s="105">
        <f>IFERROR(AI19/AI4,"")</f>
        <v>0</v>
      </c>
      <c r="AM20" s="105">
        <f>AM19/AM4</f>
        <v>0.15633109157691086</v>
      </c>
      <c r="AN20" s="105">
        <f>AN19/AN4</f>
        <v>0.2866909569504551</v>
      </c>
      <c r="AO20" s="105">
        <f>AO19/AO4</f>
        <v>0.30795622699884184</v>
      </c>
      <c r="AP20" s="105">
        <f>AP19/AP4</f>
        <v>0.34149790114569883</v>
      </c>
      <c r="AQ20" s="105">
        <f>AQ19/AQ4</f>
        <v>0.29985594159147477</v>
      </c>
      <c r="AU20" s="105">
        <f>AU19/AU4</f>
        <v>5.5908559355397465E-2</v>
      </c>
      <c r="AV20" s="105">
        <f>AV19/AV4</f>
        <v>8.4599675455473561E-2</v>
      </c>
      <c r="AW20" s="105">
        <f>AW19/AW4</f>
        <v>0.12164679696073889</v>
      </c>
      <c r="AX20" s="105">
        <f>AX19/AX4</f>
        <v>0.16312018279092497</v>
      </c>
      <c r="AY20" s="105">
        <f>AY19/AY4</f>
        <v>0.11063984764442415</v>
      </c>
      <c r="BC20" s="105"/>
      <c r="BD20" s="105"/>
      <c r="BE20" s="105"/>
      <c r="BF20" s="105"/>
      <c r="BG20" s="105"/>
    </row>
    <row r="21" spans="1:59" ht="14.45" customHeight="1" x14ac:dyDescent="0.25">
      <c r="C21" s="187" t="s">
        <v>50</v>
      </c>
      <c r="D21" s="190">
        <f>COUNTIFS('P&amp;Ls'!$S:$S,2026,'P&amp;Ls'!$Q:$Q,"Arizona",'P&amp;Ls'!$T:$T,1)+COUNTIFS('P&amp;Ls'!$S:$S,2026,'P&amp;Ls'!$Q:$Q,"Arizona",'P&amp;Ls'!$T:$T,2)+COUNTIFS('P&amp;Ls'!$S:$S,2026,'P&amp;Ls'!$Q:$Q,"Arizona",'P&amp;Ls'!$T:$T,3)</f>
        <v>0</v>
      </c>
      <c r="E21" s="190">
        <f>COUNTIFS('P&amp;Ls'!$S:$S,2026,'P&amp;Ls'!$Q:$Q,"Arizona",'P&amp;Ls'!$T:$T,4)+COUNTIFS('P&amp;Ls'!$S:$S,2026,'P&amp;Ls'!$Q:$Q,"Arizona",'P&amp;Ls'!$T:$T,5)+COUNTIFS('P&amp;Ls'!$S:$S,2026,'P&amp;Ls'!$Q:$Q,"Arizona",'P&amp;Ls'!$T:$T,6)</f>
        <v>0</v>
      </c>
      <c r="F21" s="190">
        <f>COUNTIFS('P&amp;Ls'!$S:$S,2026,'P&amp;Ls'!$Q:$Q,"Arizona",'P&amp;Ls'!$T:$T,7)+COUNTIFS('P&amp;Ls'!$S:$S,2026,'P&amp;Ls'!$Q:$Q,"Arizona",'P&amp;Ls'!$T:$T,8)+COUNTIFS('P&amp;Ls'!$S:$S,2026,'P&amp;Ls'!$Q:$Q,"Arizona",'P&amp;Ls'!$T:$T,9)</f>
        <v>0</v>
      </c>
      <c r="G21" s="190">
        <f>COUNTIFS('P&amp;Ls'!$S:$S,2026,'P&amp;Ls'!$Q:$Q,"Arizona",'P&amp;Ls'!$T:$T,12)+COUNTIFS('P&amp;Ls'!$S:$S,2026,'P&amp;Ls'!$Q:$Q,"Arizona",'P&amp;Ls'!$T:$T,11)+COUNTIFS('P&amp;Ls'!$S:$S,2026,'P&amp;Ls'!$Q:$Q,"Arizona",'P&amp;Ls'!$T:$T,10)</f>
        <v>0</v>
      </c>
      <c r="H21" s="191">
        <f>SUM(D21:G21)</f>
        <v>0</v>
      </c>
      <c r="L21" s="187" t="s">
        <v>19</v>
      </c>
      <c r="M21" s="194" cm="1">
        <f t="array" ref="M21">_xlfn.LET(_xlpm.qtr,RIGHT(M17,1),_xlpm.state1,"Arizona",_xlpm.state2,"M&amp;A",
SUM(_xlfn._xlws.FILTER(_xlfn.CHOOSECOLS(_xlfn.ANCHORARRAY(QTR!$BM$4),_xlpm.qtr),(_xlfn.ANCHORARRAY(QTR!$D$4)=_xlpm.state1)))+
SUM(_xlfn._xlws.FILTER(_xlfn.CHOOSECOLS(_xlfn.ANCHORARRAY(QTR!$BC$4),_xlpm.qtr),(_xlfn.ANCHORARRAY(QTR!$D$4)=_xlpm.state1))))</f>
        <v>0</v>
      </c>
      <c r="N21" s="194" cm="1">
        <f t="array" ref="N21">_xlfn.LET(_xlpm.qtr,RIGHT(N17,1),_xlpm.state1,"Arizona",_xlpm.state2,"M&amp;A",
SUM(_xlfn._xlws.FILTER(_xlfn.CHOOSECOLS(_xlfn.ANCHORARRAY(QTR!$BM$4),_xlpm.qtr),(_xlfn.ANCHORARRAY(QTR!$D$4)=_xlpm.state1)))+
SUM(_xlfn._xlws.FILTER(_xlfn.CHOOSECOLS(_xlfn.ANCHORARRAY(QTR!$BC$4),_xlpm.qtr),(_xlfn.ANCHORARRAY(QTR!$D$4)=_xlpm.state1))))</f>
        <v>0</v>
      </c>
      <c r="O21" s="194" cm="1">
        <f t="array" ref="O21">_xlfn.LET(_xlpm.qtr,RIGHT(O17,1),_xlpm.state1,"Arizona",_xlpm.state2,"M&amp;A",
SUM(_xlfn._xlws.FILTER(_xlfn.CHOOSECOLS(_xlfn.ANCHORARRAY(QTR!$BM$4),_xlpm.qtr),(_xlfn.ANCHORARRAY(QTR!$D$4)=_xlpm.state1)))+
SUM(_xlfn._xlws.FILTER(_xlfn.CHOOSECOLS(_xlfn.ANCHORARRAY(QTR!$BC$4),_xlpm.qtr),(_xlfn.ANCHORARRAY(QTR!$D$4)=_xlpm.state1))))</f>
        <v>0</v>
      </c>
      <c r="P21" s="194" cm="1">
        <f t="array" ref="P21">_xlfn.LET(_xlpm.qtr,RIGHT(P17,1),_xlpm.state1,"Arizona",_xlpm.state2,"M&amp;A",
SUM(_xlfn._xlws.FILTER(_xlfn.CHOOSECOLS(_xlfn.ANCHORARRAY(QTR!$BM$4),_xlpm.qtr),(_xlfn.ANCHORARRAY(QTR!$D$4)=_xlpm.state1)))+
SUM(_xlfn._xlws.FILTER(_xlfn.CHOOSECOLS(_xlfn.ANCHORARRAY(QTR!$BC$4),_xlpm.qtr),(_xlfn.ANCHORARRAY(QTR!$D$4)=_xlpm.state1))))</f>
        <v>0</v>
      </c>
      <c r="Q21" s="195">
        <f>SUM(M21:P21)</f>
        <v>0</v>
      </c>
      <c r="R21" s="13"/>
      <c r="AD21" t="str">
        <f>$T$24</f>
        <v>Management Fee</v>
      </c>
      <c r="AE21" s="12">
        <f>-SUM(AM21,AU21)</f>
        <v>502955.69784524629</v>
      </c>
      <c r="AF21" s="12">
        <f>-SUM(AN21,AV21)</f>
        <v>1687418.1275353918</v>
      </c>
      <c r="AG21" s="12">
        <f>-SUM(AO21,AW21)</f>
        <v>2441185.105780954</v>
      </c>
      <c r="AH21" s="12">
        <f>-SUM(AP21,AX21)</f>
        <v>3429343.5431382307</v>
      </c>
      <c r="AI21" s="74">
        <f>SUM(AE21:AH21)</f>
        <v>8060902.474299822</v>
      </c>
      <c r="AL21" t="str">
        <f>$T$24</f>
        <v>Management Fee</v>
      </c>
      <c r="AM21" s="12">
        <f>AM19*-0.35</f>
        <v>-377748.44143520668</v>
      </c>
      <c r="AN21" s="12">
        <f>AN19*-0.35</f>
        <v>-1486154.8846524798</v>
      </c>
      <c r="AO21" s="12">
        <f>AO19*-0.35</f>
        <v>-2115522.8689897847</v>
      </c>
      <c r="AP21" s="12">
        <f>AP19*-0.35</f>
        <v>-2947403.3551481408</v>
      </c>
      <c r="AQ21" s="74">
        <f>SUM(AM21:AP21)</f>
        <v>-6926829.5502256118</v>
      </c>
      <c r="AT21" t="str">
        <f>$T$24</f>
        <v>Management Fee</v>
      </c>
      <c r="AU21" s="12">
        <f>AU19*-0.35</f>
        <v>-125207.25641003958</v>
      </c>
      <c r="AV21" s="12">
        <f>AV19*-0.35</f>
        <v>-201263.24288291205</v>
      </c>
      <c r="AW21" s="12">
        <f>AW19*-0.35</f>
        <v>-325662.23679116945</v>
      </c>
      <c r="AX21" s="12">
        <f>AX19*-0.35</f>
        <v>-481940.18799008982</v>
      </c>
      <c r="AY21" s="74">
        <f>SUM(AU21:AX21)</f>
        <v>-1134072.9240742109</v>
      </c>
      <c r="BB21" s="1" t="s">
        <v>26</v>
      </c>
      <c r="BC21" s="13">
        <f>SUM(BC15:BC20)</f>
        <v>3607333.3333333335</v>
      </c>
      <c r="BD21" s="13">
        <f t="shared" ref="BD21:BG21" si="7">SUM(BD15:BD20)</f>
        <v>3347533.3333333335</v>
      </c>
      <c r="BE21" s="13">
        <f t="shared" si="7"/>
        <v>3070586.666666666</v>
      </c>
      <c r="BF21" s="13">
        <f t="shared" si="7"/>
        <v>2630926.666666667</v>
      </c>
      <c r="BG21" s="13">
        <f t="shared" si="7"/>
        <v>12656380</v>
      </c>
    </row>
    <row r="22" spans="1:59" ht="14.45" customHeight="1" x14ac:dyDescent="0.25">
      <c r="C22" s="187" t="s">
        <v>51</v>
      </c>
      <c r="D22" s="191">
        <f>SUM(D18:D21)</f>
        <v>2</v>
      </c>
      <c r="E22" s="191">
        <f>SUM(E18:E21)</f>
        <v>2</v>
      </c>
      <c r="F22" s="191">
        <f>SUM(F18:F21)</f>
        <v>3</v>
      </c>
      <c r="G22" s="191">
        <f>SUM(G18:G21)</f>
        <v>2</v>
      </c>
      <c r="H22" s="191">
        <f>SUM(H18:H21)</f>
        <v>9</v>
      </c>
      <c r="M22" s="13">
        <f>SUM(M18:M21)</f>
        <v>655372.92968654842</v>
      </c>
      <c r="N22" s="13">
        <f>SUM(N18:N21)</f>
        <v>931072.56486216187</v>
      </c>
      <c r="O22" s="13">
        <f>SUM(O18:O21)</f>
        <v>1259011.6000023091</v>
      </c>
      <c r="P22" s="13">
        <f>SUM(P18:P21)</f>
        <v>1636464.0076398591</v>
      </c>
      <c r="Q22" s="13">
        <f>SUM(Q18:Q21)</f>
        <v>4481921.1021908782</v>
      </c>
      <c r="R22" s="13"/>
      <c r="T22" s="178" t="s">
        <v>48</v>
      </c>
      <c r="U22" s="74">
        <f t="shared" ref="U22:Z22" si="8">SUM(U5:U6)-U20</f>
        <v>0</v>
      </c>
      <c r="V22" s="74">
        <f t="shared" si="8"/>
        <v>19790941.572073199</v>
      </c>
      <c r="W22" s="74">
        <f t="shared" si="8"/>
        <v>1699355.4316171128</v>
      </c>
      <c r="X22" s="74">
        <f t="shared" si="8"/>
        <v>1302573.5258820727</v>
      </c>
      <c r="Y22" s="74">
        <f t="shared" si="8"/>
        <v>238279.39699855959</v>
      </c>
      <c r="Z22" s="74">
        <f t="shared" si="8"/>
        <v>1900668.6453820923</v>
      </c>
      <c r="AA22" s="74">
        <f>SUM(AA5:AA5)-AA20</f>
        <v>24931818.571953058</v>
      </c>
      <c r="AB22" s="74"/>
      <c r="BC22" s="12"/>
      <c r="BD22" s="12"/>
    </row>
    <row r="23" spans="1:59" x14ac:dyDescent="0.25">
      <c r="C23" t="s">
        <v>52</v>
      </c>
      <c r="D23" s="2">
        <f>6+D22</f>
        <v>8</v>
      </c>
      <c r="E23" s="2">
        <f>D23+E22</f>
        <v>10</v>
      </c>
      <c r="F23" s="2">
        <f>E23+F22</f>
        <v>13</v>
      </c>
      <c r="G23" s="2">
        <f>F23+G22</f>
        <v>15</v>
      </c>
      <c r="H23" s="2"/>
      <c r="M23" s="13"/>
      <c r="N23" s="13"/>
      <c r="O23" s="13"/>
      <c r="P23" s="13"/>
      <c r="Q23" s="13"/>
      <c r="R23" s="13"/>
      <c r="U23" s="105" t="str">
        <f>IFERROR(U22/U5,"")</f>
        <v/>
      </c>
      <c r="V23" s="105">
        <f t="shared" ref="V23:AA23" si="9">V22/V5</f>
        <v>0.29985594159147511</v>
      </c>
      <c r="W23" s="105">
        <f t="shared" si="9"/>
        <v>0.10639541244776093</v>
      </c>
      <c r="X23" s="105">
        <f t="shared" si="9"/>
        <v>0.12230064310920459</v>
      </c>
      <c r="Y23" s="105">
        <f t="shared" si="9"/>
        <v>8.9463427104708129E-2</v>
      </c>
      <c r="Z23" s="105">
        <f t="shared" si="9"/>
        <v>0.42407454349274376</v>
      </c>
      <c r="AA23" s="105">
        <f t="shared" si="9"/>
        <v>0.24989417110704851</v>
      </c>
      <c r="AB23" s="105"/>
      <c r="AD23" s="178"/>
      <c r="AE23" s="74">
        <f>AE19+AE21</f>
        <v>502955.69784524629</v>
      </c>
      <c r="AF23" s="74">
        <f>AF19+AF21</f>
        <v>1687418.1275353918</v>
      </c>
      <c r="AG23" s="74">
        <f>AG19+AG21</f>
        <v>2441185.105780954</v>
      </c>
      <c r="AH23" s="74">
        <f>AH19+AH21</f>
        <v>3429343.5431382307</v>
      </c>
      <c r="AI23" s="74">
        <f>AI19+AI21</f>
        <v>8060902.474299822</v>
      </c>
      <c r="AL23" s="178"/>
      <c r="AM23" s="74">
        <f>AM19+AM21</f>
        <v>701532.81980824098</v>
      </c>
      <c r="AN23" s="74">
        <f>AN19+AN21</f>
        <v>2760001.92864032</v>
      </c>
      <c r="AO23" s="74">
        <f>AO19+AO21</f>
        <v>3928828.1852667439</v>
      </c>
      <c r="AP23" s="74">
        <f>AP19+AP21</f>
        <v>5473749.0881322622</v>
      </c>
      <c r="AQ23" s="74">
        <f>AQ19+AQ21</f>
        <v>12864112.021847557</v>
      </c>
      <c r="AT23" s="178"/>
      <c r="AU23" s="74">
        <f>AU19+AU21</f>
        <v>232527.76190435924</v>
      </c>
      <c r="AV23" s="74">
        <f>AV19+AV21</f>
        <v>373774.59392540809</v>
      </c>
      <c r="AW23" s="74">
        <f>AW19+AW21</f>
        <v>604801.29689788609</v>
      </c>
      <c r="AX23" s="74">
        <f>AX19+AX21</f>
        <v>895031.7776958812</v>
      </c>
      <c r="AY23" s="74">
        <f>AY19+AY21</f>
        <v>2106135.4304235345</v>
      </c>
      <c r="BB23" s="178"/>
      <c r="BC23" s="12"/>
      <c r="BD23" s="74"/>
      <c r="BE23" s="74"/>
      <c r="BF23" s="74"/>
      <c r="BG23" s="74"/>
    </row>
    <row r="24" spans="1:59" ht="14.45" customHeight="1" x14ac:dyDescent="0.25">
      <c r="A24" s="182"/>
      <c r="B24" s="221" t="s">
        <v>30</v>
      </c>
      <c r="C24" s="221"/>
      <c r="D24" s="221"/>
      <c r="E24" s="221"/>
      <c r="F24" s="221"/>
      <c r="G24" s="221"/>
      <c r="H24" s="95"/>
      <c r="K24" s="1" t="s">
        <v>26</v>
      </c>
      <c r="M24" s="74">
        <f>M8+M15+M22</f>
        <v>13957763.373498408</v>
      </c>
      <c r="N24" s="74">
        <f>N8+N15+N22</f>
        <v>22539156.139521569</v>
      </c>
      <c r="O24" s="74">
        <f>O8+O15+O22</f>
        <v>28535212.088896438</v>
      </c>
      <c r="P24" s="74">
        <f>P8+P15+P22</f>
        <v>34737376.672339708</v>
      </c>
      <c r="Q24" s="74">
        <f>Q8+Q15+Q22</f>
        <v>99769508.274256125</v>
      </c>
      <c r="R24" s="13"/>
      <c r="T24" t="s">
        <v>407</v>
      </c>
      <c r="U24" s="179">
        <f>-SUM(V24:Z24)</f>
        <v>8060902.4742998304</v>
      </c>
      <c r="V24" s="179">
        <f>V22*-0.35</f>
        <v>-6926829.5502256192</v>
      </c>
      <c r="W24" s="179">
        <f>W22*-0.35</f>
        <v>-594774.4010659894</v>
      </c>
      <c r="X24" s="179">
        <f>X22*-0.35</f>
        <v>-455900.73405872541</v>
      </c>
      <c r="Y24" s="179">
        <f>Y22*-0.35</f>
        <v>-83397.788949495851</v>
      </c>
      <c r="Z24" s="179"/>
      <c r="AA24" s="67"/>
      <c r="AB24" s="67"/>
      <c r="AE24" s="83">
        <f>IFERROR(AE23/AE4,"")</f>
        <v>0.17410107364510644</v>
      </c>
      <c r="AF24" s="83">
        <f>IFERROR(AF23/AF4,"")</f>
        <v>0.56361677492939155</v>
      </c>
      <c r="AG24" s="83">
        <f>IFERROR(AG23/AG4,"")</f>
        <v>0.78127952870154815</v>
      </c>
      <c r="AH24" s="83">
        <f>IFERROR(AH23/AH4,"")</f>
        <v>1.0453444131845506</v>
      </c>
      <c r="AI24" s="83">
        <f>IFERROR(AI23/AI4,"")</f>
        <v>0.65599961114689243</v>
      </c>
      <c r="AM24" s="83">
        <f>AM23/(AM4+AM21)</f>
        <v>0.10749700285409129</v>
      </c>
      <c r="AN24" s="83">
        <f>AN23/AN4</f>
        <v>0.18634912201779583</v>
      </c>
      <c r="AO24" s="83">
        <f>AO23/AO4</f>
        <v>0.20017154754924721</v>
      </c>
      <c r="AP24" s="83">
        <f>AP23/AP4</f>
        <v>0.22197363574470427</v>
      </c>
      <c r="AQ24" s="83">
        <f>AQ23/AQ4</f>
        <v>0.19490636203445857</v>
      </c>
      <c r="AU24" s="83">
        <f>AU23/(AU4+AU21)</f>
        <v>3.7065868335980891E-2</v>
      </c>
      <c r="AV24" s="83">
        <f>AV23/AV4</f>
        <v>5.4989789046057815E-2</v>
      </c>
      <c r="AW24" s="83">
        <f>AW23/AW4</f>
        <v>7.9070418024480268E-2</v>
      </c>
      <c r="AX24" s="83">
        <f>AX23/AX4</f>
        <v>0.10602811881410124</v>
      </c>
      <c r="AY24" s="83">
        <f>AY23/AY4</f>
        <v>7.1915900968875693E-2</v>
      </c>
      <c r="BC24" s="12"/>
      <c r="BD24" s="12"/>
      <c r="BE24" s="12"/>
      <c r="BF24" s="12"/>
      <c r="BG24" s="83"/>
    </row>
    <row r="25" spans="1:59" x14ac:dyDescent="0.25">
      <c r="B25" s="192" t="s">
        <v>53</v>
      </c>
      <c r="C25" s="192"/>
      <c r="D25" s="192" t="s">
        <v>8</v>
      </c>
      <c r="E25" s="192" t="s">
        <v>9</v>
      </c>
      <c r="F25" s="192" t="s">
        <v>10</v>
      </c>
      <c r="G25" s="192" t="s">
        <v>11</v>
      </c>
      <c r="H25" s="192" t="s">
        <v>12</v>
      </c>
      <c r="M25" s="74"/>
      <c r="N25" s="74"/>
      <c r="O25" s="74"/>
      <c r="P25" s="74"/>
      <c r="Q25" s="74"/>
      <c r="R25" s="74"/>
      <c r="BC25" s="12"/>
      <c r="BD25" s="12"/>
      <c r="BE25" s="12"/>
      <c r="BF25" s="12"/>
    </row>
    <row r="26" spans="1:59" ht="14.45" customHeight="1" x14ac:dyDescent="0.25">
      <c r="C26" t="s">
        <v>16</v>
      </c>
      <c r="D26" s="72" cm="1">
        <f t="array" ref="D26:G26">_xlfn.LET(_xlpm.data,_xlfn.ANCHORARRAY(QTR!$E$4),_xlpm.states,_xlfn.ANCHORARRAY(QTR!$D$4),_xlpm.rev,_xlfn._xlws.FILTER(_xlpm.data,(_xlpm.states="M&amp;A")+(_xlpm.states="New Jersey")),
_xlfn.BYCOL(_xlpm.rev,_xlfn.LAMBDA(_xlpm.a,SUM(_xlpm.a))))</f>
        <v>42209.493333333332</v>
      </c>
      <c r="E26" s="72">
        <v>91229.453333333324</v>
      </c>
      <c r="F26" s="72">
        <v>121315.62666666666</v>
      </c>
      <c r="G26" s="72">
        <v>152862.45333333328</v>
      </c>
      <c r="H26" s="75">
        <f>SUM(D26:G26)</f>
        <v>407617.02666666661</v>
      </c>
      <c r="R26" s="74"/>
      <c r="T26" s="178"/>
      <c r="U26" s="74">
        <f>U22+U24</f>
        <v>8060902.4742998304</v>
      </c>
      <c r="V26" s="74">
        <f t="shared" ref="V26:Z26" si="10">V22+V24</f>
        <v>12864112.02184758</v>
      </c>
      <c r="W26" s="74">
        <f t="shared" si="10"/>
        <v>1104581.0305511234</v>
      </c>
      <c r="X26" s="74">
        <f t="shared" si="10"/>
        <v>846672.79182334733</v>
      </c>
      <c r="Y26" s="74">
        <f t="shared" si="10"/>
        <v>154881.60804906374</v>
      </c>
      <c r="Z26" s="74">
        <f t="shared" si="10"/>
        <v>1900668.6453820923</v>
      </c>
      <c r="AA26" s="74">
        <f>AA22+AA24</f>
        <v>24931818.571953058</v>
      </c>
      <c r="AB26" s="74"/>
      <c r="AD26" s="67"/>
      <c r="AL26" s="67"/>
      <c r="AT26" s="67"/>
      <c r="BB26" s="67"/>
      <c r="BC26" s="12"/>
      <c r="BD26" s="12"/>
      <c r="BE26" s="12"/>
      <c r="BF26" s="12"/>
    </row>
    <row r="27" spans="1:59" ht="14.45" customHeight="1" x14ac:dyDescent="0.25">
      <c r="C27" t="s">
        <v>17</v>
      </c>
      <c r="D27" s="72" cm="1">
        <f t="array" ref="D27:G27">_xlfn.LET(_xlpm.data,_xlfn.ANCHORARRAY(QTR!$E$4),_xlpm.states,_xlfn.ANCHORARRAY(QTR!$D$4),_xlpm.rev,_xlfn._xlws.FILTER(_xlpm.data,(_xlpm.states="Maryland")),
_xlfn.BYCOL(_xlpm.rev,_xlfn.LAMBDA(_xlpm.a,SUM(_xlpm.a))))</f>
        <v>39861.066666666673</v>
      </c>
      <c r="E27" s="72">
        <v>40945.226666666669</v>
      </c>
      <c r="F27" s="72">
        <v>44864.746666666673</v>
      </c>
      <c r="G27" s="72">
        <v>47524.106666666674</v>
      </c>
      <c r="H27" s="75">
        <f>SUM(D27:G27)</f>
        <v>173195.14666666667</v>
      </c>
      <c r="U27" s="105">
        <f>IFERROR(U26/SUM(U5:U6),"")</f>
        <v>0.6559996111468932</v>
      </c>
      <c r="V27" s="83">
        <f t="shared" ref="V27:AA27" si="11">V26/V5</f>
        <v>0.19490636203445882</v>
      </c>
      <c r="W27" s="83">
        <f t="shared" si="11"/>
        <v>6.9157018091044617E-2</v>
      </c>
      <c r="X27" s="83">
        <f t="shared" si="11"/>
        <v>7.9495418020982991E-2</v>
      </c>
      <c r="Y27" s="83">
        <f t="shared" si="11"/>
        <v>5.815122761806029E-2</v>
      </c>
      <c r="Z27" s="83">
        <f t="shared" si="11"/>
        <v>0.42407454349274376</v>
      </c>
      <c r="AA27" s="83">
        <f t="shared" si="11"/>
        <v>0.24989417110704851</v>
      </c>
      <c r="AB27" s="83"/>
      <c r="AD27" s="67"/>
      <c r="AL27" s="67"/>
      <c r="AT27" s="67"/>
      <c r="BB27" s="67"/>
      <c r="BC27" s="12"/>
      <c r="BD27" s="12"/>
      <c r="BE27" s="12"/>
      <c r="BF27" s="12"/>
    </row>
    <row r="28" spans="1:59" ht="14.45" customHeight="1" x14ac:dyDescent="0.25">
      <c r="C28" t="s">
        <v>18</v>
      </c>
      <c r="D28" s="72" cm="1">
        <f t="array" ref="D28:G28">_xlfn.LET(_xlpm.data,_xlfn.ANCHORARRAY(QTR!$E$4),_xlpm.states,_xlfn.ANCHORARRAY(QTR!$D$4),_xlpm.rev,_xlfn._xlws.FILTER(_xlpm.data,(_xlpm.states="North Carolina")),
_xlfn.BYCOL(_xlpm.rev,_xlfn.LAMBDA(_xlpm.a,SUM(_xlpm.a))))</f>
        <v>25617.386666666665</v>
      </c>
      <c r="E28" s="72">
        <v>28063.199999999997</v>
      </c>
      <c r="F28" s="72">
        <v>31822.559999999998</v>
      </c>
      <c r="G28" s="72">
        <v>37523.78666666666</v>
      </c>
      <c r="H28" s="75">
        <f>SUM(D28:G28)</f>
        <v>123026.93333333332</v>
      </c>
      <c r="AD28" s="67"/>
      <c r="AL28" s="67"/>
      <c r="AT28" s="67"/>
      <c r="BB28" s="67"/>
    </row>
    <row r="29" spans="1:59" ht="14.45" customHeight="1" x14ac:dyDescent="0.25">
      <c r="C29" s="187" t="s">
        <v>19</v>
      </c>
      <c r="D29" s="188" cm="1">
        <f t="array" ref="D29:G29">_xlfn.LET(_xlpm.data,_xlfn.ANCHORARRAY(QTR!$E$4),_xlpm.states,_xlfn.ANCHORARRAY(QTR!$D$4),_xlpm.rev,_xlfn._xlws.FILTER(_xlpm.data,(_xlpm.states="Arizona")),
_xlfn.BYCOL(_xlpm.rev,_xlfn.LAMBDA(_xlpm.a,SUM(_xlpm.a))))</f>
        <v>6040.32</v>
      </c>
      <c r="E29" s="188">
        <v>6866.3466666666664</v>
      </c>
      <c r="F29" s="188">
        <v>7744</v>
      </c>
      <c r="G29" s="188">
        <v>8518.4</v>
      </c>
      <c r="H29" s="189">
        <f>SUM(D29:G29)</f>
        <v>29169.066666666666</v>
      </c>
      <c r="I29" s="75"/>
      <c r="AD29" s="67"/>
      <c r="AI29" s="67"/>
      <c r="AL29" s="67"/>
      <c r="AQ29" s="67"/>
      <c r="AT29" s="67"/>
      <c r="AY29" s="67"/>
      <c r="BB29" s="67"/>
      <c r="BG29" s="67"/>
    </row>
    <row r="30" spans="1:59" ht="14.45" customHeight="1" x14ac:dyDescent="0.25">
      <c r="C30" s="1" t="s">
        <v>26</v>
      </c>
      <c r="D30" s="180">
        <f>SUM(D26:D29)</f>
        <v>113728.26666666666</v>
      </c>
      <c r="E30" s="180">
        <f>SUM(E26:E29)</f>
        <v>167104.22666666668</v>
      </c>
      <c r="F30" s="180">
        <f>SUM(F26:F29)</f>
        <v>205746.93333333335</v>
      </c>
      <c r="G30" s="180">
        <f>SUM(G26:G29)</f>
        <v>246428.74666666659</v>
      </c>
      <c r="H30" s="180">
        <f>SUM(H26:H29)</f>
        <v>733008.17333333334</v>
      </c>
      <c r="I30" s="180"/>
      <c r="V30" s="179"/>
      <c r="W30" s="179"/>
      <c r="X30" s="179"/>
      <c r="Y30" s="179"/>
      <c r="Z30" s="179"/>
      <c r="AA30" s="179"/>
      <c r="AB30" s="179"/>
      <c r="AC30" s="179"/>
      <c r="AD30" s="67"/>
      <c r="AE30" s="179"/>
      <c r="AF30" s="179"/>
      <c r="AG30" s="179"/>
      <c r="AK30" s="179"/>
      <c r="AL30" s="67"/>
      <c r="AM30" s="179"/>
      <c r="AN30" s="179"/>
      <c r="AO30" s="179"/>
      <c r="AS30" s="179"/>
      <c r="AT30" s="67"/>
      <c r="AU30" s="179"/>
      <c r="AV30" s="179"/>
      <c r="AW30" s="179"/>
      <c r="BB30" s="67"/>
      <c r="BC30" s="179"/>
      <c r="BD30" s="179"/>
      <c r="BE30" s="179"/>
    </row>
    <row r="31" spans="1:59" ht="14.45" customHeight="1" x14ac:dyDescent="0.25">
      <c r="D31" s="124"/>
      <c r="AD31" s="67"/>
      <c r="AL31" s="67"/>
      <c r="AT31" s="67"/>
      <c r="BA31" s="179"/>
      <c r="BB31" s="67"/>
    </row>
    <row r="32" spans="1:59" ht="14.45" customHeight="1" x14ac:dyDescent="0.25">
      <c r="AD32" s="67"/>
      <c r="AE32" s="179"/>
      <c r="AF32" s="179"/>
      <c r="AG32" s="179"/>
      <c r="AL32" s="67"/>
      <c r="AM32" s="179"/>
      <c r="AN32" s="179"/>
      <c r="AO32" s="179"/>
      <c r="AT32" s="67"/>
      <c r="AU32" s="179"/>
      <c r="AV32" s="179"/>
      <c r="AW32" s="179"/>
      <c r="BB32" s="67"/>
      <c r="BC32" s="179"/>
      <c r="BD32" s="179"/>
      <c r="BE32" s="179"/>
    </row>
    <row r="33" spans="3:12" x14ac:dyDescent="0.25">
      <c r="D33" s="124"/>
    </row>
    <row r="34" spans="3:12" x14ac:dyDescent="0.25">
      <c r="D34" s="96"/>
    </row>
    <row r="35" spans="3:12" x14ac:dyDescent="0.25">
      <c r="C35" s="96"/>
      <c r="J35" s="170"/>
      <c r="K35" s="170"/>
      <c r="L35" s="170"/>
    </row>
    <row r="36" spans="3:12" x14ac:dyDescent="0.25">
      <c r="J36" s="170"/>
      <c r="K36" s="170"/>
      <c r="L36" s="170"/>
    </row>
    <row r="37" spans="3:12" x14ac:dyDescent="0.25">
      <c r="J37" s="170"/>
      <c r="K37" s="170"/>
      <c r="L37" s="170"/>
    </row>
    <row r="38" spans="3:12" x14ac:dyDescent="0.25">
      <c r="J38" s="170"/>
      <c r="K38" s="170"/>
      <c r="L38" s="170"/>
    </row>
    <row r="42" spans="3:12" x14ac:dyDescent="0.25">
      <c r="J42" s="170"/>
      <c r="K42" s="170"/>
      <c r="L42" s="170"/>
    </row>
    <row r="43" spans="3:12" x14ac:dyDescent="0.25">
      <c r="J43" s="170"/>
      <c r="K43" s="170"/>
      <c r="L43" s="170"/>
    </row>
    <row r="44" spans="3:12" x14ac:dyDescent="0.25">
      <c r="J44" s="170"/>
      <c r="K44" s="170"/>
      <c r="L44" s="170"/>
    </row>
    <row r="45" spans="3:12" x14ac:dyDescent="0.25">
      <c r="J45" s="170"/>
      <c r="K45" s="170"/>
      <c r="L45" s="170"/>
    </row>
    <row r="49" spans="10:12" x14ac:dyDescent="0.25">
      <c r="J49" s="170"/>
      <c r="K49" s="170"/>
      <c r="L49" s="170"/>
    </row>
    <row r="50" spans="10:12" x14ac:dyDescent="0.25">
      <c r="J50" s="170"/>
      <c r="K50" s="170"/>
      <c r="L50" s="170"/>
    </row>
    <row r="51" spans="10:12" x14ac:dyDescent="0.25">
      <c r="J51" s="170"/>
      <c r="K51" s="170"/>
      <c r="L51" s="170"/>
    </row>
    <row r="52" spans="10:12" x14ac:dyDescent="0.25">
      <c r="J52" s="170"/>
      <c r="K52" s="170"/>
      <c r="L52" s="170"/>
    </row>
    <row r="64" spans="10:12" x14ac:dyDescent="0.25">
      <c r="L64" s="71"/>
    </row>
    <row r="65" spans="12:12" x14ac:dyDescent="0.25">
      <c r="L65" s="71"/>
    </row>
    <row r="66" spans="12:12" x14ac:dyDescent="0.25">
      <c r="L66" s="71"/>
    </row>
    <row r="67" spans="12:12" x14ac:dyDescent="0.25">
      <c r="L67" s="71"/>
    </row>
    <row r="68" spans="12:12" x14ac:dyDescent="0.25">
      <c r="L68" s="71"/>
    </row>
    <row r="69" spans="12:12" x14ac:dyDescent="0.25">
      <c r="L69" s="71"/>
    </row>
  </sheetData>
  <mergeCells count="4">
    <mergeCell ref="B16:G16"/>
    <mergeCell ref="B24:G24"/>
    <mergeCell ref="W3:Y3"/>
    <mergeCell ref="B9:G9"/>
  </mergeCells>
  <printOptions horizontalCentered="1" verticalCentered="1"/>
  <pageMargins left="0.7" right="0.7" top="0.75" bottom="0.75" header="0.3" footer="0.3"/>
  <pageSetup fitToWidth="0" orientation="landscape" r:id="rId1"/>
  <headerFooter>
    <oddFooter>&amp;L&amp;P&amp;R&amp;G</oddFooter>
  </headerFooter>
  <colBreaks count="5" manualBreakCount="5">
    <brk id="9" max="30" man="1"/>
    <brk id="18" max="30" man="1"/>
    <brk id="36" max="30" man="1"/>
    <brk id="44" max="30" man="1"/>
    <brk id="52" max="30" man="1"/>
  </colBreaks>
  <cellWatches>
    <cellWatch r="Q24"/>
    <cellWatch r="AA5"/>
    <cellWatch r="AA22"/>
  </cellWatches>
  <legacyDrawingHF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17D57C-EF19-4310-A2B8-FF616AA68FAC}">
  <sheetPr>
    <tabColor theme="7" tint="0.79998168889431442"/>
  </sheetPr>
  <dimension ref="A1:BP356"/>
  <sheetViews>
    <sheetView workbookViewId="0">
      <pane xSplit="3" ySplit="4" topLeftCell="AZ248" activePane="bottomRight" state="frozen"/>
      <selection pane="topRight"/>
      <selection pane="bottomLeft"/>
      <selection pane="bottomRight" activeCell="BF257" sqref="BF257"/>
    </sheetView>
  </sheetViews>
  <sheetFormatPr defaultColWidth="9.140625" defaultRowHeight="15" customHeight="1" outlineLevelRow="1" x14ac:dyDescent="0.25"/>
  <cols>
    <col min="1" max="1" width="18.42578125" style="17" bestFit="1" customWidth="1"/>
    <col min="2" max="2" width="45.5703125" style="17" customWidth="1"/>
    <col min="3" max="3" width="29" style="17" customWidth="1"/>
    <col min="4" max="8" width="11.5703125" style="17" customWidth="1"/>
    <col min="9" max="10" width="12" style="17" customWidth="1"/>
    <col min="11" max="11" width="11.28515625" style="17" customWidth="1"/>
    <col min="12" max="12" width="12" style="17" customWidth="1"/>
    <col min="13" max="13" width="12.7109375" style="17" customWidth="1"/>
    <col min="14" max="50" width="11.5703125" style="17" customWidth="1"/>
    <col min="51" max="52" width="11.42578125" style="17" customWidth="1"/>
    <col min="53" max="53" width="11.5703125" style="17" customWidth="1"/>
    <col min="54" max="56" width="12.7109375" style="17" customWidth="1"/>
    <col min="57" max="58" width="9.140625" style="17"/>
    <col min="59" max="59" width="10.42578125" style="17" bestFit="1" customWidth="1"/>
    <col min="60" max="60" width="9.140625" style="17"/>
    <col min="61" max="61" width="48.140625" customWidth="1"/>
    <col min="62" max="62" width="14.28515625" bestFit="1" customWidth="1"/>
    <col min="63" max="63" width="12.5703125" bestFit="1" customWidth="1"/>
    <col min="64" max="64" width="12.85546875" bestFit="1" customWidth="1"/>
    <col min="65" max="66" width="11.5703125" bestFit="1" customWidth="1"/>
    <col min="67" max="16384" width="9.140625" style="17"/>
  </cols>
  <sheetData>
    <row r="1" spans="2:68" x14ac:dyDescent="0.25">
      <c r="B1" s="202"/>
      <c r="C1" s="35" t="s">
        <v>63</v>
      </c>
      <c r="D1" s="202" t="s">
        <v>13</v>
      </c>
      <c r="E1" s="203" t="s">
        <v>43</v>
      </c>
      <c r="F1" s="203" t="s">
        <v>43</v>
      </c>
      <c r="G1" s="203" t="s">
        <v>43</v>
      </c>
      <c r="H1" s="203" t="s">
        <v>43</v>
      </c>
      <c r="I1" s="202" t="s">
        <v>61</v>
      </c>
      <c r="J1" s="202" t="s">
        <v>344</v>
      </c>
      <c r="K1" s="202" t="s">
        <v>61</v>
      </c>
      <c r="L1" s="202" t="s">
        <v>344</v>
      </c>
      <c r="M1" s="202" t="s">
        <v>61</v>
      </c>
      <c r="N1" s="202" t="s">
        <v>61</v>
      </c>
      <c r="O1" s="202" t="s">
        <v>61</v>
      </c>
      <c r="P1" s="202" t="s">
        <v>344</v>
      </c>
      <c r="Q1" s="202" t="s">
        <v>61</v>
      </c>
      <c r="R1" s="202" t="s">
        <v>344</v>
      </c>
      <c r="S1" s="202" t="s">
        <v>61</v>
      </c>
      <c r="T1" s="202" t="s">
        <v>344</v>
      </c>
      <c r="U1" s="202" t="s">
        <v>61</v>
      </c>
      <c r="V1" s="202" t="s">
        <v>61</v>
      </c>
      <c r="W1" s="202" t="s">
        <v>344</v>
      </c>
      <c r="X1" s="203" t="s">
        <v>61</v>
      </c>
      <c r="Y1" s="203" t="s">
        <v>344</v>
      </c>
      <c r="Z1" s="203" t="s">
        <v>61</v>
      </c>
      <c r="AA1" s="203" t="s">
        <v>344</v>
      </c>
      <c r="AB1" s="203" t="s">
        <v>61</v>
      </c>
      <c r="AC1" s="203" t="s">
        <v>344</v>
      </c>
      <c r="AD1" s="203" t="s">
        <v>61</v>
      </c>
      <c r="AE1" s="203" t="s">
        <v>344</v>
      </c>
      <c r="AF1" s="203" t="s">
        <v>61</v>
      </c>
      <c r="AG1" s="203" t="s">
        <v>61</v>
      </c>
      <c r="AH1" s="203" t="s">
        <v>344</v>
      </c>
      <c r="AI1" s="203" t="s">
        <v>61</v>
      </c>
      <c r="AJ1" s="203" t="s">
        <v>61</v>
      </c>
      <c r="AK1" s="203" t="s">
        <v>344</v>
      </c>
      <c r="AL1" s="203" t="s">
        <v>61</v>
      </c>
      <c r="AM1" s="203" t="s">
        <v>344</v>
      </c>
      <c r="AN1" s="203" t="s">
        <v>61</v>
      </c>
      <c r="AO1" s="203" t="s">
        <v>61</v>
      </c>
      <c r="AP1" s="203" t="s">
        <v>61</v>
      </c>
      <c r="AQ1" s="203" t="s">
        <v>344</v>
      </c>
      <c r="AR1" s="203" t="s">
        <v>61</v>
      </c>
      <c r="AS1" s="203" t="s">
        <v>344</v>
      </c>
      <c r="AT1" s="203" t="s">
        <v>61</v>
      </c>
      <c r="AU1" s="203" t="s">
        <v>61</v>
      </c>
      <c r="AV1" s="203" t="s">
        <v>61</v>
      </c>
      <c r="AW1" s="203" t="s">
        <v>61</v>
      </c>
      <c r="AX1" s="203" t="s">
        <v>61</v>
      </c>
      <c r="AY1" s="202" t="s">
        <v>61</v>
      </c>
      <c r="AZ1" s="202" t="s">
        <v>344</v>
      </c>
      <c r="BA1" s="203" t="s">
        <v>61</v>
      </c>
      <c r="BB1" s="202" t="s">
        <v>344</v>
      </c>
      <c r="BC1" s="202" t="s">
        <v>344</v>
      </c>
      <c r="BD1" s="202" t="s">
        <v>344</v>
      </c>
      <c r="BE1" s="202"/>
      <c r="BF1" s="202"/>
      <c r="BG1" s="202"/>
      <c r="BH1" s="202"/>
      <c r="BO1" s="202"/>
      <c r="BP1" s="202"/>
    </row>
    <row r="2" spans="2:68" x14ac:dyDescent="0.25">
      <c r="B2" s="202"/>
      <c r="C2" s="35" t="s">
        <v>59</v>
      </c>
      <c r="D2" s="202" t="s">
        <v>13</v>
      </c>
      <c r="E2" s="203" t="s">
        <v>43</v>
      </c>
      <c r="F2" s="203" t="s">
        <v>43</v>
      </c>
      <c r="G2" s="203" t="s">
        <v>43</v>
      </c>
      <c r="H2" s="203" t="s">
        <v>43</v>
      </c>
      <c r="I2" s="202" t="s">
        <v>32</v>
      </c>
      <c r="J2" s="202" t="s">
        <v>32</v>
      </c>
      <c r="K2" s="202" t="s">
        <v>32</v>
      </c>
      <c r="L2" s="202" t="s">
        <v>32</v>
      </c>
      <c r="M2" s="202" t="s">
        <v>29</v>
      </c>
      <c r="N2" s="202" t="s">
        <v>29</v>
      </c>
      <c r="O2" s="202" t="s">
        <v>29</v>
      </c>
      <c r="P2" s="202" t="s">
        <v>29</v>
      </c>
      <c r="Q2" s="202" t="s">
        <v>29</v>
      </c>
      <c r="R2" s="202" t="s">
        <v>29</v>
      </c>
      <c r="S2" s="202" t="s">
        <v>29</v>
      </c>
      <c r="T2" s="202" t="s">
        <v>29</v>
      </c>
      <c r="U2" s="202" t="s">
        <v>29</v>
      </c>
      <c r="V2" s="202" t="s">
        <v>29</v>
      </c>
      <c r="W2" s="202" t="s">
        <v>29</v>
      </c>
      <c r="X2" s="203" t="s">
        <v>29</v>
      </c>
      <c r="Y2" s="203" t="s">
        <v>29</v>
      </c>
      <c r="Z2" s="203" t="s">
        <v>29</v>
      </c>
      <c r="AA2" s="203" t="s">
        <v>29</v>
      </c>
      <c r="AB2" s="203" t="s">
        <v>29</v>
      </c>
      <c r="AC2" s="203" t="s">
        <v>29</v>
      </c>
      <c r="AD2" s="203" t="s">
        <v>29</v>
      </c>
      <c r="AE2" s="203" t="s">
        <v>29</v>
      </c>
      <c r="AF2" s="203" t="s">
        <v>29</v>
      </c>
      <c r="AG2" s="203" t="s">
        <v>29</v>
      </c>
      <c r="AH2" s="203" t="s">
        <v>29</v>
      </c>
      <c r="AI2" s="203" t="s">
        <v>29</v>
      </c>
      <c r="AJ2" s="203" t="s">
        <v>29</v>
      </c>
      <c r="AK2" s="203" t="s">
        <v>29</v>
      </c>
      <c r="AL2" s="203" t="s">
        <v>29</v>
      </c>
      <c r="AM2" s="203" t="s">
        <v>29</v>
      </c>
      <c r="AN2" s="203" t="s">
        <v>29</v>
      </c>
      <c r="AO2" s="203" t="s">
        <v>29</v>
      </c>
      <c r="AP2" s="203" t="s">
        <v>29</v>
      </c>
      <c r="AQ2" s="203" t="s">
        <v>29</v>
      </c>
      <c r="AR2" s="203" t="s">
        <v>32</v>
      </c>
      <c r="AS2" s="203" t="s">
        <v>32</v>
      </c>
      <c r="AT2" s="203" t="s">
        <v>32</v>
      </c>
      <c r="AU2" s="203" t="s">
        <v>32</v>
      </c>
      <c r="AV2" s="203" t="s">
        <v>35</v>
      </c>
      <c r="AW2" s="203" t="s">
        <v>35</v>
      </c>
      <c r="AX2" s="203" t="s">
        <v>35</v>
      </c>
      <c r="AY2" s="202" t="s">
        <v>35</v>
      </c>
      <c r="AZ2" s="202" t="s">
        <v>35</v>
      </c>
      <c r="BA2" s="203" t="s">
        <v>35</v>
      </c>
      <c r="BB2" s="202" t="s">
        <v>37</v>
      </c>
      <c r="BC2" s="202" t="s">
        <v>37</v>
      </c>
      <c r="BD2" s="202" t="s">
        <v>37</v>
      </c>
      <c r="BE2" s="202"/>
      <c r="BF2" s="202"/>
      <c r="BG2" s="202"/>
      <c r="BH2" s="202"/>
      <c r="BO2" s="202"/>
      <c r="BP2" s="202"/>
    </row>
    <row r="3" spans="2:68" x14ac:dyDescent="0.25">
      <c r="B3" s="202"/>
      <c r="C3" s="35" t="s">
        <v>64</v>
      </c>
      <c r="D3" s="58" t="s">
        <v>408</v>
      </c>
      <c r="E3" s="58" t="s">
        <v>409</v>
      </c>
      <c r="F3" s="58" t="s">
        <v>410</v>
      </c>
      <c r="G3" s="58" t="s">
        <v>411</v>
      </c>
      <c r="H3" s="58" t="s">
        <v>412</v>
      </c>
      <c r="I3" s="58" t="s">
        <v>418</v>
      </c>
      <c r="J3" s="58" t="s">
        <v>421</v>
      </c>
      <c r="K3" s="58" t="s">
        <v>419</v>
      </c>
      <c r="L3" s="58" t="s">
        <v>436</v>
      </c>
      <c r="M3" s="58" t="s">
        <v>420</v>
      </c>
      <c r="N3" s="58" t="s">
        <v>422</v>
      </c>
      <c r="O3" s="58" t="s">
        <v>423</v>
      </c>
      <c r="P3" s="58" t="s">
        <v>424</v>
      </c>
      <c r="Q3" s="58" t="s">
        <v>425</v>
      </c>
      <c r="R3" s="58" t="s">
        <v>426</v>
      </c>
      <c r="S3" s="58" t="s">
        <v>427</v>
      </c>
      <c r="T3" s="58" t="s">
        <v>430</v>
      </c>
      <c r="U3" s="58" t="s">
        <v>428</v>
      </c>
      <c r="V3" s="58" t="s">
        <v>429</v>
      </c>
      <c r="W3" s="58" t="s">
        <v>437</v>
      </c>
      <c r="X3" s="58" t="s">
        <v>65</v>
      </c>
      <c r="Y3" s="58" t="s">
        <v>65</v>
      </c>
      <c r="Z3" s="58" t="s">
        <v>66</v>
      </c>
      <c r="AA3" s="58" t="s">
        <v>66</v>
      </c>
      <c r="AB3" s="58" t="s">
        <v>67</v>
      </c>
      <c r="AC3" s="58" t="s">
        <v>67</v>
      </c>
      <c r="AD3" s="58" t="s">
        <v>68</v>
      </c>
      <c r="AE3" s="58" t="s">
        <v>68</v>
      </c>
      <c r="AF3" s="58" t="s">
        <v>69</v>
      </c>
      <c r="AG3" s="58" t="s">
        <v>70</v>
      </c>
      <c r="AH3" s="58" t="s">
        <v>70</v>
      </c>
      <c r="AI3" s="58" t="s">
        <v>71</v>
      </c>
      <c r="AJ3" s="58" t="s">
        <v>72</v>
      </c>
      <c r="AK3" s="58" t="s">
        <v>72</v>
      </c>
      <c r="AL3" s="58" t="s">
        <v>73</v>
      </c>
      <c r="AM3" s="58" t="s">
        <v>73</v>
      </c>
      <c r="AN3" s="58" t="s">
        <v>74</v>
      </c>
      <c r="AO3" s="58" t="s">
        <v>75</v>
      </c>
      <c r="AP3" s="58" t="s">
        <v>76</v>
      </c>
      <c r="AQ3" s="58" t="s">
        <v>77</v>
      </c>
      <c r="AR3" s="58" t="s">
        <v>78</v>
      </c>
      <c r="AS3" s="58" t="s">
        <v>78</v>
      </c>
      <c r="AT3" s="58" t="s">
        <v>79</v>
      </c>
      <c r="AU3" s="58" t="s">
        <v>80</v>
      </c>
      <c r="AV3" s="58" t="s">
        <v>81</v>
      </c>
      <c r="AW3" s="58" t="s">
        <v>82</v>
      </c>
      <c r="AX3" s="58" t="s">
        <v>457</v>
      </c>
      <c r="AY3" s="58" t="s">
        <v>431</v>
      </c>
      <c r="AZ3" s="58" t="s">
        <v>432</v>
      </c>
      <c r="BA3" s="58" t="s">
        <v>83</v>
      </c>
      <c r="BB3" s="58" t="s">
        <v>433</v>
      </c>
      <c r="BC3" s="58" t="s">
        <v>435</v>
      </c>
      <c r="BD3" s="58" t="s">
        <v>434</v>
      </c>
      <c r="BE3" s="202"/>
      <c r="BF3" s="202"/>
      <c r="BG3" s="202"/>
      <c r="BH3" s="202"/>
      <c r="BO3" s="202"/>
      <c r="BP3" s="202"/>
    </row>
    <row r="4" spans="2:68" x14ac:dyDescent="0.25">
      <c r="B4" s="19" t="s">
        <v>84</v>
      </c>
      <c r="C4" s="19"/>
      <c r="D4" s="20" t="str">
        <f t="shared" ref="D4:I4" si="0">D3&amp;"-"&amp;D1</f>
        <v>New York City-MSO</v>
      </c>
      <c r="E4" s="20" t="str">
        <f t="shared" si="0"/>
        <v>Microsoft-M&amp;A</v>
      </c>
      <c r="F4" s="20" t="str">
        <f t="shared" si="0"/>
        <v>Apple-M&amp;A</v>
      </c>
      <c r="G4" s="20" t="str">
        <f t="shared" si="0"/>
        <v>Netflix-M&amp;A</v>
      </c>
      <c r="H4" s="20" t="str">
        <f t="shared" si="0"/>
        <v>Meta-M&amp;A</v>
      </c>
      <c r="I4" s="20" t="str">
        <f t="shared" si="0"/>
        <v>MDA1-Center</v>
      </c>
      <c r="J4" s="20" t="str">
        <f t="shared" ref="J4:BD4" si="1">J3&amp;"-"&amp;J1</f>
        <v>MDB1-Remote</v>
      </c>
      <c r="K4" s="20" t="str">
        <f t="shared" si="1"/>
        <v>MDA3-Center</v>
      </c>
      <c r="L4" s="20" t="str">
        <f t="shared" ref="L4" si="2">L3&amp;"-"&amp;L1</f>
        <v>MDB2-Remote</v>
      </c>
      <c r="M4" s="20" t="str">
        <f t="shared" si="1"/>
        <v>NJA1-Center</v>
      </c>
      <c r="N4" s="20" t="str">
        <f t="shared" si="1"/>
        <v>NJA2-Center</v>
      </c>
      <c r="O4" s="20" t="str">
        <f t="shared" ref="O4" si="3">O3&amp;"-"&amp;O1</f>
        <v>NJA3-Center</v>
      </c>
      <c r="P4" s="20" t="str">
        <f t="shared" ref="P4" si="4">P3&amp;"-"&amp;P1</f>
        <v>NJB1-Remote</v>
      </c>
      <c r="Q4" s="20" t="str">
        <f t="shared" si="1"/>
        <v>NJA4-Center</v>
      </c>
      <c r="R4" s="20" t="str">
        <f t="shared" si="1"/>
        <v>NJB2-Remote</v>
      </c>
      <c r="S4" s="20" t="str">
        <f t="shared" si="1"/>
        <v>NJA5-Center</v>
      </c>
      <c r="T4" s="20" t="str">
        <f t="shared" si="1"/>
        <v>NJB3-Remote</v>
      </c>
      <c r="U4" s="20" t="str">
        <f t="shared" ref="U4" si="5">U3&amp;"-"&amp;U1</f>
        <v>NJA6-Center</v>
      </c>
      <c r="V4" s="20" t="str">
        <f t="shared" ref="V4:AH4" si="6">V3&amp;"-"&amp;V1</f>
        <v>NJA7-Center</v>
      </c>
      <c r="W4" s="20" t="str">
        <f t="shared" si="6"/>
        <v>NJB4-Remote</v>
      </c>
      <c r="X4" s="20" t="str">
        <f t="shared" ref="X4:Y4" si="7">X3&amp;"-"&amp;X1</f>
        <v>NJ-2026-01-Center</v>
      </c>
      <c r="Y4" s="20" t="str">
        <f t="shared" si="7"/>
        <v>NJ-2026-01-Remote</v>
      </c>
      <c r="Z4" s="20" t="str">
        <f t="shared" ref="Z4:AA4" si="8">Z3&amp;"-"&amp;Z1</f>
        <v>NJ-2026-02-Center</v>
      </c>
      <c r="AA4" s="20" t="str">
        <f t="shared" si="8"/>
        <v>NJ-2026-02-Remote</v>
      </c>
      <c r="AB4" s="20" t="str">
        <f t="shared" si="6"/>
        <v>NJ-2027-01-Center</v>
      </c>
      <c r="AC4" s="20" t="str">
        <f t="shared" si="6"/>
        <v>NJ-2027-01-Remote</v>
      </c>
      <c r="AD4" s="20" t="str">
        <f t="shared" ref="AD4:AE4" si="9">AD3&amp;"-"&amp;AD1</f>
        <v>NJ-2027-02-Center</v>
      </c>
      <c r="AE4" s="20" t="str">
        <f t="shared" si="9"/>
        <v>NJ-2027-02-Remote</v>
      </c>
      <c r="AF4" s="20" t="str">
        <f t="shared" si="6"/>
        <v>NJ-2027-03-Center</v>
      </c>
      <c r="AG4" s="20" t="str">
        <f t="shared" si="6"/>
        <v>NJ-2027-04-Center</v>
      </c>
      <c r="AH4" s="20" t="str">
        <f t="shared" si="6"/>
        <v>NJ-2027-04-Remote</v>
      </c>
      <c r="AI4" s="20" t="str">
        <f t="shared" ref="AI4" si="10">AI3&amp;"-"&amp;AI1</f>
        <v>NJ-2027-05-Center</v>
      </c>
      <c r="AJ4" s="20" t="str">
        <f t="shared" ref="AJ4:AP4" si="11">AJ3&amp;"-"&amp;AJ1</f>
        <v>NJ-2028-01-Center</v>
      </c>
      <c r="AK4" s="20" t="str">
        <f t="shared" si="11"/>
        <v>NJ-2028-01-Remote</v>
      </c>
      <c r="AL4" s="20" t="str">
        <f t="shared" si="11"/>
        <v>NJ-2028-02-Center</v>
      </c>
      <c r="AM4" s="20" t="str">
        <f t="shared" si="11"/>
        <v>NJ-2028-02-Remote</v>
      </c>
      <c r="AN4" s="20" t="str">
        <f t="shared" si="11"/>
        <v>NJ-2028-03-Center</v>
      </c>
      <c r="AO4" s="20" t="str">
        <f t="shared" si="11"/>
        <v>NJ-2028-04-Center</v>
      </c>
      <c r="AP4" s="20" t="str">
        <f t="shared" si="11"/>
        <v>NJ-2028-05-Center</v>
      </c>
      <c r="AQ4" s="20" t="str">
        <f t="shared" ref="AQ4:AR4" si="12">AQ3&amp;"-"&amp;AQ1</f>
        <v>NJ-2028-06-Remote</v>
      </c>
      <c r="AR4" s="20" t="str">
        <f t="shared" si="12"/>
        <v>MD-2026-01-Center</v>
      </c>
      <c r="AS4" s="20" t="str">
        <f>AS3&amp;"-"&amp;AS1</f>
        <v>MD-2026-01-Remote</v>
      </c>
      <c r="AT4" s="20" t="str">
        <f t="shared" ref="AT4" si="13">AT3&amp;"-"&amp;AT1</f>
        <v>MD-2027-01-Center</v>
      </c>
      <c r="AU4" s="20" t="str">
        <f t="shared" ref="AU4" si="14">AU3&amp;"-"&amp;AU1</f>
        <v>MD-2028-01-Center</v>
      </c>
      <c r="AV4" s="20" t="str">
        <f t="shared" ref="AV4:AW4" si="15">AV3&amp;"-"&amp;AV1</f>
        <v>NC-2026-01-Center</v>
      </c>
      <c r="AW4" s="20" t="str">
        <f t="shared" si="15"/>
        <v>NC-2027-01-Center</v>
      </c>
      <c r="AX4" s="20" t="str">
        <f t="shared" ref="AX4" si="16">AX3&amp;"-"&amp;AX1</f>
        <v>NCA9-Center</v>
      </c>
      <c r="AY4" s="20" t="str">
        <f t="shared" si="1"/>
        <v>GBA1-Center</v>
      </c>
      <c r="AZ4" s="20" t="str">
        <f t="shared" si="1"/>
        <v>GBB1-Remote</v>
      </c>
      <c r="BA4" s="20" t="str">
        <f t="shared" si="1"/>
        <v>NC-2026-02-Center</v>
      </c>
      <c r="BB4" s="20" t="str">
        <f t="shared" ref="BB4:BC4" si="17">BB3&amp;"-"&amp;BB1</f>
        <v>AZB2-Remote</v>
      </c>
      <c r="BC4" s="20" t="str">
        <f t="shared" si="17"/>
        <v>AZB3-Remote</v>
      </c>
      <c r="BD4" s="20" t="str">
        <f t="shared" si="1"/>
        <v>AZB1-Remote</v>
      </c>
      <c r="BE4" s="202"/>
      <c r="BF4" s="202"/>
      <c r="BG4" s="202"/>
      <c r="BH4" s="202"/>
      <c r="BI4" s="8" t="s">
        <v>206</v>
      </c>
      <c r="BJ4" s="11">
        <v>2026</v>
      </c>
      <c r="BK4" s="9" cm="1">
        <f t="array" ref="BK4:BL4">_xlfn.SEQUENCE(1,2,BJ4+1)</f>
        <v>2027</v>
      </c>
      <c r="BL4" s="9">
        <v>2028</v>
      </c>
      <c r="BM4" s="9"/>
      <c r="BN4" s="9"/>
      <c r="BO4" s="202"/>
      <c r="BP4" s="202"/>
    </row>
    <row r="5" spans="2:68" outlineLevel="1" x14ac:dyDescent="0.25">
      <c r="B5" s="202" t="s">
        <v>85</v>
      </c>
      <c r="C5" s="202"/>
      <c r="D5" s="21">
        <v>44197</v>
      </c>
      <c r="E5" s="21">
        <v>46023</v>
      </c>
      <c r="F5" s="21">
        <v>46296</v>
      </c>
      <c r="G5" s="21">
        <v>46388</v>
      </c>
      <c r="H5" s="21">
        <v>46753</v>
      </c>
      <c r="I5" s="21">
        <v>44197</v>
      </c>
      <c r="J5" s="21">
        <v>44197</v>
      </c>
      <c r="K5" s="21">
        <v>45505</v>
      </c>
      <c r="L5" s="21">
        <v>45505</v>
      </c>
      <c r="M5" s="21">
        <v>45992</v>
      </c>
      <c r="N5" s="21">
        <v>45992</v>
      </c>
      <c r="O5" s="21">
        <v>46082</v>
      </c>
      <c r="P5" s="21">
        <v>46113</v>
      </c>
      <c r="Q5" s="21">
        <v>45778</v>
      </c>
      <c r="R5" s="21">
        <v>45778</v>
      </c>
      <c r="S5" s="21">
        <v>46113</v>
      </c>
      <c r="T5" s="21">
        <v>46143</v>
      </c>
      <c r="U5" s="21">
        <v>46082</v>
      </c>
      <c r="V5" s="21">
        <v>46327</v>
      </c>
      <c r="W5" s="21">
        <v>46327</v>
      </c>
      <c r="X5" s="21">
        <v>46266</v>
      </c>
      <c r="Y5" s="21">
        <v>46296</v>
      </c>
      <c r="Z5" s="21">
        <v>46204</v>
      </c>
      <c r="AA5" s="21">
        <v>46419</v>
      </c>
      <c r="AB5" s="21">
        <v>46447</v>
      </c>
      <c r="AC5" s="21">
        <v>46539</v>
      </c>
      <c r="AD5" s="21">
        <v>46600</v>
      </c>
      <c r="AE5" s="21">
        <v>46661</v>
      </c>
      <c r="AF5" s="21">
        <v>46692</v>
      </c>
      <c r="AG5" s="21">
        <v>46722</v>
      </c>
      <c r="AH5" s="21">
        <v>46813</v>
      </c>
      <c r="AI5" s="21">
        <v>46569</v>
      </c>
      <c r="AJ5" s="21">
        <v>46935</v>
      </c>
      <c r="AK5" s="21">
        <v>46905</v>
      </c>
      <c r="AL5" s="21">
        <v>46966</v>
      </c>
      <c r="AM5" s="21">
        <v>46997</v>
      </c>
      <c r="AN5" s="21">
        <v>46997</v>
      </c>
      <c r="AO5" s="21">
        <v>47027</v>
      </c>
      <c r="AP5" s="21">
        <v>47058</v>
      </c>
      <c r="AQ5" s="21">
        <v>47088</v>
      </c>
      <c r="AR5" s="21">
        <v>46204</v>
      </c>
      <c r="AS5" s="21">
        <v>46023</v>
      </c>
      <c r="AT5" s="21">
        <v>46600</v>
      </c>
      <c r="AU5" s="21">
        <v>46905</v>
      </c>
      <c r="AV5" s="21">
        <v>46174</v>
      </c>
      <c r="AW5" s="21">
        <v>46569</v>
      </c>
      <c r="AX5" s="21">
        <v>46905</v>
      </c>
      <c r="AY5" s="21">
        <v>45689</v>
      </c>
      <c r="AZ5" s="133">
        <v>44958</v>
      </c>
      <c r="BA5" s="21">
        <v>46296</v>
      </c>
      <c r="BB5" s="21">
        <v>46023</v>
      </c>
      <c r="BC5" s="21">
        <v>46388</v>
      </c>
      <c r="BD5" s="21">
        <v>44927</v>
      </c>
      <c r="BE5" s="202"/>
      <c r="BF5" s="202"/>
      <c r="BG5" s="202"/>
      <c r="BH5" s="202"/>
      <c r="BI5" s="7"/>
      <c r="BJ5" s="4" t="s">
        <v>207</v>
      </c>
      <c r="BO5" s="202"/>
      <c r="BP5" s="202"/>
    </row>
    <row r="6" spans="2:68" outlineLevel="1" x14ac:dyDescent="0.25">
      <c r="B6" s="202" t="s">
        <v>86</v>
      </c>
      <c r="C6" s="80" t="s">
        <v>87</v>
      </c>
      <c r="D6" s="22">
        <v>0</v>
      </c>
      <c r="E6" s="22">
        <v>500</v>
      </c>
      <c r="F6" s="22">
        <v>240</v>
      </c>
      <c r="G6" s="22">
        <v>240</v>
      </c>
      <c r="H6" s="22">
        <v>240</v>
      </c>
      <c r="I6" s="22">
        <v>52</v>
      </c>
      <c r="J6" s="22">
        <v>36</v>
      </c>
      <c r="K6" s="22">
        <v>37</v>
      </c>
      <c r="L6" s="22">
        <v>36</v>
      </c>
      <c r="M6" s="22">
        <v>42</v>
      </c>
      <c r="N6" s="22">
        <v>42</v>
      </c>
      <c r="O6" s="22">
        <v>42</v>
      </c>
      <c r="P6" s="22">
        <v>24</v>
      </c>
      <c r="Q6" s="22">
        <v>42</v>
      </c>
      <c r="R6" s="22">
        <v>24</v>
      </c>
      <c r="S6" s="22">
        <v>42</v>
      </c>
      <c r="T6" s="22">
        <v>24</v>
      </c>
      <c r="U6" s="22">
        <v>42</v>
      </c>
      <c r="V6" s="22">
        <v>42</v>
      </c>
      <c r="W6" s="22">
        <v>24</v>
      </c>
      <c r="X6" s="22">
        <v>42</v>
      </c>
      <c r="Y6" s="22">
        <v>24</v>
      </c>
      <c r="Z6" s="22">
        <v>42</v>
      </c>
      <c r="AA6" s="22">
        <v>24</v>
      </c>
      <c r="AB6" s="22">
        <v>42</v>
      </c>
      <c r="AC6" s="22">
        <v>24</v>
      </c>
      <c r="AD6" s="22">
        <v>42</v>
      </c>
      <c r="AE6" s="22">
        <v>24</v>
      </c>
      <c r="AF6" s="22">
        <v>42</v>
      </c>
      <c r="AG6" s="22">
        <v>42</v>
      </c>
      <c r="AH6" s="22">
        <v>24</v>
      </c>
      <c r="AI6" s="22">
        <v>42</v>
      </c>
      <c r="AJ6" s="22">
        <v>42</v>
      </c>
      <c r="AK6" s="22">
        <v>24</v>
      </c>
      <c r="AL6" s="22">
        <v>42</v>
      </c>
      <c r="AM6" s="22">
        <v>24</v>
      </c>
      <c r="AN6" s="22">
        <v>42</v>
      </c>
      <c r="AO6" s="22">
        <v>42</v>
      </c>
      <c r="AP6" s="22">
        <v>42</v>
      </c>
      <c r="AQ6" s="22">
        <v>24</v>
      </c>
      <c r="AR6" s="22">
        <v>40</v>
      </c>
      <c r="AS6" s="22">
        <v>28</v>
      </c>
      <c r="AT6" s="22">
        <v>40</v>
      </c>
      <c r="AU6" s="22">
        <v>40</v>
      </c>
      <c r="AV6" s="22">
        <v>42</v>
      </c>
      <c r="AW6" s="22">
        <v>42</v>
      </c>
      <c r="AX6" s="22">
        <v>42</v>
      </c>
      <c r="AY6" s="22">
        <v>34</v>
      </c>
      <c r="AZ6" s="134">
        <v>240</v>
      </c>
      <c r="BA6" s="22">
        <v>40</v>
      </c>
      <c r="BB6" s="22">
        <v>25</v>
      </c>
      <c r="BC6" s="22">
        <v>24</v>
      </c>
      <c r="BD6" s="22">
        <v>36</v>
      </c>
      <c r="BE6" s="202"/>
      <c r="BF6" s="202"/>
      <c r="BG6" s="80"/>
      <c r="BH6" s="202"/>
      <c r="BP6" s="202"/>
    </row>
    <row r="7" spans="2:68" outlineLevel="1" x14ac:dyDescent="0.25">
      <c r="B7" s="202" t="s">
        <v>88</v>
      </c>
      <c r="C7" s="80" t="s">
        <v>89</v>
      </c>
      <c r="D7" s="22">
        <v>0</v>
      </c>
      <c r="E7" s="22">
        <v>400</v>
      </c>
      <c r="F7" s="22">
        <v>100</v>
      </c>
      <c r="G7" s="22">
        <v>100</v>
      </c>
      <c r="H7" s="22">
        <v>100</v>
      </c>
      <c r="I7" s="22">
        <v>12</v>
      </c>
      <c r="J7" s="22">
        <v>12</v>
      </c>
      <c r="K7" s="22">
        <v>12</v>
      </c>
      <c r="L7" s="22">
        <v>12</v>
      </c>
      <c r="M7" s="22">
        <v>14</v>
      </c>
      <c r="N7" s="22">
        <v>14</v>
      </c>
      <c r="O7" s="22">
        <v>14</v>
      </c>
      <c r="P7" s="22">
        <v>14</v>
      </c>
      <c r="Q7" s="22">
        <v>12</v>
      </c>
      <c r="R7" s="22">
        <v>12</v>
      </c>
      <c r="S7" s="22">
        <v>14</v>
      </c>
      <c r="T7" s="22">
        <v>14</v>
      </c>
      <c r="U7" s="22">
        <v>14</v>
      </c>
      <c r="V7" s="22">
        <v>14</v>
      </c>
      <c r="W7" s="22">
        <v>14</v>
      </c>
      <c r="X7" s="22">
        <v>14</v>
      </c>
      <c r="Y7" s="22">
        <v>14</v>
      </c>
      <c r="Z7" s="22">
        <v>14</v>
      </c>
      <c r="AA7" s="22">
        <v>14</v>
      </c>
      <c r="AB7" s="22">
        <v>14</v>
      </c>
      <c r="AC7" s="22">
        <v>14</v>
      </c>
      <c r="AD7" s="22">
        <v>14</v>
      </c>
      <c r="AE7" s="22">
        <v>14</v>
      </c>
      <c r="AF7" s="22">
        <v>14</v>
      </c>
      <c r="AG7" s="22">
        <v>14</v>
      </c>
      <c r="AH7" s="22">
        <v>14</v>
      </c>
      <c r="AI7" s="22">
        <v>14</v>
      </c>
      <c r="AJ7" s="22">
        <v>14</v>
      </c>
      <c r="AK7" s="22">
        <v>14</v>
      </c>
      <c r="AL7" s="22">
        <v>14</v>
      </c>
      <c r="AM7" s="22">
        <v>14</v>
      </c>
      <c r="AN7" s="22">
        <v>14</v>
      </c>
      <c r="AO7" s="22">
        <v>14</v>
      </c>
      <c r="AP7" s="22">
        <v>14</v>
      </c>
      <c r="AQ7" s="22">
        <v>14</v>
      </c>
      <c r="AR7" s="22">
        <v>14</v>
      </c>
      <c r="AS7" s="22">
        <v>12</v>
      </c>
      <c r="AT7" s="22">
        <v>14</v>
      </c>
      <c r="AU7" s="22">
        <v>14</v>
      </c>
      <c r="AV7" s="22">
        <v>14</v>
      </c>
      <c r="AW7" s="22">
        <v>14</v>
      </c>
      <c r="AX7" s="22">
        <v>14</v>
      </c>
      <c r="AY7" s="22">
        <v>14</v>
      </c>
      <c r="AZ7" s="134">
        <v>87</v>
      </c>
      <c r="BA7" s="22">
        <v>14</v>
      </c>
      <c r="BB7" s="22">
        <v>14</v>
      </c>
      <c r="BC7" s="22">
        <v>14</v>
      </c>
      <c r="BD7" s="22">
        <v>14</v>
      </c>
      <c r="BE7" s="202"/>
      <c r="BF7" s="202"/>
      <c r="BG7" s="80"/>
      <c r="BH7" s="202"/>
      <c r="BP7" s="202"/>
    </row>
    <row r="8" spans="2:68" outlineLevel="1" x14ac:dyDescent="0.25">
      <c r="B8" s="224" t="s">
        <v>470</v>
      </c>
      <c r="C8" s="202"/>
      <c r="D8" s="22">
        <v>0</v>
      </c>
      <c r="E8" s="22"/>
      <c r="F8" s="22"/>
      <c r="G8" s="22"/>
      <c r="H8" s="22"/>
      <c r="I8" s="22">
        <v>4</v>
      </c>
      <c r="J8" s="22">
        <v>2</v>
      </c>
      <c r="K8" s="22">
        <v>4</v>
      </c>
      <c r="L8" s="22">
        <v>2</v>
      </c>
      <c r="M8" s="22">
        <v>4</v>
      </c>
      <c r="N8" s="22">
        <v>4</v>
      </c>
      <c r="O8" s="22">
        <v>4</v>
      </c>
      <c r="P8" s="22">
        <v>2</v>
      </c>
      <c r="Q8" s="22">
        <v>4</v>
      </c>
      <c r="R8" s="22">
        <v>2</v>
      </c>
      <c r="S8" s="22">
        <v>4</v>
      </c>
      <c r="T8" s="22">
        <v>2</v>
      </c>
      <c r="U8" s="22">
        <v>4</v>
      </c>
      <c r="V8" s="22">
        <v>4</v>
      </c>
      <c r="W8" s="22">
        <v>2</v>
      </c>
      <c r="X8" s="22">
        <v>4</v>
      </c>
      <c r="Y8" s="22">
        <v>2</v>
      </c>
      <c r="Z8" s="22">
        <v>4</v>
      </c>
      <c r="AA8" s="22">
        <v>2</v>
      </c>
      <c r="AB8" s="22">
        <v>4</v>
      </c>
      <c r="AC8" s="22">
        <v>2</v>
      </c>
      <c r="AD8" s="22">
        <v>4</v>
      </c>
      <c r="AE8" s="22">
        <v>2</v>
      </c>
      <c r="AF8" s="22">
        <v>4</v>
      </c>
      <c r="AG8" s="22">
        <v>4</v>
      </c>
      <c r="AH8" s="22">
        <v>2</v>
      </c>
      <c r="AI8" s="22">
        <v>4</v>
      </c>
      <c r="AJ8" s="22">
        <v>4</v>
      </c>
      <c r="AK8" s="22">
        <v>2</v>
      </c>
      <c r="AL8" s="22">
        <v>4</v>
      </c>
      <c r="AM8" s="22">
        <v>2</v>
      </c>
      <c r="AN8" s="22">
        <v>4</v>
      </c>
      <c r="AO8" s="22">
        <v>4</v>
      </c>
      <c r="AP8" s="22">
        <v>4</v>
      </c>
      <c r="AQ8" s="22">
        <v>2</v>
      </c>
      <c r="AR8" s="22">
        <v>4</v>
      </c>
      <c r="AS8" s="22">
        <v>4</v>
      </c>
      <c r="AT8" s="22">
        <v>4</v>
      </c>
      <c r="AU8" s="22">
        <v>4</v>
      </c>
      <c r="AV8" s="22">
        <v>4</v>
      </c>
      <c r="AW8" s="22">
        <v>4</v>
      </c>
      <c r="AX8" s="22">
        <v>4</v>
      </c>
      <c r="AY8" s="22">
        <v>4</v>
      </c>
      <c r="AZ8" s="22">
        <v>4</v>
      </c>
      <c r="BA8" s="22">
        <v>4</v>
      </c>
      <c r="BB8" s="22">
        <v>2</v>
      </c>
      <c r="BC8" s="22">
        <v>2</v>
      </c>
      <c r="BD8" s="22">
        <v>2</v>
      </c>
      <c r="BE8" s="202"/>
      <c r="BF8" s="202"/>
      <c r="BG8" s="99"/>
      <c r="BH8" s="202"/>
      <c r="BP8" s="202"/>
    </row>
    <row r="9" spans="2:68" outlineLevel="1" x14ac:dyDescent="0.25">
      <c r="B9" s="224" t="s">
        <v>471</v>
      </c>
      <c r="C9" s="202"/>
      <c r="D9" s="108">
        <v>0.4</v>
      </c>
      <c r="E9" s="108">
        <v>0.4</v>
      </c>
      <c r="F9" s="108">
        <v>0.4</v>
      </c>
      <c r="G9" s="108">
        <v>0.4</v>
      </c>
      <c r="H9" s="108">
        <v>0.4</v>
      </c>
      <c r="I9" s="108">
        <v>0.4</v>
      </c>
      <c r="J9" s="108">
        <v>0.4</v>
      </c>
      <c r="K9" s="108">
        <v>0.4</v>
      </c>
      <c r="L9" s="108">
        <v>0.4</v>
      </c>
      <c r="M9" s="108">
        <v>0.4</v>
      </c>
      <c r="N9" s="108">
        <v>0.4</v>
      </c>
      <c r="O9" s="108">
        <v>0.4</v>
      </c>
      <c r="P9" s="108">
        <v>0.4</v>
      </c>
      <c r="Q9" s="108">
        <v>0.4</v>
      </c>
      <c r="R9" s="108">
        <v>0.4</v>
      </c>
      <c r="S9" s="108">
        <v>0.4</v>
      </c>
      <c r="T9" s="108">
        <v>0.4</v>
      </c>
      <c r="U9" s="108">
        <v>0.4</v>
      </c>
      <c r="V9" s="108">
        <v>0.4</v>
      </c>
      <c r="W9" s="108">
        <v>0.4</v>
      </c>
      <c r="X9" s="108">
        <v>0.4</v>
      </c>
      <c r="Y9" s="108">
        <v>0.4</v>
      </c>
      <c r="Z9" s="108">
        <v>0.4</v>
      </c>
      <c r="AA9" s="108">
        <v>0.4</v>
      </c>
      <c r="AB9" s="108">
        <v>0.4</v>
      </c>
      <c r="AC9" s="108">
        <v>0.4</v>
      </c>
      <c r="AD9" s="108">
        <v>0.4</v>
      </c>
      <c r="AE9" s="108">
        <v>0.4</v>
      </c>
      <c r="AF9" s="108">
        <v>0.4</v>
      </c>
      <c r="AG9" s="108">
        <v>0.4</v>
      </c>
      <c r="AH9" s="108">
        <v>0.4</v>
      </c>
      <c r="AI9" s="108">
        <v>0.4</v>
      </c>
      <c r="AJ9" s="108">
        <v>0.4</v>
      </c>
      <c r="AK9" s="108">
        <v>0.4</v>
      </c>
      <c r="AL9" s="108">
        <v>0.4</v>
      </c>
      <c r="AM9" s="108">
        <v>0.4</v>
      </c>
      <c r="AN9" s="108">
        <v>0.4</v>
      </c>
      <c r="AO9" s="108">
        <v>0.4</v>
      </c>
      <c r="AP9" s="108">
        <v>0.4</v>
      </c>
      <c r="AQ9" s="108">
        <v>0.4</v>
      </c>
      <c r="AR9" s="108">
        <v>0.4</v>
      </c>
      <c r="AS9" s="108">
        <v>0.4</v>
      </c>
      <c r="AT9" s="108">
        <v>0.4</v>
      </c>
      <c r="AU9" s="108">
        <v>0.4</v>
      </c>
      <c r="AV9" s="108">
        <v>0.5</v>
      </c>
      <c r="AW9" s="108">
        <v>0.5</v>
      </c>
      <c r="AX9" s="108">
        <v>0.8</v>
      </c>
      <c r="AY9" s="108">
        <v>0.8</v>
      </c>
      <c r="AZ9" s="108">
        <v>0.5</v>
      </c>
      <c r="BA9" s="108">
        <v>0.8</v>
      </c>
      <c r="BB9" s="108">
        <v>0.4</v>
      </c>
      <c r="BC9" s="108">
        <v>0.4</v>
      </c>
      <c r="BD9" s="108">
        <v>0.4</v>
      </c>
      <c r="BE9" s="202"/>
      <c r="BF9" s="202"/>
      <c r="BG9" s="202"/>
      <c r="BH9" s="202"/>
      <c r="BP9" s="202"/>
    </row>
    <row r="10" spans="2:68" outlineLevel="1" x14ac:dyDescent="0.25">
      <c r="B10" s="224" t="s">
        <v>472</v>
      </c>
      <c r="C10" s="202"/>
      <c r="D10" s="108">
        <v>0.2</v>
      </c>
      <c r="E10" s="108">
        <v>0.2</v>
      </c>
      <c r="F10" s="108">
        <v>0.2</v>
      </c>
      <c r="G10" s="108">
        <v>0.2</v>
      </c>
      <c r="H10" s="108">
        <v>0.2</v>
      </c>
      <c r="I10" s="108">
        <v>0.2</v>
      </c>
      <c r="J10" s="108">
        <v>0.2</v>
      </c>
      <c r="K10" s="108">
        <v>0.2</v>
      </c>
      <c r="L10" s="108">
        <v>0.2</v>
      </c>
      <c r="M10" s="108">
        <v>0.2</v>
      </c>
      <c r="N10" s="108">
        <v>0.2</v>
      </c>
      <c r="O10" s="108">
        <v>0.2</v>
      </c>
      <c r="P10" s="108">
        <v>0.2</v>
      </c>
      <c r="Q10" s="108">
        <v>0.2</v>
      </c>
      <c r="R10" s="108">
        <v>0.2</v>
      </c>
      <c r="S10" s="108">
        <v>0.2</v>
      </c>
      <c r="T10" s="108">
        <v>0.2</v>
      </c>
      <c r="U10" s="108">
        <v>0.2</v>
      </c>
      <c r="V10" s="108">
        <v>0.2</v>
      </c>
      <c r="W10" s="108">
        <v>0.2</v>
      </c>
      <c r="X10" s="108">
        <v>0.2</v>
      </c>
      <c r="Y10" s="108">
        <v>0.2</v>
      </c>
      <c r="Z10" s="108">
        <v>0.2</v>
      </c>
      <c r="AA10" s="108">
        <v>0.2</v>
      </c>
      <c r="AB10" s="108">
        <v>0.2</v>
      </c>
      <c r="AC10" s="108">
        <v>0.2</v>
      </c>
      <c r="AD10" s="108">
        <v>0.2</v>
      </c>
      <c r="AE10" s="108">
        <v>0.2</v>
      </c>
      <c r="AF10" s="108">
        <v>0.2</v>
      </c>
      <c r="AG10" s="108">
        <v>0.2</v>
      </c>
      <c r="AH10" s="108">
        <v>0.2</v>
      </c>
      <c r="AI10" s="108">
        <v>0.2</v>
      </c>
      <c r="AJ10" s="108">
        <v>0.2</v>
      </c>
      <c r="AK10" s="108">
        <v>0.2</v>
      </c>
      <c r="AL10" s="108">
        <v>0.2</v>
      </c>
      <c r="AM10" s="108">
        <v>0.2</v>
      </c>
      <c r="AN10" s="108">
        <v>0.2</v>
      </c>
      <c r="AO10" s="108">
        <v>0.2</v>
      </c>
      <c r="AP10" s="108">
        <v>0.2</v>
      </c>
      <c r="AQ10" s="108">
        <v>0.2</v>
      </c>
      <c r="AR10" s="108">
        <v>0.2</v>
      </c>
      <c r="AS10" s="108">
        <v>0.2</v>
      </c>
      <c r="AT10" s="108">
        <v>0.2</v>
      </c>
      <c r="AU10" s="108">
        <v>0.2</v>
      </c>
      <c r="AV10" s="108">
        <v>0.2</v>
      </c>
      <c r="AW10" s="108">
        <v>0.2</v>
      </c>
      <c r="AX10" s="108">
        <v>0.2</v>
      </c>
      <c r="AY10" s="108">
        <v>0.2</v>
      </c>
      <c r="AZ10" s="108">
        <v>0.2</v>
      </c>
      <c r="BA10" s="108">
        <v>0.2</v>
      </c>
      <c r="BB10" s="108">
        <v>0.2</v>
      </c>
      <c r="BC10" s="108">
        <v>0.2</v>
      </c>
      <c r="BD10" s="108">
        <v>0.2</v>
      </c>
      <c r="BE10" s="202"/>
      <c r="BF10" s="202"/>
      <c r="BG10" s="202"/>
      <c r="BH10" s="202"/>
      <c r="BP10" s="202"/>
    </row>
    <row r="11" spans="2:68" x14ac:dyDescent="0.25">
      <c r="B11" s="23"/>
      <c r="C11" s="202"/>
      <c r="D11" s="202"/>
      <c r="E11" s="202"/>
      <c r="F11" s="202"/>
      <c r="G11" s="202"/>
      <c r="H11" s="202"/>
      <c r="I11" s="202"/>
      <c r="J11" s="202"/>
      <c r="K11" s="202"/>
      <c r="L11" s="202"/>
      <c r="M11" s="202"/>
      <c r="N11" s="202"/>
      <c r="O11" s="202"/>
      <c r="P11" s="202"/>
      <c r="Q11" s="202"/>
      <c r="R11" s="202"/>
      <c r="S11" s="202"/>
      <c r="T11" s="202"/>
      <c r="U11" s="202"/>
      <c r="V11" s="202"/>
      <c r="W11" s="202"/>
      <c r="X11" s="202"/>
      <c r="Y11" s="202"/>
      <c r="Z11" s="202"/>
      <c r="AA11" s="202"/>
      <c r="AB11" s="202"/>
      <c r="AC11" s="202"/>
      <c r="AD11" s="202"/>
      <c r="AE11" s="202"/>
      <c r="AF11" s="202"/>
      <c r="AG11" s="202"/>
      <c r="AH11" s="202"/>
      <c r="AI11" s="202"/>
      <c r="AJ11" s="202"/>
      <c r="AK11" s="202"/>
      <c r="AL11" s="202"/>
      <c r="AM11" s="202"/>
      <c r="AN11" s="202"/>
      <c r="AO11" s="202"/>
      <c r="AP11" s="202"/>
      <c r="AQ11" s="202"/>
      <c r="AR11" s="202"/>
      <c r="AS11" s="202"/>
      <c r="AT11" s="202"/>
      <c r="AU11" s="202"/>
      <c r="AV11" s="202"/>
      <c r="AW11" s="202"/>
      <c r="AX11" s="202"/>
      <c r="AY11" s="202"/>
      <c r="AZ11" s="202"/>
      <c r="BA11" s="202"/>
      <c r="BB11" s="202"/>
      <c r="BC11" s="202"/>
      <c r="BD11" s="202"/>
      <c r="BE11" s="202"/>
      <c r="BF11" s="202"/>
      <c r="BG11" s="202"/>
      <c r="BH11" s="202"/>
      <c r="BP11" s="202"/>
    </row>
    <row r="12" spans="2:68" x14ac:dyDescent="0.25">
      <c r="B12" s="214" t="s">
        <v>376</v>
      </c>
      <c r="C12" s="29" t="s">
        <v>377</v>
      </c>
      <c r="D12" s="141">
        <v>0</v>
      </c>
      <c r="E12" s="141">
        <v>90</v>
      </c>
      <c r="F12" s="141">
        <v>90</v>
      </c>
      <c r="G12" s="141">
        <v>90</v>
      </c>
      <c r="H12" s="141">
        <v>90</v>
      </c>
      <c r="I12" s="141">
        <v>0</v>
      </c>
      <c r="J12" s="141">
        <v>0</v>
      </c>
      <c r="K12" s="141">
        <v>0</v>
      </c>
      <c r="L12" s="141">
        <v>0</v>
      </c>
      <c r="M12" s="141">
        <v>0</v>
      </c>
      <c r="N12" s="141">
        <v>0</v>
      </c>
      <c r="O12" s="141">
        <v>0</v>
      </c>
      <c r="P12" s="141">
        <v>0</v>
      </c>
      <c r="Q12" s="141">
        <v>0</v>
      </c>
      <c r="R12" s="141">
        <v>0</v>
      </c>
      <c r="S12" s="141">
        <v>0</v>
      </c>
      <c r="T12" s="141">
        <v>0</v>
      </c>
      <c r="U12" s="141">
        <v>0</v>
      </c>
      <c r="V12" s="141">
        <v>0</v>
      </c>
      <c r="W12" s="141">
        <v>0</v>
      </c>
      <c r="X12" s="141">
        <v>0</v>
      </c>
      <c r="Y12" s="141">
        <v>0</v>
      </c>
      <c r="Z12" s="141">
        <v>0</v>
      </c>
      <c r="AA12" s="141">
        <v>0</v>
      </c>
      <c r="AB12" s="141">
        <v>0</v>
      </c>
      <c r="AC12" s="141">
        <v>0</v>
      </c>
      <c r="AD12" s="141">
        <v>0</v>
      </c>
      <c r="AE12" s="141">
        <v>0</v>
      </c>
      <c r="AF12" s="141">
        <v>0</v>
      </c>
      <c r="AG12" s="141">
        <v>0</v>
      </c>
      <c r="AH12" s="141">
        <v>0</v>
      </c>
      <c r="AI12" s="141">
        <v>0</v>
      </c>
      <c r="AJ12" s="141">
        <v>0</v>
      </c>
      <c r="AK12" s="141">
        <v>0</v>
      </c>
      <c r="AL12" s="141">
        <v>0</v>
      </c>
      <c r="AM12" s="141">
        <v>0</v>
      </c>
      <c r="AN12" s="141">
        <v>0</v>
      </c>
      <c r="AO12" s="141">
        <v>0</v>
      </c>
      <c r="AP12" s="141">
        <v>0</v>
      </c>
      <c r="AQ12" s="141">
        <v>0</v>
      </c>
      <c r="AR12" s="141">
        <v>0</v>
      </c>
      <c r="AS12" s="141">
        <v>0</v>
      </c>
      <c r="AT12" s="141">
        <v>0</v>
      </c>
      <c r="AU12" s="141">
        <v>0</v>
      </c>
      <c r="AV12" s="141">
        <v>0</v>
      </c>
      <c r="AW12" s="141">
        <v>0</v>
      </c>
      <c r="AX12" s="141">
        <v>0</v>
      </c>
      <c r="AY12" s="141">
        <v>0</v>
      </c>
      <c r="AZ12" s="141">
        <v>0</v>
      </c>
      <c r="BA12" s="141">
        <v>0</v>
      </c>
      <c r="BB12" s="141">
        <v>0</v>
      </c>
      <c r="BC12" s="141">
        <v>0</v>
      </c>
      <c r="BD12" s="141">
        <v>0</v>
      </c>
      <c r="BE12" s="202"/>
      <c r="BF12" s="202"/>
      <c r="BG12" s="202"/>
      <c r="BH12" s="202"/>
      <c r="BI12" s="214" t="s">
        <v>376</v>
      </c>
      <c r="BJ12" s="37">
        <v>1</v>
      </c>
      <c r="BK12" s="37">
        <f>BJ12*1.04</f>
        <v>1.04</v>
      </c>
      <c r="BL12" s="37">
        <f>BK12*1.04</f>
        <v>1.0816000000000001</v>
      </c>
      <c r="BP12" s="202"/>
    </row>
    <row r="13" spans="2:68" x14ac:dyDescent="0.25">
      <c r="B13" s="204" t="s">
        <v>90</v>
      </c>
      <c r="C13" s="216" t="s">
        <v>378</v>
      </c>
      <c r="D13" s="108">
        <v>0</v>
      </c>
      <c r="E13" s="108">
        <v>-0.73</v>
      </c>
      <c r="F13" s="108">
        <v>-0.73</v>
      </c>
      <c r="G13" s="108">
        <v>-0.73</v>
      </c>
      <c r="H13" s="108">
        <v>-0.73</v>
      </c>
      <c r="I13" s="108">
        <v>-0.7</v>
      </c>
      <c r="J13" s="108">
        <v>-0.7</v>
      </c>
      <c r="K13" s="108">
        <v>-0.7</v>
      </c>
      <c r="L13" s="108">
        <v>-0.7</v>
      </c>
      <c r="M13" s="108">
        <v>-0.7</v>
      </c>
      <c r="N13" s="108">
        <v>-0.7</v>
      </c>
      <c r="O13" s="108">
        <v>-0.7</v>
      </c>
      <c r="P13" s="108">
        <v>-0.7</v>
      </c>
      <c r="Q13" s="108">
        <v>-0.7</v>
      </c>
      <c r="R13" s="108">
        <v>-0.7</v>
      </c>
      <c r="S13" s="108">
        <v>-0.7</v>
      </c>
      <c r="T13" s="108">
        <v>-0.7</v>
      </c>
      <c r="U13" s="108">
        <v>-0.7</v>
      </c>
      <c r="V13" s="108">
        <v>-0.7</v>
      </c>
      <c r="W13" s="108">
        <v>-0.7</v>
      </c>
      <c r="X13" s="108">
        <v>-0.7</v>
      </c>
      <c r="Y13" s="108">
        <v>-0.7</v>
      </c>
      <c r="Z13" s="108">
        <v>-0.7</v>
      </c>
      <c r="AA13" s="108">
        <v>-0.7</v>
      </c>
      <c r="AB13" s="108">
        <v>-0.7</v>
      </c>
      <c r="AC13" s="108">
        <v>-0.7</v>
      </c>
      <c r="AD13" s="108">
        <v>-0.7</v>
      </c>
      <c r="AE13" s="108">
        <v>-0.7</v>
      </c>
      <c r="AF13" s="108">
        <v>-0.7</v>
      </c>
      <c r="AG13" s="108">
        <v>-0.7</v>
      </c>
      <c r="AH13" s="108">
        <v>-0.7</v>
      </c>
      <c r="AI13" s="108">
        <v>-0.7</v>
      </c>
      <c r="AJ13" s="108">
        <v>-0.7</v>
      </c>
      <c r="AK13" s="108">
        <v>-0.7</v>
      </c>
      <c r="AL13" s="108">
        <v>-0.7</v>
      </c>
      <c r="AM13" s="108">
        <v>-0.7</v>
      </c>
      <c r="AN13" s="108">
        <v>-0.7</v>
      </c>
      <c r="AO13" s="108">
        <v>-0.7</v>
      </c>
      <c r="AP13" s="108">
        <v>-0.7</v>
      </c>
      <c r="AQ13" s="108">
        <v>-0.7</v>
      </c>
      <c r="AR13" s="108">
        <v>-0.7</v>
      </c>
      <c r="AS13" s="108">
        <v>-0.7</v>
      </c>
      <c r="AT13" s="108">
        <v>-0.7</v>
      </c>
      <c r="AU13" s="108">
        <v>-0.7</v>
      </c>
      <c r="AV13" s="108">
        <v>-0.7</v>
      </c>
      <c r="AW13" s="108">
        <v>-0.7</v>
      </c>
      <c r="AX13" s="108">
        <v>-0.7</v>
      </c>
      <c r="AY13" s="108">
        <v>-0.7</v>
      </c>
      <c r="AZ13" s="108">
        <v>-0.7</v>
      </c>
      <c r="BA13" s="108">
        <v>-0.7</v>
      </c>
      <c r="BB13" s="108">
        <v>-0.7</v>
      </c>
      <c r="BC13" s="108">
        <v>-0.7</v>
      </c>
      <c r="BD13" s="108">
        <v>-0.7</v>
      </c>
      <c r="BE13" s="202"/>
      <c r="BF13" s="202"/>
      <c r="BG13" s="202"/>
      <c r="BH13" s="202"/>
      <c r="BP13" s="202"/>
    </row>
    <row r="14" spans="2:68" x14ac:dyDescent="0.25">
      <c r="B14" s="204" t="s">
        <v>91</v>
      </c>
      <c r="C14" s="205"/>
      <c r="D14" s="108">
        <v>0</v>
      </c>
      <c r="E14" s="108">
        <v>0.59</v>
      </c>
      <c r="F14" s="108">
        <v>0.59</v>
      </c>
      <c r="G14" s="108">
        <v>0.59</v>
      </c>
      <c r="H14" s="108">
        <v>0.59</v>
      </c>
      <c r="I14" s="108">
        <v>0.35</v>
      </c>
      <c r="J14" s="108">
        <v>0.35</v>
      </c>
      <c r="K14" s="108">
        <v>0.35</v>
      </c>
      <c r="L14" s="108">
        <v>0.35</v>
      </c>
      <c r="M14" s="108">
        <v>0.35</v>
      </c>
      <c r="N14" s="108">
        <v>0.35</v>
      </c>
      <c r="O14" s="108">
        <v>0.35</v>
      </c>
      <c r="P14" s="108">
        <v>0.35</v>
      </c>
      <c r="Q14" s="108">
        <v>0.35</v>
      </c>
      <c r="R14" s="108">
        <v>0.35</v>
      </c>
      <c r="S14" s="108">
        <v>0.35</v>
      </c>
      <c r="T14" s="108">
        <v>0.35</v>
      </c>
      <c r="U14" s="108">
        <v>0.35</v>
      </c>
      <c r="V14" s="108">
        <v>0.35</v>
      </c>
      <c r="W14" s="108">
        <v>0.35</v>
      </c>
      <c r="X14" s="108">
        <v>0.35</v>
      </c>
      <c r="Y14" s="108">
        <v>0.35</v>
      </c>
      <c r="Z14" s="108">
        <v>0.35</v>
      </c>
      <c r="AA14" s="108">
        <v>0.35</v>
      </c>
      <c r="AB14" s="108">
        <v>0.35</v>
      </c>
      <c r="AC14" s="108">
        <v>0.35</v>
      </c>
      <c r="AD14" s="108">
        <v>0.35</v>
      </c>
      <c r="AE14" s="108">
        <v>0.35</v>
      </c>
      <c r="AF14" s="108">
        <v>0.35</v>
      </c>
      <c r="AG14" s="108">
        <v>0.35</v>
      </c>
      <c r="AH14" s="108">
        <v>0.35</v>
      </c>
      <c r="AI14" s="108">
        <v>0.35</v>
      </c>
      <c r="AJ14" s="108">
        <v>0.35</v>
      </c>
      <c r="AK14" s="108">
        <v>0.35</v>
      </c>
      <c r="AL14" s="108">
        <v>0.35</v>
      </c>
      <c r="AM14" s="108">
        <v>0.35</v>
      </c>
      <c r="AN14" s="108">
        <v>0.35</v>
      </c>
      <c r="AO14" s="108">
        <v>0.35</v>
      </c>
      <c r="AP14" s="108">
        <v>0.35</v>
      </c>
      <c r="AQ14" s="108">
        <v>0.35</v>
      </c>
      <c r="AR14" s="108">
        <v>0.35</v>
      </c>
      <c r="AS14" s="108">
        <v>0.35</v>
      </c>
      <c r="AT14" s="108">
        <v>0.35</v>
      </c>
      <c r="AU14" s="108">
        <v>0.35</v>
      </c>
      <c r="AV14" s="108">
        <v>0.35</v>
      </c>
      <c r="AW14" s="108">
        <v>0.35</v>
      </c>
      <c r="AX14" s="108">
        <v>0.35</v>
      </c>
      <c r="AY14" s="108">
        <v>0.35</v>
      </c>
      <c r="AZ14" s="108">
        <v>0.35</v>
      </c>
      <c r="BA14" s="108">
        <v>0.35</v>
      </c>
      <c r="BB14" s="108">
        <v>0.35</v>
      </c>
      <c r="BC14" s="108">
        <v>0.35</v>
      </c>
      <c r="BD14" s="108">
        <v>0.35</v>
      </c>
      <c r="BE14" s="202"/>
      <c r="BF14" s="202"/>
      <c r="BG14" s="202"/>
      <c r="BH14" s="202"/>
      <c r="BP14" s="202"/>
    </row>
    <row r="15" spans="2:68" x14ac:dyDescent="0.25">
      <c r="B15" s="204" t="s">
        <v>92</v>
      </c>
      <c r="C15" s="205"/>
      <c r="D15" s="108">
        <v>0</v>
      </c>
      <c r="E15" s="108">
        <v>7.0000000000000007E-2</v>
      </c>
      <c r="F15" s="108">
        <v>7.0000000000000007E-2</v>
      </c>
      <c r="G15" s="108">
        <v>7.0000000000000007E-2</v>
      </c>
      <c r="H15" s="108">
        <v>7.0000000000000007E-2</v>
      </c>
      <c r="I15" s="108">
        <v>0.15</v>
      </c>
      <c r="J15" s="108">
        <v>0.15</v>
      </c>
      <c r="K15" s="108">
        <v>0.15</v>
      </c>
      <c r="L15" s="108">
        <v>0.15</v>
      </c>
      <c r="M15" s="108">
        <v>0.15</v>
      </c>
      <c r="N15" s="108">
        <v>0.15</v>
      </c>
      <c r="O15" s="108">
        <v>0.15</v>
      </c>
      <c r="P15" s="108">
        <v>0.15</v>
      </c>
      <c r="Q15" s="108">
        <v>0.15</v>
      </c>
      <c r="R15" s="108">
        <v>0.15</v>
      </c>
      <c r="S15" s="108">
        <v>0.15</v>
      </c>
      <c r="T15" s="108">
        <v>0.15</v>
      </c>
      <c r="U15" s="108">
        <v>0.15</v>
      </c>
      <c r="V15" s="108">
        <v>0.15</v>
      </c>
      <c r="W15" s="108">
        <v>0.15</v>
      </c>
      <c r="X15" s="108">
        <v>0.15</v>
      </c>
      <c r="Y15" s="108">
        <v>0.15</v>
      </c>
      <c r="Z15" s="108">
        <v>0.15</v>
      </c>
      <c r="AA15" s="108">
        <v>0.15</v>
      </c>
      <c r="AB15" s="108">
        <v>0.15</v>
      </c>
      <c r="AC15" s="108">
        <v>0.15</v>
      </c>
      <c r="AD15" s="108">
        <v>0.15</v>
      </c>
      <c r="AE15" s="108">
        <v>0.15</v>
      </c>
      <c r="AF15" s="108">
        <v>0.15</v>
      </c>
      <c r="AG15" s="108">
        <v>0.15</v>
      </c>
      <c r="AH15" s="108">
        <v>0.15</v>
      </c>
      <c r="AI15" s="108">
        <v>0.15</v>
      </c>
      <c r="AJ15" s="108">
        <v>0.15</v>
      </c>
      <c r="AK15" s="108">
        <v>0.15</v>
      </c>
      <c r="AL15" s="108">
        <v>0.15</v>
      </c>
      <c r="AM15" s="108">
        <v>0.15</v>
      </c>
      <c r="AN15" s="108">
        <v>0.15</v>
      </c>
      <c r="AO15" s="108">
        <v>0.15</v>
      </c>
      <c r="AP15" s="108">
        <v>0.15</v>
      </c>
      <c r="AQ15" s="108">
        <v>0.15</v>
      </c>
      <c r="AR15" s="108">
        <v>0.15</v>
      </c>
      <c r="AS15" s="108">
        <v>0.15</v>
      </c>
      <c r="AT15" s="108">
        <v>0.15</v>
      </c>
      <c r="AU15" s="108">
        <v>0.15</v>
      </c>
      <c r="AV15" s="108">
        <v>0.15</v>
      </c>
      <c r="AW15" s="108">
        <v>0.15</v>
      </c>
      <c r="AX15" s="108">
        <v>0.15</v>
      </c>
      <c r="AY15" s="108">
        <v>0.15</v>
      </c>
      <c r="AZ15" s="108">
        <v>0.15</v>
      </c>
      <c r="BA15" s="108">
        <v>0.15</v>
      </c>
      <c r="BB15" s="108">
        <v>0.15</v>
      </c>
      <c r="BC15" s="108">
        <v>0.15</v>
      </c>
      <c r="BD15" s="108">
        <v>0.15</v>
      </c>
      <c r="BE15" s="202"/>
      <c r="BF15" s="202"/>
      <c r="BG15" s="202"/>
      <c r="BH15" s="202"/>
      <c r="BP15" s="202"/>
    </row>
    <row r="16" spans="2:68" x14ac:dyDescent="0.25">
      <c r="B16" s="204" t="s">
        <v>93</v>
      </c>
      <c r="C16" s="205"/>
      <c r="D16" s="108">
        <v>0</v>
      </c>
      <c r="E16" s="108">
        <v>0.03</v>
      </c>
      <c r="F16" s="108">
        <v>0.03</v>
      </c>
      <c r="G16" s="108">
        <v>0.03</v>
      </c>
      <c r="H16" s="108">
        <v>0.03</v>
      </c>
      <c r="I16" s="108">
        <v>0.1</v>
      </c>
      <c r="J16" s="108">
        <v>0.1</v>
      </c>
      <c r="K16" s="108">
        <v>0.1</v>
      </c>
      <c r="L16" s="108">
        <v>0.1</v>
      </c>
      <c r="M16" s="108">
        <v>0.1</v>
      </c>
      <c r="N16" s="108">
        <v>0.1</v>
      </c>
      <c r="O16" s="108">
        <v>0.1</v>
      </c>
      <c r="P16" s="108">
        <v>0.1</v>
      </c>
      <c r="Q16" s="108">
        <v>0.1</v>
      </c>
      <c r="R16" s="108">
        <v>0.1</v>
      </c>
      <c r="S16" s="108">
        <v>0.1</v>
      </c>
      <c r="T16" s="108">
        <v>0.1</v>
      </c>
      <c r="U16" s="108">
        <v>0.1</v>
      </c>
      <c r="V16" s="108">
        <v>0.1</v>
      </c>
      <c r="W16" s="108">
        <v>0.1</v>
      </c>
      <c r="X16" s="108">
        <v>0.1</v>
      </c>
      <c r="Y16" s="108">
        <v>0.1</v>
      </c>
      <c r="Z16" s="108">
        <v>0.1</v>
      </c>
      <c r="AA16" s="108">
        <v>0.1</v>
      </c>
      <c r="AB16" s="108">
        <v>0.1</v>
      </c>
      <c r="AC16" s="108">
        <v>0.1</v>
      </c>
      <c r="AD16" s="108">
        <v>0.1</v>
      </c>
      <c r="AE16" s="108">
        <v>0.1</v>
      </c>
      <c r="AF16" s="108">
        <v>0.1</v>
      </c>
      <c r="AG16" s="108">
        <v>0.1</v>
      </c>
      <c r="AH16" s="108">
        <v>0.1</v>
      </c>
      <c r="AI16" s="108">
        <v>0.1</v>
      </c>
      <c r="AJ16" s="108">
        <v>0.1</v>
      </c>
      <c r="AK16" s="108">
        <v>0.1</v>
      </c>
      <c r="AL16" s="108">
        <v>0.1</v>
      </c>
      <c r="AM16" s="108">
        <v>0.1</v>
      </c>
      <c r="AN16" s="108">
        <v>0.1</v>
      </c>
      <c r="AO16" s="108">
        <v>0.1</v>
      </c>
      <c r="AP16" s="108">
        <v>0.1</v>
      </c>
      <c r="AQ16" s="108">
        <v>0.1</v>
      </c>
      <c r="AR16" s="108">
        <v>0.1</v>
      </c>
      <c r="AS16" s="108">
        <v>0.1</v>
      </c>
      <c r="AT16" s="108">
        <v>0.1</v>
      </c>
      <c r="AU16" s="108">
        <v>0.1</v>
      </c>
      <c r="AV16" s="108">
        <v>0.1</v>
      </c>
      <c r="AW16" s="108">
        <v>0.1</v>
      </c>
      <c r="AX16" s="108">
        <v>0.1</v>
      </c>
      <c r="AY16" s="108">
        <v>0.1</v>
      </c>
      <c r="AZ16" s="108">
        <v>0.1</v>
      </c>
      <c r="BA16" s="108">
        <v>0.1</v>
      </c>
      <c r="BB16" s="108">
        <v>0.1</v>
      </c>
      <c r="BC16" s="108">
        <v>0.1</v>
      </c>
      <c r="BD16" s="108">
        <v>0.1</v>
      </c>
      <c r="BE16" s="202"/>
      <c r="BF16" s="202"/>
      <c r="BG16" s="202"/>
      <c r="BH16" s="202"/>
      <c r="BP16" s="202"/>
    </row>
    <row r="17" spans="1:68" x14ac:dyDescent="0.25">
      <c r="A17" s="202"/>
      <c r="B17" s="204" t="s">
        <v>94</v>
      </c>
      <c r="C17" s="205"/>
      <c r="D17" s="108">
        <v>0</v>
      </c>
      <c r="E17" s="108">
        <v>0.02</v>
      </c>
      <c r="F17" s="108">
        <v>0.02</v>
      </c>
      <c r="G17" s="108">
        <v>0.02</v>
      </c>
      <c r="H17" s="108">
        <v>0.02</v>
      </c>
      <c r="I17" s="108">
        <v>0.05</v>
      </c>
      <c r="J17" s="108">
        <v>0.05</v>
      </c>
      <c r="K17" s="108">
        <v>0.05</v>
      </c>
      <c r="L17" s="108">
        <v>0.05</v>
      </c>
      <c r="M17" s="108">
        <v>0.05</v>
      </c>
      <c r="N17" s="108">
        <v>0.05</v>
      </c>
      <c r="O17" s="108">
        <v>0.05</v>
      </c>
      <c r="P17" s="108">
        <v>0.05</v>
      </c>
      <c r="Q17" s="108">
        <v>0.05</v>
      </c>
      <c r="R17" s="108">
        <v>0.05</v>
      </c>
      <c r="S17" s="108">
        <v>0.05</v>
      </c>
      <c r="T17" s="108">
        <v>0.05</v>
      </c>
      <c r="U17" s="108">
        <v>0.05</v>
      </c>
      <c r="V17" s="108">
        <v>0.05</v>
      </c>
      <c r="W17" s="108">
        <v>0.05</v>
      </c>
      <c r="X17" s="108">
        <v>0.05</v>
      </c>
      <c r="Y17" s="108">
        <v>0.05</v>
      </c>
      <c r="Z17" s="108">
        <v>0.05</v>
      </c>
      <c r="AA17" s="108">
        <v>0.05</v>
      </c>
      <c r="AB17" s="108">
        <v>0.05</v>
      </c>
      <c r="AC17" s="108">
        <v>0.05</v>
      </c>
      <c r="AD17" s="108">
        <v>0.05</v>
      </c>
      <c r="AE17" s="108">
        <v>0.05</v>
      </c>
      <c r="AF17" s="108">
        <v>0.05</v>
      </c>
      <c r="AG17" s="108">
        <v>0.05</v>
      </c>
      <c r="AH17" s="108">
        <v>0.05</v>
      </c>
      <c r="AI17" s="108">
        <v>0.05</v>
      </c>
      <c r="AJ17" s="108">
        <v>0.05</v>
      </c>
      <c r="AK17" s="108">
        <v>0.05</v>
      </c>
      <c r="AL17" s="108">
        <v>0.05</v>
      </c>
      <c r="AM17" s="108">
        <v>0.05</v>
      </c>
      <c r="AN17" s="108">
        <v>0.05</v>
      </c>
      <c r="AO17" s="108">
        <v>0.05</v>
      </c>
      <c r="AP17" s="108">
        <v>0.05</v>
      </c>
      <c r="AQ17" s="108">
        <v>0.05</v>
      </c>
      <c r="AR17" s="108">
        <v>0.05</v>
      </c>
      <c r="AS17" s="108">
        <v>0.05</v>
      </c>
      <c r="AT17" s="108">
        <v>0.05</v>
      </c>
      <c r="AU17" s="108">
        <v>0.05</v>
      </c>
      <c r="AV17" s="108">
        <v>0.05</v>
      </c>
      <c r="AW17" s="108">
        <v>0.05</v>
      </c>
      <c r="AX17" s="108">
        <v>0.05</v>
      </c>
      <c r="AY17" s="108">
        <v>0.05</v>
      </c>
      <c r="AZ17" s="108">
        <v>0.05</v>
      </c>
      <c r="BA17" s="108">
        <v>0.05</v>
      </c>
      <c r="BB17" s="108">
        <v>0.05</v>
      </c>
      <c r="BC17" s="108">
        <v>0.05</v>
      </c>
      <c r="BD17" s="108">
        <v>0.05</v>
      </c>
      <c r="BE17" s="202"/>
      <c r="BF17" s="202"/>
      <c r="BG17" s="202"/>
      <c r="BH17" s="202"/>
      <c r="BP17" s="202"/>
    </row>
    <row r="18" spans="1:68" x14ac:dyDescent="0.25">
      <c r="A18" s="202"/>
      <c r="B18" s="204" t="s">
        <v>95</v>
      </c>
      <c r="C18" s="205"/>
      <c r="D18" s="108">
        <v>0</v>
      </c>
      <c r="E18" s="108">
        <v>0.02</v>
      </c>
      <c r="F18" s="108">
        <v>0.02</v>
      </c>
      <c r="G18" s="108">
        <v>0.02</v>
      </c>
      <c r="H18" s="108">
        <v>0.02</v>
      </c>
      <c r="I18" s="108">
        <v>0.05</v>
      </c>
      <c r="J18" s="108">
        <v>0.05</v>
      </c>
      <c r="K18" s="108">
        <v>0.05</v>
      </c>
      <c r="L18" s="108">
        <v>0.05</v>
      </c>
      <c r="M18" s="108">
        <v>0.05</v>
      </c>
      <c r="N18" s="108">
        <v>0.05</v>
      </c>
      <c r="O18" s="108">
        <v>0.05</v>
      </c>
      <c r="P18" s="108">
        <v>0.05</v>
      </c>
      <c r="Q18" s="108">
        <v>0.05</v>
      </c>
      <c r="R18" s="108">
        <v>0.05</v>
      </c>
      <c r="S18" s="108">
        <v>0.05</v>
      </c>
      <c r="T18" s="108">
        <v>0.05</v>
      </c>
      <c r="U18" s="108">
        <v>0.05</v>
      </c>
      <c r="V18" s="108">
        <v>0.05</v>
      </c>
      <c r="W18" s="108">
        <v>0.05</v>
      </c>
      <c r="X18" s="108">
        <v>0.05</v>
      </c>
      <c r="Y18" s="108">
        <v>0.05</v>
      </c>
      <c r="Z18" s="108">
        <v>0.05</v>
      </c>
      <c r="AA18" s="108">
        <v>0.05</v>
      </c>
      <c r="AB18" s="108">
        <v>0.05</v>
      </c>
      <c r="AC18" s="108">
        <v>0.05</v>
      </c>
      <c r="AD18" s="108">
        <v>0.05</v>
      </c>
      <c r="AE18" s="108">
        <v>0.05</v>
      </c>
      <c r="AF18" s="108">
        <v>0.05</v>
      </c>
      <c r="AG18" s="108">
        <v>0.05</v>
      </c>
      <c r="AH18" s="108">
        <v>0.05</v>
      </c>
      <c r="AI18" s="108">
        <v>0.05</v>
      </c>
      <c r="AJ18" s="108">
        <v>0.05</v>
      </c>
      <c r="AK18" s="108">
        <v>0.05</v>
      </c>
      <c r="AL18" s="108">
        <v>0.05</v>
      </c>
      <c r="AM18" s="108">
        <v>0.05</v>
      </c>
      <c r="AN18" s="108">
        <v>0.05</v>
      </c>
      <c r="AO18" s="108">
        <v>0.05</v>
      </c>
      <c r="AP18" s="108">
        <v>0.05</v>
      </c>
      <c r="AQ18" s="108">
        <v>0.05</v>
      </c>
      <c r="AR18" s="108">
        <v>0.05</v>
      </c>
      <c r="AS18" s="108">
        <v>0.05</v>
      </c>
      <c r="AT18" s="108">
        <v>0.05</v>
      </c>
      <c r="AU18" s="108">
        <v>0.05</v>
      </c>
      <c r="AV18" s="108">
        <v>0.05</v>
      </c>
      <c r="AW18" s="108">
        <v>0.05</v>
      </c>
      <c r="AX18" s="108">
        <v>0.05</v>
      </c>
      <c r="AY18" s="108">
        <v>0.05</v>
      </c>
      <c r="AZ18" s="108">
        <v>0.05</v>
      </c>
      <c r="BA18" s="108">
        <v>0.05</v>
      </c>
      <c r="BB18" s="108">
        <v>0.05</v>
      </c>
      <c r="BC18" s="108">
        <v>0.05</v>
      </c>
      <c r="BD18" s="108">
        <v>0.05</v>
      </c>
      <c r="BE18" s="202"/>
      <c r="BF18" s="202"/>
      <c r="BG18" s="202"/>
      <c r="BH18" s="202"/>
      <c r="BP18" s="202"/>
    </row>
    <row r="19" spans="1:68" x14ac:dyDescent="0.25">
      <c r="A19" s="202"/>
      <c r="B19" s="23"/>
      <c r="C19" s="202"/>
      <c r="D19" s="202"/>
      <c r="E19" s="202"/>
      <c r="F19" s="202"/>
      <c r="G19" s="202"/>
      <c r="H19" s="202"/>
      <c r="I19" s="202"/>
      <c r="J19" s="202"/>
      <c r="K19" s="202"/>
      <c r="L19" s="202"/>
      <c r="M19" s="202"/>
      <c r="N19" s="202"/>
      <c r="O19" s="202"/>
      <c r="P19" s="202"/>
      <c r="Q19" s="202"/>
      <c r="R19" s="202"/>
      <c r="S19" s="202"/>
      <c r="T19" s="202"/>
      <c r="U19" s="202"/>
      <c r="V19" s="202"/>
      <c r="W19" s="202"/>
      <c r="X19" s="202"/>
      <c r="Y19" s="202"/>
      <c r="Z19" s="202"/>
      <c r="AA19" s="202"/>
      <c r="AB19" s="202"/>
      <c r="AC19" s="202"/>
      <c r="AD19" s="202"/>
      <c r="AE19" s="202"/>
      <c r="AF19" s="202"/>
      <c r="AG19" s="202"/>
      <c r="AH19" s="202"/>
      <c r="AI19" s="202"/>
      <c r="AJ19" s="202"/>
      <c r="AK19" s="202"/>
      <c r="AL19" s="202"/>
      <c r="AM19" s="202"/>
      <c r="AN19" s="202"/>
      <c r="AO19" s="202"/>
      <c r="AP19" s="202"/>
      <c r="AQ19" s="202"/>
      <c r="AR19" s="202"/>
      <c r="AS19" s="202"/>
      <c r="AT19" s="202"/>
      <c r="AU19" s="202"/>
      <c r="AV19" s="202"/>
      <c r="AW19" s="202"/>
      <c r="AX19" s="202"/>
      <c r="AY19" s="202"/>
      <c r="AZ19" s="202"/>
      <c r="BA19" s="202"/>
      <c r="BB19" s="202"/>
      <c r="BC19" s="202"/>
      <c r="BD19" s="202"/>
      <c r="BE19" s="202"/>
      <c r="BF19" s="202"/>
      <c r="BG19" s="202"/>
      <c r="BH19" s="202"/>
      <c r="BP19" s="202"/>
    </row>
    <row r="20" spans="1:68" x14ac:dyDescent="0.25">
      <c r="A20" s="202"/>
      <c r="B20" s="23" t="s">
        <v>96</v>
      </c>
      <c r="C20" s="202"/>
      <c r="D20" s="202"/>
      <c r="E20" s="202"/>
      <c r="F20" s="202"/>
      <c r="G20" s="202"/>
      <c r="H20" s="202"/>
      <c r="I20" s="202"/>
      <c r="J20" s="202"/>
      <c r="K20" s="202"/>
      <c r="L20" s="202"/>
      <c r="M20" s="202"/>
      <c r="N20" s="202"/>
      <c r="O20" s="202"/>
      <c r="P20" s="202"/>
      <c r="Q20" s="202"/>
      <c r="R20" s="202"/>
      <c r="S20" s="202"/>
      <c r="T20" s="202"/>
      <c r="U20" s="202"/>
      <c r="V20" s="202"/>
      <c r="W20" s="202"/>
      <c r="X20" s="202"/>
      <c r="Y20" s="202"/>
      <c r="Z20" s="202"/>
      <c r="AA20" s="202"/>
      <c r="AB20" s="202"/>
      <c r="AC20" s="202"/>
      <c r="AD20" s="202"/>
      <c r="AE20" s="202"/>
      <c r="AF20" s="202"/>
      <c r="AG20" s="202"/>
      <c r="AH20" s="202"/>
      <c r="AI20" s="202"/>
      <c r="AJ20" s="202"/>
      <c r="AK20" s="202"/>
      <c r="AL20" s="202"/>
      <c r="AM20" s="202"/>
      <c r="AN20" s="202"/>
      <c r="AO20" s="202"/>
      <c r="AP20" s="202"/>
      <c r="AQ20" s="202"/>
      <c r="AR20" s="202"/>
      <c r="AS20" s="202"/>
      <c r="AT20" s="202"/>
      <c r="AU20" s="202"/>
      <c r="AV20" s="202"/>
      <c r="AW20" s="202"/>
      <c r="AX20" s="202"/>
      <c r="AY20" s="202"/>
      <c r="AZ20" s="202"/>
      <c r="BA20" s="202"/>
      <c r="BB20" s="202"/>
      <c r="BC20" s="202"/>
      <c r="BD20" s="202"/>
      <c r="BE20" s="202"/>
      <c r="BF20" s="202"/>
      <c r="BG20" s="202"/>
      <c r="BH20" s="202"/>
      <c r="BP20" s="202"/>
    </row>
    <row r="21" spans="1:68" outlineLevel="1" x14ac:dyDescent="0.25">
      <c r="A21" s="202"/>
      <c r="B21" s="202" t="s">
        <v>384</v>
      </c>
      <c r="C21" s="202"/>
      <c r="D21" s="32">
        <v>0</v>
      </c>
      <c r="E21" s="32">
        <v>0.7</v>
      </c>
      <c r="F21" s="32">
        <v>0.7</v>
      </c>
      <c r="G21" s="32">
        <v>0.7</v>
      </c>
      <c r="H21" s="32">
        <v>0.7</v>
      </c>
      <c r="I21" s="32">
        <v>0.7</v>
      </c>
      <c r="J21" s="32">
        <v>0.7</v>
      </c>
      <c r="K21" s="32">
        <v>0.7</v>
      </c>
      <c r="L21" s="32">
        <v>0.7</v>
      </c>
      <c r="M21" s="32">
        <v>0.7</v>
      </c>
      <c r="N21" s="32">
        <v>0.7</v>
      </c>
      <c r="O21" s="32">
        <v>0.7</v>
      </c>
      <c r="P21" s="32">
        <v>0.7</v>
      </c>
      <c r="Q21" s="32">
        <v>0.7</v>
      </c>
      <c r="R21" s="32">
        <v>0.7</v>
      </c>
      <c r="S21" s="32">
        <v>0.7</v>
      </c>
      <c r="T21" s="32">
        <v>0.7</v>
      </c>
      <c r="U21" s="32">
        <v>0.7</v>
      </c>
      <c r="V21" s="32">
        <v>0.7</v>
      </c>
      <c r="W21" s="32">
        <v>0.7</v>
      </c>
      <c r="X21" s="32">
        <v>0.7</v>
      </c>
      <c r="Y21" s="32">
        <v>0.7</v>
      </c>
      <c r="Z21" s="32">
        <v>0.7</v>
      </c>
      <c r="AA21" s="32">
        <v>0.7</v>
      </c>
      <c r="AB21" s="32">
        <v>0.7</v>
      </c>
      <c r="AC21" s="32">
        <v>0.7</v>
      </c>
      <c r="AD21" s="32">
        <v>0.7</v>
      </c>
      <c r="AE21" s="32">
        <v>0.7</v>
      </c>
      <c r="AF21" s="32">
        <v>0.7</v>
      </c>
      <c r="AG21" s="32">
        <v>0.7</v>
      </c>
      <c r="AH21" s="32">
        <v>0.7</v>
      </c>
      <c r="AI21" s="32">
        <v>0.7</v>
      </c>
      <c r="AJ21" s="32">
        <v>0.7</v>
      </c>
      <c r="AK21" s="32">
        <v>0.7</v>
      </c>
      <c r="AL21" s="32">
        <v>0.7</v>
      </c>
      <c r="AM21" s="32">
        <v>0.7</v>
      </c>
      <c r="AN21" s="32">
        <v>0.7</v>
      </c>
      <c r="AO21" s="32">
        <v>0.7</v>
      </c>
      <c r="AP21" s="32">
        <v>0.7</v>
      </c>
      <c r="AQ21" s="32">
        <v>0.7</v>
      </c>
      <c r="AR21" s="32">
        <v>0.7</v>
      </c>
      <c r="AS21" s="32">
        <v>0.7</v>
      </c>
      <c r="AT21" s="32">
        <v>0.7</v>
      </c>
      <c r="AU21" s="32">
        <v>0.7</v>
      </c>
      <c r="AV21" s="32">
        <v>0.8</v>
      </c>
      <c r="AW21" s="32">
        <v>0.8</v>
      </c>
      <c r="AX21" s="32">
        <v>0.8</v>
      </c>
      <c r="AY21" s="32">
        <v>0.8</v>
      </c>
      <c r="AZ21" s="32">
        <v>0.8</v>
      </c>
      <c r="BA21" s="32">
        <v>0.8</v>
      </c>
      <c r="BB21" s="32">
        <v>0.7</v>
      </c>
      <c r="BC21" s="32">
        <v>0.7</v>
      </c>
      <c r="BD21" s="32">
        <v>0.7</v>
      </c>
      <c r="BE21" s="202"/>
      <c r="BF21" s="202"/>
      <c r="BG21" s="202"/>
      <c r="BH21" s="202"/>
      <c r="BP21" s="202"/>
    </row>
    <row r="22" spans="1:68" outlineLevel="1" x14ac:dyDescent="0.25">
      <c r="A22" s="202"/>
      <c r="B22" s="202" t="s">
        <v>386</v>
      </c>
      <c r="C22" s="202"/>
      <c r="D22" s="32">
        <v>0</v>
      </c>
      <c r="E22" s="32">
        <v>0.3</v>
      </c>
      <c r="F22" s="32">
        <v>0.3</v>
      </c>
      <c r="G22" s="32">
        <v>0.3</v>
      </c>
      <c r="H22" s="32">
        <v>0.3</v>
      </c>
      <c r="I22" s="32">
        <v>0.3</v>
      </c>
      <c r="J22" s="32">
        <v>0.3</v>
      </c>
      <c r="K22" s="32">
        <v>0.3</v>
      </c>
      <c r="L22" s="32">
        <v>0.3</v>
      </c>
      <c r="M22" s="32">
        <v>0.3</v>
      </c>
      <c r="N22" s="32">
        <v>0.3</v>
      </c>
      <c r="O22" s="32">
        <v>0.3</v>
      </c>
      <c r="P22" s="32">
        <v>0.3</v>
      </c>
      <c r="Q22" s="32">
        <v>0.3</v>
      </c>
      <c r="R22" s="32">
        <v>0.3</v>
      </c>
      <c r="S22" s="32">
        <v>0.3</v>
      </c>
      <c r="T22" s="32">
        <v>0.3</v>
      </c>
      <c r="U22" s="32">
        <v>0.3</v>
      </c>
      <c r="V22" s="32">
        <v>0.3</v>
      </c>
      <c r="W22" s="32">
        <v>0.3</v>
      </c>
      <c r="X22" s="32">
        <v>0.3</v>
      </c>
      <c r="Y22" s="32">
        <v>0.3</v>
      </c>
      <c r="Z22" s="32">
        <v>0.3</v>
      </c>
      <c r="AA22" s="32">
        <v>0.3</v>
      </c>
      <c r="AB22" s="32">
        <v>0.3</v>
      </c>
      <c r="AC22" s="32">
        <v>0.3</v>
      </c>
      <c r="AD22" s="32">
        <v>0.3</v>
      </c>
      <c r="AE22" s="32">
        <v>0.3</v>
      </c>
      <c r="AF22" s="32">
        <v>0.3</v>
      </c>
      <c r="AG22" s="32">
        <v>0.3</v>
      </c>
      <c r="AH22" s="32">
        <v>0.3</v>
      </c>
      <c r="AI22" s="32">
        <v>0.3</v>
      </c>
      <c r="AJ22" s="32">
        <v>0.3</v>
      </c>
      <c r="AK22" s="32">
        <v>0.3</v>
      </c>
      <c r="AL22" s="32">
        <v>0.3</v>
      </c>
      <c r="AM22" s="32">
        <v>0.3</v>
      </c>
      <c r="AN22" s="32">
        <v>0.3</v>
      </c>
      <c r="AO22" s="32">
        <v>0.3</v>
      </c>
      <c r="AP22" s="32">
        <v>0.3</v>
      </c>
      <c r="AQ22" s="32">
        <v>0.3</v>
      </c>
      <c r="AR22" s="32">
        <v>0.3</v>
      </c>
      <c r="AS22" s="32">
        <v>0.3</v>
      </c>
      <c r="AT22" s="32">
        <v>0.3</v>
      </c>
      <c r="AU22" s="32">
        <v>0.3</v>
      </c>
      <c r="AV22" s="32">
        <v>0.2</v>
      </c>
      <c r="AW22" s="32">
        <v>0.2</v>
      </c>
      <c r="AX22" s="32">
        <v>0.2</v>
      </c>
      <c r="AY22" s="32">
        <v>0.2</v>
      </c>
      <c r="AZ22" s="32">
        <v>0.2</v>
      </c>
      <c r="BA22" s="32">
        <v>0.2</v>
      </c>
      <c r="BB22" s="32">
        <v>0.3</v>
      </c>
      <c r="BC22" s="32">
        <v>0.3</v>
      </c>
      <c r="BD22" s="32">
        <v>0.3</v>
      </c>
      <c r="BE22" s="202"/>
      <c r="BF22" s="202"/>
      <c r="BG22" s="202"/>
      <c r="BH22" s="202"/>
      <c r="BP22" s="202"/>
    </row>
    <row r="23" spans="1:68" outlineLevel="1" x14ac:dyDescent="0.25">
      <c r="A23" s="202"/>
      <c r="B23" s="202" t="s">
        <v>385</v>
      </c>
      <c r="C23" s="202"/>
      <c r="D23" s="32">
        <v>0</v>
      </c>
      <c r="E23" s="32">
        <v>0</v>
      </c>
      <c r="F23" s="32">
        <v>0</v>
      </c>
      <c r="G23" s="32">
        <v>0</v>
      </c>
      <c r="H23" s="32">
        <v>0</v>
      </c>
      <c r="I23" s="32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2">
        <v>0</v>
      </c>
      <c r="X23" s="32">
        <v>0</v>
      </c>
      <c r="Y23" s="32">
        <v>0</v>
      </c>
      <c r="Z23" s="32">
        <v>0</v>
      </c>
      <c r="AA23" s="32">
        <v>0</v>
      </c>
      <c r="AB23" s="32">
        <v>0</v>
      </c>
      <c r="AC23" s="32">
        <v>0</v>
      </c>
      <c r="AD23" s="32">
        <v>0</v>
      </c>
      <c r="AE23" s="32">
        <v>0</v>
      </c>
      <c r="AF23" s="32">
        <v>0</v>
      </c>
      <c r="AG23" s="32">
        <v>0</v>
      </c>
      <c r="AH23" s="32">
        <v>0</v>
      </c>
      <c r="AI23" s="32">
        <v>0</v>
      </c>
      <c r="AJ23" s="32">
        <v>0</v>
      </c>
      <c r="AK23" s="32">
        <v>0</v>
      </c>
      <c r="AL23" s="32">
        <v>0</v>
      </c>
      <c r="AM23" s="32">
        <v>0</v>
      </c>
      <c r="AN23" s="32">
        <v>0</v>
      </c>
      <c r="AO23" s="32">
        <v>0</v>
      </c>
      <c r="AP23" s="32">
        <v>0</v>
      </c>
      <c r="AQ23" s="32">
        <v>0</v>
      </c>
      <c r="AR23" s="32">
        <v>0</v>
      </c>
      <c r="AS23" s="32">
        <v>0</v>
      </c>
      <c r="AT23" s="32">
        <v>0</v>
      </c>
      <c r="AU23" s="32">
        <v>0</v>
      </c>
      <c r="AV23" s="32">
        <v>0</v>
      </c>
      <c r="AW23" s="32">
        <v>0</v>
      </c>
      <c r="AX23" s="32">
        <v>0</v>
      </c>
      <c r="AY23" s="32">
        <v>0</v>
      </c>
      <c r="AZ23" s="32">
        <v>0</v>
      </c>
      <c r="BA23" s="32">
        <v>0</v>
      </c>
      <c r="BB23" s="32">
        <v>0</v>
      </c>
      <c r="BC23" s="32">
        <v>0</v>
      </c>
      <c r="BD23" s="32">
        <v>0</v>
      </c>
      <c r="BE23" s="202"/>
      <c r="BF23" s="202"/>
      <c r="BG23" s="202"/>
      <c r="BH23" s="202"/>
      <c r="BP23" s="202"/>
    </row>
    <row r="24" spans="1:68" x14ac:dyDescent="0.25">
      <c r="A24" s="202"/>
      <c r="B24" s="202"/>
      <c r="C24" s="202"/>
      <c r="D24" s="202"/>
      <c r="E24" s="202"/>
      <c r="F24" s="202"/>
      <c r="G24" s="202"/>
      <c r="H24" s="202"/>
      <c r="I24" s="202"/>
      <c r="J24" s="202"/>
      <c r="K24" s="202"/>
      <c r="L24" s="202"/>
      <c r="M24" s="202"/>
      <c r="N24" s="202"/>
      <c r="O24" s="202"/>
      <c r="P24" s="202"/>
      <c r="Q24" s="202"/>
      <c r="R24" s="202"/>
      <c r="S24" s="202"/>
      <c r="T24" s="202"/>
      <c r="U24" s="202"/>
      <c r="V24" s="202"/>
      <c r="W24" s="202"/>
      <c r="X24" s="202"/>
      <c r="Y24" s="202"/>
      <c r="Z24" s="202"/>
      <c r="AA24" s="202"/>
      <c r="AB24" s="202"/>
      <c r="AC24" s="202"/>
      <c r="AD24" s="202"/>
      <c r="AE24" s="202"/>
      <c r="AF24" s="202"/>
      <c r="AG24" s="202"/>
      <c r="AH24" s="202"/>
      <c r="AI24" s="202"/>
      <c r="AJ24" s="202"/>
      <c r="AK24" s="202"/>
      <c r="AL24" s="202"/>
      <c r="AM24" s="202"/>
      <c r="AN24" s="202"/>
      <c r="AO24" s="202"/>
      <c r="AP24" s="202"/>
      <c r="AQ24" s="202"/>
      <c r="AR24" s="202"/>
      <c r="AS24" s="202"/>
      <c r="AT24" s="202"/>
      <c r="AU24" s="202"/>
      <c r="AV24" s="202"/>
      <c r="AW24" s="202"/>
      <c r="AX24" s="202"/>
      <c r="AY24" s="202"/>
      <c r="AZ24" s="202"/>
      <c r="BA24" s="202"/>
      <c r="BB24" s="202"/>
      <c r="BC24" s="202"/>
      <c r="BD24" s="202"/>
      <c r="BE24" s="202"/>
      <c r="BF24" s="202"/>
      <c r="BG24" s="202"/>
      <c r="BH24" s="202"/>
      <c r="BP24" s="202"/>
    </row>
    <row r="25" spans="1:68" x14ac:dyDescent="0.25">
      <c r="A25" s="202"/>
      <c r="B25" s="23" t="s">
        <v>97</v>
      </c>
      <c r="C25" s="24" t="s">
        <v>98</v>
      </c>
      <c r="D25" s="206"/>
      <c r="E25" s="206"/>
      <c r="F25" s="206"/>
      <c r="G25" s="206"/>
      <c r="H25" s="206"/>
      <c r="I25" s="206"/>
      <c r="J25" s="206"/>
      <c r="K25" s="206"/>
      <c r="L25" s="206"/>
      <c r="M25" s="206"/>
      <c r="N25" s="206"/>
      <c r="O25" s="206"/>
      <c r="P25" s="206"/>
      <c r="Q25" s="206"/>
      <c r="R25" s="206"/>
      <c r="S25" s="206"/>
      <c r="T25" s="206"/>
      <c r="U25" s="206"/>
      <c r="V25" s="206"/>
      <c r="W25" s="206"/>
      <c r="X25" s="206"/>
      <c r="Y25" s="206"/>
      <c r="Z25" s="206"/>
      <c r="AA25" s="206"/>
      <c r="AB25" s="206"/>
      <c r="AC25" s="206"/>
      <c r="AD25" s="206"/>
      <c r="AE25" s="206"/>
      <c r="AF25" s="206"/>
      <c r="AG25" s="206"/>
      <c r="AH25" s="206"/>
      <c r="AI25" s="206"/>
      <c r="AJ25" s="206"/>
      <c r="AK25" s="206"/>
      <c r="AL25" s="206"/>
      <c r="AM25" s="206"/>
      <c r="AN25" s="206"/>
      <c r="AO25" s="206"/>
      <c r="AP25" s="206"/>
      <c r="AQ25" s="206"/>
      <c r="AR25" s="206"/>
      <c r="AS25" s="206"/>
      <c r="AT25" s="206"/>
      <c r="AU25" s="206"/>
      <c r="AV25" s="206"/>
      <c r="AW25" s="206"/>
      <c r="AX25" s="206"/>
      <c r="AY25" s="206"/>
      <c r="AZ25" s="206"/>
      <c r="BA25" s="206"/>
      <c r="BB25" s="206"/>
      <c r="BC25" s="206"/>
      <c r="BD25" s="206"/>
      <c r="BE25" s="202"/>
      <c r="BF25" s="202"/>
      <c r="BG25" s="202"/>
      <c r="BH25" s="202"/>
      <c r="BP25" s="202"/>
    </row>
    <row r="26" spans="1:68" x14ac:dyDescent="0.25">
      <c r="A26" s="202"/>
      <c r="B26" s="202" t="s">
        <v>99</v>
      </c>
      <c r="C26" s="27" t="s">
        <v>387</v>
      </c>
      <c r="D26" s="26">
        <v>0.12</v>
      </c>
      <c r="E26" s="26">
        <v>0.12</v>
      </c>
      <c r="F26" s="26">
        <v>0.12</v>
      </c>
      <c r="G26" s="26">
        <v>0.12</v>
      </c>
      <c r="H26" s="26">
        <v>0.12</v>
      </c>
      <c r="I26" s="26">
        <v>0.12</v>
      </c>
      <c r="J26" s="26">
        <v>0.12</v>
      </c>
      <c r="K26" s="26">
        <v>0.12</v>
      </c>
      <c r="L26" s="26">
        <v>0.12</v>
      </c>
      <c r="M26" s="26">
        <v>0.12</v>
      </c>
      <c r="N26" s="26">
        <v>0.12</v>
      </c>
      <c r="O26" s="26">
        <v>0.12</v>
      </c>
      <c r="P26" s="26">
        <v>0.12</v>
      </c>
      <c r="Q26" s="26">
        <v>0.12</v>
      </c>
      <c r="R26" s="26">
        <v>0.12</v>
      </c>
      <c r="S26" s="26">
        <v>0.12</v>
      </c>
      <c r="T26" s="26">
        <v>0.12</v>
      </c>
      <c r="U26" s="26">
        <v>0.12</v>
      </c>
      <c r="V26" s="26">
        <v>0.12</v>
      </c>
      <c r="W26" s="26">
        <v>0.12</v>
      </c>
      <c r="X26" s="26">
        <v>0.12</v>
      </c>
      <c r="Y26" s="26">
        <v>0.12</v>
      </c>
      <c r="Z26" s="26">
        <v>0.12</v>
      </c>
      <c r="AA26" s="26">
        <v>0.12</v>
      </c>
      <c r="AB26" s="26">
        <v>0.12</v>
      </c>
      <c r="AC26" s="26">
        <v>0.12</v>
      </c>
      <c r="AD26" s="26">
        <v>0.12</v>
      </c>
      <c r="AE26" s="26">
        <v>0.12</v>
      </c>
      <c r="AF26" s="26">
        <v>0.12</v>
      </c>
      <c r="AG26" s="26">
        <v>0.12</v>
      </c>
      <c r="AH26" s="26">
        <v>0.12</v>
      </c>
      <c r="AI26" s="26">
        <v>0.12</v>
      </c>
      <c r="AJ26" s="26">
        <v>0.12</v>
      </c>
      <c r="AK26" s="26">
        <v>0.12</v>
      </c>
      <c r="AL26" s="26">
        <v>0.12</v>
      </c>
      <c r="AM26" s="26">
        <v>0.12</v>
      </c>
      <c r="AN26" s="26">
        <v>0.12</v>
      </c>
      <c r="AO26" s="26">
        <v>0.12</v>
      </c>
      <c r="AP26" s="26">
        <v>0.12</v>
      </c>
      <c r="AQ26" s="26">
        <v>0.12</v>
      </c>
      <c r="AR26" s="26">
        <v>0.12</v>
      </c>
      <c r="AS26" s="26">
        <v>0.12</v>
      </c>
      <c r="AT26" s="26">
        <v>0.12</v>
      </c>
      <c r="AU26" s="26">
        <v>0.12</v>
      </c>
      <c r="AV26" s="26">
        <v>0.12</v>
      </c>
      <c r="AW26" s="26">
        <v>0.12</v>
      </c>
      <c r="AX26" s="26">
        <v>0.12</v>
      </c>
      <c r="AY26" s="26">
        <v>0.12</v>
      </c>
      <c r="AZ26" s="26">
        <v>0.12</v>
      </c>
      <c r="BA26" s="26">
        <v>0.12</v>
      </c>
      <c r="BB26" s="26">
        <v>0.12</v>
      </c>
      <c r="BC26" s="26">
        <v>0.12</v>
      </c>
      <c r="BD26" s="26">
        <v>0.12</v>
      </c>
      <c r="BE26" s="202"/>
      <c r="BF26" s="202"/>
      <c r="BG26" s="202"/>
      <c r="BH26" s="202"/>
      <c r="BP26" s="202"/>
    </row>
    <row r="27" spans="1:68" x14ac:dyDescent="0.25">
      <c r="A27" s="202"/>
      <c r="B27" s="54"/>
      <c r="C27" s="202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  <c r="W27" s="80"/>
      <c r="X27" s="80"/>
      <c r="Y27" s="80"/>
      <c r="Z27" s="80"/>
      <c r="AA27" s="80"/>
      <c r="AB27" s="80"/>
      <c r="AC27" s="80"/>
      <c r="AD27" s="80"/>
      <c r="AE27" s="80"/>
      <c r="AF27" s="80"/>
      <c r="AG27" s="80"/>
      <c r="AH27" s="80"/>
      <c r="AI27" s="80"/>
      <c r="AJ27" s="80"/>
      <c r="AK27" s="80"/>
      <c r="AL27" s="80"/>
      <c r="AM27" s="80"/>
      <c r="AN27" s="80"/>
      <c r="AO27" s="80"/>
      <c r="AP27" s="80"/>
      <c r="AQ27" s="80"/>
      <c r="AR27" s="80"/>
      <c r="AS27" s="80"/>
      <c r="AT27" s="80"/>
      <c r="AU27" s="80"/>
      <c r="AV27" s="80"/>
      <c r="AW27" s="80"/>
      <c r="AX27" s="80"/>
      <c r="AY27" s="80"/>
      <c r="AZ27" s="80"/>
      <c r="BA27" s="80"/>
      <c r="BB27" s="80"/>
      <c r="BC27" s="80"/>
      <c r="BD27" s="80"/>
      <c r="BE27" s="202"/>
      <c r="BF27" s="202"/>
      <c r="BG27" s="202"/>
      <c r="BH27" s="202"/>
      <c r="BP27" s="202"/>
    </row>
    <row r="28" spans="1:68" x14ac:dyDescent="0.25">
      <c r="A28" s="202"/>
      <c r="B28" s="54" t="s">
        <v>100</v>
      </c>
      <c r="C28" s="102" t="s">
        <v>101</v>
      </c>
      <c r="D28" s="26">
        <v>0.94</v>
      </c>
      <c r="E28" s="26">
        <v>0.94</v>
      </c>
      <c r="F28" s="26">
        <v>0.94</v>
      </c>
      <c r="G28" s="26">
        <v>0.94</v>
      </c>
      <c r="H28" s="26">
        <v>0.94</v>
      </c>
      <c r="I28" s="26">
        <v>0.94</v>
      </c>
      <c r="J28" s="26">
        <v>0.94</v>
      </c>
      <c r="K28" s="26">
        <v>0.94</v>
      </c>
      <c r="L28" s="26">
        <v>0.94</v>
      </c>
      <c r="M28" s="26">
        <v>0.94</v>
      </c>
      <c r="N28" s="26">
        <v>0.94</v>
      </c>
      <c r="O28" s="26">
        <v>0.94</v>
      </c>
      <c r="P28" s="26">
        <v>0.94</v>
      </c>
      <c r="Q28" s="26">
        <v>0.94</v>
      </c>
      <c r="R28" s="26">
        <v>0.94</v>
      </c>
      <c r="S28" s="26">
        <v>0.94</v>
      </c>
      <c r="T28" s="26">
        <v>0.94</v>
      </c>
      <c r="U28" s="26">
        <v>0.94</v>
      </c>
      <c r="V28" s="26">
        <v>0.94</v>
      </c>
      <c r="W28" s="26">
        <v>0.94</v>
      </c>
      <c r="X28" s="26">
        <v>0.94</v>
      </c>
      <c r="Y28" s="26">
        <v>0.94</v>
      </c>
      <c r="Z28" s="26">
        <v>0.94</v>
      </c>
      <c r="AA28" s="26">
        <v>0.94</v>
      </c>
      <c r="AB28" s="26">
        <v>0.94</v>
      </c>
      <c r="AC28" s="26">
        <v>0.94</v>
      </c>
      <c r="AD28" s="26">
        <v>0.94</v>
      </c>
      <c r="AE28" s="26">
        <v>0.94</v>
      </c>
      <c r="AF28" s="26">
        <v>0.94</v>
      </c>
      <c r="AG28" s="26">
        <v>0.94</v>
      </c>
      <c r="AH28" s="26">
        <v>0.94</v>
      </c>
      <c r="AI28" s="26">
        <v>0.94</v>
      </c>
      <c r="AJ28" s="26">
        <v>0.94</v>
      </c>
      <c r="AK28" s="26">
        <v>0.94</v>
      </c>
      <c r="AL28" s="26">
        <v>0.94</v>
      </c>
      <c r="AM28" s="26">
        <v>0.94</v>
      </c>
      <c r="AN28" s="26">
        <v>0.94</v>
      </c>
      <c r="AO28" s="26">
        <v>0.94</v>
      </c>
      <c r="AP28" s="26">
        <v>0.94</v>
      </c>
      <c r="AQ28" s="26">
        <v>0.94</v>
      </c>
      <c r="AR28" s="26">
        <v>0.94</v>
      </c>
      <c r="AS28" s="26">
        <v>0.94</v>
      </c>
      <c r="AT28" s="26">
        <v>0.94</v>
      </c>
      <c r="AU28" s="26">
        <v>0.94</v>
      </c>
      <c r="AV28" s="26">
        <v>0.94</v>
      </c>
      <c r="AW28" s="26">
        <v>0.94</v>
      </c>
      <c r="AX28" s="26">
        <v>0.94</v>
      </c>
      <c r="AY28" s="26">
        <v>0.94</v>
      </c>
      <c r="AZ28" s="26">
        <v>0.94</v>
      </c>
      <c r="BA28" s="26">
        <v>0.94</v>
      </c>
      <c r="BB28" s="26">
        <v>0.94</v>
      </c>
      <c r="BC28" s="26">
        <v>0.94</v>
      </c>
      <c r="BD28" s="26">
        <v>0.94</v>
      </c>
      <c r="BE28" s="202"/>
      <c r="BF28" s="202"/>
      <c r="BG28" s="202"/>
      <c r="BH28" s="202"/>
      <c r="BP28" s="202"/>
    </row>
    <row r="29" spans="1:68" x14ac:dyDescent="0.25">
      <c r="A29" s="202"/>
      <c r="B29" s="54"/>
      <c r="C29" s="202"/>
      <c r="D29" s="80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6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P29" s="202"/>
    </row>
    <row r="30" spans="1:68" x14ac:dyDescent="0.25">
      <c r="A30" s="202"/>
      <c r="B30" s="23" t="s">
        <v>102</v>
      </c>
      <c r="C30" s="202"/>
      <c r="D30" s="206"/>
      <c r="E30" s="206"/>
      <c r="F30" s="206"/>
      <c r="G30" s="206"/>
      <c r="H30" s="206"/>
      <c r="I30" s="206"/>
      <c r="J30" s="206"/>
      <c r="K30" s="206"/>
      <c r="L30" s="206"/>
      <c r="M30" s="206"/>
      <c r="N30" s="206"/>
      <c r="O30" s="206"/>
      <c r="P30" s="206"/>
      <c r="Q30" s="206"/>
      <c r="R30" s="206"/>
      <c r="S30" s="206"/>
      <c r="T30" s="202"/>
      <c r="U30" s="206"/>
      <c r="V30" s="206"/>
      <c r="W30" s="206"/>
      <c r="X30" s="206"/>
      <c r="Y30" s="206"/>
      <c r="Z30" s="206"/>
      <c r="AA30" s="206"/>
      <c r="AB30" s="206"/>
      <c r="AC30" s="206"/>
      <c r="AD30" s="206"/>
      <c r="AE30" s="206"/>
      <c r="AF30" s="206"/>
      <c r="AG30" s="206"/>
      <c r="AH30" s="206"/>
      <c r="AI30" s="206"/>
      <c r="AJ30" s="206"/>
      <c r="AK30" s="206"/>
      <c r="AL30" s="206"/>
      <c r="AM30" s="206"/>
      <c r="AN30" s="206"/>
      <c r="AO30" s="206"/>
      <c r="AP30" s="206"/>
      <c r="AQ30" s="206"/>
      <c r="AR30" s="206"/>
      <c r="AS30" s="206"/>
      <c r="AT30" s="206"/>
      <c r="AU30" s="206"/>
      <c r="AV30" s="206"/>
      <c r="AW30" s="206"/>
      <c r="AX30" s="206"/>
      <c r="AY30" s="206"/>
      <c r="AZ30" s="206"/>
      <c r="BA30" s="206"/>
      <c r="BB30" s="206"/>
      <c r="BC30" s="206"/>
      <c r="BD30" s="206"/>
      <c r="BE30" s="202"/>
      <c r="BF30" s="202"/>
      <c r="BG30" s="202"/>
      <c r="BH30" s="202"/>
      <c r="BP30" s="202"/>
    </row>
    <row r="31" spans="1:68" outlineLevel="1" x14ac:dyDescent="0.25">
      <c r="A31" s="217">
        <v>97153</v>
      </c>
      <c r="B31" s="202" t="s">
        <v>379</v>
      </c>
      <c r="C31" s="202"/>
      <c r="D31" s="36" cm="1">
        <f t="array" ref="D31:BD39">(D21:BD21*D43:BD51)+(D22:BD22*D53:BD61)+(D23:BD23*D63:BD71)</f>
        <v>0</v>
      </c>
      <c r="E31" s="36">
        <v>169</v>
      </c>
      <c r="F31" s="36">
        <v>169</v>
      </c>
      <c r="G31" s="36">
        <v>169</v>
      </c>
      <c r="H31" s="36">
        <v>169</v>
      </c>
      <c r="I31" s="36">
        <v>84.731400000000008</v>
      </c>
      <c r="J31" s="36">
        <v>84.731400000000008</v>
      </c>
      <c r="K31" s="36">
        <v>84.731400000000008</v>
      </c>
      <c r="L31" s="36">
        <v>84.731400000000008</v>
      </c>
      <c r="M31" s="36">
        <v>169</v>
      </c>
      <c r="N31" s="36">
        <v>169</v>
      </c>
      <c r="O31" s="36">
        <v>169</v>
      </c>
      <c r="P31" s="36">
        <v>169</v>
      </c>
      <c r="Q31" s="36">
        <v>169</v>
      </c>
      <c r="R31" s="36">
        <v>169</v>
      </c>
      <c r="S31" s="36">
        <v>169</v>
      </c>
      <c r="T31" s="36">
        <v>169</v>
      </c>
      <c r="U31" s="36">
        <v>169</v>
      </c>
      <c r="V31" s="36">
        <v>169</v>
      </c>
      <c r="W31" s="36">
        <v>169</v>
      </c>
      <c r="X31" s="36">
        <v>169</v>
      </c>
      <c r="Y31" s="36">
        <v>169</v>
      </c>
      <c r="Z31" s="36">
        <v>169</v>
      </c>
      <c r="AA31" s="36">
        <v>169</v>
      </c>
      <c r="AB31" s="36">
        <v>169</v>
      </c>
      <c r="AC31" s="36">
        <v>169</v>
      </c>
      <c r="AD31" s="36">
        <v>169</v>
      </c>
      <c r="AE31" s="36">
        <v>169</v>
      </c>
      <c r="AF31" s="36">
        <v>169</v>
      </c>
      <c r="AG31" s="36">
        <v>169</v>
      </c>
      <c r="AH31" s="36">
        <v>169</v>
      </c>
      <c r="AI31" s="36">
        <v>169</v>
      </c>
      <c r="AJ31" s="36">
        <v>169</v>
      </c>
      <c r="AK31" s="36">
        <v>169</v>
      </c>
      <c r="AL31" s="36">
        <v>169</v>
      </c>
      <c r="AM31" s="36">
        <v>169</v>
      </c>
      <c r="AN31" s="36">
        <v>169</v>
      </c>
      <c r="AO31" s="36">
        <v>169</v>
      </c>
      <c r="AP31" s="36">
        <v>169</v>
      </c>
      <c r="AQ31" s="36">
        <v>169</v>
      </c>
      <c r="AR31" s="36">
        <v>84.731400000000008</v>
      </c>
      <c r="AS31" s="173">
        <v>84.731400000000008</v>
      </c>
      <c r="AT31" s="36">
        <v>84.731400000000008</v>
      </c>
      <c r="AU31" s="36">
        <v>84.731400000000008</v>
      </c>
      <c r="AV31" s="36">
        <v>80.160120000000006</v>
      </c>
      <c r="AW31" s="36">
        <v>80.160120000000006</v>
      </c>
      <c r="AX31" s="36">
        <v>80.160120000000006</v>
      </c>
      <c r="AY31" s="36">
        <v>80.160120000000006</v>
      </c>
      <c r="AZ31" s="36">
        <v>80.160120000000006</v>
      </c>
      <c r="BA31" s="36">
        <v>80.160120000000006</v>
      </c>
      <c r="BB31" s="36">
        <v>89.504999999999995</v>
      </c>
      <c r="BC31" s="36">
        <v>89.504999999999995</v>
      </c>
      <c r="BD31" s="36">
        <v>89.504999999999995</v>
      </c>
      <c r="BE31" s="202"/>
      <c r="BF31" s="202"/>
      <c r="BG31" s="202"/>
      <c r="BH31" s="202"/>
      <c r="BP31" s="202"/>
    </row>
    <row r="32" spans="1:68" outlineLevel="1" x14ac:dyDescent="0.25">
      <c r="A32" s="217">
        <v>97154</v>
      </c>
      <c r="B32" s="202" t="s">
        <v>380</v>
      </c>
      <c r="C32" s="202"/>
      <c r="D32" s="36">
        <v>0</v>
      </c>
      <c r="E32" s="36">
        <v>109</v>
      </c>
      <c r="F32" s="36">
        <v>109</v>
      </c>
      <c r="G32" s="36">
        <v>109</v>
      </c>
      <c r="H32" s="36">
        <v>109</v>
      </c>
      <c r="I32" s="36">
        <v>61.526399999999995</v>
      </c>
      <c r="J32" s="36">
        <v>61.526399999999995</v>
      </c>
      <c r="K32" s="36">
        <v>61.526399999999995</v>
      </c>
      <c r="L32" s="36">
        <v>61.526399999999995</v>
      </c>
      <c r="M32" s="36">
        <v>109</v>
      </c>
      <c r="N32" s="36">
        <v>109</v>
      </c>
      <c r="O32" s="36">
        <v>109</v>
      </c>
      <c r="P32" s="36">
        <v>109</v>
      </c>
      <c r="Q32" s="36">
        <v>109</v>
      </c>
      <c r="R32" s="36">
        <v>109</v>
      </c>
      <c r="S32" s="36">
        <v>109</v>
      </c>
      <c r="T32" s="36">
        <v>109</v>
      </c>
      <c r="U32" s="36">
        <v>109</v>
      </c>
      <c r="V32" s="36">
        <v>109</v>
      </c>
      <c r="W32" s="36">
        <v>109</v>
      </c>
      <c r="X32" s="36">
        <v>109</v>
      </c>
      <c r="Y32" s="36">
        <v>109</v>
      </c>
      <c r="Z32" s="36">
        <v>109</v>
      </c>
      <c r="AA32" s="36">
        <v>109</v>
      </c>
      <c r="AB32" s="36">
        <v>109</v>
      </c>
      <c r="AC32" s="36">
        <v>109</v>
      </c>
      <c r="AD32" s="36">
        <v>109</v>
      </c>
      <c r="AE32" s="36">
        <v>109</v>
      </c>
      <c r="AF32" s="36">
        <v>109</v>
      </c>
      <c r="AG32" s="36">
        <v>109</v>
      </c>
      <c r="AH32" s="36">
        <v>109</v>
      </c>
      <c r="AI32" s="36">
        <v>109</v>
      </c>
      <c r="AJ32" s="36">
        <v>109</v>
      </c>
      <c r="AK32" s="36">
        <v>109</v>
      </c>
      <c r="AL32" s="36">
        <v>109</v>
      </c>
      <c r="AM32" s="36">
        <v>109</v>
      </c>
      <c r="AN32" s="36">
        <v>109</v>
      </c>
      <c r="AO32" s="36">
        <v>109</v>
      </c>
      <c r="AP32" s="36">
        <v>109</v>
      </c>
      <c r="AQ32" s="36">
        <v>109</v>
      </c>
      <c r="AR32" s="36">
        <v>61.526399999999995</v>
      </c>
      <c r="AS32" s="173">
        <v>61.526399999999995</v>
      </c>
      <c r="AT32" s="36">
        <v>61.526399999999995</v>
      </c>
      <c r="AU32" s="36">
        <v>61.526399999999995</v>
      </c>
      <c r="AV32" s="36">
        <v>169.06</v>
      </c>
      <c r="AW32" s="36">
        <v>169.06</v>
      </c>
      <c r="AX32" s="36">
        <v>169.06</v>
      </c>
      <c r="AY32" s="36">
        <v>169.06</v>
      </c>
      <c r="AZ32" s="36">
        <v>169.06</v>
      </c>
      <c r="BA32" s="36">
        <v>169.06</v>
      </c>
      <c r="BB32" s="36">
        <v>39.603200000000001</v>
      </c>
      <c r="BC32" s="36">
        <v>39.603200000000001</v>
      </c>
      <c r="BD32" s="36">
        <v>39.603200000000001</v>
      </c>
      <c r="BE32" s="202"/>
      <c r="BF32" s="202"/>
      <c r="BG32" s="202"/>
      <c r="BH32" s="202"/>
      <c r="BP32" s="202"/>
    </row>
    <row r="33" spans="1:68" outlineLevel="1" x14ac:dyDescent="0.25">
      <c r="A33" s="217">
        <v>97155</v>
      </c>
      <c r="B33" s="202" t="s">
        <v>381</v>
      </c>
      <c r="C33" s="202"/>
      <c r="D33" s="36">
        <v>0</v>
      </c>
      <c r="E33" s="36">
        <v>172.7</v>
      </c>
      <c r="F33" s="36">
        <v>172.7</v>
      </c>
      <c r="G33" s="36">
        <v>172.7</v>
      </c>
      <c r="H33" s="36">
        <v>172.7</v>
      </c>
      <c r="I33" s="36">
        <v>169.46280000000002</v>
      </c>
      <c r="J33" s="36">
        <v>169.46280000000002</v>
      </c>
      <c r="K33" s="36">
        <v>169.46280000000002</v>
      </c>
      <c r="L33" s="36">
        <v>169.46280000000002</v>
      </c>
      <c r="M33" s="36">
        <v>172.7</v>
      </c>
      <c r="N33" s="36">
        <v>172.7</v>
      </c>
      <c r="O33" s="36">
        <v>172.7</v>
      </c>
      <c r="P33" s="36">
        <v>172.7</v>
      </c>
      <c r="Q33" s="36">
        <v>172.7</v>
      </c>
      <c r="R33" s="36">
        <v>172.7</v>
      </c>
      <c r="S33" s="36">
        <v>172.7</v>
      </c>
      <c r="T33" s="36">
        <v>172.7</v>
      </c>
      <c r="U33" s="36">
        <v>172.7</v>
      </c>
      <c r="V33" s="36">
        <v>172.7</v>
      </c>
      <c r="W33" s="36">
        <v>172.7</v>
      </c>
      <c r="X33" s="36">
        <v>172.7</v>
      </c>
      <c r="Y33" s="36">
        <v>172.7</v>
      </c>
      <c r="Z33" s="36">
        <v>172.7</v>
      </c>
      <c r="AA33" s="36">
        <v>172.7</v>
      </c>
      <c r="AB33" s="36">
        <v>172.7</v>
      </c>
      <c r="AC33" s="36">
        <v>172.7</v>
      </c>
      <c r="AD33" s="36">
        <v>172.7</v>
      </c>
      <c r="AE33" s="36">
        <v>172.7</v>
      </c>
      <c r="AF33" s="36">
        <v>172.7</v>
      </c>
      <c r="AG33" s="36">
        <v>172.7</v>
      </c>
      <c r="AH33" s="36">
        <v>172.7</v>
      </c>
      <c r="AI33" s="36">
        <v>172.7</v>
      </c>
      <c r="AJ33" s="36">
        <v>172.7</v>
      </c>
      <c r="AK33" s="36">
        <v>172.7</v>
      </c>
      <c r="AL33" s="36">
        <v>172.7</v>
      </c>
      <c r="AM33" s="36">
        <v>172.7</v>
      </c>
      <c r="AN33" s="36">
        <v>172.7</v>
      </c>
      <c r="AO33" s="36">
        <v>172.7</v>
      </c>
      <c r="AP33" s="36">
        <v>172.7</v>
      </c>
      <c r="AQ33" s="36">
        <v>172.7</v>
      </c>
      <c r="AR33" s="36">
        <v>169.46280000000002</v>
      </c>
      <c r="AS33" s="173">
        <v>169.46280000000002</v>
      </c>
      <c r="AT33" s="36">
        <v>169.46280000000002</v>
      </c>
      <c r="AU33" s="36">
        <v>169.46280000000002</v>
      </c>
      <c r="AV33" s="36">
        <v>124.11144000000002</v>
      </c>
      <c r="AW33" s="36">
        <v>124.11144000000002</v>
      </c>
      <c r="AX33" s="36">
        <v>124.11144000000002</v>
      </c>
      <c r="AY33" s="36">
        <v>124.11144000000002</v>
      </c>
      <c r="AZ33" s="36">
        <v>124.11144000000002</v>
      </c>
      <c r="BA33" s="36">
        <v>124.11144000000002</v>
      </c>
      <c r="BB33" s="36">
        <v>138.56700000000001</v>
      </c>
      <c r="BC33" s="36">
        <v>138.56700000000001</v>
      </c>
      <c r="BD33" s="36">
        <v>138.56700000000001</v>
      </c>
      <c r="BE33" s="202"/>
      <c r="BF33" s="202"/>
      <c r="BG33" s="202"/>
      <c r="BH33" s="202"/>
      <c r="BP33" s="202"/>
    </row>
    <row r="34" spans="1:68" outlineLevel="1" x14ac:dyDescent="0.25">
      <c r="A34" s="217">
        <v>97156</v>
      </c>
      <c r="B34" s="202" t="s">
        <v>383</v>
      </c>
      <c r="C34" s="202"/>
      <c r="D34" s="36">
        <v>0</v>
      </c>
      <c r="E34" s="36">
        <v>172.7</v>
      </c>
      <c r="F34" s="36">
        <v>172.7</v>
      </c>
      <c r="G34" s="36">
        <v>172.7</v>
      </c>
      <c r="H34" s="36">
        <v>172.7</v>
      </c>
      <c r="I34" s="36">
        <v>92.422200000000004</v>
      </c>
      <c r="J34" s="36">
        <v>92.422200000000004</v>
      </c>
      <c r="K34" s="36">
        <v>92.422200000000004</v>
      </c>
      <c r="L34" s="36">
        <v>92.422200000000004</v>
      </c>
      <c r="M34" s="36">
        <v>172.7</v>
      </c>
      <c r="N34" s="36">
        <v>172.7</v>
      </c>
      <c r="O34" s="36">
        <v>172.7</v>
      </c>
      <c r="P34" s="36">
        <v>172.7</v>
      </c>
      <c r="Q34" s="36">
        <v>172.7</v>
      </c>
      <c r="R34" s="36">
        <v>172.7</v>
      </c>
      <c r="S34" s="36">
        <v>172.7</v>
      </c>
      <c r="T34" s="36">
        <v>172.7</v>
      </c>
      <c r="U34" s="36">
        <v>172.7</v>
      </c>
      <c r="V34" s="36">
        <v>172.7</v>
      </c>
      <c r="W34" s="36">
        <v>172.7</v>
      </c>
      <c r="X34" s="36">
        <v>172.7</v>
      </c>
      <c r="Y34" s="36">
        <v>172.7</v>
      </c>
      <c r="Z34" s="36">
        <v>172.7</v>
      </c>
      <c r="AA34" s="36">
        <v>172.7</v>
      </c>
      <c r="AB34" s="36">
        <v>172.7</v>
      </c>
      <c r="AC34" s="36">
        <v>172.7</v>
      </c>
      <c r="AD34" s="36">
        <v>172.7</v>
      </c>
      <c r="AE34" s="36">
        <v>172.7</v>
      </c>
      <c r="AF34" s="36">
        <v>172.7</v>
      </c>
      <c r="AG34" s="36">
        <v>172.7</v>
      </c>
      <c r="AH34" s="36">
        <v>172.7</v>
      </c>
      <c r="AI34" s="36">
        <v>172.7</v>
      </c>
      <c r="AJ34" s="36">
        <v>172.7</v>
      </c>
      <c r="AK34" s="36">
        <v>172.7</v>
      </c>
      <c r="AL34" s="36">
        <v>172.7</v>
      </c>
      <c r="AM34" s="36">
        <v>172.7</v>
      </c>
      <c r="AN34" s="36">
        <v>172.7</v>
      </c>
      <c r="AO34" s="36">
        <v>172.7</v>
      </c>
      <c r="AP34" s="36">
        <v>172.7</v>
      </c>
      <c r="AQ34" s="36">
        <v>172.7</v>
      </c>
      <c r="AR34" s="36">
        <v>92.422200000000004</v>
      </c>
      <c r="AS34" s="173">
        <v>92.422200000000004</v>
      </c>
      <c r="AT34" s="36">
        <v>92.422200000000004</v>
      </c>
      <c r="AU34" s="36">
        <v>92.422200000000004</v>
      </c>
      <c r="AV34" s="36">
        <v>91.292400000000001</v>
      </c>
      <c r="AW34" s="36">
        <v>91.292400000000001</v>
      </c>
      <c r="AX34" s="36">
        <v>91.292400000000001</v>
      </c>
      <c r="AY34" s="36">
        <v>91.292400000000001</v>
      </c>
      <c r="AZ34" s="36">
        <v>91.292400000000001</v>
      </c>
      <c r="BA34" s="36">
        <v>91.292400000000001</v>
      </c>
      <c r="BB34" s="36">
        <v>138.56700000000001</v>
      </c>
      <c r="BC34" s="36">
        <v>138.56700000000001</v>
      </c>
      <c r="BD34" s="36">
        <v>138.56700000000001</v>
      </c>
      <c r="BE34" s="202"/>
      <c r="BF34" s="202"/>
      <c r="BG34" s="202"/>
      <c r="BH34" s="202"/>
      <c r="BP34" s="202"/>
    </row>
    <row r="35" spans="1:68" outlineLevel="1" x14ac:dyDescent="0.25">
      <c r="A35" s="217">
        <v>97151</v>
      </c>
      <c r="B35" s="202" t="s">
        <v>382</v>
      </c>
      <c r="C35" s="202"/>
      <c r="D35" s="36">
        <v>0</v>
      </c>
      <c r="E35" s="36">
        <v>169</v>
      </c>
      <c r="F35" s="36">
        <v>169</v>
      </c>
      <c r="G35" s="36">
        <v>169</v>
      </c>
      <c r="H35" s="36">
        <v>169</v>
      </c>
      <c r="I35" s="36">
        <v>160.2612</v>
      </c>
      <c r="J35" s="36">
        <v>160.2612</v>
      </c>
      <c r="K35" s="36">
        <v>160.2612</v>
      </c>
      <c r="L35" s="36">
        <v>160.2612</v>
      </c>
      <c r="M35" s="36">
        <v>169</v>
      </c>
      <c r="N35" s="36">
        <v>169</v>
      </c>
      <c r="O35" s="36">
        <v>169</v>
      </c>
      <c r="P35" s="36">
        <v>169</v>
      </c>
      <c r="Q35" s="36">
        <v>169</v>
      </c>
      <c r="R35" s="36">
        <v>169</v>
      </c>
      <c r="S35" s="36">
        <v>169</v>
      </c>
      <c r="T35" s="36">
        <v>169</v>
      </c>
      <c r="U35" s="36">
        <v>169</v>
      </c>
      <c r="V35" s="36">
        <v>169</v>
      </c>
      <c r="W35" s="36">
        <v>169</v>
      </c>
      <c r="X35" s="36">
        <v>169</v>
      </c>
      <c r="Y35" s="36">
        <v>169</v>
      </c>
      <c r="Z35" s="36">
        <v>169</v>
      </c>
      <c r="AA35" s="36">
        <v>169</v>
      </c>
      <c r="AB35" s="36">
        <v>169</v>
      </c>
      <c r="AC35" s="36">
        <v>169</v>
      </c>
      <c r="AD35" s="36">
        <v>169</v>
      </c>
      <c r="AE35" s="36">
        <v>169</v>
      </c>
      <c r="AF35" s="36">
        <v>169</v>
      </c>
      <c r="AG35" s="36">
        <v>169</v>
      </c>
      <c r="AH35" s="36">
        <v>169</v>
      </c>
      <c r="AI35" s="36">
        <v>169</v>
      </c>
      <c r="AJ35" s="36">
        <v>169</v>
      </c>
      <c r="AK35" s="36">
        <v>169</v>
      </c>
      <c r="AL35" s="36">
        <v>169</v>
      </c>
      <c r="AM35" s="36">
        <v>169</v>
      </c>
      <c r="AN35" s="36">
        <v>169</v>
      </c>
      <c r="AO35" s="36">
        <v>169</v>
      </c>
      <c r="AP35" s="36">
        <v>169</v>
      </c>
      <c r="AQ35" s="36">
        <v>169</v>
      </c>
      <c r="AR35" s="36">
        <v>169.46280000000002</v>
      </c>
      <c r="AS35" s="173">
        <v>160.2612</v>
      </c>
      <c r="AT35" s="36">
        <v>160.2612</v>
      </c>
      <c r="AU35" s="36">
        <v>160.2612</v>
      </c>
      <c r="AV35" s="36">
        <v>123.2856</v>
      </c>
      <c r="AW35" s="36">
        <v>123.2856</v>
      </c>
      <c r="AX35" s="36">
        <v>123.2856</v>
      </c>
      <c r="AY35" s="36">
        <v>123.2856</v>
      </c>
      <c r="AZ35" s="36">
        <v>123.2856</v>
      </c>
      <c r="BA35" s="36">
        <v>123.2856</v>
      </c>
      <c r="BB35" s="36">
        <v>149.3972</v>
      </c>
      <c r="BC35" s="36">
        <v>149.3972</v>
      </c>
      <c r="BD35" s="36">
        <v>149.3972</v>
      </c>
      <c r="BE35" s="202"/>
      <c r="BF35" s="202"/>
      <c r="BG35" s="202"/>
      <c r="BH35" s="202"/>
      <c r="BP35" s="202"/>
    </row>
    <row r="36" spans="1:68" outlineLevel="1" x14ac:dyDescent="0.25">
      <c r="A36" s="217">
        <v>92507</v>
      </c>
      <c r="B36" s="214" t="s">
        <v>403</v>
      </c>
      <c r="C36" s="202"/>
      <c r="D36" s="36">
        <v>0</v>
      </c>
      <c r="E36" s="36">
        <v>245.92039999999997</v>
      </c>
      <c r="F36" s="36">
        <v>245.92039999999997</v>
      </c>
      <c r="G36" s="36">
        <v>245.92039999999997</v>
      </c>
      <c r="H36" s="36">
        <v>245.92039999999997</v>
      </c>
      <c r="I36" s="36">
        <v>155.14619999999996</v>
      </c>
      <c r="J36" s="36">
        <v>155.14619999999996</v>
      </c>
      <c r="K36" s="36">
        <v>155.14619999999996</v>
      </c>
      <c r="L36" s="36">
        <v>155.14619999999996</v>
      </c>
      <c r="M36" s="36">
        <v>335.68134599999996</v>
      </c>
      <c r="N36" s="36">
        <v>335.68134599999996</v>
      </c>
      <c r="O36" s="36">
        <v>335.68134599999996</v>
      </c>
      <c r="P36" s="36">
        <v>335.68134599999996</v>
      </c>
      <c r="Q36" s="36">
        <v>335.68134599999996</v>
      </c>
      <c r="R36" s="36">
        <v>335.68134599999996</v>
      </c>
      <c r="S36" s="36">
        <v>335.68134599999996</v>
      </c>
      <c r="T36" s="36">
        <v>335.68134599999996</v>
      </c>
      <c r="U36" s="36">
        <v>335.68134599999996</v>
      </c>
      <c r="V36" s="36">
        <v>335.68134599999996</v>
      </c>
      <c r="W36" s="36">
        <v>335.68134599999996</v>
      </c>
      <c r="X36" s="36">
        <v>245.92039999999997</v>
      </c>
      <c r="Y36" s="36">
        <v>245.92039999999997</v>
      </c>
      <c r="Z36" s="36">
        <v>245.92039999999997</v>
      </c>
      <c r="AA36" s="36">
        <v>245.92039999999997</v>
      </c>
      <c r="AB36" s="36">
        <v>245.92039999999997</v>
      </c>
      <c r="AC36" s="36">
        <v>245.92039999999997</v>
      </c>
      <c r="AD36" s="36">
        <v>245.92039999999997</v>
      </c>
      <c r="AE36" s="36">
        <v>245.92039999999997</v>
      </c>
      <c r="AF36" s="36">
        <v>245.92039999999997</v>
      </c>
      <c r="AG36" s="36">
        <v>245.92039999999997</v>
      </c>
      <c r="AH36" s="36">
        <v>245.92039999999997</v>
      </c>
      <c r="AI36" s="36">
        <v>245.92039999999997</v>
      </c>
      <c r="AJ36" s="36">
        <v>245.92039999999997</v>
      </c>
      <c r="AK36" s="36">
        <v>245.92039999999997</v>
      </c>
      <c r="AL36" s="36">
        <v>245.92039999999997</v>
      </c>
      <c r="AM36" s="36">
        <v>245.92039999999997</v>
      </c>
      <c r="AN36" s="36">
        <v>245.92039999999997</v>
      </c>
      <c r="AO36" s="36">
        <v>245.92039999999997</v>
      </c>
      <c r="AP36" s="36">
        <v>245.92039999999997</v>
      </c>
      <c r="AQ36" s="36">
        <v>245.92039999999997</v>
      </c>
      <c r="AR36" s="36">
        <v>154.88</v>
      </c>
      <c r="AS36" s="173">
        <v>155.14619999999996</v>
      </c>
      <c r="AT36" s="36">
        <v>155.14619999999996</v>
      </c>
      <c r="AU36" s="36">
        <v>155.14619999999996</v>
      </c>
      <c r="AV36" s="36">
        <v>152.00760000000002</v>
      </c>
      <c r="AW36" s="36">
        <v>152.00760000000002</v>
      </c>
      <c r="AX36" s="36">
        <v>152.00760000000002</v>
      </c>
      <c r="AY36" s="36">
        <v>152.00760000000002</v>
      </c>
      <c r="AZ36" s="36">
        <v>152.00760000000002</v>
      </c>
      <c r="BA36" s="36">
        <v>152.00760000000002</v>
      </c>
      <c r="BB36" s="36">
        <v>175.08699999999999</v>
      </c>
      <c r="BC36" s="36">
        <v>175.08699999999999</v>
      </c>
      <c r="BD36" s="36">
        <v>175.08699999999999</v>
      </c>
      <c r="BE36" s="202"/>
      <c r="BF36" s="202"/>
      <c r="BG36" s="202"/>
      <c r="BH36" s="202"/>
      <c r="BP36" s="202"/>
    </row>
    <row r="37" spans="1:68" outlineLevel="1" x14ac:dyDescent="0.25">
      <c r="A37" s="217">
        <v>92523</v>
      </c>
      <c r="B37" s="214" t="s">
        <v>404</v>
      </c>
      <c r="C37" s="202"/>
      <c r="D37" s="36">
        <v>0</v>
      </c>
      <c r="E37" s="36">
        <v>284.78560000000004</v>
      </c>
      <c r="F37" s="36">
        <v>284.78560000000004</v>
      </c>
      <c r="G37" s="36">
        <v>284.78560000000004</v>
      </c>
      <c r="H37" s="36">
        <v>284.78560000000004</v>
      </c>
      <c r="I37" s="36">
        <v>376.16480000000001</v>
      </c>
      <c r="J37" s="36">
        <v>376.16480000000001</v>
      </c>
      <c r="K37" s="36">
        <v>376.16480000000001</v>
      </c>
      <c r="L37" s="36">
        <v>376.16480000000001</v>
      </c>
      <c r="M37" s="36">
        <v>388.73234400000001</v>
      </c>
      <c r="N37" s="36">
        <v>388.73234400000001</v>
      </c>
      <c r="O37" s="36">
        <v>388.73234400000001</v>
      </c>
      <c r="P37" s="36">
        <v>388.73234400000001</v>
      </c>
      <c r="Q37" s="36">
        <v>388.73234400000001</v>
      </c>
      <c r="R37" s="36">
        <v>388.73234400000001</v>
      </c>
      <c r="S37" s="36">
        <v>388.73234400000001</v>
      </c>
      <c r="T37" s="36">
        <v>388.73234400000001</v>
      </c>
      <c r="U37" s="36">
        <v>388.73234400000001</v>
      </c>
      <c r="V37" s="36">
        <v>388.73234400000001</v>
      </c>
      <c r="W37" s="36">
        <v>388.73234400000001</v>
      </c>
      <c r="X37" s="36">
        <v>284.78560000000004</v>
      </c>
      <c r="Y37" s="36">
        <v>284.78560000000004</v>
      </c>
      <c r="Z37" s="36">
        <v>284.78560000000004</v>
      </c>
      <c r="AA37" s="36">
        <v>284.78560000000004</v>
      </c>
      <c r="AB37" s="36">
        <v>284.78560000000004</v>
      </c>
      <c r="AC37" s="36">
        <v>284.78560000000004</v>
      </c>
      <c r="AD37" s="36">
        <v>284.78560000000004</v>
      </c>
      <c r="AE37" s="36">
        <v>284.78560000000004</v>
      </c>
      <c r="AF37" s="36">
        <v>284.78560000000004</v>
      </c>
      <c r="AG37" s="36">
        <v>284.78560000000004</v>
      </c>
      <c r="AH37" s="36">
        <v>284.78560000000004</v>
      </c>
      <c r="AI37" s="36">
        <v>284.78560000000004</v>
      </c>
      <c r="AJ37" s="36">
        <v>284.78560000000004</v>
      </c>
      <c r="AK37" s="36">
        <v>284.78560000000004</v>
      </c>
      <c r="AL37" s="36">
        <v>284.78560000000004</v>
      </c>
      <c r="AM37" s="36">
        <v>284.78560000000004</v>
      </c>
      <c r="AN37" s="36">
        <v>284.78560000000004</v>
      </c>
      <c r="AO37" s="36">
        <v>284.78560000000004</v>
      </c>
      <c r="AP37" s="36">
        <v>284.78560000000004</v>
      </c>
      <c r="AQ37" s="36">
        <v>284.78560000000004</v>
      </c>
      <c r="AR37" s="36">
        <v>186.34</v>
      </c>
      <c r="AS37" s="173">
        <v>376.16480000000001</v>
      </c>
      <c r="AT37" s="36">
        <v>376.16480000000001</v>
      </c>
      <c r="AU37" s="36">
        <v>376.16480000000001</v>
      </c>
      <c r="AV37" s="36">
        <v>356.21580000000006</v>
      </c>
      <c r="AW37" s="36">
        <v>356.21580000000006</v>
      </c>
      <c r="AX37" s="36">
        <v>356.21580000000006</v>
      </c>
      <c r="AY37" s="36">
        <v>356.21580000000006</v>
      </c>
      <c r="AZ37" s="36">
        <v>356.21580000000006</v>
      </c>
      <c r="BA37" s="36">
        <v>356.21580000000006</v>
      </c>
      <c r="BB37" s="36">
        <v>284.6404</v>
      </c>
      <c r="BC37" s="36">
        <v>284.6404</v>
      </c>
      <c r="BD37" s="36">
        <v>284.6404</v>
      </c>
      <c r="BE37" s="202"/>
      <c r="BF37" s="202"/>
      <c r="BG37" s="202"/>
      <c r="BH37" s="202"/>
      <c r="BP37" s="202"/>
    </row>
    <row r="38" spans="1:68" outlineLevel="1" x14ac:dyDescent="0.25">
      <c r="A38" s="217" t="s">
        <v>105</v>
      </c>
      <c r="B38" s="214" t="s">
        <v>405</v>
      </c>
      <c r="C38" s="202"/>
      <c r="D38" s="36">
        <v>0</v>
      </c>
      <c r="E38" s="36">
        <v>181.75</v>
      </c>
      <c r="F38" s="36">
        <v>181.75</v>
      </c>
      <c r="G38" s="36">
        <v>181.75</v>
      </c>
      <c r="H38" s="36">
        <v>181.75</v>
      </c>
      <c r="I38" s="36">
        <v>175.95399999999998</v>
      </c>
      <c r="J38" s="36">
        <v>175.95399999999998</v>
      </c>
      <c r="K38" s="36">
        <v>175.95399999999998</v>
      </c>
      <c r="L38" s="36">
        <v>175.95399999999998</v>
      </c>
      <c r="M38" s="36">
        <v>181.75</v>
      </c>
      <c r="N38" s="36">
        <v>181.75</v>
      </c>
      <c r="O38" s="36">
        <v>181.75</v>
      </c>
      <c r="P38" s="36">
        <v>181.75</v>
      </c>
      <c r="Q38" s="36">
        <v>181.75</v>
      </c>
      <c r="R38" s="36">
        <v>181.75</v>
      </c>
      <c r="S38" s="36">
        <v>181.75</v>
      </c>
      <c r="T38" s="36">
        <v>181.75</v>
      </c>
      <c r="U38" s="36">
        <v>181.75</v>
      </c>
      <c r="V38" s="36">
        <v>181.75</v>
      </c>
      <c r="W38" s="36">
        <v>181.75</v>
      </c>
      <c r="X38" s="36">
        <v>181.75</v>
      </c>
      <c r="Y38" s="36">
        <v>181.75</v>
      </c>
      <c r="Z38" s="36">
        <v>181.75</v>
      </c>
      <c r="AA38" s="36">
        <v>181.75</v>
      </c>
      <c r="AB38" s="36">
        <v>181.75</v>
      </c>
      <c r="AC38" s="36">
        <v>181.75</v>
      </c>
      <c r="AD38" s="36">
        <v>181.75</v>
      </c>
      <c r="AE38" s="36">
        <v>181.75</v>
      </c>
      <c r="AF38" s="36">
        <v>181.75</v>
      </c>
      <c r="AG38" s="36">
        <v>181.75</v>
      </c>
      <c r="AH38" s="36">
        <v>181.75</v>
      </c>
      <c r="AI38" s="36">
        <v>181.75</v>
      </c>
      <c r="AJ38" s="36">
        <v>181.75</v>
      </c>
      <c r="AK38" s="36">
        <v>181.75</v>
      </c>
      <c r="AL38" s="36">
        <v>181.75</v>
      </c>
      <c r="AM38" s="36">
        <v>181.75</v>
      </c>
      <c r="AN38" s="36">
        <v>181.75</v>
      </c>
      <c r="AO38" s="36">
        <v>181.75</v>
      </c>
      <c r="AP38" s="36">
        <v>181.75</v>
      </c>
      <c r="AQ38" s="36">
        <v>181.75</v>
      </c>
      <c r="AR38" s="36">
        <v>172.78299999999999</v>
      </c>
      <c r="AS38" s="173">
        <v>175.95399999999998</v>
      </c>
      <c r="AT38" s="36">
        <v>175.95399999999998</v>
      </c>
      <c r="AU38" s="36">
        <v>175.95399999999998</v>
      </c>
      <c r="AV38" s="36">
        <v>166.67000000000002</v>
      </c>
      <c r="AW38" s="36">
        <v>166.67000000000002</v>
      </c>
      <c r="AX38" s="36">
        <v>166.67000000000002</v>
      </c>
      <c r="AY38" s="36">
        <v>166.67000000000002</v>
      </c>
      <c r="AZ38" s="36">
        <v>166.67000000000002</v>
      </c>
      <c r="BA38" s="36">
        <v>166.67000000000002</v>
      </c>
      <c r="BB38" s="36">
        <v>170.33999999999997</v>
      </c>
      <c r="BC38" s="36">
        <v>170.33999999999997</v>
      </c>
      <c r="BD38" s="36">
        <v>170.33999999999997</v>
      </c>
      <c r="BE38" s="202"/>
      <c r="BF38" s="202"/>
      <c r="BG38" s="202"/>
      <c r="BH38" s="202"/>
      <c r="BP38" s="202"/>
    </row>
    <row r="39" spans="1:68" outlineLevel="1" x14ac:dyDescent="0.25">
      <c r="A39" s="217">
        <v>97530</v>
      </c>
      <c r="B39" s="214" t="s">
        <v>406</v>
      </c>
      <c r="C39" s="202"/>
      <c r="D39" s="36">
        <v>0</v>
      </c>
      <c r="E39" s="36">
        <v>199.84359999999998</v>
      </c>
      <c r="F39" s="36">
        <v>199.84359999999998</v>
      </c>
      <c r="G39" s="36">
        <v>199.84359999999998</v>
      </c>
      <c r="H39" s="36">
        <v>199.84359999999998</v>
      </c>
      <c r="I39" s="36">
        <v>148.24919999999997</v>
      </c>
      <c r="J39" s="36">
        <v>148.24919999999997</v>
      </c>
      <c r="K39" s="36">
        <v>148.24919999999997</v>
      </c>
      <c r="L39" s="36">
        <v>148.24919999999997</v>
      </c>
      <c r="M39" s="36">
        <v>272.78651400000001</v>
      </c>
      <c r="N39" s="36">
        <v>272.78651400000001</v>
      </c>
      <c r="O39" s="36">
        <v>272.78651400000001</v>
      </c>
      <c r="P39" s="36">
        <v>272.78651400000001</v>
      </c>
      <c r="Q39" s="36">
        <v>272.78651400000001</v>
      </c>
      <c r="R39" s="36">
        <v>272.78651400000001</v>
      </c>
      <c r="S39" s="36">
        <v>272.78651400000001</v>
      </c>
      <c r="T39" s="36">
        <v>272.78651400000001</v>
      </c>
      <c r="U39" s="36">
        <v>272.78651400000001</v>
      </c>
      <c r="V39" s="36">
        <v>272.78651400000001</v>
      </c>
      <c r="W39" s="36">
        <v>272.78651400000001</v>
      </c>
      <c r="X39" s="36">
        <v>199.84359999999998</v>
      </c>
      <c r="Y39" s="36">
        <v>199.84359999999998</v>
      </c>
      <c r="Z39" s="36">
        <v>199.84359999999998</v>
      </c>
      <c r="AA39" s="36">
        <v>199.84359999999998</v>
      </c>
      <c r="AB39" s="36">
        <v>199.84359999999998</v>
      </c>
      <c r="AC39" s="36">
        <v>199.84359999999998</v>
      </c>
      <c r="AD39" s="36">
        <v>199.84359999999998</v>
      </c>
      <c r="AE39" s="36">
        <v>199.84359999999998</v>
      </c>
      <c r="AF39" s="36">
        <v>199.84359999999998</v>
      </c>
      <c r="AG39" s="36">
        <v>199.84359999999998</v>
      </c>
      <c r="AH39" s="36">
        <v>199.84359999999998</v>
      </c>
      <c r="AI39" s="36">
        <v>199.84359999999998</v>
      </c>
      <c r="AJ39" s="36">
        <v>199.84359999999998</v>
      </c>
      <c r="AK39" s="36">
        <v>199.84359999999998</v>
      </c>
      <c r="AL39" s="36">
        <v>199.84359999999998</v>
      </c>
      <c r="AM39" s="36">
        <v>199.84359999999998</v>
      </c>
      <c r="AN39" s="36">
        <v>199.84359999999998</v>
      </c>
      <c r="AO39" s="36">
        <v>199.84359999999998</v>
      </c>
      <c r="AP39" s="36">
        <v>199.84359999999998</v>
      </c>
      <c r="AQ39" s="36">
        <v>199.84359999999998</v>
      </c>
      <c r="AR39" s="36">
        <v>147.91039999999998</v>
      </c>
      <c r="AS39" s="173">
        <v>148.24919999999997</v>
      </c>
      <c r="AT39" s="36">
        <v>148.24919999999997</v>
      </c>
      <c r="AU39" s="36">
        <v>148.24919999999997</v>
      </c>
      <c r="AV39" s="36">
        <v>113.29320000000001</v>
      </c>
      <c r="AW39" s="36">
        <v>113.29320000000001</v>
      </c>
      <c r="AX39" s="36">
        <v>113.29320000000001</v>
      </c>
      <c r="AY39" s="36">
        <v>113.29320000000001</v>
      </c>
      <c r="AZ39" s="36">
        <v>113.29320000000001</v>
      </c>
      <c r="BA39" s="36">
        <v>113.29320000000001</v>
      </c>
      <c r="BB39" s="36">
        <v>188.46959999999996</v>
      </c>
      <c r="BC39" s="36">
        <v>188.46959999999996</v>
      </c>
      <c r="BD39" s="36">
        <v>188.46959999999996</v>
      </c>
      <c r="BE39" s="202"/>
      <c r="BF39" s="202"/>
      <c r="BG39" s="202"/>
      <c r="BH39" s="202"/>
      <c r="BP39" s="202"/>
    </row>
    <row r="40" spans="1:68" x14ac:dyDescent="0.25">
      <c r="A40" s="202"/>
      <c r="B40" s="202"/>
      <c r="C40" s="35" t="s">
        <v>106</v>
      </c>
      <c r="D40" s="97">
        <f>IFERROR(SUMPRODUCT(D74:D78,D$31:D$35)/SUM(D74:D78),0)</f>
        <v>0</v>
      </c>
      <c r="E40" s="97">
        <f t="shared" ref="E40:BD40" si="18">IFERROR(SUMPRODUCT(E74:E78,E$31:E$35)/SUM(E74:E78),0)</f>
        <v>169.47301136363637</v>
      </c>
      <c r="F40" s="97">
        <f t="shared" si="18"/>
        <v>169.47301136363637</v>
      </c>
      <c r="G40" s="97">
        <f t="shared" si="18"/>
        <v>169.47301136363637</v>
      </c>
      <c r="H40" s="97">
        <f t="shared" si="18"/>
        <v>169.47301136363637</v>
      </c>
      <c r="I40" s="97">
        <f t="shared" si="18"/>
        <v>93.184992737430179</v>
      </c>
      <c r="J40" s="97">
        <f t="shared" si="18"/>
        <v>95.966933522727288</v>
      </c>
      <c r="K40" s="97">
        <f t="shared" si="18"/>
        <v>93.184992737430179</v>
      </c>
      <c r="L40" s="97">
        <f t="shared" ref="L40" si="19">IFERROR(SUMPRODUCT(L74:L78,L$31:L$35)/SUM(L74:L78),0)</f>
        <v>95.966933522727288</v>
      </c>
      <c r="M40" s="97">
        <f t="shared" si="18"/>
        <v>165.07653631284919</v>
      </c>
      <c r="N40" s="97">
        <f t="shared" si="18"/>
        <v>165.07653631284919</v>
      </c>
      <c r="O40" s="97">
        <f t="shared" si="18"/>
        <v>165.07653631284919</v>
      </c>
      <c r="P40" s="97">
        <f t="shared" si="18"/>
        <v>169.49115044247787</v>
      </c>
      <c r="Q40" s="97">
        <f t="shared" si="18"/>
        <v>165.07653631284919</v>
      </c>
      <c r="R40" s="97">
        <f t="shared" si="18"/>
        <v>169.47301136363637</v>
      </c>
      <c r="S40" s="97">
        <f t="shared" si="18"/>
        <v>165.07653631284919</v>
      </c>
      <c r="T40" s="97">
        <f t="shared" si="18"/>
        <v>169.47301136363637</v>
      </c>
      <c r="U40" s="97">
        <f t="shared" si="18"/>
        <v>165.07653631284919</v>
      </c>
      <c r="V40" s="97">
        <f t="shared" si="18"/>
        <v>165.07653631284919</v>
      </c>
      <c r="W40" s="97">
        <f t="shared" si="18"/>
        <v>169.47301136363637</v>
      </c>
      <c r="X40" s="97">
        <f t="shared" si="18"/>
        <v>165.07653631284919</v>
      </c>
      <c r="Y40" s="97">
        <f t="shared" si="18"/>
        <v>169.47301136363637</v>
      </c>
      <c r="Z40" s="97">
        <f t="shared" si="18"/>
        <v>165.07653631284919</v>
      </c>
      <c r="AA40" s="97">
        <f t="shared" si="18"/>
        <v>169.47301136363637</v>
      </c>
      <c r="AB40" s="97">
        <f t="shared" si="18"/>
        <v>165.07653631284919</v>
      </c>
      <c r="AC40" s="97">
        <f t="shared" si="18"/>
        <v>169.47301136363637</v>
      </c>
      <c r="AD40" s="97">
        <f t="shared" si="18"/>
        <v>165.07653631284919</v>
      </c>
      <c r="AE40" s="97">
        <f t="shared" si="18"/>
        <v>169.47301136363637</v>
      </c>
      <c r="AF40" s="97">
        <f t="shared" si="18"/>
        <v>165.07653631284919</v>
      </c>
      <c r="AG40" s="97">
        <f t="shared" si="18"/>
        <v>165.07653631284919</v>
      </c>
      <c r="AH40" s="97">
        <f t="shared" si="18"/>
        <v>169.47301136363637</v>
      </c>
      <c r="AI40" s="97">
        <f t="shared" si="18"/>
        <v>165.07653631284919</v>
      </c>
      <c r="AJ40" s="97">
        <f t="shared" si="18"/>
        <v>165.07653631284919</v>
      </c>
      <c r="AK40" s="97">
        <f t="shared" si="18"/>
        <v>169.47301136363637</v>
      </c>
      <c r="AL40" s="97">
        <f t="shared" si="18"/>
        <v>165.07653631284919</v>
      </c>
      <c r="AM40" s="97">
        <f t="shared" si="18"/>
        <v>169.47301136363637</v>
      </c>
      <c r="AN40" s="97">
        <f t="shared" si="18"/>
        <v>165.07653631284919</v>
      </c>
      <c r="AO40" s="97">
        <f t="shared" si="18"/>
        <v>165.07653631284919</v>
      </c>
      <c r="AP40" s="97">
        <f t="shared" si="18"/>
        <v>165.07653631284919</v>
      </c>
      <c r="AQ40" s="97">
        <f t="shared" si="18"/>
        <v>169.47301136363637</v>
      </c>
      <c r="AR40" s="97">
        <f t="shared" si="18"/>
        <v>93.287803910614542</v>
      </c>
      <c r="AS40" s="97">
        <f>IFERROR(SUMPRODUCT(AS74:AS78,AS$31:AS$35)/SUM(AS74:AS78),0)</f>
        <v>95.966933522727288</v>
      </c>
      <c r="AT40" s="97">
        <f t="shared" si="18"/>
        <v>93.184992737430179</v>
      </c>
      <c r="AU40" s="97">
        <f t="shared" si="18"/>
        <v>93.184992737430179</v>
      </c>
      <c r="AV40" s="97">
        <f t="shared" si="18"/>
        <v>91.979665027932967</v>
      </c>
      <c r="AW40" s="97">
        <f t="shared" si="18"/>
        <v>91.979665027932967</v>
      </c>
      <c r="AX40" s="97">
        <f t="shared" si="18"/>
        <v>91.979665027932967</v>
      </c>
      <c r="AY40" s="97">
        <f t="shared" si="18"/>
        <v>91.979665027932967</v>
      </c>
      <c r="AZ40" s="97">
        <f t="shared" si="18"/>
        <v>86.199605795454559</v>
      </c>
      <c r="BA40" s="97">
        <f t="shared" si="18"/>
        <v>91.979665027932967</v>
      </c>
      <c r="BB40" s="97">
        <f t="shared" ref="BB40:BC40" si="20">IFERROR(SUMPRODUCT(BB74:BB78,BB$31:BB$35)/SUM(BB74:BB78),0)</f>
        <v>97.138317045454542</v>
      </c>
      <c r="BC40" s="97">
        <f t="shared" si="20"/>
        <v>97.138317045454542</v>
      </c>
      <c r="BD40" s="97">
        <f t="shared" si="18"/>
        <v>97.138317045454542</v>
      </c>
      <c r="BE40" s="202"/>
      <c r="BF40" s="202"/>
      <c r="BG40" s="202"/>
      <c r="BH40" s="202"/>
      <c r="BP40" s="202"/>
    </row>
    <row r="41" spans="1:68" x14ac:dyDescent="0.25">
      <c r="A41" s="98"/>
      <c r="B41" s="202"/>
      <c r="C41" s="202"/>
      <c r="D41" s="97"/>
      <c r="E41" s="97"/>
      <c r="F41" s="97"/>
      <c r="G41" s="97"/>
      <c r="H41" s="97"/>
      <c r="I41" s="97"/>
      <c r="J41" s="97"/>
      <c r="K41" s="97"/>
      <c r="L41" s="97"/>
      <c r="M41" s="156"/>
      <c r="N41" s="97"/>
      <c r="O41" s="97"/>
      <c r="P41" s="97"/>
      <c r="Q41" s="97"/>
      <c r="R41" s="97"/>
      <c r="S41" s="97"/>
      <c r="T41" s="97"/>
      <c r="U41" s="97"/>
      <c r="V41" s="97"/>
      <c r="W41" s="97"/>
      <c r="X41" s="97"/>
      <c r="Y41" s="97"/>
      <c r="Z41" s="97"/>
      <c r="AA41" s="97"/>
      <c r="AB41" s="97"/>
      <c r="AC41" s="97"/>
      <c r="AD41" s="97"/>
      <c r="AE41" s="97"/>
      <c r="AF41" s="97"/>
      <c r="AG41" s="97"/>
      <c r="AH41" s="97"/>
      <c r="AI41" s="97"/>
      <c r="AJ41" s="97"/>
      <c r="AK41" s="97"/>
      <c r="AL41" s="97"/>
      <c r="AM41" s="97"/>
      <c r="AN41" s="97"/>
      <c r="AO41" s="97"/>
      <c r="AP41" s="97"/>
      <c r="AQ41" s="97"/>
      <c r="AR41" s="97"/>
      <c r="AS41" s="97"/>
      <c r="AT41" s="97"/>
      <c r="AU41" s="97"/>
      <c r="AV41" s="97"/>
      <c r="AW41" s="97"/>
      <c r="AX41" s="97"/>
      <c r="AY41" s="97"/>
      <c r="AZ41" s="97"/>
      <c r="BA41" s="97"/>
      <c r="BB41" s="97"/>
      <c r="BC41" s="97"/>
      <c r="BD41" s="97"/>
      <c r="BE41" s="202"/>
      <c r="BF41" s="202"/>
      <c r="BG41" s="202"/>
      <c r="BH41" s="202"/>
      <c r="BP41" s="202"/>
    </row>
    <row r="42" spans="1:68" outlineLevel="1" x14ac:dyDescent="0.25">
      <c r="A42" s="202"/>
      <c r="B42" s="23" t="s">
        <v>384</v>
      </c>
      <c r="C42" s="202"/>
      <c r="D42" s="206"/>
      <c r="E42" s="206"/>
      <c r="F42" s="206"/>
      <c r="G42" s="206"/>
      <c r="H42" s="206"/>
      <c r="I42" s="206"/>
      <c r="J42" s="206"/>
      <c r="K42" s="206"/>
      <c r="L42" s="206"/>
      <c r="M42" s="206"/>
      <c r="N42" s="206"/>
      <c r="O42" s="206"/>
      <c r="P42" s="206"/>
      <c r="Q42" s="206"/>
      <c r="R42" s="206"/>
      <c r="S42" s="206"/>
      <c r="T42" s="206"/>
      <c r="U42" s="206"/>
      <c r="V42" s="206"/>
      <c r="W42" s="206"/>
      <c r="X42" s="206"/>
      <c r="Y42" s="206"/>
      <c r="Z42" s="206"/>
      <c r="AA42" s="206"/>
      <c r="AB42" s="206"/>
      <c r="AC42" s="206"/>
      <c r="AD42" s="206"/>
      <c r="AE42" s="206"/>
      <c r="AF42" s="206"/>
      <c r="AG42" s="206"/>
      <c r="AH42" s="206"/>
      <c r="AI42" s="206"/>
      <c r="AJ42" s="206"/>
      <c r="AK42" s="206"/>
      <c r="AL42" s="206"/>
      <c r="AM42" s="206"/>
      <c r="AN42" s="206"/>
      <c r="AO42" s="206"/>
      <c r="AP42" s="206"/>
      <c r="AQ42" s="206"/>
      <c r="AR42" s="206"/>
      <c r="AS42" s="206"/>
      <c r="AT42" s="206"/>
      <c r="AU42" s="206"/>
      <c r="AV42" s="206"/>
      <c r="AW42" s="206"/>
      <c r="AX42" s="206"/>
      <c r="AY42" s="206"/>
      <c r="AZ42" s="206"/>
      <c r="BA42" s="206"/>
      <c r="BB42" s="206"/>
      <c r="BC42" s="206"/>
      <c r="BD42" s="206"/>
      <c r="BE42" s="202"/>
      <c r="BF42" s="202"/>
      <c r="BG42" s="202"/>
      <c r="BH42" s="202"/>
      <c r="BP42" s="202"/>
    </row>
    <row r="43" spans="1:68" outlineLevel="1" x14ac:dyDescent="0.25">
      <c r="A43" s="217"/>
      <c r="B43" s="214" t="s">
        <v>379</v>
      </c>
      <c r="C43" s="202"/>
      <c r="D43" s="25">
        <v>0</v>
      </c>
      <c r="E43" s="25">
        <v>169</v>
      </c>
      <c r="F43" s="25">
        <v>169</v>
      </c>
      <c r="G43" s="25">
        <v>169</v>
      </c>
      <c r="H43" s="25">
        <v>169</v>
      </c>
      <c r="I43" s="25">
        <v>76.680000000000007</v>
      </c>
      <c r="J43" s="25">
        <v>76.680000000000007</v>
      </c>
      <c r="K43" s="25">
        <v>76.680000000000007</v>
      </c>
      <c r="L43" s="25">
        <v>76.680000000000007</v>
      </c>
      <c r="M43" s="25">
        <v>169</v>
      </c>
      <c r="N43" s="25">
        <v>169</v>
      </c>
      <c r="O43" s="25">
        <v>169</v>
      </c>
      <c r="P43" s="25">
        <v>169</v>
      </c>
      <c r="Q43" s="25">
        <v>169</v>
      </c>
      <c r="R43" s="25">
        <v>169</v>
      </c>
      <c r="S43" s="25">
        <v>169</v>
      </c>
      <c r="T43" s="25">
        <v>169</v>
      </c>
      <c r="U43" s="25">
        <v>169</v>
      </c>
      <c r="V43" s="25">
        <v>169</v>
      </c>
      <c r="W43" s="25">
        <v>169</v>
      </c>
      <c r="X43" s="25">
        <v>169</v>
      </c>
      <c r="Y43" s="25">
        <v>169</v>
      </c>
      <c r="Z43" s="25">
        <v>169</v>
      </c>
      <c r="AA43" s="25">
        <v>169</v>
      </c>
      <c r="AB43" s="25">
        <v>169</v>
      </c>
      <c r="AC43" s="25">
        <v>169</v>
      </c>
      <c r="AD43" s="25">
        <v>169</v>
      </c>
      <c r="AE43" s="25">
        <v>169</v>
      </c>
      <c r="AF43" s="25">
        <v>169</v>
      </c>
      <c r="AG43" s="25">
        <v>169</v>
      </c>
      <c r="AH43" s="25">
        <v>169</v>
      </c>
      <c r="AI43" s="25">
        <v>169</v>
      </c>
      <c r="AJ43" s="25">
        <v>169</v>
      </c>
      <c r="AK43" s="25">
        <v>169</v>
      </c>
      <c r="AL43" s="25">
        <v>169</v>
      </c>
      <c r="AM43" s="25">
        <v>169</v>
      </c>
      <c r="AN43" s="25">
        <v>169</v>
      </c>
      <c r="AO43" s="25">
        <v>169</v>
      </c>
      <c r="AP43" s="25">
        <v>169</v>
      </c>
      <c r="AQ43" s="25">
        <v>169</v>
      </c>
      <c r="AR43" s="25">
        <v>76.680000000000007</v>
      </c>
      <c r="AS43" s="25">
        <v>76.680000000000007</v>
      </c>
      <c r="AT43" s="25">
        <v>76.680000000000007</v>
      </c>
      <c r="AU43" s="25">
        <v>76.680000000000007</v>
      </c>
      <c r="AV43" s="25">
        <f t="shared" ref="AV43:AY43" si="21">83.24*0.9</f>
        <v>74.915999999999997</v>
      </c>
      <c r="AW43" s="25">
        <f t="shared" si="21"/>
        <v>74.915999999999997</v>
      </c>
      <c r="AX43" s="25">
        <f t="shared" si="21"/>
        <v>74.915999999999997</v>
      </c>
      <c r="AY43" s="25">
        <f t="shared" si="21"/>
        <v>74.915999999999997</v>
      </c>
      <c r="AZ43" s="25">
        <f>83.24*0.9</f>
        <v>74.915999999999997</v>
      </c>
      <c r="BA43" s="25">
        <f>83.24*0.9</f>
        <v>74.915999999999997</v>
      </c>
      <c r="BB43" s="25">
        <v>81</v>
      </c>
      <c r="BC43" s="25">
        <v>81</v>
      </c>
      <c r="BD43" s="25">
        <v>81</v>
      </c>
      <c r="BE43" s="202"/>
      <c r="BF43" s="202"/>
      <c r="BG43" s="202"/>
      <c r="BH43" s="202"/>
      <c r="BP43" s="202"/>
    </row>
    <row r="44" spans="1:68" outlineLevel="1" x14ac:dyDescent="0.25">
      <c r="A44" s="217"/>
      <c r="B44" s="214" t="s">
        <v>380</v>
      </c>
      <c r="C44" s="202"/>
      <c r="D44" s="25">
        <v>0</v>
      </c>
      <c r="E44" s="25">
        <f t="shared" ref="E44:H44" si="22">54.5*2</f>
        <v>109</v>
      </c>
      <c r="F44" s="25">
        <f t="shared" si="22"/>
        <v>109</v>
      </c>
      <c r="G44" s="25">
        <f t="shared" si="22"/>
        <v>109</v>
      </c>
      <c r="H44" s="25">
        <f t="shared" si="22"/>
        <v>109</v>
      </c>
      <c r="I44" s="25">
        <f>27.84*2</f>
        <v>55.68</v>
      </c>
      <c r="J44" s="25">
        <f t="shared" ref="J44:L44" si="23">27.84*2</f>
        <v>55.68</v>
      </c>
      <c r="K44" s="25">
        <f t="shared" si="23"/>
        <v>55.68</v>
      </c>
      <c r="L44" s="25">
        <f t="shared" si="23"/>
        <v>55.68</v>
      </c>
      <c r="M44" s="25">
        <f t="shared" ref="M44:AQ44" si="24">54.5*2</f>
        <v>109</v>
      </c>
      <c r="N44" s="25">
        <f t="shared" si="24"/>
        <v>109</v>
      </c>
      <c r="O44" s="25">
        <f t="shared" si="24"/>
        <v>109</v>
      </c>
      <c r="P44" s="25">
        <f t="shared" si="24"/>
        <v>109</v>
      </c>
      <c r="Q44" s="25">
        <f t="shared" si="24"/>
        <v>109</v>
      </c>
      <c r="R44" s="25">
        <f t="shared" si="24"/>
        <v>109</v>
      </c>
      <c r="S44" s="25">
        <f t="shared" si="24"/>
        <v>109</v>
      </c>
      <c r="T44" s="25">
        <f t="shared" si="24"/>
        <v>109</v>
      </c>
      <c r="U44" s="25">
        <f t="shared" si="24"/>
        <v>109</v>
      </c>
      <c r="V44" s="25">
        <f t="shared" si="24"/>
        <v>109</v>
      </c>
      <c r="W44" s="25">
        <f t="shared" si="24"/>
        <v>109</v>
      </c>
      <c r="X44" s="25">
        <f t="shared" si="24"/>
        <v>109</v>
      </c>
      <c r="Y44" s="25">
        <f t="shared" si="24"/>
        <v>109</v>
      </c>
      <c r="Z44" s="25">
        <f t="shared" si="24"/>
        <v>109</v>
      </c>
      <c r="AA44" s="25">
        <f t="shared" si="24"/>
        <v>109</v>
      </c>
      <c r="AB44" s="25">
        <f t="shared" si="24"/>
        <v>109</v>
      </c>
      <c r="AC44" s="25">
        <f t="shared" si="24"/>
        <v>109</v>
      </c>
      <c r="AD44" s="25">
        <f t="shared" si="24"/>
        <v>109</v>
      </c>
      <c r="AE44" s="25">
        <f t="shared" si="24"/>
        <v>109</v>
      </c>
      <c r="AF44" s="25">
        <f t="shared" si="24"/>
        <v>109</v>
      </c>
      <c r="AG44" s="25">
        <f t="shared" si="24"/>
        <v>109</v>
      </c>
      <c r="AH44" s="25">
        <f t="shared" si="24"/>
        <v>109</v>
      </c>
      <c r="AI44" s="25">
        <f t="shared" si="24"/>
        <v>109</v>
      </c>
      <c r="AJ44" s="25">
        <f t="shared" si="24"/>
        <v>109</v>
      </c>
      <c r="AK44" s="25">
        <f t="shared" si="24"/>
        <v>109</v>
      </c>
      <c r="AL44" s="25">
        <f t="shared" si="24"/>
        <v>109</v>
      </c>
      <c r="AM44" s="25">
        <f t="shared" si="24"/>
        <v>109</v>
      </c>
      <c r="AN44" s="25">
        <f t="shared" si="24"/>
        <v>109</v>
      </c>
      <c r="AO44" s="25">
        <f t="shared" si="24"/>
        <v>109</v>
      </c>
      <c r="AP44" s="25">
        <f t="shared" si="24"/>
        <v>109</v>
      </c>
      <c r="AQ44" s="25">
        <f t="shared" si="24"/>
        <v>109</v>
      </c>
      <c r="AR44" s="25">
        <f>27.84*2</f>
        <v>55.68</v>
      </c>
      <c r="AS44" s="25">
        <f>27.84*2</f>
        <v>55.68</v>
      </c>
      <c r="AT44" s="25">
        <f t="shared" ref="AT44:AU44" si="25">27.84*2</f>
        <v>55.68</v>
      </c>
      <c r="AU44" s="25">
        <f t="shared" si="25"/>
        <v>55.68</v>
      </c>
      <c r="AV44" s="25">
        <f>79*2</f>
        <v>158</v>
      </c>
      <c r="AW44" s="25">
        <f t="shared" ref="AW44:BA44" si="26">79*2</f>
        <v>158</v>
      </c>
      <c r="AX44" s="25">
        <f t="shared" si="26"/>
        <v>158</v>
      </c>
      <c r="AY44" s="25">
        <f t="shared" si="26"/>
        <v>158</v>
      </c>
      <c r="AZ44" s="25">
        <f t="shared" si="26"/>
        <v>158</v>
      </c>
      <c r="BA44" s="25">
        <f t="shared" si="26"/>
        <v>158</v>
      </c>
      <c r="BB44" s="25">
        <f>17.92*2</f>
        <v>35.840000000000003</v>
      </c>
      <c r="BC44" s="25">
        <f>17.92*2</f>
        <v>35.840000000000003</v>
      </c>
      <c r="BD44" s="25">
        <f>17.92*2</f>
        <v>35.840000000000003</v>
      </c>
      <c r="BE44" s="202"/>
      <c r="BF44" s="202"/>
      <c r="BG44" s="202"/>
      <c r="BH44" s="202"/>
      <c r="BP44" s="202"/>
    </row>
    <row r="45" spans="1:68" outlineLevel="1" x14ac:dyDescent="0.25">
      <c r="A45" s="217"/>
      <c r="B45" s="214" t="s">
        <v>381</v>
      </c>
      <c r="C45" s="202"/>
      <c r="D45" s="25">
        <v>0</v>
      </c>
      <c r="E45" s="25">
        <v>173</v>
      </c>
      <c r="F45" s="25">
        <v>173</v>
      </c>
      <c r="G45" s="25">
        <v>173</v>
      </c>
      <c r="H45" s="25">
        <v>173</v>
      </c>
      <c r="I45" s="25">
        <v>153.36000000000001</v>
      </c>
      <c r="J45" s="25">
        <v>153.36000000000001</v>
      </c>
      <c r="K45" s="25">
        <v>153.36000000000001</v>
      </c>
      <c r="L45" s="25">
        <v>153.36000000000001</v>
      </c>
      <c r="M45" s="25">
        <v>173</v>
      </c>
      <c r="N45" s="25">
        <v>173</v>
      </c>
      <c r="O45" s="25">
        <v>173</v>
      </c>
      <c r="P45" s="25">
        <v>173</v>
      </c>
      <c r="Q45" s="25">
        <v>173</v>
      </c>
      <c r="R45" s="25">
        <v>173</v>
      </c>
      <c r="S45" s="25">
        <v>173</v>
      </c>
      <c r="T45" s="25">
        <v>173</v>
      </c>
      <c r="U45" s="25">
        <v>173</v>
      </c>
      <c r="V45" s="25">
        <v>173</v>
      </c>
      <c r="W45" s="25">
        <v>173</v>
      </c>
      <c r="X45" s="25">
        <v>173</v>
      </c>
      <c r="Y45" s="25">
        <v>173</v>
      </c>
      <c r="Z45" s="25">
        <v>173</v>
      </c>
      <c r="AA45" s="25">
        <v>173</v>
      </c>
      <c r="AB45" s="25">
        <v>173</v>
      </c>
      <c r="AC45" s="25">
        <v>173</v>
      </c>
      <c r="AD45" s="25">
        <v>173</v>
      </c>
      <c r="AE45" s="25">
        <v>173</v>
      </c>
      <c r="AF45" s="25">
        <v>173</v>
      </c>
      <c r="AG45" s="25">
        <v>173</v>
      </c>
      <c r="AH45" s="25">
        <v>173</v>
      </c>
      <c r="AI45" s="25">
        <v>173</v>
      </c>
      <c r="AJ45" s="25">
        <v>173</v>
      </c>
      <c r="AK45" s="25">
        <v>173</v>
      </c>
      <c r="AL45" s="25">
        <v>173</v>
      </c>
      <c r="AM45" s="25">
        <v>173</v>
      </c>
      <c r="AN45" s="25">
        <v>173</v>
      </c>
      <c r="AO45" s="25">
        <v>173</v>
      </c>
      <c r="AP45" s="25">
        <v>173</v>
      </c>
      <c r="AQ45" s="25">
        <v>173</v>
      </c>
      <c r="AR45" s="25">
        <v>153.36000000000001</v>
      </c>
      <c r="AS45" s="25">
        <v>153.36000000000001</v>
      </c>
      <c r="AT45" s="25">
        <v>153.36000000000001</v>
      </c>
      <c r="AU45" s="25">
        <v>153.36000000000001</v>
      </c>
      <c r="AV45" s="25">
        <f t="shared" ref="AV45:AY45" si="27">128.88*0.9</f>
        <v>115.992</v>
      </c>
      <c r="AW45" s="25">
        <f t="shared" si="27"/>
        <v>115.992</v>
      </c>
      <c r="AX45" s="25">
        <f t="shared" si="27"/>
        <v>115.992</v>
      </c>
      <c r="AY45" s="25">
        <f t="shared" si="27"/>
        <v>115.992</v>
      </c>
      <c r="AZ45" s="25">
        <f>128.88*0.9</f>
        <v>115.992</v>
      </c>
      <c r="BA45" s="25">
        <f>128.88*0.9</f>
        <v>115.992</v>
      </c>
      <c r="BB45" s="25">
        <v>125.4</v>
      </c>
      <c r="BC45" s="25">
        <v>125.4</v>
      </c>
      <c r="BD45" s="25">
        <v>125.4</v>
      </c>
      <c r="BE45" s="202"/>
      <c r="BF45" s="202"/>
      <c r="BG45" s="202"/>
      <c r="BH45" s="202"/>
      <c r="BP45" s="202"/>
    </row>
    <row r="46" spans="1:68" outlineLevel="1" x14ac:dyDescent="0.25">
      <c r="A46" s="217"/>
      <c r="B46" s="214" t="s">
        <v>383</v>
      </c>
      <c r="C46" s="202"/>
      <c r="D46" s="25">
        <v>0</v>
      </c>
      <c r="E46" s="25">
        <v>173</v>
      </c>
      <c r="F46" s="25">
        <v>173</v>
      </c>
      <c r="G46" s="25">
        <v>173</v>
      </c>
      <c r="H46" s="25">
        <v>173</v>
      </c>
      <c r="I46" s="25">
        <v>83.64</v>
      </c>
      <c r="J46" s="25">
        <v>83.64</v>
      </c>
      <c r="K46" s="25">
        <v>83.64</v>
      </c>
      <c r="L46" s="25">
        <v>83.64</v>
      </c>
      <c r="M46" s="25">
        <v>173</v>
      </c>
      <c r="N46" s="25">
        <v>173</v>
      </c>
      <c r="O46" s="25">
        <v>173</v>
      </c>
      <c r="P46" s="25">
        <v>173</v>
      </c>
      <c r="Q46" s="25">
        <v>173</v>
      </c>
      <c r="R46" s="25">
        <v>173</v>
      </c>
      <c r="S46" s="25">
        <v>173</v>
      </c>
      <c r="T46" s="25">
        <v>173</v>
      </c>
      <c r="U46" s="25">
        <v>173</v>
      </c>
      <c r="V46" s="25">
        <v>173</v>
      </c>
      <c r="W46" s="25">
        <v>173</v>
      </c>
      <c r="X46" s="25">
        <v>173</v>
      </c>
      <c r="Y46" s="25">
        <v>173</v>
      </c>
      <c r="Z46" s="25">
        <v>173</v>
      </c>
      <c r="AA46" s="25">
        <v>173</v>
      </c>
      <c r="AB46" s="25">
        <v>173</v>
      </c>
      <c r="AC46" s="25">
        <v>173</v>
      </c>
      <c r="AD46" s="25">
        <v>173</v>
      </c>
      <c r="AE46" s="25">
        <v>173</v>
      </c>
      <c r="AF46" s="25">
        <v>173</v>
      </c>
      <c r="AG46" s="25">
        <v>173</v>
      </c>
      <c r="AH46" s="25">
        <v>173</v>
      </c>
      <c r="AI46" s="25">
        <v>173</v>
      </c>
      <c r="AJ46" s="25">
        <v>173</v>
      </c>
      <c r="AK46" s="25">
        <v>173</v>
      </c>
      <c r="AL46" s="25">
        <v>173</v>
      </c>
      <c r="AM46" s="25">
        <v>173</v>
      </c>
      <c r="AN46" s="25">
        <v>173</v>
      </c>
      <c r="AO46" s="25">
        <v>173</v>
      </c>
      <c r="AP46" s="25">
        <v>173</v>
      </c>
      <c r="AQ46" s="25">
        <v>173</v>
      </c>
      <c r="AR46" s="25">
        <v>83.64</v>
      </c>
      <c r="AS46" s="25">
        <v>83.64</v>
      </c>
      <c r="AT46" s="25">
        <v>83.64</v>
      </c>
      <c r="AU46" s="25">
        <v>83.64</v>
      </c>
      <c r="AV46" s="25">
        <f t="shared" ref="AV46:AY46" si="28">94.8*0.9</f>
        <v>85.32</v>
      </c>
      <c r="AW46" s="25">
        <f t="shared" si="28"/>
        <v>85.32</v>
      </c>
      <c r="AX46" s="25">
        <f t="shared" si="28"/>
        <v>85.32</v>
      </c>
      <c r="AY46" s="25">
        <f t="shared" si="28"/>
        <v>85.32</v>
      </c>
      <c r="AZ46" s="25">
        <f>94.8*0.9</f>
        <v>85.32</v>
      </c>
      <c r="BA46" s="25">
        <f>94.8*0.9</f>
        <v>85.32</v>
      </c>
      <c r="BB46" s="25">
        <v>125.4</v>
      </c>
      <c r="BC46" s="25">
        <v>125.4</v>
      </c>
      <c r="BD46" s="25">
        <v>125.4</v>
      </c>
      <c r="BE46" s="202"/>
      <c r="BF46" s="202"/>
      <c r="BG46" s="202"/>
      <c r="BH46" s="202"/>
      <c r="BP46" s="202"/>
    </row>
    <row r="47" spans="1:68" outlineLevel="1" x14ac:dyDescent="0.25">
      <c r="A47" s="217"/>
      <c r="B47" s="214" t="s">
        <v>382</v>
      </c>
      <c r="C47" s="202"/>
      <c r="D47" s="25">
        <v>0</v>
      </c>
      <c r="E47" s="25">
        <v>169</v>
      </c>
      <c r="F47" s="25">
        <v>169</v>
      </c>
      <c r="G47" s="25">
        <v>169</v>
      </c>
      <c r="H47" s="25">
        <v>169</v>
      </c>
      <c r="I47" s="25">
        <v>153.36000000000001</v>
      </c>
      <c r="J47" s="25">
        <v>153.36000000000001</v>
      </c>
      <c r="K47" s="25">
        <v>153.36000000000001</v>
      </c>
      <c r="L47" s="25">
        <v>153.36000000000001</v>
      </c>
      <c r="M47" s="25">
        <v>169</v>
      </c>
      <c r="N47" s="25">
        <v>169</v>
      </c>
      <c r="O47" s="25">
        <v>169</v>
      </c>
      <c r="P47" s="25">
        <v>169</v>
      </c>
      <c r="Q47" s="25">
        <v>169</v>
      </c>
      <c r="R47" s="25">
        <v>169</v>
      </c>
      <c r="S47" s="25">
        <v>169</v>
      </c>
      <c r="T47" s="25">
        <v>169</v>
      </c>
      <c r="U47" s="25">
        <v>169</v>
      </c>
      <c r="V47" s="25">
        <v>169</v>
      </c>
      <c r="W47" s="25">
        <v>169</v>
      </c>
      <c r="X47" s="25">
        <v>169</v>
      </c>
      <c r="Y47" s="25">
        <v>169</v>
      </c>
      <c r="Z47" s="25">
        <v>169</v>
      </c>
      <c r="AA47" s="25">
        <v>169</v>
      </c>
      <c r="AB47" s="25">
        <v>169</v>
      </c>
      <c r="AC47" s="25">
        <v>169</v>
      </c>
      <c r="AD47" s="25">
        <v>169</v>
      </c>
      <c r="AE47" s="25">
        <v>169</v>
      </c>
      <c r="AF47" s="25">
        <v>169</v>
      </c>
      <c r="AG47" s="25">
        <v>169</v>
      </c>
      <c r="AH47" s="25">
        <v>169</v>
      </c>
      <c r="AI47" s="25">
        <v>169</v>
      </c>
      <c r="AJ47" s="25">
        <v>169</v>
      </c>
      <c r="AK47" s="25">
        <v>169</v>
      </c>
      <c r="AL47" s="25">
        <v>169</v>
      </c>
      <c r="AM47" s="25">
        <v>169</v>
      </c>
      <c r="AN47" s="25">
        <v>169</v>
      </c>
      <c r="AO47" s="25">
        <v>169</v>
      </c>
      <c r="AP47" s="25">
        <v>169</v>
      </c>
      <c r="AQ47" s="25">
        <v>169</v>
      </c>
      <c r="AR47" s="25">
        <v>153.36000000000001</v>
      </c>
      <c r="AS47" s="25">
        <v>153.36000000000001</v>
      </c>
      <c r="AT47" s="25">
        <v>153.36000000000001</v>
      </c>
      <c r="AU47" s="25">
        <v>153.36000000000001</v>
      </c>
      <c r="AV47" s="25">
        <f t="shared" ref="AV47:AY47" si="29">122.24*0.9</f>
        <v>110.01599999999999</v>
      </c>
      <c r="AW47" s="25">
        <f t="shared" si="29"/>
        <v>110.01599999999999</v>
      </c>
      <c r="AX47" s="25">
        <f t="shared" si="29"/>
        <v>110.01599999999999</v>
      </c>
      <c r="AY47" s="25">
        <f t="shared" si="29"/>
        <v>110.01599999999999</v>
      </c>
      <c r="AZ47" s="25">
        <f>122.24*0.9</f>
        <v>110.01599999999999</v>
      </c>
      <c r="BA47" s="25">
        <f>122.24*0.9</f>
        <v>110.01599999999999</v>
      </c>
      <c r="BB47" s="25">
        <v>137.84</v>
      </c>
      <c r="BC47" s="25">
        <v>137.84</v>
      </c>
      <c r="BD47" s="25">
        <v>137.84</v>
      </c>
      <c r="BE47" s="202"/>
      <c r="BF47" s="202"/>
      <c r="BG47" s="202"/>
      <c r="BH47" s="202"/>
      <c r="BP47" s="202"/>
    </row>
    <row r="48" spans="1:68" outlineLevel="1" x14ac:dyDescent="0.25">
      <c r="A48" s="217"/>
      <c r="B48" s="202" t="s">
        <v>319</v>
      </c>
      <c r="C48" s="202"/>
      <c r="D48" s="25">
        <v>0</v>
      </c>
      <c r="E48" s="25">
        <v>203.24</v>
      </c>
      <c r="F48" s="25">
        <v>203.24</v>
      </c>
      <c r="G48" s="25">
        <v>203.24</v>
      </c>
      <c r="H48" s="25">
        <v>203.24</v>
      </c>
      <c r="I48" s="25">
        <v>128.22</v>
      </c>
      <c r="J48" s="25">
        <v>128.22</v>
      </c>
      <c r="K48" s="25">
        <v>128.22</v>
      </c>
      <c r="L48" s="25">
        <v>128.22</v>
      </c>
      <c r="M48" s="25">
        <v>277.42259999999999</v>
      </c>
      <c r="N48" s="25">
        <v>277.42259999999999</v>
      </c>
      <c r="O48" s="25">
        <v>277.42259999999999</v>
      </c>
      <c r="P48" s="25">
        <v>277.42259999999999</v>
      </c>
      <c r="Q48" s="25">
        <v>277.42259999999999</v>
      </c>
      <c r="R48" s="25">
        <v>277.42259999999999</v>
      </c>
      <c r="S48" s="25">
        <v>277.42259999999999</v>
      </c>
      <c r="T48" s="25">
        <v>277.42259999999999</v>
      </c>
      <c r="U48" s="25">
        <v>277.42259999999999</v>
      </c>
      <c r="V48" s="25">
        <v>277.42259999999999</v>
      </c>
      <c r="W48" s="25">
        <v>277.42259999999999</v>
      </c>
      <c r="X48" s="25">
        <v>203.24</v>
      </c>
      <c r="Y48" s="25">
        <v>203.24</v>
      </c>
      <c r="Z48" s="25">
        <v>203.24</v>
      </c>
      <c r="AA48" s="25">
        <v>203.24</v>
      </c>
      <c r="AB48" s="25">
        <v>203.24</v>
      </c>
      <c r="AC48" s="25">
        <v>203.24</v>
      </c>
      <c r="AD48" s="25">
        <v>203.24</v>
      </c>
      <c r="AE48" s="25">
        <v>203.24</v>
      </c>
      <c r="AF48" s="25">
        <v>203.24</v>
      </c>
      <c r="AG48" s="25">
        <v>203.24</v>
      </c>
      <c r="AH48" s="25">
        <v>203.24</v>
      </c>
      <c r="AI48" s="25">
        <v>203.24</v>
      </c>
      <c r="AJ48" s="25">
        <v>203.24</v>
      </c>
      <c r="AK48" s="25">
        <v>203.24</v>
      </c>
      <c r="AL48" s="25">
        <v>203.24</v>
      </c>
      <c r="AM48" s="25">
        <v>203.24</v>
      </c>
      <c r="AN48" s="25">
        <v>203.24</v>
      </c>
      <c r="AO48" s="25">
        <v>203.24</v>
      </c>
      <c r="AP48" s="25">
        <v>203.24</v>
      </c>
      <c r="AQ48" s="25">
        <v>203.24</v>
      </c>
      <c r="AR48" s="25">
        <f>64*2</f>
        <v>128</v>
      </c>
      <c r="AS48" s="25">
        <v>128.22</v>
      </c>
      <c r="AT48" s="25">
        <v>128.22</v>
      </c>
      <c r="AU48" s="25">
        <v>128.22</v>
      </c>
      <c r="AV48" s="25">
        <v>133.34</v>
      </c>
      <c r="AW48" s="25">
        <v>133.34</v>
      </c>
      <c r="AX48" s="25">
        <v>133.34</v>
      </c>
      <c r="AY48" s="25">
        <v>133.34</v>
      </c>
      <c r="AZ48" s="25">
        <v>133.34</v>
      </c>
      <c r="BA48" s="25">
        <v>133.34</v>
      </c>
      <c r="BB48" s="25">
        <f t="shared" ref="BB48:BD48" si="30">72.35*2</f>
        <v>144.69999999999999</v>
      </c>
      <c r="BC48" s="25">
        <f t="shared" si="30"/>
        <v>144.69999999999999</v>
      </c>
      <c r="BD48" s="25">
        <f t="shared" si="30"/>
        <v>144.69999999999999</v>
      </c>
      <c r="BE48" s="202"/>
      <c r="BF48" s="202"/>
      <c r="BG48" s="202"/>
      <c r="BH48" s="202"/>
      <c r="BP48" s="202"/>
    </row>
    <row r="49" spans="1:68" outlineLevel="1" x14ac:dyDescent="0.25">
      <c r="A49" s="217"/>
      <c r="B49" s="202" t="s">
        <v>320</v>
      </c>
      <c r="C49" s="202"/>
      <c r="D49" s="25">
        <v>0</v>
      </c>
      <c r="E49" s="25">
        <v>235.36</v>
      </c>
      <c r="F49" s="25">
        <v>235.36</v>
      </c>
      <c r="G49" s="25">
        <v>235.36</v>
      </c>
      <c r="H49" s="25">
        <v>235.36</v>
      </c>
      <c r="I49" s="25">
        <v>310.88</v>
      </c>
      <c r="J49" s="25">
        <v>310.88</v>
      </c>
      <c r="K49" s="25">
        <v>310.88</v>
      </c>
      <c r="L49" s="25">
        <v>310.88</v>
      </c>
      <c r="M49" s="25">
        <v>321.26640000000003</v>
      </c>
      <c r="N49" s="25">
        <v>321.26640000000003</v>
      </c>
      <c r="O49" s="25">
        <v>321.26640000000003</v>
      </c>
      <c r="P49" s="25">
        <v>321.26640000000003</v>
      </c>
      <c r="Q49" s="25">
        <v>321.26640000000003</v>
      </c>
      <c r="R49" s="25">
        <v>321.26640000000003</v>
      </c>
      <c r="S49" s="25">
        <v>321.26640000000003</v>
      </c>
      <c r="T49" s="25">
        <v>321.26640000000003</v>
      </c>
      <c r="U49" s="25">
        <v>321.26640000000003</v>
      </c>
      <c r="V49" s="25">
        <v>321.26640000000003</v>
      </c>
      <c r="W49" s="25">
        <v>321.26640000000003</v>
      </c>
      <c r="X49" s="25">
        <v>235.36</v>
      </c>
      <c r="Y49" s="25">
        <v>235.36</v>
      </c>
      <c r="Z49" s="25">
        <v>235.36</v>
      </c>
      <c r="AA49" s="25">
        <v>235.36</v>
      </c>
      <c r="AB49" s="25">
        <v>235.36</v>
      </c>
      <c r="AC49" s="25">
        <v>235.36</v>
      </c>
      <c r="AD49" s="25">
        <v>235.36</v>
      </c>
      <c r="AE49" s="25">
        <v>235.36</v>
      </c>
      <c r="AF49" s="25">
        <v>235.36</v>
      </c>
      <c r="AG49" s="25">
        <v>235.36</v>
      </c>
      <c r="AH49" s="25">
        <v>235.36</v>
      </c>
      <c r="AI49" s="25">
        <v>235.36</v>
      </c>
      <c r="AJ49" s="25">
        <v>235.36</v>
      </c>
      <c r="AK49" s="25">
        <v>235.36</v>
      </c>
      <c r="AL49" s="25">
        <v>235.36</v>
      </c>
      <c r="AM49" s="25">
        <v>235.36</v>
      </c>
      <c r="AN49" s="25">
        <v>235.36</v>
      </c>
      <c r="AO49" s="25">
        <v>235.36</v>
      </c>
      <c r="AP49" s="25">
        <v>235.36</v>
      </c>
      <c r="AQ49" s="25">
        <v>235.36</v>
      </c>
      <c r="AR49" s="25">
        <v>154</v>
      </c>
      <c r="AS49" s="25">
        <v>310.88</v>
      </c>
      <c r="AT49" s="25">
        <v>310.88</v>
      </c>
      <c r="AU49" s="25">
        <v>310.88</v>
      </c>
      <c r="AV49" s="25">
        <v>312.47000000000003</v>
      </c>
      <c r="AW49" s="25">
        <v>312.47000000000003</v>
      </c>
      <c r="AX49" s="25">
        <v>312.47000000000003</v>
      </c>
      <c r="AY49" s="25">
        <v>312.47000000000003</v>
      </c>
      <c r="AZ49" s="25">
        <v>312.47000000000003</v>
      </c>
      <c r="BA49" s="25">
        <v>312.47000000000003</v>
      </c>
      <c r="BB49" s="25">
        <v>235.24</v>
      </c>
      <c r="BC49" s="25">
        <v>235.24</v>
      </c>
      <c r="BD49" s="25">
        <v>235.24</v>
      </c>
      <c r="BE49" s="202"/>
      <c r="BF49" s="202"/>
      <c r="BG49" s="202"/>
      <c r="BH49" s="202"/>
      <c r="BP49" s="202"/>
    </row>
    <row r="50" spans="1:68" outlineLevel="1" x14ac:dyDescent="0.25">
      <c r="A50" s="217"/>
      <c r="B50" s="202" t="s">
        <v>321</v>
      </c>
      <c r="C50" s="202"/>
      <c r="D50" s="25">
        <v>0</v>
      </c>
      <c r="E50" s="25">
        <v>181.75</v>
      </c>
      <c r="F50" s="25">
        <v>181.75</v>
      </c>
      <c r="G50" s="25">
        <v>181.75</v>
      </c>
      <c r="H50" s="25">
        <v>181.75</v>
      </c>
      <c r="I50" s="25">
        <v>173.47</v>
      </c>
      <c r="J50" s="25">
        <v>173.47</v>
      </c>
      <c r="K50" s="25">
        <v>173.47</v>
      </c>
      <c r="L50" s="25">
        <v>173.47</v>
      </c>
      <c r="M50" s="25">
        <v>181.75</v>
      </c>
      <c r="N50" s="25">
        <v>181.75</v>
      </c>
      <c r="O50" s="25">
        <v>181.75</v>
      </c>
      <c r="P50" s="25">
        <v>181.75</v>
      </c>
      <c r="Q50" s="25">
        <v>181.75</v>
      </c>
      <c r="R50" s="25">
        <v>181.75</v>
      </c>
      <c r="S50" s="25">
        <v>181.75</v>
      </c>
      <c r="T50" s="25">
        <v>181.75</v>
      </c>
      <c r="U50" s="25">
        <v>181.75</v>
      </c>
      <c r="V50" s="25">
        <v>181.75</v>
      </c>
      <c r="W50" s="25">
        <v>181.75</v>
      </c>
      <c r="X50" s="25">
        <v>181.75</v>
      </c>
      <c r="Y50" s="25">
        <v>181.75</v>
      </c>
      <c r="Z50" s="25">
        <v>181.75</v>
      </c>
      <c r="AA50" s="25">
        <v>181.75</v>
      </c>
      <c r="AB50" s="25">
        <v>181.75</v>
      </c>
      <c r="AC50" s="25">
        <v>181.75</v>
      </c>
      <c r="AD50" s="25">
        <v>181.75</v>
      </c>
      <c r="AE50" s="25">
        <v>181.75</v>
      </c>
      <c r="AF50" s="25">
        <v>181.75</v>
      </c>
      <c r="AG50" s="25">
        <v>181.75</v>
      </c>
      <c r="AH50" s="25">
        <v>181.75</v>
      </c>
      <c r="AI50" s="25">
        <v>181.75</v>
      </c>
      <c r="AJ50" s="25">
        <v>181.75</v>
      </c>
      <c r="AK50" s="25">
        <v>181.75</v>
      </c>
      <c r="AL50" s="25">
        <v>181.75</v>
      </c>
      <c r="AM50" s="25">
        <v>181.75</v>
      </c>
      <c r="AN50" s="25">
        <v>181.75</v>
      </c>
      <c r="AO50" s="25">
        <v>181.75</v>
      </c>
      <c r="AP50" s="25">
        <v>181.75</v>
      </c>
      <c r="AQ50" s="25">
        <v>181.75</v>
      </c>
      <c r="AR50" s="25">
        <v>168.94</v>
      </c>
      <c r="AS50" s="25">
        <v>173.47</v>
      </c>
      <c r="AT50" s="25">
        <v>173.47</v>
      </c>
      <c r="AU50" s="25">
        <v>173.47</v>
      </c>
      <c r="AV50" s="25">
        <v>162.9</v>
      </c>
      <c r="AW50" s="25">
        <v>162.9</v>
      </c>
      <c r="AX50" s="25">
        <v>162.9</v>
      </c>
      <c r="AY50" s="25">
        <v>162.9</v>
      </c>
      <c r="AZ50" s="25">
        <v>162.9</v>
      </c>
      <c r="BA50" s="25">
        <v>162.9</v>
      </c>
      <c r="BB50" s="25">
        <v>165.45</v>
      </c>
      <c r="BC50" s="25">
        <v>165.45</v>
      </c>
      <c r="BD50" s="25">
        <v>165.45</v>
      </c>
      <c r="BE50" s="202"/>
      <c r="BF50" s="202"/>
      <c r="BG50" s="202"/>
      <c r="BH50" s="202"/>
      <c r="BP50" s="202"/>
    </row>
    <row r="51" spans="1:68" outlineLevel="1" x14ac:dyDescent="0.25">
      <c r="A51" s="217"/>
      <c r="B51" s="202" t="s">
        <v>322</v>
      </c>
      <c r="C51" s="202"/>
      <c r="D51" s="25">
        <v>0</v>
      </c>
      <c r="E51" s="25">
        <v>165.16</v>
      </c>
      <c r="F51" s="25">
        <v>165.16</v>
      </c>
      <c r="G51" s="25">
        <v>165.16</v>
      </c>
      <c r="H51" s="25">
        <v>165.16</v>
      </c>
      <c r="I51" s="25">
        <v>122.52</v>
      </c>
      <c r="J51" s="25">
        <v>122.52</v>
      </c>
      <c r="K51" s="25">
        <v>122.52</v>
      </c>
      <c r="L51" s="25">
        <v>122.52</v>
      </c>
      <c r="M51" s="25">
        <v>225.4434</v>
      </c>
      <c r="N51" s="25">
        <v>225.4434</v>
      </c>
      <c r="O51" s="25">
        <v>225.4434</v>
      </c>
      <c r="P51" s="25">
        <v>225.4434</v>
      </c>
      <c r="Q51" s="25">
        <v>225.4434</v>
      </c>
      <c r="R51" s="25">
        <v>225.4434</v>
      </c>
      <c r="S51" s="25">
        <v>225.4434</v>
      </c>
      <c r="T51" s="25">
        <v>225.4434</v>
      </c>
      <c r="U51" s="25">
        <v>225.4434</v>
      </c>
      <c r="V51" s="25">
        <v>225.4434</v>
      </c>
      <c r="W51" s="25">
        <v>225.4434</v>
      </c>
      <c r="X51" s="25">
        <v>165.16</v>
      </c>
      <c r="Y51" s="25">
        <v>165.16</v>
      </c>
      <c r="Z51" s="25">
        <v>165.16</v>
      </c>
      <c r="AA51" s="25">
        <v>165.16</v>
      </c>
      <c r="AB51" s="25">
        <v>165.16</v>
      </c>
      <c r="AC51" s="25">
        <v>165.16</v>
      </c>
      <c r="AD51" s="25">
        <v>165.16</v>
      </c>
      <c r="AE51" s="25">
        <v>165.16</v>
      </c>
      <c r="AF51" s="25">
        <v>165.16</v>
      </c>
      <c r="AG51" s="25">
        <v>165.16</v>
      </c>
      <c r="AH51" s="25">
        <v>165.16</v>
      </c>
      <c r="AI51" s="25">
        <v>165.16</v>
      </c>
      <c r="AJ51" s="25">
        <v>165.16</v>
      </c>
      <c r="AK51" s="25">
        <v>165.16</v>
      </c>
      <c r="AL51" s="25">
        <v>165.16</v>
      </c>
      <c r="AM51" s="25">
        <v>165.16</v>
      </c>
      <c r="AN51" s="25">
        <v>165.16</v>
      </c>
      <c r="AO51" s="25">
        <v>165.16</v>
      </c>
      <c r="AP51" s="25">
        <v>165.16</v>
      </c>
      <c r="AQ51" s="25">
        <v>165.16</v>
      </c>
      <c r="AR51" s="25">
        <v>122.24</v>
      </c>
      <c r="AS51" s="25">
        <v>122.52</v>
      </c>
      <c r="AT51" s="25">
        <v>122.52</v>
      </c>
      <c r="AU51" s="25">
        <v>122.52</v>
      </c>
      <c r="AV51" s="25">
        <v>99.38</v>
      </c>
      <c r="AW51" s="25">
        <v>99.38</v>
      </c>
      <c r="AX51" s="25">
        <v>99.38</v>
      </c>
      <c r="AY51" s="25">
        <v>99.38</v>
      </c>
      <c r="AZ51" s="25">
        <v>99.38</v>
      </c>
      <c r="BA51" s="25">
        <v>99.38</v>
      </c>
      <c r="BB51" s="25">
        <v>155.76</v>
      </c>
      <c r="BC51" s="25">
        <v>155.76</v>
      </c>
      <c r="BD51" s="25">
        <v>155.76</v>
      </c>
      <c r="BE51" s="202"/>
      <c r="BF51" s="202"/>
      <c r="BG51" s="202"/>
      <c r="BH51" s="202"/>
      <c r="BP51" s="202"/>
    </row>
    <row r="52" spans="1:68" outlineLevel="1" x14ac:dyDescent="0.25">
      <c r="A52" s="202"/>
      <c r="B52" s="23" t="s">
        <v>386</v>
      </c>
      <c r="C52" s="202"/>
      <c r="D52" s="206"/>
      <c r="E52" s="206"/>
      <c r="F52" s="206"/>
      <c r="G52" s="206"/>
      <c r="H52" s="206"/>
      <c r="I52" s="206"/>
      <c r="J52" s="206"/>
      <c r="K52" s="206"/>
      <c r="L52" s="206"/>
      <c r="M52" s="206"/>
      <c r="N52" s="206"/>
      <c r="O52" s="206"/>
      <c r="P52" s="206"/>
      <c r="Q52" s="206"/>
      <c r="R52" s="206"/>
      <c r="S52" s="206"/>
      <c r="T52" s="206"/>
      <c r="U52" s="206"/>
      <c r="V52" s="206"/>
      <c r="W52" s="206"/>
      <c r="X52" s="206"/>
      <c r="Y52" s="206"/>
      <c r="Z52" s="206"/>
      <c r="AA52" s="206"/>
      <c r="AB52" s="206"/>
      <c r="AC52" s="206"/>
      <c r="AD52" s="206"/>
      <c r="AE52" s="206"/>
      <c r="AF52" s="206"/>
      <c r="AG52" s="206"/>
      <c r="AH52" s="206"/>
      <c r="AI52" s="206"/>
      <c r="AJ52" s="206"/>
      <c r="AK52" s="206"/>
      <c r="AL52" s="206"/>
      <c r="AM52" s="206"/>
      <c r="AN52" s="206"/>
      <c r="AO52" s="206"/>
      <c r="AP52" s="206"/>
      <c r="AQ52" s="206"/>
      <c r="AR52" s="206"/>
      <c r="AS52" s="206"/>
      <c r="AT52" s="206"/>
      <c r="AU52" s="206"/>
      <c r="AV52" s="206"/>
      <c r="AW52" s="206"/>
      <c r="AX52" s="206"/>
      <c r="AY52" s="206"/>
      <c r="AZ52" s="206"/>
      <c r="BA52" s="206"/>
      <c r="BB52" s="206"/>
      <c r="BC52" s="206"/>
      <c r="BD52" s="206"/>
      <c r="BE52" s="202"/>
      <c r="BF52" s="202"/>
      <c r="BG52" s="202"/>
      <c r="BH52" s="202"/>
      <c r="BP52" s="202"/>
    </row>
    <row r="53" spans="1:68" outlineLevel="1" x14ac:dyDescent="0.25">
      <c r="A53" s="202"/>
      <c r="B53" s="202" t="str">
        <f>B43</f>
        <v>Primary - Service A</v>
      </c>
      <c r="C53" s="202"/>
      <c r="D53" s="25">
        <v>0</v>
      </c>
      <c r="E53" s="25">
        <v>169</v>
      </c>
      <c r="F53" s="25">
        <v>169</v>
      </c>
      <c r="G53" s="25">
        <v>169</v>
      </c>
      <c r="H53" s="25">
        <v>169</v>
      </c>
      <c r="I53" s="25">
        <f t="shared" ref="I53:L56" si="31">I43*1.35</f>
        <v>103.51800000000001</v>
      </c>
      <c r="J53" s="25">
        <f t="shared" si="31"/>
        <v>103.51800000000001</v>
      </c>
      <c r="K53" s="25">
        <f t="shared" si="31"/>
        <v>103.51800000000001</v>
      </c>
      <c r="L53" s="25">
        <f t="shared" si="31"/>
        <v>103.51800000000001</v>
      </c>
      <c r="M53" s="25">
        <v>169</v>
      </c>
      <c r="N53" s="25">
        <v>169</v>
      </c>
      <c r="O53" s="25">
        <v>169</v>
      </c>
      <c r="P53" s="25">
        <v>169</v>
      </c>
      <c r="Q53" s="25">
        <v>169</v>
      </c>
      <c r="R53" s="25">
        <v>169</v>
      </c>
      <c r="S53" s="25">
        <v>169</v>
      </c>
      <c r="T53" s="25">
        <v>169</v>
      </c>
      <c r="U53" s="25">
        <v>169</v>
      </c>
      <c r="V53" s="25">
        <v>169</v>
      </c>
      <c r="W53" s="25">
        <v>169</v>
      </c>
      <c r="X53" s="25">
        <v>169</v>
      </c>
      <c r="Y53" s="25">
        <v>169</v>
      </c>
      <c r="Z53" s="25">
        <v>169</v>
      </c>
      <c r="AA53" s="25">
        <v>169</v>
      </c>
      <c r="AB53" s="25">
        <v>169</v>
      </c>
      <c r="AC53" s="25">
        <v>169</v>
      </c>
      <c r="AD53" s="25">
        <v>169</v>
      </c>
      <c r="AE53" s="25">
        <v>169</v>
      </c>
      <c r="AF53" s="25">
        <v>169</v>
      </c>
      <c r="AG53" s="25">
        <v>169</v>
      </c>
      <c r="AH53" s="25">
        <v>169</v>
      </c>
      <c r="AI53" s="25">
        <v>169</v>
      </c>
      <c r="AJ53" s="25">
        <v>169</v>
      </c>
      <c r="AK53" s="25">
        <v>169</v>
      </c>
      <c r="AL53" s="25">
        <v>169</v>
      </c>
      <c r="AM53" s="25">
        <v>169</v>
      </c>
      <c r="AN53" s="25">
        <v>169</v>
      </c>
      <c r="AO53" s="25">
        <v>169</v>
      </c>
      <c r="AP53" s="25">
        <v>169</v>
      </c>
      <c r="AQ53" s="25">
        <v>169</v>
      </c>
      <c r="AR53" s="25">
        <f t="shared" ref="AR53:BD56" si="32">AR43*1.35</f>
        <v>103.51800000000001</v>
      </c>
      <c r="AS53" s="25">
        <f t="shared" si="32"/>
        <v>103.51800000000001</v>
      </c>
      <c r="AT53" s="25">
        <f t="shared" si="32"/>
        <v>103.51800000000001</v>
      </c>
      <c r="AU53" s="25">
        <f t="shared" si="32"/>
        <v>103.51800000000001</v>
      </c>
      <c r="AV53" s="25">
        <f t="shared" si="32"/>
        <v>101.1366</v>
      </c>
      <c r="AW53" s="25">
        <f t="shared" si="32"/>
        <v>101.1366</v>
      </c>
      <c r="AX53" s="25">
        <f t="shared" si="32"/>
        <v>101.1366</v>
      </c>
      <c r="AY53" s="25">
        <f t="shared" si="32"/>
        <v>101.1366</v>
      </c>
      <c r="AZ53" s="25">
        <f t="shared" si="32"/>
        <v>101.1366</v>
      </c>
      <c r="BA53" s="25">
        <f t="shared" si="32"/>
        <v>101.1366</v>
      </c>
      <c r="BB53" s="25">
        <f t="shared" si="32"/>
        <v>109.35000000000001</v>
      </c>
      <c r="BC53" s="25">
        <f t="shared" si="32"/>
        <v>109.35000000000001</v>
      </c>
      <c r="BD53" s="25">
        <f t="shared" si="32"/>
        <v>109.35000000000001</v>
      </c>
      <c r="BE53" s="202"/>
      <c r="BF53" s="202"/>
      <c r="BG53" s="202"/>
      <c r="BH53" s="202"/>
      <c r="BP53" s="202"/>
    </row>
    <row r="54" spans="1:68" outlineLevel="1" x14ac:dyDescent="0.25">
      <c r="A54" s="202"/>
      <c r="B54" s="202" t="str">
        <f t="shared" ref="B54:B61" si="33">B44</f>
        <v>Primary - Service B</v>
      </c>
      <c r="C54" s="202"/>
      <c r="D54" s="25">
        <v>0</v>
      </c>
      <c r="E54" s="25">
        <f t="shared" ref="E54:H54" si="34">54.5*2</f>
        <v>109</v>
      </c>
      <c r="F54" s="25">
        <f t="shared" si="34"/>
        <v>109</v>
      </c>
      <c r="G54" s="25">
        <f t="shared" si="34"/>
        <v>109</v>
      </c>
      <c r="H54" s="25">
        <f t="shared" si="34"/>
        <v>109</v>
      </c>
      <c r="I54" s="25">
        <f t="shared" si="31"/>
        <v>75.168000000000006</v>
      </c>
      <c r="J54" s="25">
        <f t="shared" si="31"/>
        <v>75.168000000000006</v>
      </c>
      <c r="K54" s="25">
        <f t="shared" si="31"/>
        <v>75.168000000000006</v>
      </c>
      <c r="L54" s="25">
        <f t="shared" si="31"/>
        <v>75.168000000000006</v>
      </c>
      <c r="M54" s="25">
        <f>54.5*2</f>
        <v>109</v>
      </c>
      <c r="N54" s="25">
        <f t="shared" ref="N54:AQ54" si="35">54.5*2</f>
        <v>109</v>
      </c>
      <c r="O54" s="25">
        <f t="shared" si="35"/>
        <v>109</v>
      </c>
      <c r="P54" s="25">
        <f t="shared" si="35"/>
        <v>109</v>
      </c>
      <c r="Q54" s="25">
        <f t="shared" si="35"/>
        <v>109</v>
      </c>
      <c r="R54" s="25">
        <f t="shared" si="35"/>
        <v>109</v>
      </c>
      <c r="S54" s="25">
        <f t="shared" si="35"/>
        <v>109</v>
      </c>
      <c r="T54" s="25">
        <f t="shared" si="35"/>
        <v>109</v>
      </c>
      <c r="U54" s="25">
        <f t="shared" si="35"/>
        <v>109</v>
      </c>
      <c r="V54" s="25">
        <f t="shared" si="35"/>
        <v>109</v>
      </c>
      <c r="W54" s="25">
        <f t="shared" si="35"/>
        <v>109</v>
      </c>
      <c r="X54" s="25">
        <f t="shared" si="35"/>
        <v>109</v>
      </c>
      <c r="Y54" s="25">
        <f t="shared" si="35"/>
        <v>109</v>
      </c>
      <c r="Z54" s="25">
        <f t="shared" si="35"/>
        <v>109</v>
      </c>
      <c r="AA54" s="25">
        <f t="shared" si="35"/>
        <v>109</v>
      </c>
      <c r="AB54" s="25">
        <f t="shared" si="35"/>
        <v>109</v>
      </c>
      <c r="AC54" s="25">
        <f t="shared" si="35"/>
        <v>109</v>
      </c>
      <c r="AD54" s="25">
        <f t="shared" si="35"/>
        <v>109</v>
      </c>
      <c r="AE54" s="25">
        <f t="shared" si="35"/>
        <v>109</v>
      </c>
      <c r="AF54" s="25">
        <f t="shared" si="35"/>
        <v>109</v>
      </c>
      <c r="AG54" s="25">
        <f t="shared" si="35"/>
        <v>109</v>
      </c>
      <c r="AH54" s="25">
        <f t="shared" si="35"/>
        <v>109</v>
      </c>
      <c r="AI54" s="25">
        <f t="shared" si="35"/>
        <v>109</v>
      </c>
      <c r="AJ54" s="25">
        <f t="shared" si="35"/>
        <v>109</v>
      </c>
      <c r="AK54" s="25">
        <f t="shared" si="35"/>
        <v>109</v>
      </c>
      <c r="AL54" s="25">
        <f t="shared" si="35"/>
        <v>109</v>
      </c>
      <c r="AM54" s="25">
        <f t="shared" si="35"/>
        <v>109</v>
      </c>
      <c r="AN54" s="25">
        <f t="shared" si="35"/>
        <v>109</v>
      </c>
      <c r="AO54" s="25">
        <f t="shared" si="35"/>
        <v>109</v>
      </c>
      <c r="AP54" s="25">
        <f t="shared" si="35"/>
        <v>109</v>
      </c>
      <c r="AQ54" s="25">
        <f t="shared" si="35"/>
        <v>109</v>
      </c>
      <c r="AR54" s="25">
        <f t="shared" si="32"/>
        <v>75.168000000000006</v>
      </c>
      <c r="AS54" s="25">
        <f t="shared" si="32"/>
        <v>75.168000000000006</v>
      </c>
      <c r="AT54" s="25">
        <f t="shared" si="32"/>
        <v>75.168000000000006</v>
      </c>
      <c r="AU54" s="25">
        <f t="shared" si="32"/>
        <v>75.168000000000006</v>
      </c>
      <c r="AV54" s="25">
        <f t="shared" si="32"/>
        <v>213.3</v>
      </c>
      <c r="AW54" s="25">
        <f t="shared" si="32"/>
        <v>213.3</v>
      </c>
      <c r="AX54" s="25">
        <f t="shared" si="32"/>
        <v>213.3</v>
      </c>
      <c r="AY54" s="25">
        <f t="shared" si="32"/>
        <v>213.3</v>
      </c>
      <c r="AZ54" s="25">
        <f t="shared" si="32"/>
        <v>213.3</v>
      </c>
      <c r="BA54" s="25">
        <f t="shared" si="32"/>
        <v>213.3</v>
      </c>
      <c r="BB54" s="25">
        <f t="shared" si="32"/>
        <v>48.384000000000007</v>
      </c>
      <c r="BC54" s="25">
        <f t="shared" si="32"/>
        <v>48.384000000000007</v>
      </c>
      <c r="BD54" s="25">
        <f t="shared" si="32"/>
        <v>48.384000000000007</v>
      </c>
      <c r="BE54" s="202"/>
      <c r="BF54" s="202"/>
      <c r="BG54" s="202"/>
      <c r="BH54" s="202"/>
      <c r="BP54" s="202"/>
    </row>
    <row r="55" spans="1:68" outlineLevel="1" x14ac:dyDescent="0.25">
      <c r="A55" s="202"/>
      <c r="B55" s="202" t="str">
        <f t="shared" si="33"/>
        <v>Secondary - Service A</v>
      </c>
      <c r="C55" s="202"/>
      <c r="D55" s="25">
        <v>0</v>
      </c>
      <c r="E55" s="25">
        <v>172</v>
      </c>
      <c r="F55" s="25">
        <v>172</v>
      </c>
      <c r="G55" s="25">
        <v>172</v>
      </c>
      <c r="H55" s="25">
        <v>172</v>
      </c>
      <c r="I55" s="25">
        <f t="shared" si="31"/>
        <v>207.03600000000003</v>
      </c>
      <c r="J55" s="25">
        <f t="shared" si="31"/>
        <v>207.03600000000003</v>
      </c>
      <c r="K55" s="25">
        <f t="shared" si="31"/>
        <v>207.03600000000003</v>
      </c>
      <c r="L55" s="25">
        <f t="shared" si="31"/>
        <v>207.03600000000003</v>
      </c>
      <c r="M55" s="25">
        <v>172</v>
      </c>
      <c r="N55" s="25">
        <v>172</v>
      </c>
      <c r="O55" s="25">
        <v>172</v>
      </c>
      <c r="P55" s="25">
        <v>172</v>
      </c>
      <c r="Q55" s="25">
        <v>172</v>
      </c>
      <c r="R55" s="25">
        <v>172</v>
      </c>
      <c r="S55" s="25">
        <v>172</v>
      </c>
      <c r="T55" s="25">
        <v>172</v>
      </c>
      <c r="U55" s="25">
        <v>172</v>
      </c>
      <c r="V55" s="25">
        <v>172</v>
      </c>
      <c r="W55" s="25">
        <v>172</v>
      </c>
      <c r="X55" s="25">
        <v>172</v>
      </c>
      <c r="Y55" s="25">
        <v>172</v>
      </c>
      <c r="Z55" s="25">
        <v>172</v>
      </c>
      <c r="AA55" s="25">
        <v>172</v>
      </c>
      <c r="AB55" s="25">
        <v>172</v>
      </c>
      <c r="AC55" s="25">
        <v>172</v>
      </c>
      <c r="AD55" s="25">
        <v>172</v>
      </c>
      <c r="AE55" s="25">
        <v>172</v>
      </c>
      <c r="AF55" s="25">
        <v>172</v>
      </c>
      <c r="AG55" s="25">
        <v>172</v>
      </c>
      <c r="AH55" s="25">
        <v>172</v>
      </c>
      <c r="AI55" s="25">
        <v>172</v>
      </c>
      <c r="AJ55" s="25">
        <v>172</v>
      </c>
      <c r="AK55" s="25">
        <v>172</v>
      </c>
      <c r="AL55" s="25">
        <v>172</v>
      </c>
      <c r="AM55" s="25">
        <v>172</v>
      </c>
      <c r="AN55" s="25">
        <v>172</v>
      </c>
      <c r="AO55" s="25">
        <v>172</v>
      </c>
      <c r="AP55" s="25">
        <v>172</v>
      </c>
      <c r="AQ55" s="25">
        <v>172</v>
      </c>
      <c r="AR55" s="25">
        <f t="shared" si="32"/>
        <v>207.03600000000003</v>
      </c>
      <c r="AS55" s="25">
        <f t="shared" si="32"/>
        <v>207.03600000000003</v>
      </c>
      <c r="AT55" s="25">
        <f t="shared" si="32"/>
        <v>207.03600000000003</v>
      </c>
      <c r="AU55" s="25">
        <f t="shared" si="32"/>
        <v>207.03600000000003</v>
      </c>
      <c r="AV55" s="25">
        <f t="shared" si="32"/>
        <v>156.58920000000001</v>
      </c>
      <c r="AW55" s="25">
        <f t="shared" si="32"/>
        <v>156.58920000000001</v>
      </c>
      <c r="AX55" s="25">
        <f t="shared" si="32"/>
        <v>156.58920000000001</v>
      </c>
      <c r="AY55" s="25">
        <f t="shared" si="32"/>
        <v>156.58920000000001</v>
      </c>
      <c r="AZ55" s="25">
        <f t="shared" si="32"/>
        <v>156.58920000000001</v>
      </c>
      <c r="BA55" s="25">
        <f t="shared" si="32"/>
        <v>156.58920000000001</v>
      </c>
      <c r="BB55" s="25">
        <f t="shared" si="32"/>
        <v>169.29000000000002</v>
      </c>
      <c r="BC55" s="25">
        <f t="shared" si="32"/>
        <v>169.29000000000002</v>
      </c>
      <c r="BD55" s="25">
        <f t="shared" si="32"/>
        <v>169.29000000000002</v>
      </c>
      <c r="BE55" s="202"/>
      <c r="BF55" s="202"/>
      <c r="BG55" s="202"/>
      <c r="BH55" s="202"/>
      <c r="BP55" s="202"/>
    </row>
    <row r="56" spans="1:68" outlineLevel="1" x14ac:dyDescent="0.25">
      <c r="A56" s="202"/>
      <c r="B56" s="202" t="str">
        <f t="shared" si="33"/>
        <v>Secondary - Service B</v>
      </c>
      <c r="C56" s="202"/>
      <c r="D56" s="25">
        <v>0</v>
      </c>
      <c r="E56" s="25">
        <v>172</v>
      </c>
      <c r="F56" s="25">
        <v>172</v>
      </c>
      <c r="G56" s="25">
        <v>172</v>
      </c>
      <c r="H56" s="25">
        <v>172</v>
      </c>
      <c r="I56" s="25">
        <f t="shared" si="31"/>
        <v>112.914</v>
      </c>
      <c r="J56" s="25">
        <f t="shared" si="31"/>
        <v>112.914</v>
      </c>
      <c r="K56" s="25">
        <f t="shared" si="31"/>
        <v>112.914</v>
      </c>
      <c r="L56" s="25">
        <f t="shared" si="31"/>
        <v>112.914</v>
      </c>
      <c r="M56" s="25">
        <v>172</v>
      </c>
      <c r="N56" s="25">
        <v>172</v>
      </c>
      <c r="O56" s="25">
        <v>172</v>
      </c>
      <c r="P56" s="25">
        <v>172</v>
      </c>
      <c r="Q56" s="25">
        <v>172</v>
      </c>
      <c r="R56" s="25">
        <v>172</v>
      </c>
      <c r="S56" s="25">
        <v>172</v>
      </c>
      <c r="T56" s="25">
        <v>172</v>
      </c>
      <c r="U56" s="25">
        <v>172</v>
      </c>
      <c r="V56" s="25">
        <v>172</v>
      </c>
      <c r="W56" s="25">
        <v>172</v>
      </c>
      <c r="X56" s="25">
        <v>172</v>
      </c>
      <c r="Y56" s="25">
        <v>172</v>
      </c>
      <c r="Z56" s="25">
        <v>172</v>
      </c>
      <c r="AA56" s="25">
        <v>172</v>
      </c>
      <c r="AB56" s="25">
        <v>172</v>
      </c>
      <c r="AC56" s="25">
        <v>172</v>
      </c>
      <c r="AD56" s="25">
        <v>172</v>
      </c>
      <c r="AE56" s="25">
        <v>172</v>
      </c>
      <c r="AF56" s="25">
        <v>172</v>
      </c>
      <c r="AG56" s="25">
        <v>172</v>
      </c>
      <c r="AH56" s="25">
        <v>172</v>
      </c>
      <c r="AI56" s="25">
        <v>172</v>
      </c>
      <c r="AJ56" s="25">
        <v>172</v>
      </c>
      <c r="AK56" s="25">
        <v>172</v>
      </c>
      <c r="AL56" s="25">
        <v>172</v>
      </c>
      <c r="AM56" s="25">
        <v>172</v>
      </c>
      <c r="AN56" s="25">
        <v>172</v>
      </c>
      <c r="AO56" s="25">
        <v>172</v>
      </c>
      <c r="AP56" s="25">
        <v>172</v>
      </c>
      <c r="AQ56" s="25">
        <v>172</v>
      </c>
      <c r="AR56" s="25">
        <f t="shared" si="32"/>
        <v>112.914</v>
      </c>
      <c r="AS56" s="25">
        <f t="shared" si="32"/>
        <v>112.914</v>
      </c>
      <c r="AT56" s="25">
        <f t="shared" si="32"/>
        <v>112.914</v>
      </c>
      <c r="AU56" s="25">
        <f t="shared" si="32"/>
        <v>112.914</v>
      </c>
      <c r="AV56" s="25">
        <f t="shared" si="32"/>
        <v>115.182</v>
      </c>
      <c r="AW56" s="25">
        <f t="shared" si="32"/>
        <v>115.182</v>
      </c>
      <c r="AX56" s="25">
        <f t="shared" si="32"/>
        <v>115.182</v>
      </c>
      <c r="AY56" s="25">
        <f t="shared" si="32"/>
        <v>115.182</v>
      </c>
      <c r="AZ56" s="25">
        <f t="shared" si="32"/>
        <v>115.182</v>
      </c>
      <c r="BA56" s="25">
        <f t="shared" si="32"/>
        <v>115.182</v>
      </c>
      <c r="BB56" s="25">
        <f t="shared" si="32"/>
        <v>169.29000000000002</v>
      </c>
      <c r="BC56" s="25">
        <f t="shared" si="32"/>
        <v>169.29000000000002</v>
      </c>
      <c r="BD56" s="25">
        <f t="shared" si="32"/>
        <v>169.29000000000002</v>
      </c>
      <c r="BE56" s="202"/>
      <c r="BF56" s="202"/>
      <c r="BG56" s="202"/>
      <c r="BH56" s="202"/>
      <c r="BP56" s="202"/>
    </row>
    <row r="57" spans="1:68" outlineLevel="1" x14ac:dyDescent="0.25">
      <c r="A57" s="202"/>
      <c r="B57" s="202" t="str">
        <f t="shared" si="33"/>
        <v>Secondary - Service C</v>
      </c>
      <c r="C57" s="202"/>
      <c r="D57" s="25">
        <v>0</v>
      </c>
      <c r="E57" s="25">
        <v>169</v>
      </c>
      <c r="F57" s="25">
        <v>169</v>
      </c>
      <c r="G57" s="25">
        <v>169</v>
      </c>
      <c r="H57" s="25">
        <v>169</v>
      </c>
      <c r="I57" s="25">
        <v>176.364</v>
      </c>
      <c r="J57" s="25">
        <v>176.364</v>
      </c>
      <c r="K57" s="25">
        <v>176.364</v>
      </c>
      <c r="L57" s="25">
        <v>176.364</v>
      </c>
      <c r="M57" s="25">
        <v>169</v>
      </c>
      <c r="N57" s="25">
        <v>169</v>
      </c>
      <c r="O57" s="25">
        <v>169</v>
      </c>
      <c r="P57" s="25">
        <v>169</v>
      </c>
      <c r="Q57" s="25">
        <v>169</v>
      </c>
      <c r="R57" s="25">
        <v>169</v>
      </c>
      <c r="S57" s="25">
        <v>169</v>
      </c>
      <c r="T57" s="25">
        <v>169</v>
      </c>
      <c r="U57" s="25">
        <v>169</v>
      </c>
      <c r="V57" s="25">
        <v>169</v>
      </c>
      <c r="W57" s="25">
        <v>169</v>
      </c>
      <c r="X57" s="25">
        <v>169</v>
      </c>
      <c r="Y57" s="25">
        <v>169</v>
      </c>
      <c r="Z57" s="25">
        <v>169</v>
      </c>
      <c r="AA57" s="25">
        <v>169</v>
      </c>
      <c r="AB57" s="25">
        <v>169</v>
      </c>
      <c r="AC57" s="25">
        <v>169</v>
      </c>
      <c r="AD57" s="25">
        <v>169</v>
      </c>
      <c r="AE57" s="25">
        <v>169</v>
      </c>
      <c r="AF57" s="25">
        <v>169</v>
      </c>
      <c r="AG57" s="25">
        <v>169</v>
      </c>
      <c r="AH57" s="25">
        <v>169</v>
      </c>
      <c r="AI57" s="25">
        <v>169</v>
      </c>
      <c r="AJ57" s="25">
        <v>169</v>
      </c>
      <c r="AK57" s="25">
        <v>169</v>
      </c>
      <c r="AL57" s="25">
        <v>169</v>
      </c>
      <c r="AM57" s="25">
        <v>169</v>
      </c>
      <c r="AN57" s="25">
        <v>169</v>
      </c>
      <c r="AO57" s="25">
        <v>169</v>
      </c>
      <c r="AP57" s="25">
        <v>169</v>
      </c>
      <c r="AQ57" s="25">
        <v>169</v>
      </c>
      <c r="AR57" s="25">
        <f t="shared" ref="AR57" si="36">AR47*1.35</f>
        <v>207.03600000000003</v>
      </c>
      <c r="AS57" s="25">
        <v>176.364</v>
      </c>
      <c r="AT57" s="25">
        <v>176.364</v>
      </c>
      <c r="AU57" s="25">
        <v>176.364</v>
      </c>
      <c r="AV57" s="25">
        <v>176.364</v>
      </c>
      <c r="AW57" s="25">
        <v>176.364</v>
      </c>
      <c r="AX57" s="25">
        <v>176.364</v>
      </c>
      <c r="AY57" s="25">
        <v>176.364</v>
      </c>
      <c r="AZ57" s="25">
        <v>176.364</v>
      </c>
      <c r="BA57" s="25">
        <v>176.364</v>
      </c>
      <c r="BB57" s="25">
        <v>176.364</v>
      </c>
      <c r="BC57" s="25">
        <v>176.364</v>
      </c>
      <c r="BD57" s="25">
        <v>176.364</v>
      </c>
      <c r="BE57" s="202"/>
      <c r="BF57" s="202"/>
      <c r="BG57" s="202"/>
      <c r="BH57" s="202"/>
      <c r="BP57" s="202"/>
    </row>
    <row r="58" spans="1:68" outlineLevel="1" x14ac:dyDescent="0.25">
      <c r="A58" s="202"/>
      <c r="B58" s="202" t="str">
        <f t="shared" si="33"/>
        <v>Tertiary Direct Staff - Service A Hours</v>
      </c>
      <c r="C58" s="202"/>
      <c r="D58" s="25">
        <v>0</v>
      </c>
      <c r="E58" s="25">
        <f t="shared" ref="E58:AJ58" si="37">E48*1.7</f>
        <v>345.50799999999998</v>
      </c>
      <c r="F58" s="25">
        <f t="shared" si="37"/>
        <v>345.50799999999998</v>
      </c>
      <c r="G58" s="25">
        <f t="shared" si="37"/>
        <v>345.50799999999998</v>
      </c>
      <c r="H58" s="25">
        <f t="shared" si="37"/>
        <v>345.50799999999998</v>
      </c>
      <c r="I58" s="25">
        <f t="shared" si="37"/>
        <v>217.97399999999999</v>
      </c>
      <c r="J58" s="25">
        <f t="shared" si="37"/>
        <v>217.97399999999999</v>
      </c>
      <c r="K58" s="25">
        <f t="shared" si="37"/>
        <v>217.97399999999999</v>
      </c>
      <c r="L58" s="25">
        <f t="shared" si="37"/>
        <v>217.97399999999999</v>
      </c>
      <c r="M58" s="25">
        <f t="shared" si="37"/>
        <v>471.61841999999996</v>
      </c>
      <c r="N58" s="25">
        <f t="shared" si="37"/>
        <v>471.61841999999996</v>
      </c>
      <c r="O58" s="25">
        <f t="shared" si="37"/>
        <v>471.61841999999996</v>
      </c>
      <c r="P58" s="25">
        <f t="shared" si="37"/>
        <v>471.61841999999996</v>
      </c>
      <c r="Q58" s="25">
        <f t="shared" si="37"/>
        <v>471.61841999999996</v>
      </c>
      <c r="R58" s="25">
        <f t="shared" si="37"/>
        <v>471.61841999999996</v>
      </c>
      <c r="S58" s="25">
        <f t="shared" si="37"/>
        <v>471.61841999999996</v>
      </c>
      <c r="T58" s="25">
        <f t="shared" si="37"/>
        <v>471.61841999999996</v>
      </c>
      <c r="U58" s="25">
        <f t="shared" si="37"/>
        <v>471.61841999999996</v>
      </c>
      <c r="V58" s="25">
        <f t="shared" si="37"/>
        <v>471.61841999999996</v>
      </c>
      <c r="W58" s="25">
        <f t="shared" si="37"/>
        <v>471.61841999999996</v>
      </c>
      <c r="X58" s="25">
        <f t="shared" si="37"/>
        <v>345.50799999999998</v>
      </c>
      <c r="Y58" s="25">
        <f t="shared" si="37"/>
        <v>345.50799999999998</v>
      </c>
      <c r="Z58" s="25">
        <f t="shared" si="37"/>
        <v>345.50799999999998</v>
      </c>
      <c r="AA58" s="25">
        <f t="shared" si="37"/>
        <v>345.50799999999998</v>
      </c>
      <c r="AB58" s="25">
        <f t="shared" si="37"/>
        <v>345.50799999999998</v>
      </c>
      <c r="AC58" s="25">
        <f t="shared" si="37"/>
        <v>345.50799999999998</v>
      </c>
      <c r="AD58" s="25">
        <f t="shared" si="37"/>
        <v>345.50799999999998</v>
      </c>
      <c r="AE58" s="25">
        <f t="shared" si="37"/>
        <v>345.50799999999998</v>
      </c>
      <c r="AF58" s="25">
        <f t="shared" si="37"/>
        <v>345.50799999999998</v>
      </c>
      <c r="AG58" s="25">
        <f t="shared" si="37"/>
        <v>345.50799999999998</v>
      </c>
      <c r="AH58" s="25">
        <f t="shared" si="37"/>
        <v>345.50799999999998</v>
      </c>
      <c r="AI58" s="25">
        <f t="shared" si="37"/>
        <v>345.50799999999998</v>
      </c>
      <c r="AJ58" s="25">
        <f t="shared" si="37"/>
        <v>345.50799999999998</v>
      </c>
      <c r="AK58" s="25">
        <f t="shared" ref="AK58:BD58" si="38">AK48*1.7</f>
        <v>345.50799999999998</v>
      </c>
      <c r="AL58" s="25">
        <f t="shared" si="38"/>
        <v>345.50799999999998</v>
      </c>
      <c r="AM58" s="25">
        <f t="shared" si="38"/>
        <v>345.50799999999998</v>
      </c>
      <c r="AN58" s="25">
        <f t="shared" si="38"/>
        <v>345.50799999999998</v>
      </c>
      <c r="AO58" s="25">
        <f t="shared" si="38"/>
        <v>345.50799999999998</v>
      </c>
      <c r="AP58" s="25">
        <f t="shared" si="38"/>
        <v>345.50799999999998</v>
      </c>
      <c r="AQ58" s="25">
        <f t="shared" si="38"/>
        <v>345.50799999999998</v>
      </c>
      <c r="AR58" s="25">
        <f t="shared" si="38"/>
        <v>217.6</v>
      </c>
      <c r="AS58" s="25">
        <f t="shared" si="38"/>
        <v>217.97399999999999</v>
      </c>
      <c r="AT58" s="25">
        <f t="shared" si="38"/>
        <v>217.97399999999999</v>
      </c>
      <c r="AU58" s="25">
        <f t="shared" si="38"/>
        <v>217.97399999999999</v>
      </c>
      <c r="AV58" s="25">
        <f t="shared" si="38"/>
        <v>226.678</v>
      </c>
      <c r="AW58" s="25">
        <f t="shared" si="38"/>
        <v>226.678</v>
      </c>
      <c r="AX58" s="25">
        <f t="shared" si="38"/>
        <v>226.678</v>
      </c>
      <c r="AY58" s="25">
        <f t="shared" si="38"/>
        <v>226.678</v>
      </c>
      <c r="AZ58" s="25">
        <f t="shared" si="38"/>
        <v>226.678</v>
      </c>
      <c r="BA58" s="25">
        <f t="shared" si="38"/>
        <v>226.678</v>
      </c>
      <c r="BB58" s="25">
        <f t="shared" si="38"/>
        <v>245.98999999999998</v>
      </c>
      <c r="BC58" s="25">
        <f t="shared" si="38"/>
        <v>245.98999999999998</v>
      </c>
      <c r="BD58" s="25">
        <f t="shared" si="38"/>
        <v>245.98999999999998</v>
      </c>
      <c r="BE58" s="202"/>
      <c r="BF58" s="202"/>
      <c r="BG58" s="202"/>
      <c r="BH58" s="202"/>
      <c r="BP58" s="202"/>
    </row>
    <row r="59" spans="1:68" outlineLevel="1" x14ac:dyDescent="0.25">
      <c r="A59" s="202"/>
      <c r="B59" s="202" t="str">
        <f t="shared" si="33"/>
        <v>Tertiary Direct Staff - Service B Hours</v>
      </c>
      <c r="C59" s="202"/>
      <c r="D59" s="25">
        <v>0</v>
      </c>
      <c r="E59" s="25">
        <f t="shared" ref="E59:AJ59" si="39">E49*1.7</f>
        <v>400.11200000000002</v>
      </c>
      <c r="F59" s="25">
        <f t="shared" si="39"/>
        <v>400.11200000000002</v>
      </c>
      <c r="G59" s="25">
        <f t="shared" si="39"/>
        <v>400.11200000000002</v>
      </c>
      <c r="H59" s="25">
        <f t="shared" si="39"/>
        <v>400.11200000000002</v>
      </c>
      <c r="I59" s="25">
        <f t="shared" si="39"/>
        <v>528.49599999999998</v>
      </c>
      <c r="J59" s="25">
        <f t="shared" si="39"/>
        <v>528.49599999999998</v>
      </c>
      <c r="K59" s="25">
        <f t="shared" si="39"/>
        <v>528.49599999999998</v>
      </c>
      <c r="L59" s="25">
        <f t="shared" si="39"/>
        <v>528.49599999999998</v>
      </c>
      <c r="M59" s="25">
        <f t="shared" si="39"/>
        <v>546.1528800000001</v>
      </c>
      <c r="N59" s="25">
        <f t="shared" si="39"/>
        <v>546.1528800000001</v>
      </c>
      <c r="O59" s="25">
        <f t="shared" si="39"/>
        <v>546.1528800000001</v>
      </c>
      <c r="P59" s="25">
        <f t="shared" si="39"/>
        <v>546.1528800000001</v>
      </c>
      <c r="Q59" s="25">
        <f t="shared" si="39"/>
        <v>546.1528800000001</v>
      </c>
      <c r="R59" s="25">
        <f t="shared" si="39"/>
        <v>546.1528800000001</v>
      </c>
      <c r="S59" s="25">
        <f t="shared" si="39"/>
        <v>546.1528800000001</v>
      </c>
      <c r="T59" s="25">
        <f t="shared" si="39"/>
        <v>546.1528800000001</v>
      </c>
      <c r="U59" s="25">
        <f t="shared" si="39"/>
        <v>546.1528800000001</v>
      </c>
      <c r="V59" s="25">
        <f t="shared" si="39"/>
        <v>546.1528800000001</v>
      </c>
      <c r="W59" s="25">
        <f t="shared" si="39"/>
        <v>546.1528800000001</v>
      </c>
      <c r="X59" s="25">
        <f t="shared" si="39"/>
        <v>400.11200000000002</v>
      </c>
      <c r="Y59" s="25">
        <f t="shared" si="39"/>
        <v>400.11200000000002</v>
      </c>
      <c r="Z59" s="25">
        <f t="shared" si="39"/>
        <v>400.11200000000002</v>
      </c>
      <c r="AA59" s="25">
        <f t="shared" si="39"/>
        <v>400.11200000000002</v>
      </c>
      <c r="AB59" s="25">
        <f t="shared" si="39"/>
        <v>400.11200000000002</v>
      </c>
      <c r="AC59" s="25">
        <f t="shared" si="39"/>
        <v>400.11200000000002</v>
      </c>
      <c r="AD59" s="25">
        <f t="shared" si="39"/>
        <v>400.11200000000002</v>
      </c>
      <c r="AE59" s="25">
        <f t="shared" si="39"/>
        <v>400.11200000000002</v>
      </c>
      <c r="AF59" s="25">
        <f t="shared" si="39"/>
        <v>400.11200000000002</v>
      </c>
      <c r="AG59" s="25">
        <f t="shared" si="39"/>
        <v>400.11200000000002</v>
      </c>
      <c r="AH59" s="25">
        <f t="shared" si="39"/>
        <v>400.11200000000002</v>
      </c>
      <c r="AI59" s="25">
        <f t="shared" si="39"/>
        <v>400.11200000000002</v>
      </c>
      <c r="AJ59" s="25">
        <f t="shared" si="39"/>
        <v>400.11200000000002</v>
      </c>
      <c r="AK59" s="25">
        <f t="shared" ref="AK59:BD59" si="40">AK49*1.7</f>
        <v>400.11200000000002</v>
      </c>
      <c r="AL59" s="25">
        <f t="shared" si="40"/>
        <v>400.11200000000002</v>
      </c>
      <c r="AM59" s="25">
        <f t="shared" si="40"/>
        <v>400.11200000000002</v>
      </c>
      <c r="AN59" s="25">
        <f t="shared" si="40"/>
        <v>400.11200000000002</v>
      </c>
      <c r="AO59" s="25">
        <f t="shared" si="40"/>
        <v>400.11200000000002</v>
      </c>
      <c r="AP59" s="25">
        <f t="shared" si="40"/>
        <v>400.11200000000002</v>
      </c>
      <c r="AQ59" s="25">
        <f t="shared" si="40"/>
        <v>400.11200000000002</v>
      </c>
      <c r="AR59" s="25">
        <f t="shared" si="40"/>
        <v>261.8</v>
      </c>
      <c r="AS59" s="25">
        <f t="shared" si="40"/>
        <v>528.49599999999998</v>
      </c>
      <c r="AT59" s="25">
        <f t="shared" si="40"/>
        <v>528.49599999999998</v>
      </c>
      <c r="AU59" s="25">
        <f t="shared" si="40"/>
        <v>528.49599999999998</v>
      </c>
      <c r="AV59" s="25">
        <f t="shared" si="40"/>
        <v>531.19900000000007</v>
      </c>
      <c r="AW59" s="25">
        <f t="shared" si="40"/>
        <v>531.19900000000007</v>
      </c>
      <c r="AX59" s="25">
        <f t="shared" si="40"/>
        <v>531.19900000000007</v>
      </c>
      <c r="AY59" s="25">
        <f t="shared" si="40"/>
        <v>531.19900000000007</v>
      </c>
      <c r="AZ59" s="25">
        <f t="shared" si="40"/>
        <v>531.19900000000007</v>
      </c>
      <c r="BA59" s="25">
        <f t="shared" si="40"/>
        <v>531.19900000000007</v>
      </c>
      <c r="BB59" s="25">
        <f t="shared" si="40"/>
        <v>399.90800000000002</v>
      </c>
      <c r="BC59" s="25">
        <f t="shared" si="40"/>
        <v>399.90800000000002</v>
      </c>
      <c r="BD59" s="25">
        <f t="shared" si="40"/>
        <v>399.90800000000002</v>
      </c>
      <c r="BE59" s="202"/>
      <c r="BF59" s="202"/>
      <c r="BG59" s="202"/>
      <c r="BH59" s="202"/>
      <c r="BP59" s="202"/>
    </row>
    <row r="60" spans="1:68" outlineLevel="1" x14ac:dyDescent="0.25">
      <c r="A60" s="202"/>
      <c r="B60" s="202" t="str">
        <f t="shared" si="33"/>
        <v>Quaternary Direct Staff - Service A Hours</v>
      </c>
      <c r="C60" s="202"/>
      <c r="D60" s="25">
        <v>0</v>
      </c>
      <c r="E60" s="25">
        <v>181.75</v>
      </c>
      <c r="F60" s="25">
        <v>181.75</v>
      </c>
      <c r="G60" s="25">
        <v>181.75</v>
      </c>
      <c r="H60" s="25">
        <v>181.75</v>
      </c>
      <c r="I60" s="25">
        <v>181.75</v>
      </c>
      <c r="J60" s="25">
        <v>181.75</v>
      </c>
      <c r="K60" s="25">
        <v>181.75</v>
      </c>
      <c r="L60" s="25">
        <v>181.75</v>
      </c>
      <c r="M60" s="25">
        <v>181.75</v>
      </c>
      <c r="N60" s="25">
        <v>181.75</v>
      </c>
      <c r="O60" s="25">
        <v>181.75</v>
      </c>
      <c r="P60" s="25">
        <v>181.75</v>
      </c>
      <c r="Q60" s="25">
        <v>181.75</v>
      </c>
      <c r="R60" s="25">
        <v>181.75</v>
      </c>
      <c r="S60" s="25">
        <v>181.75</v>
      </c>
      <c r="T60" s="25">
        <v>181.75</v>
      </c>
      <c r="U60" s="25">
        <v>181.75</v>
      </c>
      <c r="V60" s="25">
        <v>181.75</v>
      </c>
      <c r="W60" s="25">
        <v>181.75</v>
      </c>
      <c r="X60" s="25">
        <v>181.75</v>
      </c>
      <c r="Y60" s="25">
        <v>181.75</v>
      </c>
      <c r="Z60" s="25">
        <v>181.75</v>
      </c>
      <c r="AA60" s="25">
        <v>181.75</v>
      </c>
      <c r="AB60" s="25">
        <v>181.75</v>
      </c>
      <c r="AC60" s="25">
        <v>181.75</v>
      </c>
      <c r="AD60" s="25">
        <v>181.75</v>
      </c>
      <c r="AE60" s="25">
        <v>181.75</v>
      </c>
      <c r="AF60" s="25">
        <v>181.75</v>
      </c>
      <c r="AG60" s="25">
        <v>181.75</v>
      </c>
      <c r="AH60" s="25">
        <v>181.75</v>
      </c>
      <c r="AI60" s="25">
        <v>181.75</v>
      </c>
      <c r="AJ60" s="25">
        <v>181.75</v>
      </c>
      <c r="AK60" s="25">
        <v>181.75</v>
      </c>
      <c r="AL60" s="25">
        <v>181.75</v>
      </c>
      <c r="AM60" s="25">
        <v>181.75</v>
      </c>
      <c r="AN60" s="25">
        <v>181.75</v>
      </c>
      <c r="AO60" s="25">
        <v>181.75</v>
      </c>
      <c r="AP60" s="25">
        <v>181.75</v>
      </c>
      <c r="AQ60" s="25">
        <v>181.75</v>
      </c>
      <c r="AR60" s="25">
        <v>181.75</v>
      </c>
      <c r="AS60" s="25">
        <v>181.75</v>
      </c>
      <c r="AT60" s="25">
        <v>181.75</v>
      </c>
      <c r="AU60" s="25">
        <v>181.75</v>
      </c>
      <c r="AV60" s="25">
        <v>181.75</v>
      </c>
      <c r="AW60" s="25">
        <v>181.75</v>
      </c>
      <c r="AX60" s="25">
        <v>181.75</v>
      </c>
      <c r="AY60" s="25">
        <v>181.75</v>
      </c>
      <c r="AZ60" s="25">
        <v>181.75</v>
      </c>
      <c r="BA60" s="25">
        <v>181.75</v>
      </c>
      <c r="BB60" s="25">
        <v>181.75</v>
      </c>
      <c r="BC60" s="25">
        <v>181.75</v>
      </c>
      <c r="BD60" s="25">
        <v>181.75</v>
      </c>
      <c r="BE60" s="202"/>
      <c r="BF60" s="202"/>
      <c r="BG60" s="202"/>
      <c r="BH60" s="202"/>
      <c r="BP60" s="202"/>
    </row>
    <row r="61" spans="1:68" outlineLevel="1" x14ac:dyDescent="0.25">
      <c r="A61" s="202"/>
      <c r="B61" s="202" t="str">
        <f t="shared" si="33"/>
        <v>Quinary Direct Staff - Service A Hours</v>
      </c>
      <c r="C61" s="202"/>
      <c r="D61" s="25">
        <v>0</v>
      </c>
      <c r="E61" s="25">
        <f t="shared" ref="E61:AJ61" si="41">E51*1.7</f>
        <v>280.77199999999999</v>
      </c>
      <c r="F61" s="25">
        <f t="shared" si="41"/>
        <v>280.77199999999999</v>
      </c>
      <c r="G61" s="25">
        <f t="shared" si="41"/>
        <v>280.77199999999999</v>
      </c>
      <c r="H61" s="25">
        <f t="shared" si="41"/>
        <v>280.77199999999999</v>
      </c>
      <c r="I61" s="25">
        <f t="shared" si="41"/>
        <v>208.28399999999999</v>
      </c>
      <c r="J61" s="25">
        <f t="shared" si="41"/>
        <v>208.28399999999999</v>
      </c>
      <c r="K61" s="25">
        <f t="shared" si="41"/>
        <v>208.28399999999999</v>
      </c>
      <c r="L61" s="25">
        <f t="shared" si="41"/>
        <v>208.28399999999999</v>
      </c>
      <c r="M61" s="25">
        <f t="shared" si="41"/>
        <v>383.25378000000001</v>
      </c>
      <c r="N61" s="25">
        <f t="shared" si="41"/>
        <v>383.25378000000001</v>
      </c>
      <c r="O61" s="25">
        <f t="shared" si="41"/>
        <v>383.25378000000001</v>
      </c>
      <c r="P61" s="25">
        <f t="shared" si="41"/>
        <v>383.25378000000001</v>
      </c>
      <c r="Q61" s="25">
        <f t="shared" si="41"/>
        <v>383.25378000000001</v>
      </c>
      <c r="R61" s="25">
        <f t="shared" si="41"/>
        <v>383.25378000000001</v>
      </c>
      <c r="S61" s="25">
        <f t="shared" si="41"/>
        <v>383.25378000000001</v>
      </c>
      <c r="T61" s="25">
        <f t="shared" si="41"/>
        <v>383.25378000000001</v>
      </c>
      <c r="U61" s="25">
        <f t="shared" si="41"/>
        <v>383.25378000000001</v>
      </c>
      <c r="V61" s="25">
        <f t="shared" si="41"/>
        <v>383.25378000000001</v>
      </c>
      <c r="W61" s="25">
        <f t="shared" si="41"/>
        <v>383.25378000000001</v>
      </c>
      <c r="X61" s="25">
        <f t="shared" si="41"/>
        <v>280.77199999999999</v>
      </c>
      <c r="Y61" s="25">
        <f t="shared" si="41"/>
        <v>280.77199999999999</v>
      </c>
      <c r="Z61" s="25">
        <f t="shared" si="41"/>
        <v>280.77199999999999</v>
      </c>
      <c r="AA61" s="25">
        <f t="shared" si="41"/>
        <v>280.77199999999999</v>
      </c>
      <c r="AB61" s="25">
        <f t="shared" si="41"/>
        <v>280.77199999999999</v>
      </c>
      <c r="AC61" s="25">
        <f t="shared" si="41"/>
        <v>280.77199999999999</v>
      </c>
      <c r="AD61" s="25">
        <f t="shared" si="41"/>
        <v>280.77199999999999</v>
      </c>
      <c r="AE61" s="25">
        <f t="shared" si="41"/>
        <v>280.77199999999999</v>
      </c>
      <c r="AF61" s="25">
        <f t="shared" si="41"/>
        <v>280.77199999999999</v>
      </c>
      <c r="AG61" s="25">
        <f t="shared" si="41"/>
        <v>280.77199999999999</v>
      </c>
      <c r="AH61" s="25">
        <f t="shared" si="41"/>
        <v>280.77199999999999</v>
      </c>
      <c r="AI61" s="25">
        <f t="shared" si="41"/>
        <v>280.77199999999999</v>
      </c>
      <c r="AJ61" s="25">
        <f t="shared" si="41"/>
        <v>280.77199999999999</v>
      </c>
      <c r="AK61" s="25">
        <f t="shared" ref="AK61:BD61" si="42">AK51*1.7</f>
        <v>280.77199999999999</v>
      </c>
      <c r="AL61" s="25">
        <f t="shared" si="42"/>
        <v>280.77199999999999</v>
      </c>
      <c r="AM61" s="25">
        <f t="shared" si="42"/>
        <v>280.77199999999999</v>
      </c>
      <c r="AN61" s="25">
        <f t="shared" si="42"/>
        <v>280.77199999999999</v>
      </c>
      <c r="AO61" s="25">
        <f t="shared" si="42"/>
        <v>280.77199999999999</v>
      </c>
      <c r="AP61" s="25">
        <f t="shared" si="42"/>
        <v>280.77199999999999</v>
      </c>
      <c r="AQ61" s="25">
        <f t="shared" si="42"/>
        <v>280.77199999999999</v>
      </c>
      <c r="AR61" s="25">
        <f t="shared" si="42"/>
        <v>207.80799999999999</v>
      </c>
      <c r="AS61" s="25">
        <f t="shared" si="42"/>
        <v>208.28399999999999</v>
      </c>
      <c r="AT61" s="25">
        <f t="shared" si="42"/>
        <v>208.28399999999999</v>
      </c>
      <c r="AU61" s="25">
        <f t="shared" si="42"/>
        <v>208.28399999999999</v>
      </c>
      <c r="AV61" s="25">
        <f t="shared" si="42"/>
        <v>168.946</v>
      </c>
      <c r="AW61" s="25">
        <f t="shared" si="42"/>
        <v>168.946</v>
      </c>
      <c r="AX61" s="25">
        <f t="shared" si="42"/>
        <v>168.946</v>
      </c>
      <c r="AY61" s="25">
        <f t="shared" si="42"/>
        <v>168.946</v>
      </c>
      <c r="AZ61" s="25">
        <f t="shared" si="42"/>
        <v>168.946</v>
      </c>
      <c r="BA61" s="25">
        <f t="shared" si="42"/>
        <v>168.946</v>
      </c>
      <c r="BB61" s="25">
        <f t="shared" si="42"/>
        <v>264.79199999999997</v>
      </c>
      <c r="BC61" s="25">
        <f t="shared" si="42"/>
        <v>264.79199999999997</v>
      </c>
      <c r="BD61" s="25">
        <f t="shared" si="42"/>
        <v>264.79199999999997</v>
      </c>
      <c r="BE61" s="202"/>
      <c r="BF61" s="202"/>
      <c r="BG61" s="202"/>
      <c r="BH61" s="202"/>
      <c r="BP61" s="202"/>
    </row>
    <row r="62" spans="1:68" outlineLevel="1" x14ac:dyDescent="0.25">
      <c r="A62" s="202"/>
      <c r="B62" s="23" t="s">
        <v>385</v>
      </c>
      <c r="C62" s="202"/>
      <c r="D62" s="206"/>
      <c r="E62" s="206"/>
      <c r="F62" s="206"/>
      <c r="G62" s="206"/>
      <c r="H62" s="206"/>
      <c r="I62" s="206"/>
      <c r="J62" s="206"/>
      <c r="K62" s="206"/>
      <c r="L62" s="206"/>
      <c r="M62" s="206"/>
      <c r="N62" s="206"/>
      <c r="O62" s="206"/>
      <c r="P62" s="206"/>
      <c r="Q62" s="206"/>
      <c r="R62" s="206"/>
      <c r="S62" s="206"/>
      <c r="T62" s="206"/>
      <c r="U62" s="206"/>
      <c r="V62" s="206"/>
      <c r="W62" s="206"/>
      <c r="X62" s="206"/>
      <c r="Y62" s="206"/>
      <c r="Z62" s="206"/>
      <c r="AA62" s="206"/>
      <c r="AB62" s="206"/>
      <c r="AC62" s="206"/>
      <c r="AD62" s="206"/>
      <c r="AE62" s="206"/>
      <c r="AF62" s="206"/>
      <c r="AG62" s="206"/>
      <c r="AH62" s="206"/>
      <c r="AI62" s="206"/>
      <c r="AJ62" s="206"/>
      <c r="AK62" s="206"/>
      <c r="AL62" s="206"/>
      <c r="AM62" s="206"/>
      <c r="AN62" s="206"/>
      <c r="AO62" s="206"/>
      <c r="AP62" s="206"/>
      <c r="AQ62" s="206"/>
      <c r="AR62" s="206"/>
      <c r="AS62" s="206"/>
      <c r="AT62" s="206"/>
      <c r="AU62" s="206"/>
      <c r="AV62" s="206"/>
      <c r="AW62" s="206"/>
      <c r="AX62" s="206"/>
      <c r="AY62" s="206"/>
      <c r="AZ62" s="206"/>
      <c r="BA62" s="206"/>
      <c r="BB62" s="206"/>
      <c r="BC62" s="206"/>
      <c r="BD62" s="206"/>
      <c r="BE62" s="202"/>
      <c r="BF62" s="202"/>
      <c r="BG62" s="202"/>
      <c r="BH62" s="202"/>
      <c r="BP62" s="202"/>
    </row>
    <row r="63" spans="1:68" outlineLevel="1" x14ac:dyDescent="0.25">
      <c r="A63" s="202"/>
      <c r="B63" s="202" t="s">
        <v>379</v>
      </c>
      <c r="C63" s="202"/>
      <c r="D63" s="25">
        <v>0</v>
      </c>
      <c r="E63" s="25">
        <v>125</v>
      </c>
      <c r="F63" s="25">
        <v>125</v>
      </c>
      <c r="G63" s="25">
        <v>125</v>
      </c>
      <c r="H63" s="25">
        <v>125</v>
      </c>
      <c r="I63" s="25">
        <v>75.12</v>
      </c>
      <c r="J63" s="25">
        <v>75.12</v>
      </c>
      <c r="K63" s="25">
        <v>74.44</v>
      </c>
      <c r="L63" s="25">
        <v>75.12</v>
      </c>
      <c r="M63" s="25">
        <v>125</v>
      </c>
      <c r="N63" s="25">
        <v>125</v>
      </c>
      <c r="O63" s="25">
        <v>125</v>
      </c>
      <c r="P63" s="25">
        <v>125</v>
      </c>
      <c r="Q63" s="25">
        <v>125</v>
      </c>
      <c r="R63" s="25">
        <v>125</v>
      </c>
      <c r="S63" s="25">
        <v>125</v>
      </c>
      <c r="T63" s="25">
        <v>125</v>
      </c>
      <c r="U63" s="25">
        <v>125</v>
      </c>
      <c r="V63" s="25">
        <v>125</v>
      </c>
      <c r="W63" s="25">
        <v>125</v>
      </c>
      <c r="X63" s="25">
        <v>125</v>
      </c>
      <c r="Y63" s="25">
        <v>125</v>
      </c>
      <c r="Z63" s="25">
        <v>125</v>
      </c>
      <c r="AA63" s="25">
        <v>125</v>
      </c>
      <c r="AB63" s="25">
        <v>125</v>
      </c>
      <c r="AC63" s="25">
        <v>125</v>
      </c>
      <c r="AD63" s="25">
        <v>125</v>
      </c>
      <c r="AE63" s="25">
        <v>125</v>
      </c>
      <c r="AF63" s="25">
        <v>125</v>
      </c>
      <c r="AG63" s="25">
        <v>125</v>
      </c>
      <c r="AH63" s="25">
        <v>125</v>
      </c>
      <c r="AI63" s="25">
        <v>125</v>
      </c>
      <c r="AJ63" s="25">
        <v>125</v>
      </c>
      <c r="AK63" s="25">
        <v>125</v>
      </c>
      <c r="AL63" s="25">
        <v>125</v>
      </c>
      <c r="AM63" s="25">
        <v>125</v>
      </c>
      <c r="AN63" s="25">
        <v>125</v>
      </c>
      <c r="AO63" s="25">
        <v>125</v>
      </c>
      <c r="AP63" s="25">
        <v>125</v>
      </c>
      <c r="AQ63" s="25">
        <v>125</v>
      </c>
      <c r="AR63" s="25">
        <v>75.12</v>
      </c>
      <c r="AS63" s="25">
        <v>75.12</v>
      </c>
      <c r="AT63" s="25">
        <v>75.12</v>
      </c>
      <c r="AU63" s="25">
        <v>75.12</v>
      </c>
      <c r="AV63" s="25">
        <v>83.24</v>
      </c>
      <c r="AW63" s="25">
        <v>83.24</v>
      </c>
      <c r="AX63" s="25">
        <v>83.24</v>
      </c>
      <c r="AY63" s="25">
        <v>83.24</v>
      </c>
      <c r="AZ63" s="25">
        <v>83.24</v>
      </c>
      <c r="BA63" s="25">
        <v>83.24</v>
      </c>
      <c r="BB63" s="25">
        <f>21.32*4</f>
        <v>85.28</v>
      </c>
      <c r="BC63" s="25">
        <f>21.32*4</f>
        <v>85.28</v>
      </c>
      <c r="BD63" s="25">
        <f>21.32*4</f>
        <v>85.28</v>
      </c>
      <c r="BE63" s="202"/>
      <c r="BF63" s="202"/>
      <c r="BG63" s="202"/>
      <c r="BH63" s="202"/>
      <c r="BP63" s="202"/>
    </row>
    <row r="64" spans="1:68" outlineLevel="1" x14ac:dyDescent="0.25">
      <c r="A64" s="202"/>
      <c r="B64" s="202" t="s">
        <v>380</v>
      </c>
      <c r="C64" s="202"/>
      <c r="D64" s="25">
        <v>0</v>
      </c>
      <c r="E64" s="25">
        <f>4.8*4*2</f>
        <v>38.4</v>
      </c>
      <c r="F64" s="25">
        <f t="shared" ref="F64:H64" si="43">4.8*4*2</f>
        <v>38.4</v>
      </c>
      <c r="G64" s="25">
        <f t="shared" si="43"/>
        <v>38.4</v>
      </c>
      <c r="H64" s="25">
        <f t="shared" si="43"/>
        <v>38.4</v>
      </c>
      <c r="I64" s="25">
        <f>27.84*2</f>
        <v>55.68</v>
      </c>
      <c r="J64" s="25">
        <f t="shared" ref="J64:L64" si="44">27.84*2</f>
        <v>55.68</v>
      </c>
      <c r="K64" s="25">
        <f t="shared" si="44"/>
        <v>55.68</v>
      </c>
      <c r="L64" s="25">
        <f t="shared" si="44"/>
        <v>55.68</v>
      </c>
      <c r="M64" s="25">
        <f>19.2*2</f>
        <v>38.4</v>
      </c>
      <c r="N64" s="25">
        <f t="shared" ref="N64:AQ64" si="45">19.2*2</f>
        <v>38.4</v>
      </c>
      <c r="O64" s="25">
        <f t="shared" si="45"/>
        <v>38.4</v>
      </c>
      <c r="P64" s="25">
        <f t="shared" si="45"/>
        <v>38.4</v>
      </c>
      <c r="Q64" s="25">
        <f t="shared" si="45"/>
        <v>38.4</v>
      </c>
      <c r="R64" s="25">
        <f t="shared" si="45"/>
        <v>38.4</v>
      </c>
      <c r="S64" s="25">
        <f t="shared" si="45"/>
        <v>38.4</v>
      </c>
      <c r="T64" s="25">
        <f t="shared" si="45"/>
        <v>38.4</v>
      </c>
      <c r="U64" s="25">
        <f t="shared" si="45"/>
        <v>38.4</v>
      </c>
      <c r="V64" s="25">
        <f t="shared" si="45"/>
        <v>38.4</v>
      </c>
      <c r="W64" s="25">
        <f t="shared" si="45"/>
        <v>38.4</v>
      </c>
      <c r="X64" s="25">
        <f t="shared" si="45"/>
        <v>38.4</v>
      </c>
      <c r="Y64" s="25">
        <f t="shared" si="45"/>
        <v>38.4</v>
      </c>
      <c r="Z64" s="25">
        <f t="shared" si="45"/>
        <v>38.4</v>
      </c>
      <c r="AA64" s="25">
        <f t="shared" si="45"/>
        <v>38.4</v>
      </c>
      <c r="AB64" s="25">
        <f t="shared" si="45"/>
        <v>38.4</v>
      </c>
      <c r="AC64" s="25">
        <f t="shared" si="45"/>
        <v>38.4</v>
      </c>
      <c r="AD64" s="25">
        <f t="shared" si="45"/>
        <v>38.4</v>
      </c>
      <c r="AE64" s="25">
        <f t="shared" si="45"/>
        <v>38.4</v>
      </c>
      <c r="AF64" s="25">
        <f t="shared" si="45"/>
        <v>38.4</v>
      </c>
      <c r="AG64" s="25">
        <f t="shared" si="45"/>
        <v>38.4</v>
      </c>
      <c r="AH64" s="25">
        <f t="shared" si="45"/>
        <v>38.4</v>
      </c>
      <c r="AI64" s="25">
        <f t="shared" si="45"/>
        <v>38.4</v>
      </c>
      <c r="AJ64" s="25">
        <f t="shared" si="45"/>
        <v>38.4</v>
      </c>
      <c r="AK64" s="25">
        <f t="shared" si="45"/>
        <v>38.4</v>
      </c>
      <c r="AL64" s="25">
        <f t="shared" si="45"/>
        <v>38.4</v>
      </c>
      <c r="AM64" s="25">
        <f t="shared" si="45"/>
        <v>38.4</v>
      </c>
      <c r="AN64" s="25">
        <f t="shared" si="45"/>
        <v>38.4</v>
      </c>
      <c r="AO64" s="25">
        <f t="shared" si="45"/>
        <v>38.4</v>
      </c>
      <c r="AP64" s="25">
        <f t="shared" si="45"/>
        <v>38.4</v>
      </c>
      <c r="AQ64" s="25">
        <f t="shared" si="45"/>
        <v>38.4</v>
      </c>
      <c r="AR64" s="25">
        <f>27.84*2</f>
        <v>55.68</v>
      </c>
      <c r="AS64" s="25">
        <f>27.84*2</f>
        <v>55.68</v>
      </c>
      <c r="AT64" s="25">
        <f t="shared" ref="AT64:AU64" si="46">27.84*2</f>
        <v>55.68</v>
      </c>
      <c r="AU64" s="25">
        <f t="shared" si="46"/>
        <v>55.68</v>
      </c>
      <c r="AV64" s="25">
        <f>79*2</f>
        <v>158</v>
      </c>
      <c r="AW64" s="25">
        <f t="shared" ref="AW64:BA64" si="47">79*2</f>
        <v>158</v>
      </c>
      <c r="AX64" s="25">
        <f t="shared" si="47"/>
        <v>158</v>
      </c>
      <c r="AY64" s="25">
        <f t="shared" si="47"/>
        <v>158</v>
      </c>
      <c r="AZ64" s="25">
        <f t="shared" si="47"/>
        <v>158</v>
      </c>
      <c r="BA64" s="25">
        <f t="shared" si="47"/>
        <v>158</v>
      </c>
      <c r="BB64" s="25">
        <f>17.92*2</f>
        <v>35.840000000000003</v>
      </c>
      <c r="BC64" s="25">
        <f>17.92*2</f>
        <v>35.840000000000003</v>
      </c>
      <c r="BD64" s="25">
        <f>17.92*2</f>
        <v>35.840000000000003</v>
      </c>
      <c r="BE64" s="202"/>
      <c r="BF64" s="202"/>
      <c r="BG64" s="202"/>
      <c r="BH64" s="202"/>
      <c r="BP64" s="202"/>
    </row>
    <row r="65" spans="1:68" outlineLevel="1" x14ac:dyDescent="0.25">
      <c r="A65" s="202"/>
      <c r="B65" s="202" t="s">
        <v>381</v>
      </c>
      <c r="C65" s="202"/>
      <c r="D65" s="25">
        <v>0</v>
      </c>
      <c r="E65" s="25">
        <v>141.4</v>
      </c>
      <c r="F65" s="25">
        <v>141.4</v>
      </c>
      <c r="G65" s="25">
        <v>141.4</v>
      </c>
      <c r="H65" s="25">
        <v>141.4</v>
      </c>
      <c r="I65" s="25">
        <v>148.88</v>
      </c>
      <c r="J65" s="25">
        <v>148.88</v>
      </c>
      <c r="K65" s="25">
        <v>148.88</v>
      </c>
      <c r="L65" s="25">
        <v>148.88</v>
      </c>
      <c r="M65" s="25">
        <v>141.4</v>
      </c>
      <c r="N65" s="25">
        <v>141.4</v>
      </c>
      <c r="O65" s="25">
        <v>141.4</v>
      </c>
      <c r="P65" s="25">
        <v>141.4</v>
      </c>
      <c r="Q65" s="25">
        <v>141.4</v>
      </c>
      <c r="R65" s="25">
        <v>141.4</v>
      </c>
      <c r="S65" s="25">
        <v>141.4</v>
      </c>
      <c r="T65" s="25">
        <v>141.4</v>
      </c>
      <c r="U65" s="25">
        <v>141.4</v>
      </c>
      <c r="V65" s="25">
        <v>141.4</v>
      </c>
      <c r="W65" s="25">
        <v>141.4</v>
      </c>
      <c r="X65" s="25">
        <v>141.4</v>
      </c>
      <c r="Y65" s="25">
        <v>141.4</v>
      </c>
      <c r="Z65" s="25">
        <v>141.4</v>
      </c>
      <c r="AA65" s="25">
        <v>141.4</v>
      </c>
      <c r="AB65" s="25">
        <v>141.4</v>
      </c>
      <c r="AC65" s="25">
        <v>141.4</v>
      </c>
      <c r="AD65" s="25">
        <v>141.4</v>
      </c>
      <c r="AE65" s="25">
        <v>141.4</v>
      </c>
      <c r="AF65" s="25">
        <v>141.4</v>
      </c>
      <c r="AG65" s="25">
        <v>141.4</v>
      </c>
      <c r="AH65" s="25">
        <v>141.4</v>
      </c>
      <c r="AI65" s="25">
        <v>141.4</v>
      </c>
      <c r="AJ65" s="25">
        <v>141.4</v>
      </c>
      <c r="AK65" s="25">
        <v>141.4</v>
      </c>
      <c r="AL65" s="25">
        <v>141.4</v>
      </c>
      <c r="AM65" s="25">
        <v>141.4</v>
      </c>
      <c r="AN65" s="25">
        <v>141.4</v>
      </c>
      <c r="AO65" s="25">
        <v>141.4</v>
      </c>
      <c r="AP65" s="25">
        <v>141.4</v>
      </c>
      <c r="AQ65" s="25">
        <v>141.4</v>
      </c>
      <c r="AR65" s="25">
        <v>148.88</v>
      </c>
      <c r="AS65" s="25">
        <v>148.88</v>
      </c>
      <c r="AT65" s="25">
        <v>148.88</v>
      </c>
      <c r="AU65" s="25">
        <v>148.88</v>
      </c>
      <c r="AV65" s="25">
        <v>128.88</v>
      </c>
      <c r="AW65" s="25">
        <v>128.88</v>
      </c>
      <c r="AX65" s="25">
        <v>128.88</v>
      </c>
      <c r="AY65" s="25">
        <v>128.88</v>
      </c>
      <c r="AZ65" s="25">
        <v>128.88</v>
      </c>
      <c r="BA65" s="25">
        <v>128.88</v>
      </c>
      <c r="BB65" s="25">
        <f t="shared" ref="BB65:BD66" si="48">31.25*4</f>
        <v>125</v>
      </c>
      <c r="BC65" s="25">
        <f t="shared" si="48"/>
        <v>125</v>
      </c>
      <c r="BD65" s="25">
        <f t="shared" si="48"/>
        <v>125</v>
      </c>
      <c r="BE65" s="202"/>
      <c r="BF65" s="202"/>
      <c r="BG65" s="202"/>
      <c r="BH65" s="202"/>
      <c r="BP65" s="202"/>
    </row>
    <row r="66" spans="1:68" outlineLevel="1" x14ac:dyDescent="0.25">
      <c r="A66" s="202"/>
      <c r="B66" s="202" t="s">
        <v>383</v>
      </c>
      <c r="C66" s="202"/>
      <c r="D66" s="25">
        <v>0</v>
      </c>
      <c r="E66" s="25">
        <v>128.52000000000001</v>
      </c>
      <c r="F66" s="25">
        <v>128.52000000000001</v>
      </c>
      <c r="G66" s="25">
        <v>128.52000000000001</v>
      </c>
      <c r="H66" s="25">
        <v>128.52000000000001</v>
      </c>
      <c r="I66" s="25">
        <v>148.88</v>
      </c>
      <c r="J66" s="25">
        <v>148.88</v>
      </c>
      <c r="K66" s="25">
        <v>148.88</v>
      </c>
      <c r="L66" s="25">
        <v>148.88</v>
      </c>
      <c r="M66" s="25">
        <v>128.52000000000001</v>
      </c>
      <c r="N66" s="25">
        <v>128.52000000000001</v>
      </c>
      <c r="O66" s="25">
        <v>128.52000000000001</v>
      </c>
      <c r="P66" s="25">
        <v>128.52000000000001</v>
      </c>
      <c r="Q66" s="25">
        <v>128.52000000000001</v>
      </c>
      <c r="R66" s="25">
        <v>128.52000000000001</v>
      </c>
      <c r="S66" s="25">
        <v>128.52000000000001</v>
      </c>
      <c r="T66" s="25">
        <v>128.52000000000001</v>
      </c>
      <c r="U66" s="25">
        <v>128.52000000000001</v>
      </c>
      <c r="V66" s="25">
        <v>128.52000000000001</v>
      </c>
      <c r="W66" s="25">
        <v>128.52000000000001</v>
      </c>
      <c r="X66" s="25">
        <v>128.52000000000001</v>
      </c>
      <c r="Y66" s="25">
        <v>128.52000000000001</v>
      </c>
      <c r="Z66" s="25">
        <v>128.52000000000001</v>
      </c>
      <c r="AA66" s="25">
        <v>128.52000000000001</v>
      </c>
      <c r="AB66" s="25">
        <v>128.52000000000001</v>
      </c>
      <c r="AC66" s="25">
        <v>128.52000000000001</v>
      </c>
      <c r="AD66" s="25">
        <v>128.52000000000001</v>
      </c>
      <c r="AE66" s="25">
        <v>128.52000000000001</v>
      </c>
      <c r="AF66" s="25">
        <v>128.52000000000001</v>
      </c>
      <c r="AG66" s="25">
        <v>128.52000000000001</v>
      </c>
      <c r="AH66" s="25">
        <v>128.52000000000001</v>
      </c>
      <c r="AI66" s="25">
        <v>128.52000000000001</v>
      </c>
      <c r="AJ66" s="25">
        <v>128.52000000000001</v>
      </c>
      <c r="AK66" s="25">
        <v>128.52000000000001</v>
      </c>
      <c r="AL66" s="25">
        <v>128.52000000000001</v>
      </c>
      <c r="AM66" s="25">
        <v>128.52000000000001</v>
      </c>
      <c r="AN66" s="25">
        <v>128.52000000000001</v>
      </c>
      <c r="AO66" s="25">
        <v>128.52000000000001</v>
      </c>
      <c r="AP66" s="25">
        <v>128.52000000000001</v>
      </c>
      <c r="AQ66" s="25">
        <v>128.52000000000001</v>
      </c>
      <c r="AR66" s="25">
        <v>148.88</v>
      </c>
      <c r="AS66" s="25">
        <v>148.88</v>
      </c>
      <c r="AT66" s="25">
        <v>148.88</v>
      </c>
      <c r="AU66" s="25">
        <v>148.88</v>
      </c>
      <c r="AV66" s="25">
        <v>125</v>
      </c>
      <c r="AW66" s="25">
        <v>125</v>
      </c>
      <c r="AX66" s="25">
        <v>125</v>
      </c>
      <c r="AY66" s="25">
        <v>125</v>
      </c>
      <c r="AZ66" s="25">
        <v>125</v>
      </c>
      <c r="BA66" s="25">
        <v>125</v>
      </c>
      <c r="BB66" s="25">
        <f t="shared" si="48"/>
        <v>125</v>
      </c>
      <c r="BC66" s="25">
        <f t="shared" si="48"/>
        <v>125</v>
      </c>
      <c r="BD66" s="25">
        <f t="shared" si="48"/>
        <v>125</v>
      </c>
      <c r="BE66" s="202"/>
      <c r="BF66" s="202"/>
      <c r="BG66" s="202"/>
      <c r="BH66" s="202"/>
      <c r="BP66" s="202"/>
    </row>
    <row r="67" spans="1:68" outlineLevel="1" x14ac:dyDescent="0.25">
      <c r="A67" s="202"/>
      <c r="B67" s="202" t="s">
        <v>382</v>
      </c>
      <c r="C67" s="202"/>
      <c r="D67" s="25">
        <v>0</v>
      </c>
      <c r="E67" s="25">
        <v>154.04</v>
      </c>
      <c r="F67" s="25">
        <v>154.04</v>
      </c>
      <c r="G67" s="25">
        <v>154.04</v>
      </c>
      <c r="H67" s="25">
        <v>154.04</v>
      </c>
      <c r="I67" s="25">
        <v>148.88</v>
      </c>
      <c r="J67" s="25">
        <v>148.88</v>
      </c>
      <c r="K67" s="25">
        <v>148.88</v>
      </c>
      <c r="L67" s="25">
        <v>148.88</v>
      </c>
      <c r="M67" s="25">
        <v>154.04</v>
      </c>
      <c r="N67" s="25">
        <v>154.04</v>
      </c>
      <c r="O67" s="25">
        <v>154.04</v>
      </c>
      <c r="P67" s="25">
        <v>154.04</v>
      </c>
      <c r="Q67" s="25">
        <v>154.04</v>
      </c>
      <c r="R67" s="25">
        <v>154.04</v>
      </c>
      <c r="S67" s="25">
        <v>154.04</v>
      </c>
      <c r="T67" s="25">
        <v>154.04</v>
      </c>
      <c r="U67" s="25">
        <v>154.04</v>
      </c>
      <c r="V67" s="25">
        <v>154.04</v>
      </c>
      <c r="W67" s="25">
        <v>154.04</v>
      </c>
      <c r="X67" s="25">
        <v>154.04</v>
      </c>
      <c r="Y67" s="25">
        <v>154.04</v>
      </c>
      <c r="Z67" s="25">
        <v>154.04</v>
      </c>
      <c r="AA67" s="25">
        <v>154.04</v>
      </c>
      <c r="AB67" s="25">
        <v>154.04</v>
      </c>
      <c r="AC67" s="25">
        <v>154.04</v>
      </c>
      <c r="AD67" s="25">
        <v>154.04</v>
      </c>
      <c r="AE67" s="25">
        <v>154.04</v>
      </c>
      <c r="AF67" s="25">
        <v>154.04</v>
      </c>
      <c r="AG67" s="25">
        <v>154.04</v>
      </c>
      <c r="AH67" s="25">
        <v>154.04</v>
      </c>
      <c r="AI67" s="25">
        <v>154.04</v>
      </c>
      <c r="AJ67" s="25">
        <v>154.04</v>
      </c>
      <c r="AK67" s="25">
        <v>154.04</v>
      </c>
      <c r="AL67" s="25">
        <v>154.04</v>
      </c>
      <c r="AM67" s="25">
        <v>154.04</v>
      </c>
      <c r="AN67" s="25">
        <v>154.04</v>
      </c>
      <c r="AO67" s="25">
        <v>154.04</v>
      </c>
      <c r="AP67" s="25">
        <v>154.04</v>
      </c>
      <c r="AQ67" s="25">
        <v>154.04</v>
      </c>
      <c r="AR67" s="25">
        <v>148.88</v>
      </c>
      <c r="AS67" s="25">
        <v>148.88</v>
      </c>
      <c r="AT67" s="25">
        <v>148.88</v>
      </c>
      <c r="AU67" s="25">
        <v>148.88</v>
      </c>
      <c r="AV67" s="25">
        <v>131.88</v>
      </c>
      <c r="AW67" s="25">
        <v>131.88</v>
      </c>
      <c r="AX67" s="25">
        <v>131.88</v>
      </c>
      <c r="AY67" s="25">
        <v>131.88</v>
      </c>
      <c r="AZ67" s="25">
        <v>131.88</v>
      </c>
      <c r="BA67" s="25">
        <v>131.88</v>
      </c>
      <c r="BB67" s="25">
        <f>44.73*4</f>
        <v>178.92</v>
      </c>
      <c r="BC67" s="25">
        <f>44.73*4</f>
        <v>178.92</v>
      </c>
      <c r="BD67" s="25">
        <f>44.73*4</f>
        <v>178.92</v>
      </c>
      <c r="BE67" s="202"/>
      <c r="BF67" s="202"/>
      <c r="BG67" s="202"/>
      <c r="BH67" s="202"/>
      <c r="BP67" s="202"/>
    </row>
    <row r="68" spans="1:68" outlineLevel="1" x14ac:dyDescent="0.25">
      <c r="A68" s="202"/>
      <c r="B68" s="202" t="s">
        <v>319</v>
      </c>
      <c r="C68" s="202"/>
      <c r="D68" s="25">
        <v>0</v>
      </c>
      <c r="E68" s="25">
        <v>68.23</v>
      </c>
      <c r="F68" s="25">
        <v>68.23</v>
      </c>
      <c r="G68" s="25">
        <v>68.23</v>
      </c>
      <c r="H68" s="25">
        <v>68.23</v>
      </c>
      <c r="I68" s="25">
        <v>66.88</v>
      </c>
      <c r="J68" s="25">
        <v>66.88</v>
      </c>
      <c r="K68" s="25">
        <v>64.63</v>
      </c>
      <c r="L68" s="25">
        <v>66.88</v>
      </c>
      <c r="M68" s="25">
        <v>70.78</v>
      </c>
      <c r="N68" s="25">
        <v>68.23</v>
      </c>
      <c r="O68" s="25">
        <v>68.23</v>
      </c>
      <c r="P68" s="25">
        <v>68.23</v>
      </c>
      <c r="Q68" s="25">
        <v>68.23</v>
      </c>
      <c r="R68" s="25">
        <v>68.23</v>
      </c>
      <c r="S68" s="25">
        <v>68.23</v>
      </c>
      <c r="T68" s="25">
        <v>68.23</v>
      </c>
      <c r="U68" s="25">
        <v>68.23</v>
      </c>
      <c r="V68" s="25">
        <v>68.23</v>
      </c>
      <c r="W68" s="25">
        <v>68.23</v>
      </c>
      <c r="X68" s="25">
        <v>68.23</v>
      </c>
      <c r="Y68" s="25">
        <v>68.23</v>
      </c>
      <c r="Z68" s="25">
        <v>68.23</v>
      </c>
      <c r="AA68" s="25">
        <v>68.23</v>
      </c>
      <c r="AB68" s="25">
        <v>68.23</v>
      </c>
      <c r="AC68" s="25">
        <v>68.23</v>
      </c>
      <c r="AD68" s="25">
        <v>68.23</v>
      </c>
      <c r="AE68" s="25">
        <v>68.23</v>
      </c>
      <c r="AF68" s="25">
        <v>68.23</v>
      </c>
      <c r="AG68" s="25">
        <v>68.23</v>
      </c>
      <c r="AH68" s="25">
        <v>68.23</v>
      </c>
      <c r="AI68" s="25">
        <v>68.23</v>
      </c>
      <c r="AJ68" s="25">
        <v>68.23</v>
      </c>
      <c r="AK68" s="25">
        <v>68.23</v>
      </c>
      <c r="AL68" s="25">
        <v>68.23</v>
      </c>
      <c r="AM68" s="25">
        <v>68.23</v>
      </c>
      <c r="AN68" s="25">
        <v>68.23</v>
      </c>
      <c r="AO68" s="25">
        <v>68.23</v>
      </c>
      <c r="AP68" s="25">
        <v>68.23</v>
      </c>
      <c r="AQ68" s="25">
        <v>68.23</v>
      </c>
      <c r="AR68" s="25">
        <v>66.88</v>
      </c>
      <c r="AS68" s="25">
        <v>66.88</v>
      </c>
      <c r="AT68" s="25">
        <v>66.88</v>
      </c>
      <c r="AU68" s="25">
        <v>66.88</v>
      </c>
      <c r="AV68" s="25">
        <v>61.49</v>
      </c>
      <c r="AW68" s="25">
        <v>61.49</v>
      </c>
      <c r="AX68" s="25">
        <v>61.49</v>
      </c>
      <c r="AY68" s="25">
        <v>61.49</v>
      </c>
      <c r="AZ68" s="25">
        <v>61.49</v>
      </c>
      <c r="BA68" s="25">
        <v>61.49</v>
      </c>
      <c r="BB68" s="25">
        <v>62.98</v>
      </c>
      <c r="BC68" s="25">
        <v>62.98</v>
      </c>
      <c r="BD68" s="25">
        <v>62.98</v>
      </c>
      <c r="BE68" s="202"/>
      <c r="BF68" s="202"/>
      <c r="BG68" s="202"/>
      <c r="BH68" s="202"/>
      <c r="BP68" s="202"/>
    </row>
    <row r="69" spans="1:68" outlineLevel="1" x14ac:dyDescent="0.25">
      <c r="A69" s="202"/>
      <c r="B69" s="202" t="s">
        <v>320</v>
      </c>
      <c r="C69" s="202"/>
      <c r="D69" s="25">
        <v>0</v>
      </c>
      <c r="E69" s="25">
        <v>68.23</v>
      </c>
      <c r="F69" s="25">
        <v>68.23</v>
      </c>
      <c r="G69" s="25">
        <v>68.23</v>
      </c>
      <c r="H69" s="25">
        <v>68.23</v>
      </c>
      <c r="I69" s="25">
        <v>66.88</v>
      </c>
      <c r="J69" s="25">
        <v>66.88</v>
      </c>
      <c r="K69" s="25">
        <v>64.63</v>
      </c>
      <c r="L69" s="25">
        <v>66.88</v>
      </c>
      <c r="M69" s="25">
        <v>70.78</v>
      </c>
      <c r="N69" s="25">
        <v>68.23</v>
      </c>
      <c r="O69" s="25">
        <v>68.23</v>
      </c>
      <c r="P69" s="25">
        <v>68.23</v>
      </c>
      <c r="Q69" s="25">
        <v>68.23</v>
      </c>
      <c r="R69" s="25">
        <v>68.23</v>
      </c>
      <c r="S69" s="25">
        <v>68.23</v>
      </c>
      <c r="T69" s="25">
        <v>68.23</v>
      </c>
      <c r="U69" s="25">
        <v>68.23</v>
      </c>
      <c r="V69" s="25">
        <v>68.23</v>
      </c>
      <c r="W69" s="25">
        <v>68.23</v>
      </c>
      <c r="X69" s="25">
        <v>68.23</v>
      </c>
      <c r="Y69" s="25">
        <v>68.23</v>
      </c>
      <c r="Z69" s="25">
        <v>68.23</v>
      </c>
      <c r="AA69" s="25">
        <v>68.23</v>
      </c>
      <c r="AB69" s="25">
        <v>68.23</v>
      </c>
      <c r="AC69" s="25">
        <v>68.23</v>
      </c>
      <c r="AD69" s="25">
        <v>68.23</v>
      </c>
      <c r="AE69" s="25">
        <v>68.23</v>
      </c>
      <c r="AF69" s="25">
        <v>68.23</v>
      </c>
      <c r="AG69" s="25">
        <v>68.23</v>
      </c>
      <c r="AH69" s="25">
        <v>68.23</v>
      </c>
      <c r="AI69" s="25">
        <v>68.23</v>
      </c>
      <c r="AJ69" s="25">
        <v>68.23</v>
      </c>
      <c r="AK69" s="25">
        <v>68.23</v>
      </c>
      <c r="AL69" s="25">
        <v>68.23</v>
      </c>
      <c r="AM69" s="25">
        <v>68.23</v>
      </c>
      <c r="AN69" s="25">
        <v>68.23</v>
      </c>
      <c r="AO69" s="25">
        <v>68.23</v>
      </c>
      <c r="AP69" s="25">
        <v>68.23</v>
      </c>
      <c r="AQ69" s="25">
        <v>68.23</v>
      </c>
      <c r="AR69" s="25">
        <v>66.88</v>
      </c>
      <c r="AS69" s="25">
        <v>66.88</v>
      </c>
      <c r="AT69" s="25">
        <v>66.88</v>
      </c>
      <c r="AU69" s="25">
        <v>66.88</v>
      </c>
      <c r="AV69" s="25">
        <v>61.49</v>
      </c>
      <c r="AW69" s="25">
        <v>61.49</v>
      </c>
      <c r="AX69" s="25">
        <v>61.49</v>
      </c>
      <c r="AY69" s="25">
        <v>61.49</v>
      </c>
      <c r="AZ69" s="25">
        <v>61.49</v>
      </c>
      <c r="BA69" s="25">
        <v>61.49</v>
      </c>
      <c r="BB69" s="25">
        <v>62.98</v>
      </c>
      <c r="BC69" s="25">
        <v>62.98</v>
      </c>
      <c r="BD69" s="25">
        <v>62.98</v>
      </c>
      <c r="BE69" s="202"/>
      <c r="BF69" s="202"/>
      <c r="BG69" s="202"/>
      <c r="BH69" s="202"/>
      <c r="BP69" s="202"/>
    </row>
    <row r="70" spans="1:68" outlineLevel="1" x14ac:dyDescent="0.25">
      <c r="A70" s="202"/>
      <c r="B70" s="202" t="s">
        <v>321</v>
      </c>
      <c r="C70" s="202"/>
      <c r="D70" s="25">
        <v>0</v>
      </c>
      <c r="E70" s="25">
        <v>181.75</v>
      </c>
      <c r="F70" s="25">
        <v>181.75</v>
      </c>
      <c r="G70" s="25">
        <v>181.75</v>
      </c>
      <c r="H70" s="25">
        <v>181.75</v>
      </c>
      <c r="I70" s="25">
        <v>173.47</v>
      </c>
      <c r="J70" s="25">
        <v>173.47</v>
      </c>
      <c r="K70" s="25">
        <v>168.94</v>
      </c>
      <c r="L70" s="25">
        <v>173.47</v>
      </c>
      <c r="M70" s="25">
        <v>181.75</v>
      </c>
      <c r="N70" s="25">
        <v>181.75</v>
      </c>
      <c r="O70" s="25">
        <v>181.75</v>
      </c>
      <c r="P70" s="25">
        <v>181.75</v>
      </c>
      <c r="Q70" s="25">
        <v>181.75</v>
      </c>
      <c r="R70" s="25">
        <v>181.75</v>
      </c>
      <c r="S70" s="25">
        <v>181.75</v>
      </c>
      <c r="T70" s="25">
        <v>181.75</v>
      </c>
      <c r="U70" s="25">
        <v>181.75</v>
      </c>
      <c r="V70" s="25">
        <v>181.75</v>
      </c>
      <c r="W70" s="25">
        <v>181.75</v>
      </c>
      <c r="X70" s="25">
        <v>181.75</v>
      </c>
      <c r="Y70" s="25">
        <v>181.75</v>
      </c>
      <c r="Z70" s="25">
        <v>181.75</v>
      </c>
      <c r="AA70" s="25">
        <v>181.75</v>
      </c>
      <c r="AB70" s="25">
        <v>181.75</v>
      </c>
      <c r="AC70" s="25">
        <v>181.75</v>
      </c>
      <c r="AD70" s="25">
        <v>181.75</v>
      </c>
      <c r="AE70" s="25">
        <v>181.75</v>
      </c>
      <c r="AF70" s="25">
        <v>181.75</v>
      </c>
      <c r="AG70" s="25">
        <v>181.75</v>
      </c>
      <c r="AH70" s="25">
        <v>181.75</v>
      </c>
      <c r="AI70" s="25">
        <v>181.75</v>
      </c>
      <c r="AJ70" s="25">
        <v>181.75</v>
      </c>
      <c r="AK70" s="25">
        <v>181.75</v>
      </c>
      <c r="AL70" s="25">
        <v>181.75</v>
      </c>
      <c r="AM70" s="25">
        <v>181.75</v>
      </c>
      <c r="AN70" s="25">
        <v>181.75</v>
      </c>
      <c r="AO70" s="25">
        <v>181.75</v>
      </c>
      <c r="AP70" s="25">
        <v>181.75</v>
      </c>
      <c r="AQ70" s="25">
        <v>181.75</v>
      </c>
      <c r="AR70" s="25">
        <v>168.94</v>
      </c>
      <c r="AS70" s="25">
        <v>168.94</v>
      </c>
      <c r="AT70" s="25">
        <v>168.94</v>
      </c>
      <c r="AU70" s="25">
        <v>168.94</v>
      </c>
      <c r="AV70" s="25">
        <v>162.9</v>
      </c>
      <c r="AW70" s="25">
        <v>162.9</v>
      </c>
      <c r="AX70" s="25">
        <v>162.9</v>
      </c>
      <c r="AY70" s="25">
        <v>162.9</v>
      </c>
      <c r="AZ70" s="25">
        <v>162.9</v>
      </c>
      <c r="BA70" s="25">
        <v>162.9</v>
      </c>
      <c r="BB70" s="25">
        <v>165.45</v>
      </c>
      <c r="BC70" s="25">
        <v>165.45</v>
      </c>
      <c r="BD70" s="25">
        <v>165.45</v>
      </c>
      <c r="BE70" s="202"/>
      <c r="BF70" s="202"/>
      <c r="BG70" s="202"/>
      <c r="BH70" s="202"/>
      <c r="BP70" s="202"/>
    </row>
    <row r="71" spans="1:68" outlineLevel="1" x14ac:dyDescent="0.25">
      <c r="A71" s="202"/>
      <c r="B71" s="202" t="s">
        <v>322</v>
      </c>
      <c r="C71" s="202"/>
      <c r="D71" s="25">
        <v>0</v>
      </c>
      <c r="E71" s="25">
        <v>99.12</v>
      </c>
      <c r="F71" s="25">
        <v>99.12</v>
      </c>
      <c r="G71" s="25">
        <v>99.12</v>
      </c>
      <c r="H71" s="25">
        <v>99.12</v>
      </c>
      <c r="I71" s="25">
        <v>97.08</v>
      </c>
      <c r="J71" s="25">
        <v>97.08</v>
      </c>
      <c r="K71" s="25">
        <v>93.6</v>
      </c>
      <c r="L71" s="25">
        <v>97.08</v>
      </c>
      <c r="M71" s="25">
        <v>103</v>
      </c>
      <c r="N71" s="25">
        <v>99.12</v>
      </c>
      <c r="O71" s="25">
        <v>99.12</v>
      </c>
      <c r="P71" s="25">
        <v>99.12</v>
      </c>
      <c r="Q71" s="25">
        <v>99.12</v>
      </c>
      <c r="R71" s="25">
        <v>99.12</v>
      </c>
      <c r="S71" s="25">
        <v>99.12</v>
      </c>
      <c r="T71" s="25">
        <v>99.12</v>
      </c>
      <c r="U71" s="25">
        <v>99.12</v>
      </c>
      <c r="V71" s="25">
        <v>99.12</v>
      </c>
      <c r="W71" s="25">
        <v>99.12</v>
      </c>
      <c r="X71" s="25">
        <v>99.12</v>
      </c>
      <c r="Y71" s="25">
        <v>99.12</v>
      </c>
      <c r="Z71" s="25">
        <v>99.12</v>
      </c>
      <c r="AA71" s="25">
        <v>99.12</v>
      </c>
      <c r="AB71" s="25">
        <v>99.12</v>
      </c>
      <c r="AC71" s="25">
        <v>99.12</v>
      </c>
      <c r="AD71" s="25">
        <v>99.12</v>
      </c>
      <c r="AE71" s="25">
        <v>99.12</v>
      </c>
      <c r="AF71" s="25">
        <v>99.12</v>
      </c>
      <c r="AG71" s="25">
        <v>99.12</v>
      </c>
      <c r="AH71" s="25">
        <v>99.12</v>
      </c>
      <c r="AI71" s="25">
        <v>99.12</v>
      </c>
      <c r="AJ71" s="25">
        <v>99.12</v>
      </c>
      <c r="AK71" s="25">
        <v>99.12</v>
      </c>
      <c r="AL71" s="25">
        <v>99.12</v>
      </c>
      <c r="AM71" s="25">
        <v>99.12</v>
      </c>
      <c r="AN71" s="25">
        <v>99.12</v>
      </c>
      <c r="AO71" s="25">
        <v>99.12</v>
      </c>
      <c r="AP71" s="25">
        <v>99.12</v>
      </c>
      <c r="AQ71" s="25">
        <v>99.12</v>
      </c>
      <c r="AR71" s="25">
        <v>97.08</v>
      </c>
      <c r="AS71" s="25">
        <v>97.08</v>
      </c>
      <c r="AT71" s="25">
        <v>97.08</v>
      </c>
      <c r="AU71" s="25">
        <v>97.08</v>
      </c>
      <c r="AV71" s="25">
        <v>88.76</v>
      </c>
      <c r="AW71" s="25">
        <v>88.76</v>
      </c>
      <c r="AX71" s="25">
        <v>88.76</v>
      </c>
      <c r="AY71" s="25">
        <v>88.76</v>
      </c>
      <c r="AZ71" s="25">
        <v>88.76</v>
      </c>
      <c r="BA71" s="25">
        <v>88.76</v>
      </c>
      <c r="BB71" s="25">
        <v>91.12</v>
      </c>
      <c r="BC71" s="25">
        <v>91.12</v>
      </c>
      <c r="BD71" s="25">
        <v>91.12</v>
      </c>
      <c r="BE71" s="202"/>
      <c r="BF71" s="202"/>
      <c r="BG71" s="202"/>
      <c r="BH71" s="202"/>
      <c r="BP71" s="202"/>
    </row>
    <row r="72" spans="1:68" x14ac:dyDescent="0.25">
      <c r="A72" s="202"/>
      <c r="B72" s="202"/>
      <c r="C72" s="207"/>
      <c r="D72" s="202"/>
      <c r="E72" s="202"/>
      <c r="F72" s="202"/>
      <c r="G72" s="202"/>
      <c r="H72" s="202"/>
      <c r="I72" s="202"/>
      <c r="J72" s="202"/>
      <c r="K72" s="202"/>
      <c r="L72" s="202"/>
      <c r="M72" s="202"/>
      <c r="N72" s="202"/>
      <c r="O72" s="202"/>
      <c r="P72" s="202"/>
      <c r="Q72" s="202"/>
      <c r="R72" s="202"/>
      <c r="S72" s="202"/>
      <c r="T72" s="202"/>
      <c r="U72" s="202"/>
      <c r="V72" s="202"/>
      <c r="W72" s="202"/>
      <c r="X72" s="202"/>
      <c r="Y72" s="202"/>
      <c r="Z72" s="202"/>
      <c r="AA72" s="202"/>
      <c r="AB72" s="202"/>
      <c r="AC72" s="202"/>
      <c r="AD72" s="202"/>
      <c r="AE72" s="202"/>
      <c r="AF72" s="202"/>
      <c r="AG72" s="202"/>
      <c r="AH72" s="202"/>
      <c r="AI72" s="202"/>
      <c r="AJ72" s="202"/>
      <c r="AK72" s="202"/>
      <c r="AL72" s="202"/>
      <c r="AM72" s="202"/>
      <c r="AN72" s="202"/>
      <c r="AO72" s="202"/>
      <c r="AP72" s="202"/>
      <c r="AQ72" s="202"/>
      <c r="AR72" s="202"/>
      <c r="AS72" s="202"/>
      <c r="AT72" s="202"/>
      <c r="AU72" s="202"/>
      <c r="AV72" s="202"/>
      <c r="AW72" s="202"/>
      <c r="AX72" s="202"/>
      <c r="AY72" s="202"/>
      <c r="AZ72" s="202"/>
      <c r="BA72" s="202"/>
      <c r="BB72" s="202"/>
      <c r="BC72" s="202"/>
      <c r="BD72" s="202"/>
      <c r="BE72" s="202"/>
      <c r="BF72" s="202"/>
      <c r="BG72" s="202"/>
      <c r="BH72" s="202"/>
      <c r="BP72" s="202"/>
    </row>
    <row r="73" spans="1:68" x14ac:dyDescent="0.25">
      <c r="A73" s="202"/>
      <c r="B73" s="23" t="s">
        <v>313</v>
      </c>
      <c r="C73" s="27"/>
      <c r="D73" s="206"/>
      <c r="E73" s="206"/>
      <c r="F73" s="206"/>
      <c r="G73" s="206"/>
      <c r="H73" s="206"/>
      <c r="I73" s="206"/>
      <c r="J73" s="206"/>
      <c r="K73" s="206"/>
      <c r="L73" s="206"/>
      <c r="M73" s="206"/>
      <c r="N73" s="206"/>
      <c r="O73" s="206"/>
      <c r="P73" s="206"/>
      <c r="Q73" s="206"/>
      <c r="R73" s="206"/>
      <c r="S73" s="206"/>
      <c r="T73" s="206"/>
      <c r="U73" s="206"/>
      <c r="V73" s="206"/>
      <c r="W73" s="206"/>
      <c r="X73" s="206"/>
      <c r="Y73" s="206"/>
      <c r="Z73" s="206"/>
      <c r="AA73" s="206"/>
      <c r="AB73" s="206"/>
      <c r="AC73" s="206"/>
      <c r="AD73" s="206"/>
      <c r="AE73" s="206"/>
      <c r="AF73" s="206"/>
      <c r="AG73" s="206"/>
      <c r="AH73" s="206"/>
      <c r="AI73" s="206"/>
      <c r="AJ73" s="206"/>
      <c r="AK73" s="206"/>
      <c r="AL73" s="206"/>
      <c r="AM73" s="206"/>
      <c r="AN73" s="206"/>
      <c r="AO73" s="206"/>
      <c r="AP73" s="206"/>
      <c r="AQ73" s="206"/>
      <c r="AR73" s="206"/>
      <c r="AS73" s="206"/>
      <c r="AT73" s="206"/>
      <c r="AU73" s="206"/>
      <c r="AV73" s="206"/>
      <c r="AW73" s="206"/>
      <c r="AX73" s="206"/>
      <c r="AY73" s="206"/>
      <c r="AZ73" s="206"/>
      <c r="BA73" s="206"/>
      <c r="BB73" s="206"/>
      <c r="BC73" s="206"/>
      <c r="BD73" s="206"/>
      <c r="BE73" s="202"/>
      <c r="BF73" s="202"/>
      <c r="BG73" s="202"/>
      <c r="BH73" s="202"/>
      <c r="BI73" s="2" t="s">
        <v>21</v>
      </c>
      <c r="BN73" s="95" t="s">
        <v>208</v>
      </c>
      <c r="BO73" s="202"/>
      <c r="BP73" s="202"/>
    </row>
    <row r="74" spans="1:68" outlineLevel="1" x14ac:dyDescent="0.25">
      <c r="A74" s="202"/>
      <c r="B74" s="214" t="s">
        <v>314</v>
      </c>
      <c r="C74" s="202"/>
      <c r="D74" s="40">
        <v>0</v>
      </c>
      <c r="E74" s="40">
        <v>11.5</v>
      </c>
      <c r="F74" s="40">
        <v>11.5</v>
      </c>
      <c r="G74" s="40">
        <v>11.5</v>
      </c>
      <c r="H74" s="40">
        <v>11.5</v>
      </c>
      <c r="I74" s="40">
        <v>22</v>
      </c>
      <c r="J74" s="40">
        <v>11.5</v>
      </c>
      <c r="K74" s="40">
        <v>22</v>
      </c>
      <c r="L74" s="40">
        <v>11.5</v>
      </c>
      <c r="M74" s="40">
        <v>22</v>
      </c>
      <c r="N74" s="40">
        <v>22</v>
      </c>
      <c r="O74" s="40">
        <v>22</v>
      </c>
      <c r="P74" s="40">
        <v>11</v>
      </c>
      <c r="Q74" s="40">
        <v>22</v>
      </c>
      <c r="R74" s="40">
        <v>11.5</v>
      </c>
      <c r="S74" s="40">
        <v>22</v>
      </c>
      <c r="T74" s="40">
        <v>11.5</v>
      </c>
      <c r="U74" s="40">
        <v>22</v>
      </c>
      <c r="V74" s="40">
        <v>22</v>
      </c>
      <c r="W74" s="40">
        <v>11.5</v>
      </c>
      <c r="X74" s="40">
        <v>22</v>
      </c>
      <c r="Y74" s="40">
        <v>11.5</v>
      </c>
      <c r="Z74" s="40">
        <v>22</v>
      </c>
      <c r="AA74" s="40">
        <v>11.5</v>
      </c>
      <c r="AB74" s="40">
        <v>22</v>
      </c>
      <c r="AC74" s="40">
        <v>11.5</v>
      </c>
      <c r="AD74" s="40">
        <v>22</v>
      </c>
      <c r="AE74" s="40">
        <v>11.5</v>
      </c>
      <c r="AF74" s="40">
        <v>22</v>
      </c>
      <c r="AG74" s="40">
        <v>22</v>
      </c>
      <c r="AH74" s="40">
        <v>11.5</v>
      </c>
      <c r="AI74" s="40">
        <v>22</v>
      </c>
      <c r="AJ74" s="40">
        <v>22</v>
      </c>
      <c r="AK74" s="40">
        <v>11.5</v>
      </c>
      <c r="AL74" s="40">
        <v>22</v>
      </c>
      <c r="AM74" s="40">
        <v>11.5</v>
      </c>
      <c r="AN74" s="40">
        <v>22</v>
      </c>
      <c r="AO74" s="40">
        <v>22</v>
      </c>
      <c r="AP74" s="40">
        <v>22</v>
      </c>
      <c r="AQ74" s="40">
        <v>11.5</v>
      </c>
      <c r="AR74" s="40">
        <v>22</v>
      </c>
      <c r="AS74" s="40">
        <v>11.5</v>
      </c>
      <c r="AT74" s="40">
        <v>22</v>
      </c>
      <c r="AU74" s="40">
        <v>22</v>
      </c>
      <c r="AV74" s="40">
        <v>22</v>
      </c>
      <c r="AW74" s="40">
        <v>22</v>
      </c>
      <c r="AX74" s="40">
        <v>22</v>
      </c>
      <c r="AY74" s="40">
        <v>22</v>
      </c>
      <c r="AZ74" s="40">
        <v>11.5</v>
      </c>
      <c r="BA74" s="40">
        <v>22</v>
      </c>
      <c r="BB74" s="40">
        <v>11.5</v>
      </c>
      <c r="BC74" s="40">
        <v>11.5</v>
      </c>
      <c r="BD74" s="40">
        <v>11.5</v>
      </c>
      <c r="BE74" s="202"/>
      <c r="BF74" s="202"/>
      <c r="BG74" s="202"/>
      <c r="BH74" s="202"/>
      <c r="BI74" t="s">
        <v>314</v>
      </c>
      <c r="BJ74" s="37">
        <v>1</v>
      </c>
      <c r="BK74" s="37">
        <v>1.03</v>
      </c>
      <c r="BL74" s="37">
        <v>1.03</v>
      </c>
      <c r="BO74" s="202"/>
      <c r="BP74" s="202"/>
    </row>
    <row r="75" spans="1:68" outlineLevel="1" x14ac:dyDescent="0.25">
      <c r="A75" s="202"/>
      <c r="B75" s="214" t="s">
        <v>315</v>
      </c>
      <c r="C75" s="29" t="s">
        <v>334</v>
      </c>
      <c r="D75" s="40">
        <v>0</v>
      </c>
      <c r="E75" s="40">
        <v>0</v>
      </c>
      <c r="F75" s="40">
        <v>0</v>
      </c>
      <c r="G75" s="40">
        <v>0</v>
      </c>
      <c r="H75" s="40">
        <v>0</v>
      </c>
      <c r="I75" s="40">
        <v>2</v>
      </c>
      <c r="J75" s="40">
        <v>0</v>
      </c>
      <c r="K75" s="40">
        <v>2</v>
      </c>
      <c r="L75" s="40">
        <v>0</v>
      </c>
      <c r="M75" s="40">
        <v>2</v>
      </c>
      <c r="N75" s="40">
        <v>2</v>
      </c>
      <c r="O75" s="40">
        <v>2</v>
      </c>
      <c r="P75" s="40">
        <v>0</v>
      </c>
      <c r="Q75" s="40">
        <v>2</v>
      </c>
      <c r="R75" s="40">
        <v>0</v>
      </c>
      <c r="S75" s="40">
        <v>2</v>
      </c>
      <c r="T75" s="40">
        <v>0</v>
      </c>
      <c r="U75" s="40">
        <v>2</v>
      </c>
      <c r="V75" s="40">
        <v>2</v>
      </c>
      <c r="W75" s="40">
        <v>0</v>
      </c>
      <c r="X75" s="40">
        <v>2</v>
      </c>
      <c r="Y75" s="40">
        <v>0</v>
      </c>
      <c r="Z75" s="40">
        <v>2</v>
      </c>
      <c r="AA75" s="40">
        <v>0</v>
      </c>
      <c r="AB75" s="40">
        <v>2</v>
      </c>
      <c r="AC75" s="40">
        <v>0</v>
      </c>
      <c r="AD75" s="40">
        <v>2</v>
      </c>
      <c r="AE75" s="40">
        <v>0</v>
      </c>
      <c r="AF75" s="40">
        <v>2</v>
      </c>
      <c r="AG75" s="40">
        <v>2</v>
      </c>
      <c r="AH75" s="40">
        <v>0</v>
      </c>
      <c r="AI75" s="40">
        <v>2</v>
      </c>
      <c r="AJ75" s="40">
        <v>2</v>
      </c>
      <c r="AK75" s="40">
        <v>0</v>
      </c>
      <c r="AL75" s="40">
        <v>2</v>
      </c>
      <c r="AM75" s="40">
        <v>0</v>
      </c>
      <c r="AN75" s="40">
        <v>2</v>
      </c>
      <c r="AO75" s="40">
        <v>2</v>
      </c>
      <c r="AP75" s="40">
        <v>2</v>
      </c>
      <c r="AQ75" s="40">
        <v>0</v>
      </c>
      <c r="AR75" s="40">
        <v>2</v>
      </c>
      <c r="AS75" s="40">
        <v>0</v>
      </c>
      <c r="AT75" s="40">
        <v>2</v>
      </c>
      <c r="AU75" s="40">
        <v>2</v>
      </c>
      <c r="AV75" s="40">
        <v>2</v>
      </c>
      <c r="AW75" s="40">
        <v>2</v>
      </c>
      <c r="AX75" s="40">
        <v>2</v>
      </c>
      <c r="AY75" s="40">
        <v>2</v>
      </c>
      <c r="AZ75" s="40">
        <v>0</v>
      </c>
      <c r="BA75" s="40">
        <v>2</v>
      </c>
      <c r="BB75" s="40">
        <v>0</v>
      </c>
      <c r="BC75" s="40">
        <v>0</v>
      </c>
      <c r="BD75" s="40">
        <v>0</v>
      </c>
      <c r="BE75" s="202"/>
      <c r="BF75" s="202"/>
      <c r="BG75" s="202"/>
      <c r="BH75" s="202"/>
      <c r="BI75" t="s">
        <v>315</v>
      </c>
      <c r="BJ75" s="37">
        <v>1</v>
      </c>
      <c r="BK75" s="37">
        <v>1.03</v>
      </c>
      <c r="BL75" s="37">
        <v>1.03</v>
      </c>
      <c r="BO75" s="202"/>
      <c r="BP75" s="202"/>
    </row>
    <row r="76" spans="1:68" outlineLevel="1" x14ac:dyDescent="0.25">
      <c r="A76" s="202"/>
      <c r="B76" s="214" t="s">
        <v>316</v>
      </c>
      <c r="C76" s="202"/>
      <c r="D76" s="40">
        <v>0</v>
      </c>
      <c r="E76" s="40">
        <v>1.5</v>
      </c>
      <c r="F76" s="40">
        <v>1.5</v>
      </c>
      <c r="G76" s="40">
        <v>1.5</v>
      </c>
      <c r="H76" s="40">
        <v>1.5</v>
      </c>
      <c r="I76" s="40">
        <v>3</v>
      </c>
      <c r="J76" s="40">
        <v>1.5</v>
      </c>
      <c r="K76" s="40">
        <v>3</v>
      </c>
      <c r="L76" s="40">
        <v>1.5</v>
      </c>
      <c r="M76" s="40">
        <v>3</v>
      </c>
      <c r="N76" s="40">
        <v>3</v>
      </c>
      <c r="O76" s="40">
        <v>3</v>
      </c>
      <c r="P76" s="40">
        <v>1.5</v>
      </c>
      <c r="Q76" s="40">
        <v>3</v>
      </c>
      <c r="R76" s="40">
        <v>1.5</v>
      </c>
      <c r="S76" s="40">
        <v>3</v>
      </c>
      <c r="T76" s="40">
        <v>1.5</v>
      </c>
      <c r="U76" s="40">
        <v>3</v>
      </c>
      <c r="V76" s="40">
        <v>3</v>
      </c>
      <c r="W76" s="40">
        <v>1.5</v>
      </c>
      <c r="X76" s="40">
        <v>3</v>
      </c>
      <c r="Y76" s="40">
        <v>1.5</v>
      </c>
      <c r="Z76" s="40">
        <v>3</v>
      </c>
      <c r="AA76" s="40">
        <v>1.5</v>
      </c>
      <c r="AB76" s="40">
        <v>3</v>
      </c>
      <c r="AC76" s="40">
        <v>1.5</v>
      </c>
      <c r="AD76" s="40">
        <v>3</v>
      </c>
      <c r="AE76" s="40">
        <v>1.5</v>
      </c>
      <c r="AF76" s="40">
        <v>3</v>
      </c>
      <c r="AG76" s="40">
        <v>3</v>
      </c>
      <c r="AH76" s="40">
        <v>1.5</v>
      </c>
      <c r="AI76" s="40">
        <v>3</v>
      </c>
      <c r="AJ76" s="40">
        <v>3</v>
      </c>
      <c r="AK76" s="40">
        <v>1.5</v>
      </c>
      <c r="AL76" s="40">
        <v>3</v>
      </c>
      <c r="AM76" s="40">
        <v>1.5</v>
      </c>
      <c r="AN76" s="40">
        <v>3</v>
      </c>
      <c r="AO76" s="40">
        <v>3</v>
      </c>
      <c r="AP76" s="40">
        <v>3</v>
      </c>
      <c r="AQ76" s="40">
        <v>1.5</v>
      </c>
      <c r="AR76" s="40">
        <v>3</v>
      </c>
      <c r="AS76" s="40">
        <v>1.5</v>
      </c>
      <c r="AT76" s="40">
        <v>3</v>
      </c>
      <c r="AU76" s="40">
        <v>3</v>
      </c>
      <c r="AV76" s="40">
        <v>3</v>
      </c>
      <c r="AW76" s="40">
        <v>3</v>
      </c>
      <c r="AX76" s="40">
        <v>3</v>
      </c>
      <c r="AY76" s="40">
        <v>3</v>
      </c>
      <c r="AZ76" s="40">
        <v>1.5</v>
      </c>
      <c r="BA76" s="40">
        <v>3</v>
      </c>
      <c r="BB76" s="40">
        <v>1.5</v>
      </c>
      <c r="BC76" s="40">
        <v>1.5</v>
      </c>
      <c r="BD76" s="40">
        <v>1.5</v>
      </c>
      <c r="BE76" s="202"/>
      <c r="BF76" s="202"/>
      <c r="BG76" s="202"/>
      <c r="BH76" s="202"/>
      <c r="BI76" t="s">
        <v>316</v>
      </c>
      <c r="BJ76" s="37">
        <v>1</v>
      </c>
      <c r="BK76" s="37">
        <v>1.03</v>
      </c>
      <c r="BL76" s="37">
        <v>1.03</v>
      </c>
      <c r="BO76" s="202"/>
      <c r="BP76" s="202"/>
    </row>
    <row r="77" spans="1:68" outlineLevel="1" x14ac:dyDescent="0.25">
      <c r="A77" s="202"/>
      <c r="B77" s="214" t="s">
        <v>317</v>
      </c>
      <c r="C77" s="202"/>
      <c r="D77" s="40">
        <v>0</v>
      </c>
      <c r="E77" s="40">
        <f>12/52</f>
        <v>0.23076923076923078</v>
      </c>
      <c r="F77" s="40">
        <f>12/52</f>
        <v>0.23076923076923078</v>
      </c>
      <c r="G77" s="40">
        <f>12/52</f>
        <v>0.23076923076923078</v>
      </c>
      <c r="H77" s="40">
        <f>12/52</f>
        <v>0.23076923076923078</v>
      </c>
      <c r="I77" s="40">
        <f t="shared" ref="I77:BD77" si="49">12/52</f>
        <v>0.23076923076923078</v>
      </c>
      <c r="J77" s="40">
        <f t="shared" si="49"/>
        <v>0.23076923076923078</v>
      </c>
      <c r="K77" s="40">
        <f t="shared" si="49"/>
        <v>0.23076923076923078</v>
      </c>
      <c r="L77" s="40">
        <f t="shared" si="49"/>
        <v>0.23076923076923078</v>
      </c>
      <c r="M77" s="40">
        <f t="shared" si="49"/>
        <v>0.23076923076923078</v>
      </c>
      <c r="N77" s="40">
        <f t="shared" si="49"/>
        <v>0.23076923076923078</v>
      </c>
      <c r="O77" s="40">
        <f t="shared" si="49"/>
        <v>0.23076923076923078</v>
      </c>
      <c r="P77" s="40">
        <f t="shared" si="49"/>
        <v>0.23076923076923078</v>
      </c>
      <c r="Q77" s="40">
        <f t="shared" si="49"/>
        <v>0.23076923076923078</v>
      </c>
      <c r="R77" s="40">
        <f t="shared" si="49"/>
        <v>0.23076923076923078</v>
      </c>
      <c r="S77" s="40">
        <f t="shared" si="49"/>
        <v>0.23076923076923078</v>
      </c>
      <c r="T77" s="40">
        <f t="shared" si="49"/>
        <v>0.23076923076923078</v>
      </c>
      <c r="U77" s="40">
        <f t="shared" si="49"/>
        <v>0.23076923076923078</v>
      </c>
      <c r="V77" s="40">
        <f t="shared" si="49"/>
        <v>0.23076923076923078</v>
      </c>
      <c r="W77" s="40">
        <f t="shared" si="49"/>
        <v>0.23076923076923078</v>
      </c>
      <c r="X77" s="40">
        <f t="shared" si="49"/>
        <v>0.23076923076923078</v>
      </c>
      <c r="Y77" s="40">
        <f t="shared" si="49"/>
        <v>0.23076923076923078</v>
      </c>
      <c r="Z77" s="40">
        <f t="shared" si="49"/>
        <v>0.23076923076923078</v>
      </c>
      <c r="AA77" s="40">
        <f t="shared" si="49"/>
        <v>0.23076923076923078</v>
      </c>
      <c r="AB77" s="40">
        <f t="shared" si="49"/>
        <v>0.23076923076923078</v>
      </c>
      <c r="AC77" s="40">
        <f t="shared" si="49"/>
        <v>0.23076923076923078</v>
      </c>
      <c r="AD77" s="40">
        <f t="shared" si="49"/>
        <v>0.23076923076923078</v>
      </c>
      <c r="AE77" s="40">
        <f t="shared" si="49"/>
        <v>0.23076923076923078</v>
      </c>
      <c r="AF77" s="40">
        <f t="shared" si="49"/>
        <v>0.23076923076923078</v>
      </c>
      <c r="AG77" s="40">
        <f t="shared" si="49"/>
        <v>0.23076923076923078</v>
      </c>
      <c r="AH77" s="40">
        <f t="shared" si="49"/>
        <v>0.23076923076923078</v>
      </c>
      <c r="AI77" s="40">
        <f t="shared" si="49"/>
        <v>0.23076923076923078</v>
      </c>
      <c r="AJ77" s="40">
        <f t="shared" si="49"/>
        <v>0.23076923076923078</v>
      </c>
      <c r="AK77" s="40">
        <f t="shared" si="49"/>
        <v>0.23076923076923078</v>
      </c>
      <c r="AL77" s="40">
        <f t="shared" si="49"/>
        <v>0.23076923076923078</v>
      </c>
      <c r="AM77" s="40">
        <f t="shared" si="49"/>
        <v>0.23076923076923078</v>
      </c>
      <c r="AN77" s="40">
        <f t="shared" si="49"/>
        <v>0.23076923076923078</v>
      </c>
      <c r="AO77" s="40">
        <f t="shared" si="49"/>
        <v>0.23076923076923078</v>
      </c>
      <c r="AP77" s="40">
        <f t="shared" si="49"/>
        <v>0.23076923076923078</v>
      </c>
      <c r="AQ77" s="40">
        <f t="shared" si="49"/>
        <v>0.23076923076923078</v>
      </c>
      <c r="AR77" s="40">
        <f t="shared" si="49"/>
        <v>0.23076923076923078</v>
      </c>
      <c r="AS77" s="40">
        <f>12/52</f>
        <v>0.23076923076923078</v>
      </c>
      <c r="AT77" s="40">
        <f t="shared" si="49"/>
        <v>0.23076923076923078</v>
      </c>
      <c r="AU77" s="40">
        <f t="shared" si="49"/>
        <v>0.23076923076923078</v>
      </c>
      <c r="AV77" s="40">
        <f t="shared" si="49"/>
        <v>0.23076923076923078</v>
      </c>
      <c r="AW77" s="40">
        <f t="shared" si="49"/>
        <v>0.23076923076923078</v>
      </c>
      <c r="AX77" s="40">
        <f t="shared" si="49"/>
        <v>0.23076923076923078</v>
      </c>
      <c r="AY77" s="40">
        <f t="shared" si="49"/>
        <v>0.23076923076923078</v>
      </c>
      <c r="AZ77" s="40">
        <f t="shared" si="49"/>
        <v>0.23076923076923078</v>
      </c>
      <c r="BA77" s="40">
        <f t="shared" si="49"/>
        <v>0.23076923076923078</v>
      </c>
      <c r="BB77" s="40">
        <f t="shared" si="49"/>
        <v>0.23076923076923078</v>
      </c>
      <c r="BC77" s="40">
        <f t="shared" si="49"/>
        <v>0.23076923076923078</v>
      </c>
      <c r="BD77" s="40">
        <f t="shared" si="49"/>
        <v>0.23076923076923078</v>
      </c>
      <c r="BE77" s="202"/>
      <c r="BF77" s="202"/>
      <c r="BG77" s="202"/>
      <c r="BH77" s="202"/>
      <c r="BI77" t="s">
        <v>317</v>
      </c>
      <c r="BJ77" s="37">
        <v>1</v>
      </c>
      <c r="BK77" s="37">
        <v>1.03</v>
      </c>
      <c r="BL77" s="37">
        <v>1.03</v>
      </c>
      <c r="BO77" s="202"/>
      <c r="BP77" s="202"/>
    </row>
    <row r="78" spans="1:68" outlineLevel="1" x14ac:dyDescent="0.25">
      <c r="A78" s="202"/>
      <c r="B78" s="214" t="s">
        <v>318</v>
      </c>
      <c r="C78" s="27" t="s">
        <v>326</v>
      </c>
      <c r="D78" s="40">
        <v>0</v>
      </c>
      <c r="E78" s="40">
        <f>8/26</f>
        <v>0.30769230769230771</v>
      </c>
      <c r="F78" s="40">
        <f>8/26</f>
        <v>0.30769230769230771</v>
      </c>
      <c r="G78" s="40">
        <f>8/26</f>
        <v>0.30769230769230771</v>
      </c>
      <c r="H78" s="40">
        <f>8/26</f>
        <v>0.30769230769230771</v>
      </c>
      <c r="I78" s="40">
        <f t="shared" ref="I78:AJ78" si="50">8/26</f>
        <v>0.30769230769230771</v>
      </c>
      <c r="J78" s="40">
        <f t="shared" si="50"/>
        <v>0.30769230769230771</v>
      </c>
      <c r="K78" s="40">
        <f t="shared" si="50"/>
        <v>0.30769230769230771</v>
      </c>
      <c r="L78" s="40">
        <f t="shared" si="50"/>
        <v>0.30769230769230771</v>
      </c>
      <c r="M78" s="40">
        <f t="shared" si="50"/>
        <v>0.30769230769230771</v>
      </c>
      <c r="N78" s="40">
        <f t="shared" si="50"/>
        <v>0.30769230769230771</v>
      </c>
      <c r="O78" s="40">
        <f t="shared" si="50"/>
        <v>0.30769230769230771</v>
      </c>
      <c r="P78" s="40">
        <f t="shared" si="50"/>
        <v>0.30769230769230771</v>
      </c>
      <c r="Q78" s="40">
        <f t="shared" si="50"/>
        <v>0.30769230769230771</v>
      </c>
      <c r="R78" s="40">
        <f t="shared" si="50"/>
        <v>0.30769230769230771</v>
      </c>
      <c r="S78" s="40">
        <f t="shared" si="50"/>
        <v>0.30769230769230771</v>
      </c>
      <c r="T78" s="40">
        <f t="shared" si="50"/>
        <v>0.30769230769230771</v>
      </c>
      <c r="U78" s="40">
        <f t="shared" si="50"/>
        <v>0.30769230769230771</v>
      </c>
      <c r="V78" s="40">
        <f t="shared" si="50"/>
        <v>0.30769230769230771</v>
      </c>
      <c r="W78" s="40">
        <f t="shared" si="50"/>
        <v>0.30769230769230771</v>
      </c>
      <c r="X78" s="40">
        <f t="shared" si="50"/>
        <v>0.30769230769230771</v>
      </c>
      <c r="Y78" s="40">
        <f t="shared" si="50"/>
        <v>0.30769230769230771</v>
      </c>
      <c r="Z78" s="40">
        <f t="shared" si="50"/>
        <v>0.30769230769230771</v>
      </c>
      <c r="AA78" s="40">
        <f t="shared" si="50"/>
        <v>0.30769230769230771</v>
      </c>
      <c r="AB78" s="40">
        <f t="shared" si="50"/>
        <v>0.30769230769230771</v>
      </c>
      <c r="AC78" s="40">
        <f t="shared" si="50"/>
        <v>0.30769230769230771</v>
      </c>
      <c r="AD78" s="40">
        <f t="shared" si="50"/>
        <v>0.30769230769230771</v>
      </c>
      <c r="AE78" s="40">
        <f t="shared" si="50"/>
        <v>0.30769230769230771</v>
      </c>
      <c r="AF78" s="40">
        <f t="shared" si="50"/>
        <v>0.30769230769230771</v>
      </c>
      <c r="AG78" s="40">
        <f t="shared" si="50"/>
        <v>0.30769230769230771</v>
      </c>
      <c r="AH78" s="40">
        <f t="shared" si="50"/>
        <v>0.30769230769230771</v>
      </c>
      <c r="AI78" s="40">
        <f t="shared" si="50"/>
        <v>0.30769230769230771</v>
      </c>
      <c r="AJ78" s="40">
        <f t="shared" si="50"/>
        <v>0.30769230769230771</v>
      </c>
      <c r="AK78" s="40">
        <f t="shared" ref="AK78:BD78" si="51">8/26</f>
        <v>0.30769230769230771</v>
      </c>
      <c r="AL78" s="40">
        <f t="shared" si="51"/>
        <v>0.30769230769230771</v>
      </c>
      <c r="AM78" s="40">
        <f t="shared" si="51"/>
        <v>0.30769230769230771</v>
      </c>
      <c r="AN78" s="40">
        <f t="shared" si="51"/>
        <v>0.30769230769230771</v>
      </c>
      <c r="AO78" s="40">
        <f t="shared" si="51"/>
        <v>0.30769230769230771</v>
      </c>
      <c r="AP78" s="40">
        <f t="shared" si="51"/>
        <v>0.30769230769230771</v>
      </c>
      <c r="AQ78" s="40">
        <f t="shared" si="51"/>
        <v>0.30769230769230771</v>
      </c>
      <c r="AR78" s="40">
        <f t="shared" si="51"/>
        <v>0.30769230769230771</v>
      </c>
      <c r="AS78" s="40">
        <f>8/26</f>
        <v>0.30769230769230771</v>
      </c>
      <c r="AT78" s="40">
        <f t="shared" si="51"/>
        <v>0.30769230769230771</v>
      </c>
      <c r="AU78" s="40">
        <f t="shared" si="51"/>
        <v>0.30769230769230771</v>
      </c>
      <c r="AV78" s="40">
        <f t="shared" si="51"/>
        <v>0.30769230769230771</v>
      </c>
      <c r="AW78" s="40">
        <f t="shared" si="51"/>
        <v>0.30769230769230771</v>
      </c>
      <c r="AX78" s="40">
        <f t="shared" si="51"/>
        <v>0.30769230769230771</v>
      </c>
      <c r="AY78" s="40">
        <f t="shared" si="51"/>
        <v>0.30769230769230771</v>
      </c>
      <c r="AZ78" s="40">
        <f t="shared" si="51"/>
        <v>0.30769230769230771</v>
      </c>
      <c r="BA78" s="40">
        <f t="shared" si="51"/>
        <v>0.30769230769230771</v>
      </c>
      <c r="BB78" s="40">
        <f t="shared" si="51"/>
        <v>0.30769230769230771</v>
      </c>
      <c r="BC78" s="40">
        <f t="shared" si="51"/>
        <v>0.30769230769230771</v>
      </c>
      <c r="BD78" s="40">
        <f t="shared" si="51"/>
        <v>0.30769230769230771</v>
      </c>
      <c r="BE78" s="202"/>
      <c r="BF78" s="202"/>
      <c r="BG78" s="202"/>
      <c r="BH78" s="202"/>
      <c r="BI78" t="s">
        <v>318</v>
      </c>
      <c r="BJ78" s="37">
        <v>1</v>
      </c>
      <c r="BK78" s="37">
        <v>1.03</v>
      </c>
      <c r="BL78" s="37">
        <v>1.03</v>
      </c>
      <c r="BO78" s="202"/>
      <c r="BP78" s="202"/>
    </row>
    <row r="79" spans="1:68" outlineLevel="1" x14ac:dyDescent="0.25">
      <c r="A79" s="202"/>
      <c r="B79" s="214" t="s">
        <v>319</v>
      </c>
      <c r="C79" s="27" t="s">
        <v>323</v>
      </c>
      <c r="D79" s="40">
        <v>0</v>
      </c>
      <c r="E79" s="40">
        <v>0</v>
      </c>
      <c r="F79" s="40">
        <v>0</v>
      </c>
      <c r="G79" s="40">
        <v>0</v>
      </c>
      <c r="H79" s="40">
        <v>0</v>
      </c>
      <c r="I79" s="40">
        <v>0.8</v>
      </c>
      <c r="J79" s="40">
        <v>0</v>
      </c>
      <c r="K79" s="40">
        <v>0.8</v>
      </c>
      <c r="L79" s="40">
        <v>0</v>
      </c>
      <c r="M79" s="40">
        <v>0.8</v>
      </c>
      <c r="N79" s="40">
        <v>0.8</v>
      </c>
      <c r="O79" s="40">
        <v>0.8</v>
      </c>
      <c r="P79" s="40">
        <v>0</v>
      </c>
      <c r="Q79" s="40">
        <v>0.8</v>
      </c>
      <c r="R79" s="40">
        <v>0</v>
      </c>
      <c r="S79" s="40">
        <v>0.8</v>
      </c>
      <c r="T79" s="40">
        <v>0</v>
      </c>
      <c r="U79" s="40">
        <v>0.8</v>
      </c>
      <c r="V79" s="40">
        <v>0.8</v>
      </c>
      <c r="W79" s="40">
        <v>0</v>
      </c>
      <c r="X79" s="40">
        <v>0.8</v>
      </c>
      <c r="Y79" s="40">
        <v>0</v>
      </c>
      <c r="Z79" s="40">
        <v>0.8</v>
      </c>
      <c r="AA79" s="40">
        <v>0</v>
      </c>
      <c r="AB79" s="40">
        <v>0.8</v>
      </c>
      <c r="AC79" s="40">
        <v>0</v>
      </c>
      <c r="AD79" s="40">
        <v>0.8</v>
      </c>
      <c r="AE79" s="40">
        <v>0</v>
      </c>
      <c r="AF79" s="40">
        <v>0.8</v>
      </c>
      <c r="AG79" s="40">
        <v>0.8</v>
      </c>
      <c r="AH79" s="40">
        <v>0</v>
      </c>
      <c r="AI79" s="40">
        <v>0.8</v>
      </c>
      <c r="AJ79" s="40">
        <v>0.8</v>
      </c>
      <c r="AK79" s="40">
        <v>0</v>
      </c>
      <c r="AL79" s="40">
        <v>0.8</v>
      </c>
      <c r="AM79" s="40">
        <v>0</v>
      </c>
      <c r="AN79" s="40">
        <v>0.8</v>
      </c>
      <c r="AO79" s="40">
        <v>0.8</v>
      </c>
      <c r="AP79" s="40">
        <v>0.8</v>
      </c>
      <c r="AQ79" s="40">
        <v>0</v>
      </c>
      <c r="AR79" s="40">
        <v>0.8</v>
      </c>
      <c r="AS79" s="40">
        <v>0</v>
      </c>
      <c r="AT79" s="40">
        <v>0.8</v>
      </c>
      <c r="AU79" s="40">
        <v>0.8</v>
      </c>
      <c r="AV79" s="40">
        <v>0.8</v>
      </c>
      <c r="AW79" s="40">
        <v>0.8</v>
      </c>
      <c r="AX79" s="40">
        <v>0.8</v>
      </c>
      <c r="AY79" s="40">
        <v>0.8</v>
      </c>
      <c r="AZ79" s="40">
        <v>0</v>
      </c>
      <c r="BA79" s="40">
        <v>0</v>
      </c>
      <c r="BB79" s="40">
        <v>0</v>
      </c>
      <c r="BC79" s="40">
        <v>0</v>
      </c>
      <c r="BD79" s="40">
        <v>0</v>
      </c>
      <c r="BE79" s="202"/>
      <c r="BF79" s="202"/>
      <c r="BG79" s="202"/>
      <c r="BH79" s="202"/>
      <c r="BI79" t="s">
        <v>319</v>
      </c>
      <c r="BJ79" s="37">
        <v>1</v>
      </c>
      <c r="BK79" s="37">
        <v>1.03</v>
      </c>
      <c r="BL79" s="37">
        <v>1.03</v>
      </c>
      <c r="BO79" s="202"/>
      <c r="BP79" s="202"/>
    </row>
    <row r="80" spans="1:68" outlineLevel="1" x14ac:dyDescent="0.25">
      <c r="A80" s="202"/>
      <c r="B80" s="214" t="s">
        <v>320</v>
      </c>
      <c r="C80" s="27" t="s">
        <v>324</v>
      </c>
      <c r="D80" s="40">
        <v>0</v>
      </c>
      <c r="E80" s="40">
        <v>0</v>
      </c>
      <c r="F80" s="40">
        <v>0</v>
      </c>
      <c r="G80" s="40">
        <v>0</v>
      </c>
      <c r="H80" s="40">
        <v>0</v>
      </c>
      <c r="I80" s="40">
        <v>9.2307692307692327E-2</v>
      </c>
      <c r="J80" s="40">
        <v>0</v>
      </c>
      <c r="K80" s="40">
        <v>9.2307692307692327E-2</v>
      </c>
      <c r="L80" s="40">
        <v>0</v>
      </c>
      <c r="M80" s="40">
        <v>9.2307692307692327E-2</v>
      </c>
      <c r="N80" s="40">
        <v>9.2307692307692327E-2</v>
      </c>
      <c r="O80" s="40">
        <v>9.2307692307692327E-2</v>
      </c>
      <c r="P80" s="40">
        <v>0</v>
      </c>
      <c r="Q80" s="40">
        <v>9.2307692307692327E-2</v>
      </c>
      <c r="R80" s="40">
        <v>0</v>
      </c>
      <c r="S80" s="40">
        <v>9.2307692307692327E-2</v>
      </c>
      <c r="T80" s="40">
        <v>0</v>
      </c>
      <c r="U80" s="40">
        <v>9.2307692307692327E-2</v>
      </c>
      <c r="V80" s="40">
        <v>9.2307692307692327E-2</v>
      </c>
      <c r="W80" s="40">
        <v>0</v>
      </c>
      <c r="X80" s="40">
        <v>9.2307692307692327E-2</v>
      </c>
      <c r="Y80" s="40">
        <v>0</v>
      </c>
      <c r="Z80" s="40">
        <v>9.2307692307692327E-2</v>
      </c>
      <c r="AA80" s="40">
        <v>0</v>
      </c>
      <c r="AB80" s="40">
        <v>9.2307692307692327E-2</v>
      </c>
      <c r="AC80" s="40">
        <v>0</v>
      </c>
      <c r="AD80" s="40">
        <v>9.2307692307692327E-2</v>
      </c>
      <c r="AE80" s="40">
        <v>0</v>
      </c>
      <c r="AF80" s="40">
        <v>9.2307692307692327E-2</v>
      </c>
      <c r="AG80" s="40">
        <v>9.2307692307692327E-2</v>
      </c>
      <c r="AH80" s="40">
        <v>0</v>
      </c>
      <c r="AI80" s="40">
        <v>9.2307692307692327E-2</v>
      </c>
      <c r="AJ80" s="40">
        <v>9.2307692307692327E-2</v>
      </c>
      <c r="AK80" s="40">
        <v>0</v>
      </c>
      <c r="AL80" s="40">
        <v>9.2307692307692327E-2</v>
      </c>
      <c r="AM80" s="40">
        <v>0</v>
      </c>
      <c r="AN80" s="40">
        <v>9.2307692307692327E-2</v>
      </c>
      <c r="AO80" s="40">
        <v>9.2307692307692327E-2</v>
      </c>
      <c r="AP80" s="40">
        <v>9.2307692307692327E-2</v>
      </c>
      <c r="AQ80" s="40">
        <v>0</v>
      </c>
      <c r="AR80" s="40">
        <v>9.2307692307692327E-2</v>
      </c>
      <c r="AS80" s="40">
        <v>0</v>
      </c>
      <c r="AT80" s="40">
        <v>9.2307692307692327E-2</v>
      </c>
      <c r="AU80" s="40">
        <v>9.2307692307692327E-2</v>
      </c>
      <c r="AV80" s="40">
        <v>9.2307692307692327E-2</v>
      </c>
      <c r="AW80" s="40">
        <v>9.2307692307692327E-2</v>
      </c>
      <c r="AX80" s="40">
        <v>9.2307692307692327E-2</v>
      </c>
      <c r="AY80" s="40">
        <v>9.2307692307692327E-2</v>
      </c>
      <c r="AZ80" s="40">
        <v>0</v>
      </c>
      <c r="BA80" s="40">
        <v>0</v>
      </c>
      <c r="BB80" s="40">
        <v>0</v>
      </c>
      <c r="BC80" s="40">
        <v>0</v>
      </c>
      <c r="BD80" s="40">
        <v>0</v>
      </c>
      <c r="BE80" s="202"/>
      <c r="BF80" s="202"/>
      <c r="BG80" s="202"/>
      <c r="BH80" s="202"/>
      <c r="BI80" t="s">
        <v>320</v>
      </c>
      <c r="BJ80" s="37">
        <v>1</v>
      </c>
      <c r="BK80" s="37">
        <v>1.03</v>
      </c>
      <c r="BL80" s="37">
        <v>1.03</v>
      </c>
      <c r="BO80" s="202"/>
      <c r="BP80" s="202"/>
    </row>
    <row r="81" spans="1:68" outlineLevel="1" x14ac:dyDescent="0.25">
      <c r="A81" s="202"/>
      <c r="B81" s="214" t="s">
        <v>321</v>
      </c>
      <c r="C81" s="27" t="s">
        <v>325</v>
      </c>
      <c r="D81" s="40">
        <v>0</v>
      </c>
      <c r="E81" s="40">
        <v>0</v>
      </c>
      <c r="F81" s="40">
        <v>0</v>
      </c>
      <c r="G81" s="40">
        <v>0</v>
      </c>
      <c r="H81" s="40">
        <v>0</v>
      </c>
      <c r="I81" s="40">
        <v>2</v>
      </c>
      <c r="J81" s="40">
        <v>0</v>
      </c>
      <c r="K81" s="40">
        <v>2</v>
      </c>
      <c r="L81" s="40">
        <v>0</v>
      </c>
      <c r="M81" s="40">
        <v>2</v>
      </c>
      <c r="N81" s="40">
        <v>2</v>
      </c>
      <c r="O81" s="40">
        <v>2</v>
      </c>
      <c r="P81" s="40">
        <v>0</v>
      </c>
      <c r="Q81" s="40">
        <v>2</v>
      </c>
      <c r="R81" s="40">
        <v>0</v>
      </c>
      <c r="S81" s="40">
        <v>2</v>
      </c>
      <c r="T81" s="40">
        <v>0</v>
      </c>
      <c r="U81" s="40">
        <v>2</v>
      </c>
      <c r="V81" s="40">
        <v>2</v>
      </c>
      <c r="W81" s="40">
        <v>0</v>
      </c>
      <c r="X81" s="40">
        <v>2</v>
      </c>
      <c r="Y81" s="40">
        <v>0</v>
      </c>
      <c r="Z81" s="40">
        <v>2</v>
      </c>
      <c r="AA81" s="40">
        <v>0</v>
      </c>
      <c r="AB81" s="40">
        <v>2</v>
      </c>
      <c r="AC81" s="40">
        <v>0</v>
      </c>
      <c r="AD81" s="40">
        <v>2</v>
      </c>
      <c r="AE81" s="40">
        <v>0</v>
      </c>
      <c r="AF81" s="40">
        <v>2</v>
      </c>
      <c r="AG81" s="40">
        <v>2</v>
      </c>
      <c r="AH81" s="40">
        <v>0</v>
      </c>
      <c r="AI81" s="40">
        <v>2</v>
      </c>
      <c r="AJ81" s="40">
        <v>2</v>
      </c>
      <c r="AK81" s="40">
        <v>0</v>
      </c>
      <c r="AL81" s="40">
        <v>2</v>
      </c>
      <c r="AM81" s="40">
        <v>0</v>
      </c>
      <c r="AN81" s="40">
        <v>2</v>
      </c>
      <c r="AO81" s="40">
        <v>2</v>
      </c>
      <c r="AP81" s="40">
        <v>2</v>
      </c>
      <c r="AQ81" s="40">
        <v>0</v>
      </c>
      <c r="AR81" s="40">
        <v>2</v>
      </c>
      <c r="AS81" s="40">
        <v>0</v>
      </c>
      <c r="AT81" s="40">
        <v>2</v>
      </c>
      <c r="AU81" s="40">
        <v>2</v>
      </c>
      <c r="AV81" s="40">
        <v>2</v>
      </c>
      <c r="AW81" s="40">
        <v>2</v>
      </c>
      <c r="AX81" s="40">
        <v>2</v>
      </c>
      <c r="AY81" s="40">
        <v>2</v>
      </c>
      <c r="AZ81" s="40">
        <v>0</v>
      </c>
      <c r="BA81" s="40">
        <v>0</v>
      </c>
      <c r="BB81" s="40">
        <v>0</v>
      </c>
      <c r="BC81" s="40">
        <v>0</v>
      </c>
      <c r="BD81" s="40">
        <v>0</v>
      </c>
      <c r="BE81" s="202"/>
      <c r="BF81" s="202"/>
      <c r="BG81" s="202"/>
      <c r="BH81" s="202"/>
      <c r="BI81" t="s">
        <v>321</v>
      </c>
      <c r="BJ81" s="37">
        <v>1</v>
      </c>
      <c r="BK81" s="37">
        <v>1.03</v>
      </c>
      <c r="BL81" s="37">
        <v>1.03</v>
      </c>
      <c r="BO81" s="202"/>
      <c r="BP81" s="202"/>
    </row>
    <row r="82" spans="1:68" outlineLevel="1" x14ac:dyDescent="0.25">
      <c r="A82" s="202"/>
      <c r="B82" s="214" t="s">
        <v>322</v>
      </c>
      <c r="C82" s="27" t="s">
        <v>323</v>
      </c>
      <c r="D82" s="40">
        <v>0</v>
      </c>
      <c r="E82" s="40">
        <v>0</v>
      </c>
      <c r="F82" s="40">
        <v>0</v>
      </c>
      <c r="G82" s="40">
        <v>0</v>
      </c>
      <c r="H82" s="40">
        <v>0</v>
      </c>
      <c r="I82" s="40">
        <v>0.8</v>
      </c>
      <c r="J82" s="40">
        <v>0</v>
      </c>
      <c r="K82" s="40">
        <v>0.8</v>
      </c>
      <c r="L82" s="40">
        <v>0</v>
      </c>
      <c r="M82" s="40">
        <v>0.8</v>
      </c>
      <c r="N82" s="40">
        <v>0.8</v>
      </c>
      <c r="O82" s="40">
        <v>0.8</v>
      </c>
      <c r="P82" s="40">
        <v>0</v>
      </c>
      <c r="Q82" s="40">
        <v>0.8</v>
      </c>
      <c r="R82" s="40">
        <v>0</v>
      </c>
      <c r="S82" s="40">
        <v>0.8</v>
      </c>
      <c r="T82" s="40">
        <v>0</v>
      </c>
      <c r="U82" s="40">
        <v>0.8</v>
      </c>
      <c r="V82" s="40">
        <v>0.8</v>
      </c>
      <c r="W82" s="40">
        <v>0</v>
      </c>
      <c r="X82" s="40">
        <v>0.8</v>
      </c>
      <c r="Y82" s="40">
        <v>0</v>
      </c>
      <c r="Z82" s="40">
        <v>0.8</v>
      </c>
      <c r="AA82" s="40">
        <v>0</v>
      </c>
      <c r="AB82" s="40">
        <v>0.8</v>
      </c>
      <c r="AC82" s="40">
        <v>0</v>
      </c>
      <c r="AD82" s="40">
        <v>0.8</v>
      </c>
      <c r="AE82" s="40">
        <v>0</v>
      </c>
      <c r="AF82" s="40">
        <v>0.8</v>
      </c>
      <c r="AG82" s="40">
        <v>0.8</v>
      </c>
      <c r="AH82" s="40">
        <v>0</v>
      </c>
      <c r="AI82" s="40">
        <v>0.8</v>
      </c>
      <c r="AJ82" s="40">
        <v>0.8</v>
      </c>
      <c r="AK82" s="40">
        <v>0</v>
      </c>
      <c r="AL82" s="40">
        <v>0.8</v>
      </c>
      <c r="AM82" s="40">
        <v>0</v>
      </c>
      <c r="AN82" s="40">
        <v>0.8</v>
      </c>
      <c r="AO82" s="40">
        <v>0.8</v>
      </c>
      <c r="AP82" s="40">
        <v>0.8</v>
      </c>
      <c r="AQ82" s="40">
        <v>0</v>
      </c>
      <c r="AR82" s="40">
        <v>0.8</v>
      </c>
      <c r="AS82" s="40">
        <v>0</v>
      </c>
      <c r="AT82" s="40">
        <v>0.8</v>
      </c>
      <c r="AU82" s="40">
        <v>0.8</v>
      </c>
      <c r="AV82" s="40">
        <v>0.8</v>
      </c>
      <c r="AW82" s="40">
        <v>0.8</v>
      </c>
      <c r="AX82" s="40">
        <v>0.8</v>
      </c>
      <c r="AY82" s="40">
        <v>0.8</v>
      </c>
      <c r="AZ82" s="40">
        <v>0</v>
      </c>
      <c r="BA82" s="40">
        <v>0</v>
      </c>
      <c r="BB82" s="40">
        <v>0</v>
      </c>
      <c r="BC82" s="40">
        <v>0</v>
      </c>
      <c r="BD82" s="40">
        <v>0</v>
      </c>
      <c r="BE82" s="202"/>
      <c r="BF82" s="202"/>
      <c r="BG82" s="202"/>
      <c r="BH82" s="202"/>
      <c r="BI82" t="s">
        <v>322</v>
      </c>
      <c r="BJ82" s="37">
        <v>1</v>
      </c>
      <c r="BK82" s="37">
        <v>1.03</v>
      </c>
      <c r="BL82" s="37">
        <v>1.03</v>
      </c>
      <c r="BO82" s="202"/>
      <c r="BP82" s="202"/>
    </row>
    <row r="83" spans="1:68" x14ac:dyDescent="0.25">
      <c r="A83" s="202"/>
      <c r="B83" s="207"/>
      <c r="C83" s="208"/>
      <c r="D83" s="202"/>
      <c r="E83" s="202"/>
      <c r="F83" s="202"/>
      <c r="G83" s="202"/>
      <c r="H83" s="202"/>
      <c r="I83" s="202"/>
      <c r="J83" s="202"/>
      <c r="K83" s="202"/>
      <c r="L83" s="202"/>
      <c r="M83" s="202"/>
      <c r="N83" s="202"/>
      <c r="O83" s="202"/>
      <c r="P83" s="202"/>
      <c r="Q83" s="202"/>
      <c r="R83" s="202"/>
      <c r="S83" s="202"/>
      <c r="T83" s="202"/>
      <c r="U83" s="202"/>
      <c r="V83" s="202"/>
      <c r="W83" s="202"/>
      <c r="X83" s="202"/>
      <c r="Y83" s="202"/>
      <c r="Z83" s="202"/>
      <c r="AA83" s="202"/>
      <c r="AB83" s="202"/>
      <c r="AC83" s="202"/>
      <c r="AD83" s="202"/>
      <c r="AE83" s="202"/>
      <c r="AF83" s="202"/>
      <c r="AG83" s="202"/>
      <c r="AH83" s="202"/>
      <c r="AI83" s="202"/>
      <c r="AJ83" s="202"/>
      <c r="AK83" s="202"/>
      <c r="AL83" s="202"/>
      <c r="AM83" s="202"/>
      <c r="AN83" s="202"/>
      <c r="AO83" s="202"/>
      <c r="AP83" s="202"/>
      <c r="AQ83" s="202"/>
      <c r="AR83" s="202"/>
      <c r="AS83" s="202"/>
      <c r="AT83" s="202"/>
      <c r="AU83" s="202"/>
      <c r="AV83" s="202"/>
      <c r="AW83" s="202"/>
      <c r="AX83" s="202"/>
      <c r="AY83" s="202"/>
      <c r="AZ83" s="202"/>
      <c r="BA83" s="202"/>
      <c r="BB83" s="202"/>
      <c r="BC83" s="202"/>
      <c r="BD83" s="202"/>
      <c r="BE83" s="202"/>
      <c r="BF83" s="202"/>
      <c r="BG83" s="202"/>
      <c r="BH83" s="202"/>
      <c r="BO83" s="202"/>
      <c r="BP83" s="202"/>
    </row>
    <row r="84" spans="1:68" x14ac:dyDescent="0.25">
      <c r="A84" s="202"/>
      <c r="B84" s="23" t="s">
        <v>327</v>
      </c>
      <c r="C84" s="23"/>
      <c r="D84" s="88" t="s">
        <v>108</v>
      </c>
      <c r="E84" s="29"/>
      <c r="F84" s="29"/>
      <c r="G84" s="29"/>
      <c r="H84" s="29"/>
      <c r="I84" s="202"/>
      <c r="J84" s="202"/>
      <c r="K84" s="202"/>
      <c r="L84" s="202"/>
      <c r="M84" s="202"/>
      <c r="N84" s="202"/>
      <c r="O84" s="202"/>
      <c r="P84" s="202"/>
      <c r="Q84" s="202"/>
      <c r="R84" s="202"/>
      <c r="S84" s="202"/>
      <c r="T84" s="202"/>
      <c r="U84" s="202"/>
      <c r="V84" s="202"/>
      <c r="W84" s="202"/>
      <c r="X84" s="202"/>
      <c r="Y84" s="202"/>
      <c r="Z84" s="202"/>
      <c r="AA84" s="202"/>
      <c r="AB84" s="202"/>
      <c r="AC84" s="202"/>
      <c r="AD84" s="202"/>
      <c r="AE84" s="202"/>
      <c r="AF84" s="202"/>
      <c r="AG84" s="202"/>
      <c r="AH84" s="202"/>
      <c r="AI84" s="202"/>
      <c r="AJ84" s="202"/>
      <c r="AK84" s="202"/>
      <c r="AL84" s="202"/>
      <c r="AM84" s="202"/>
      <c r="AN84" s="202"/>
      <c r="AO84" s="202"/>
      <c r="AP84" s="202"/>
      <c r="AQ84" s="202"/>
      <c r="AR84" s="202"/>
      <c r="AS84" s="202"/>
      <c r="AT84" s="202"/>
      <c r="AU84" s="202"/>
      <c r="AV84" s="202"/>
      <c r="AW84" s="202"/>
      <c r="AX84" s="202"/>
      <c r="AY84" s="202"/>
      <c r="AZ84" s="202"/>
      <c r="BA84" s="202"/>
      <c r="BB84" s="202"/>
      <c r="BC84" s="202"/>
      <c r="BD84" s="202"/>
      <c r="BE84" s="202"/>
      <c r="BF84" s="202"/>
      <c r="BG84" s="202"/>
      <c r="BH84" s="202"/>
      <c r="BO84" s="202"/>
      <c r="BP84" s="202"/>
    </row>
    <row r="85" spans="1:68" outlineLevel="1" x14ac:dyDescent="0.25">
      <c r="A85" s="214" t="s">
        <v>307</v>
      </c>
      <c r="B85" s="214" t="s">
        <v>309</v>
      </c>
      <c r="C85" s="202"/>
      <c r="D85" s="28">
        <v>0</v>
      </c>
      <c r="E85" s="28">
        <f>IFERROR(25.5/SUM(E74:E75),0)</f>
        <v>2.2173913043478262</v>
      </c>
      <c r="F85" s="28">
        <f>IFERROR(25.5/SUM(F74:F75),0)</f>
        <v>2.2173913043478262</v>
      </c>
      <c r="G85" s="28">
        <f>IFERROR(25.5/SUM(G74:G75),0)</f>
        <v>2.2173913043478262</v>
      </c>
      <c r="H85" s="28">
        <f>IFERROR(25.5/SUM(H74:H75),0)</f>
        <v>2.2173913043478262</v>
      </c>
      <c r="I85" s="28">
        <f>IFERROR(28/SUM(I74:I75),0)</f>
        <v>1.1666666666666667</v>
      </c>
      <c r="J85" s="28">
        <f>IFERROR(28/SUM(J74:J75),0)</f>
        <v>2.4347826086956523</v>
      </c>
      <c r="K85" s="28">
        <f>IFERROR(28/SUM(K74:K75),0)</f>
        <v>1.1666666666666667</v>
      </c>
      <c r="L85" s="28">
        <f>IFERROR(28/SUM(L74:L75),0)</f>
        <v>2.4347826086956523</v>
      </c>
      <c r="M85" s="28">
        <f t="shared" ref="M85:AX85" si="52">IFERROR(25.5/SUM(M74:M75),0)</f>
        <v>1.0625</v>
      </c>
      <c r="N85" s="28">
        <f t="shared" si="52"/>
        <v>1.0625</v>
      </c>
      <c r="O85" s="28">
        <f t="shared" si="52"/>
        <v>1.0625</v>
      </c>
      <c r="P85" s="28">
        <f t="shared" si="52"/>
        <v>2.3181818181818183</v>
      </c>
      <c r="Q85" s="28">
        <f t="shared" si="52"/>
        <v>1.0625</v>
      </c>
      <c r="R85" s="28">
        <f t="shared" si="52"/>
        <v>2.2173913043478262</v>
      </c>
      <c r="S85" s="28">
        <f t="shared" si="52"/>
        <v>1.0625</v>
      </c>
      <c r="T85" s="28">
        <f t="shared" si="52"/>
        <v>2.2173913043478262</v>
      </c>
      <c r="U85" s="28">
        <f t="shared" si="52"/>
        <v>1.0625</v>
      </c>
      <c r="V85" s="28">
        <f t="shared" si="52"/>
        <v>1.0625</v>
      </c>
      <c r="W85" s="28">
        <f t="shared" si="52"/>
        <v>2.2173913043478262</v>
      </c>
      <c r="X85" s="28">
        <f t="shared" si="52"/>
        <v>1.0625</v>
      </c>
      <c r="Y85" s="28">
        <f t="shared" si="52"/>
        <v>2.2173913043478262</v>
      </c>
      <c r="Z85" s="28">
        <f t="shared" si="52"/>
        <v>1.0625</v>
      </c>
      <c r="AA85" s="28">
        <f t="shared" si="52"/>
        <v>2.2173913043478262</v>
      </c>
      <c r="AB85" s="28">
        <f t="shared" si="52"/>
        <v>1.0625</v>
      </c>
      <c r="AC85" s="28">
        <f t="shared" si="52"/>
        <v>2.2173913043478262</v>
      </c>
      <c r="AD85" s="28">
        <f t="shared" si="52"/>
        <v>1.0625</v>
      </c>
      <c r="AE85" s="28">
        <f t="shared" si="52"/>
        <v>2.2173913043478262</v>
      </c>
      <c r="AF85" s="28">
        <f t="shared" si="52"/>
        <v>1.0625</v>
      </c>
      <c r="AG85" s="28">
        <f t="shared" si="52"/>
        <v>1.0625</v>
      </c>
      <c r="AH85" s="28">
        <f t="shared" si="52"/>
        <v>2.2173913043478262</v>
      </c>
      <c r="AI85" s="28">
        <f t="shared" si="52"/>
        <v>1.0625</v>
      </c>
      <c r="AJ85" s="28">
        <f t="shared" si="52"/>
        <v>1.0625</v>
      </c>
      <c r="AK85" s="28">
        <f t="shared" si="52"/>
        <v>2.2173913043478262</v>
      </c>
      <c r="AL85" s="28">
        <f t="shared" si="52"/>
        <v>1.0625</v>
      </c>
      <c r="AM85" s="28">
        <f t="shared" si="52"/>
        <v>2.2173913043478262</v>
      </c>
      <c r="AN85" s="28">
        <f t="shared" si="52"/>
        <v>1.0625</v>
      </c>
      <c r="AO85" s="28">
        <f t="shared" si="52"/>
        <v>1.0625</v>
      </c>
      <c r="AP85" s="28">
        <f t="shared" si="52"/>
        <v>1.0625</v>
      </c>
      <c r="AQ85" s="28">
        <f t="shared" si="52"/>
        <v>2.2173913043478262</v>
      </c>
      <c r="AR85" s="28">
        <f t="shared" si="52"/>
        <v>1.0625</v>
      </c>
      <c r="AS85" s="28">
        <f t="shared" si="52"/>
        <v>2.2173913043478262</v>
      </c>
      <c r="AT85" s="28">
        <f t="shared" si="52"/>
        <v>1.0625</v>
      </c>
      <c r="AU85" s="28">
        <f t="shared" si="52"/>
        <v>1.0625</v>
      </c>
      <c r="AV85" s="28">
        <f t="shared" si="52"/>
        <v>1.0625</v>
      </c>
      <c r="AW85" s="28">
        <f t="shared" si="52"/>
        <v>1.0625</v>
      </c>
      <c r="AX85" s="28">
        <f t="shared" si="52"/>
        <v>1.0625</v>
      </c>
      <c r="AY85" s="28">
        <f>IFERROR(28/SUM(AY74:AY75),0)</f>
        <v>1.1666666666666667</v>
      </c>
      <c r="AZ85" s="28">
        <f>IFERROR(28/SUM(AZ74:AZ75),0)</f>
        <v>2.4347826086956523</v>
      </c>
      <c r="BA85" s="28">
        <f>IFERROR(25.5/SUM(BA74:BA75),0)</f>
        <v>1.0625</v>
      </c>
      <c r="BB85" s="28">
        <f>IFERROR(25.5/SUM(BB74:BB75),0)</f>
        <v>2.2173913043478262</v>
      </c>
      <c r="BC85" s="28">
        <f>IFERROR(25.5/SUM(BC74:BC75),0)</f>
        <v>2.2173913043478262</v>
      </c>
      <c r="BD85" s="28">
        <f>IFERROR(28/SUM(BD74:BD75),0)</f>
        <v>2.4347826086956523</v>
      </c>
      <c r="BE85" s="202"/>
      <c r="BF85" s="202"/>
      <c r="BG85" s="202"/>
      <c r="BH85" s="202"/>
      <c r="BO85" s="202"/>
      <c r="BP85" s="202"/>
    </row>
    <row r="86" spans="1:68" outlineLevel="1" x14ac:dyDescent="0.25">
      <c r="A86" s="214" t="s">
        <v>307</v>
      </c>
      <c r="B86" s="214" t="s">
        <v>310</v>
      </c>
      <c r="C86" s="202"/>
      <c r="D86" s="28">
        <v>0</v>
      </c>
      <c r="E86" s="28">
        <v>7</v>
      </c>
      <c r="F86" s="28">
        <v>7</v>
      </c>
      <c r="G86" s="28">
        <v>7</v>
      </c>
      <c r="H86" s="28">
        <v>7</v>
      </c>
      <c r="I86" s="28">
        <v>7</v>
      </c>
      <c r="J86" s="28">
        <v>12</v>
      </c>
      <c r="K86" s="28">
        <v>7</v>
      </c>
      <c r="L86" s="28">
        <v>12</v>
      </c>
      <c r="M86" s="28">
        <v>7</v>
      </c>
      <c r="N86" s="28">
        <v>7</v>
      </c>
      <c r="O86" s="28">
        <v>7</v>
      </c>
      <c r="P86" s="28">
        <v>11</v>
      </c>
      <c r="Q86" s="28">
        <v>7</v>
      </c>
      <c r="R86" s="28">
        <v>11</v>
      </c>
      <c r="S86" s="28">
        <v>7</v>
      </c>
      <c r="T86" s="28">
        <v>11</v>
      </c>
      <c r="U86" s="28">
        <v>7</v>
      </c>
      <c r="V86" s="28">
        <v>7</v>
      </c>
      <c r="W86" s="28">
        <v>11</v>
      </c>
      <c r="X86" s="28">
        <v>7</v>
      </c>
      <c r="Y86" s="28">
        <v>11</v>
      </c>
      <c r="Z86" s="28">
        <v>7</v>
      </c>
      <c r="AA86" s="28">
        <v>11</v>
      </c>
      <c r="AB86" s="28">
        <v>7</v>
      </c>
      <c r="AC86" s="28">
        <v>11</v>
      </c>
      <c r="AD86" s="28">
        <v>7</v>
      </c>
      <c r="AE86" s="28">
        <v>11</v>
      </c>
      <c r="AF86" s="28">
        <v>7</v>
      </c>
      <c r="AG86" s="28">
        <v>7</v>
      </c>
      <c r="AH86" s="28">
        <v>11</v>
      </c>
      <c r="AI86" s="28">
        <v>7</v>
      </c>
      <c r="AJ86" s="28">
        <v>7</v>
      </c>
      <c r="AK86" s="28">
        <v>11</v>
      </c>
      <c r="AL86" s="28">
        <v>7</v>
      </c>
      <c r="AM86" s="28">
        <v>11</v>
      </c>
      <c r="AN86" s="28">
        <v>7</v>
      </c>
      <c r="AO86" s="28">
        <v>7</v>
      </c>
      <c r="AP86" s="28">
        <v>7</v>
      </c>
      <c r="AQ86" s="28">
        <v>11</v>
      </c>
      <c r="AR86" s="28">
        <v>7</v>
      </c>
      <c r="AS86" s="28">
        <v>7</v>
      </c>
      <c r="AT86" s="28">
        <v>7</v>
      </c>
      <c r="AU86" s="28">
        <v>7</v>
      </c>
      <c r="AV86" s="28">
        <v>7</v>
      </c>
      <c r="AW86" s="28">
        <v>7</v>
      </c>
      <c r="AX86" s="28">
        <v>7</v>
      </c>
      <c r="AY86" s="28">
        <v>7</v>
      </c>
      <c r="AZ86" s="28">
        <v>11</v>
      </c>
      <c r="BA86" s="28">
        <v>7</v>
      </c>
      <c r="BB86" s="28">
        <v>11</v>
      </c>
      <c r="BC86" s="28">
        <v>11</v>
      </c>
      <c r="BD86" s="28">
        <v>11</v>
      </c>
      <c r="BE86" s="202"/>
      <c r="BF86" s="202"/>
      <c r="BG86" s="202"/>
      <c r="BH86" s="202"/>
      <c r="BO86" s="202"/>
      <c r="BP86" s="202"/>
    </row>
    <row r="87" spans="1:68" outlineLevel="1" x14ac:dyDescent="0.25">
      <c r="A87" s="214" t="s">
        <v>307</v>
      </c>
      <c r="B87" s="214" t="s">
        <v>311</v>
      </c>
      <c r="C87" s="27" t="s">
        <v>312</v>
      </c>
      <c r="D87" s="28">
        <v>0</v>
      </c>
      <c r="E87" s="30">
        <v>60</v>
      </c>
      <c r="F87" s="30">
        <v>60</v>
      </c>
      <c r="G87" s="30">
        <v>60</v>
      </c>
      <c r="H87" s="30">
        <v>60</v>
      </c>
      <c r="I87" s="30">
        <v>60</v>
      </c>
      <c r="J87" s="30">
        <v>60</v>
      </c>
      <c r="K87" s="30">
        <v>60</v>
      </c>
      <c r="L87" s="30">
        <v>60</v>
      </c>
      <c r="M87" s="30">
        <v>60</v>
      </c>
      <c r="N87" s="30">
        <v>60</v>
      </c>
      <c r="O87" s="30">
        <v>60</v>
      </c>
      <c r="P87" s="30">
        <v>60</v>
      </c>
      <c r="Q87" s="30">
        <v>60</v>
      </c>
      <c r="R87" s="30">
        <v>60</v>
      </c>
      <c r="S87" s="30">
        <v>60</v>
      </c>
      <c r="T87" s="30">
        <v>60</v>
      </c>
      <c r="U87" s="30">
        <v>60</v>
      </c>
      <c r="V87" s="30">
        <v>60</v>
      </c>
      <c r="W87" s="30">
        <v>60</v>
      </c>
      <c r="X87" s="30">
        <v>60</v>
      </c>
      <c r="Y87" s="30">
        <v>60</v>
      </c>
      <c r="Z87" s="30">
        <v>60</v>
      </c>
      <c r="AA87" s="30">
        <v>60</v>
      </c>
      <c r="AB87" s="30">
        <v>60</v>
      </c>
      <c r="AC87" s="30">
        <v>60</v>
      </c>
      <c r="AD87" s="30">
        <v>60</v>
      </c>
      <c r="AE87" s="30">
        <v>60</v>
      </c>
      <c r="AF87" s="30">
        <v>60</v>
      </c>
      <c r="AG87" s="30">
        <v>60</v>
      </c>
      <c r="AH87" s="30">
        <v>60</v>
      </c>
      <c r="AI87" s="30">
        <v>60</v>
      </c>
      <c r="AJ87" s="30">
        <v>60</v>
      </c>
      <c r="AK87" s="30">
        <v>60</v>
      </c>
      <c r="AL87" s="30">
        <v>60</v>
      </c>
      <c r="AM87" s="30">
        <v>60</v>
      </c>
      <c r="AN87" s="30">
        <v>60</v>
      </c>
      <c r="AO87" s="30">
        <v>60</v>
      </c>
      <c r="AP87" s="30">
        <v>60</v>
      </c>
      <c r="AQ87" s="30">
        <v>60</v>
      </c>
      <c r="AR87" s="30">
        <v>60</v>
      </c>
      <c r="AS87" s="30">
        <v>60</v>
      </c>
      <c r="AT87" s="30">
        <v>60</v>
      </c>
      <c r="AU87" s="30">
        <v>60</v>
      </c>
      <c r="AV87" s="30">
        <v>60</v>
      </c>
      <c r="AW87" s="30">
        <v>60</v>
      </c>
      <c r="AX87" s="30">
        <v>60</v>
      </c>
      <c r="AY87" s="30">
        <v>60</v>
      </c>
      <c r="AZ87" s="30">
        <v>60</v>
      </c>
      <c r="BA87" s="30">
        <v>60</v>
      </c>
      <c r="BB87" s="30">
        <v>60</v>
      </c>
      <c r="BC87" s="30">
        <v>60</v>
      </c>
      <c r="BD87" s="30">
        <v>60</v>
      </c>
      <c r="BE87" s="202"/>
      <c r="BF87" s="202"/>
      <c r="BG87" s="202"/>
      <c r="BH87" s="202"/>
      <c r="BO87" s="202"/>
      <c r="BP87" s="202"/>
    </row>
    <row r="88" spans="1:68" outlineLevel="1" x14ac:dyDescent="0.25">
      <c r="A88" s="214" t="s">
        <v>308</v>
      </c>
      <c r="B88" s="209" t="s">
        <v>109</v>
      </c>
      <c r="C88" s="27" t="s">
        <v>110</v>
      </c>
      <c r="D88" s="28">
        <v>0</v>
      </c>
      <c r="E88" s="30">
        <f t="shared" ref="E88:AJ88" si="53">6*52/12</f>
        <v>26</v>
      </c>
      <c r="F88" s="30">
        <f t="shared" si="53"/>
        <v>26</v>
      </c>
      <c r="G88" s="30">
        <f t="shared" si="53"/>
        <v>26</v>
      </c>
      <c r="H88" s="30">
        <f t="shared" si="53"/>
        <v>26</v>
      </c>
      <c r="I88" s="30">
        <f t="shared" si="53"/>
        <v>26</v>
      </c>
      <c r="J88" s="30">
        <f t="shared" si="53"/>
        <v>26</v>
      </c>
      <c r="K88" s="30">
        <f t="shared" si="53"/>
        <v>26</v>
      </c>
      <c r="L88" s="30">
        <f t="shared" si="53"/>
        <v>26</v>
      </c>
      <c r="M88" s="30">
        <f t="shared" si="53"/>
        <v>26</v>
      </c>
      <c r="N88" s="30">
        <f t="shared" si="53"/>
        <v>26</v>
      </c>
      <c r="O88" s="30">
        <f t="shared" si="53"/>
        <v>26</v>
      </c>
      <c r="P88" s="30">
        <f t="shared" si="53"/>
        <v>26</v>
      </c>
      <c r="Q88" s="30">
        <f t="shared" si="53"/>
        <v>26</v>
      </c>
      <c r="R88" s="30">
        <f t="shared" si="53"/>
        <v>26</v>
      </c>
      <c r="S88" s="30">
        <f t="shared" si="53"/>
        <v>26</v>
      </c>
      <c r="T88" s="30">
        <f t="shared" si="53"/>
        <v>26</v>
      </c>
      <c r="U88" s="30">
        <f t="shared" si="53"/>
        <v>26</v>
      </c>
      <c r="V88" s="30">
        <f t="shared" si="53"/>
        <v>26</v>
      </c>
      <c r="W88" s="30">
        <f t="shared" si="53"/>
        <v>26</v>
      </c>
      <c r="X88" s="30">
        <f t="shared" si="53"/>
        <v>26</v>
      </c>
      <c r="Y88" s="30">
        <f t="shared" si="53"/>
        <v>26</v>
      </c>
      <c r="Z88" s="30">
        <f t="shared" si="53"/>
        <v>26</v>
      </c>
      <c r="AA88" s="30">
        <f t="shared" si="53"/>
        <v>26</v>
      </c>
      <c r="AB88" s="30">
        <f t="shared" si="53"/>
        <v>26</v>
      </c>
      <c r="AC88" s="30">
        <f t="shared" si="53"/>
        <v>26</v>
      </c>
      <c r="AD88" s="30">
        <f t="shared" si="53"/>
        <v>26</v>
      </c>
      <c r="AE88" s="30">
        <f t="shared" si="53"/>
        <v>26</v>
      </c>
      <c r="AF88" s="30">
        <f t="shared" si="53"/>
        <v>26</v>
      </c>
      <c r="AG88" s="30">
        <f t="shared" si="53"/>
        <v>26</v>
      </c>
      <c r="AH88" s="30">
        <f t="shared" si="53"/>
        <v>26</v>
      </c>
      <c r="AI88" s="30">
        <f t="shared" si="53"/>
        <v>26</v>
      </c>
      <c r="AJ88" s="30">
        <f t="shared" si="53"/>
        <v>26</v>
      </c>
      <c r="AK88" s="30">
        <f t="shared" ref="AK88:BD88" si="54">6*52/12</f>
        <v>26</v>
      </c>
      <c r="AL88" s="30">
        <f t="shared" si="54"/>
        <v>26</v>
      </c>
      <c r="AM88" s="30">
        <f t="shared" si="54"/>
        <v>26</v>
      </c>
      <c r="AN88" s="30">
        <f t="shared" si="54"/>
        <v>26</v>
      </c>
      <c r="AO88" s="30">
        <f t="shared" si="54"/>
        <v>26</v>
      </c>
      <c r="AP88" s="30">
        <f t="shared" si="54"/>
        <v>26</v>
      </c>
      <c r="AQ88" s="30">
        <f t="shared" si="54"/>
        <v>26</v>
      </c>
      <c r="AR88" s="30">
        <f t="shared" si="54"/>
        <v>26</v>
      </c>
      <c r="AS88" s="30">
        <f t="shared" si="54"/>
        <v>26</v>
      </c>
      <c r="AT88" s="30">
        <f t="shared" si="54"/>
        <v>26</v>
      </c>
      <c r="AU88" s="30">
        <f t="shared" si="54"/>
        <v>26</v>
      </c>
      <c r="AV88" s="30">
        <f t="shared" si="54"/>
        <v>26</v>
      </c>
      <c r="AW88" s="30">
        <f t="shared" si="54"/>
        <v>26</v>
      </c>
      <c r="AX88" s="30">
        <f t="shared" si="54"/>
        <v>26</v>
      </c>
      <c r="AY88" s="30">
        <f t="shared" si="54"/>
        <v>26</v>
      </c>
      <c r="AZ88" s="30">
        <f t="shared" si="54"/>
        <v>26</v>
      </c>
      <c r="BA88" s="30">
        <f t="shared" si="54"/>
        <v>26</v>
      </c>
      <c r="BB88" s="30">
        <f t="shared" si="54"/>
        <v>26</v>
      </c>
      <c r="BC88" s="30">
        <f t="shared" si="54"/>
        <v>26</v>
      </c>
      <c r="BD88" s="30">
        <f t="shared" si="54"/>
        <v>26</v>
      </c>
      <c r="BE88" s="202"/>
      <c r="BF88" s="202"/>
      <c r="BG88" s="202"/>
      <c r="BH88" s="202"/>
      <c r="BO88" s="202"/>
      <c r="BP88" s="202"/>
    </row>
    <row r="89" spans="1:68" outlineLevel="1" x14ac:dyDescent="0.25">
      <c r="A89" s="214" t="s">
        <v>308</v>
      </c>
      <c r="B89" s="209" t="s">
        <v>111</v>
      </c>
      <c r="C89" s="27" t="s">
        <v>328</v>
      </c>
      <c r="D89" s="28">
        <v>0</v>
      </c>
      <c r="E89" s="28">
        <v>0</v>
      </c>
      <c r="F89" s="28">
        <v>0</v>
      </c>
      <c r="G89" s="28">
        <v>0</v>
      </c>
      <c r="H89" s="28">
        <v>0</v>
      </c>
      <c r="I89" s="30">
        <v>21</v>
      </c>
      <c r="J89" s="30">
        <v>0</v>
      </c>
      <c r="K89" s="28">
        <v>0</v>
      </c>
      <c r="L89" s="30">
        <v>0</v>
      </c>
      <c r="M89" s="30">
        <v>0</v>
      </c>
      <c r="N89" s="30">
        <v>0</v>
      </c>
      <c r="O89" s="30">
        <v>0</v>
      </c>
      <c r="P89" s="30">
        <v>0</v>
      </c>
      <c r="Q89" s="30">
        <v>0</v>
      </c>
      <c r="R89" s="30">
        <v>0</v>
      </c>
      <c r="S89" s="30">
        <v>0</v>
      </c>
      <c r="T89" s="30">
        <v>0</v>
      </c>
      <c r="U89" s="30">
        <v>0</v>
      </c>
      <c r="V89" s="30">
        <v>0</v>
      </c>
      <c r="W89" s="30">
        <v>0</v>
      </c>
      <c r="X89" s="30">
        <v>0</v>
      </c>
      <c r="Y89" s="30">
        <v>0</v>
      </c>
      <c r="Z89" s="30">
        <v>0</v>
      </c>
      <c r="AA89" s="30">
        <v>0</v>
      </c>
      <c r="AB89" s="30">
        <v>0</v>
      </c>
      <c r="AC89" s="30">
        <v>0</v>
      </c>
      <c r="AD89" s="30">
        <v>0</v>
      </c>
      <c r="AE89" s="30">
        <v>0</v>
      </c>
      <c r="AF89" s="30">
        <v>0</v>
      </c>
      <c r="AG89" s="30">
        <v>0</v>
      </c>
      <c r="AH89" s="30">
        <v>0</v>
      </c>
      <c r="AI89" s="30">
        <v>0</v>
      </c>
      <c r="AJ89" s="30">
        <v>0</v>
      </c>
      <c r="AK89" s="30">
        <v>0</v>
      </c>
      <c r="AL89" s="30">
        <v>0</v>
      </c>
      <c r="AM89" s="30">
        <v>0</v>
      </c>
      <c r="AN89" s="30">
        <v>0</v>
      </c>
      <c r="AO89" s="30">
        <v>0</v>
      </c>
      <c r="AP89" s="30">
        <v>0</v>
      </c>
      <c r="AQ89" s="30">
        <v>0</v>
      </c>
      <c r="AR89" s="30">
        <v>0</v>
      </c>
      <c r="AS89" s="30">
        <v>0</v>
      </c>
      <c r="AT89" s="30">
        <v>0</v>
      </c>
      <c r="AU89" s="30">
        <v>0</v>
      </c>
      <c r="AV89" s="30">
        <v>0</v>
      </c>
      <c r="AW89" s="30">
        <v>0</v>
      </c>
      <c r="AX89" s="30">
        <v>0</v>
      </c>
      <c r="AY89" s="30">
        <v>0</v>
      </c>
      <c r="AZ89" s="30">
        <v>0</v>
      </c>
      <c r="BA89" s="30">
        <v>0</v>
      </c>
      <c r="BB89" s="30">
        <v>0</v>
      </c>
      <c r="BC89" s="30">
        <v>0</v>
      </c>
      <c r="BD89" s="30">
        <v>0</v>
      </c>
      <c r="BE89" s="202"/>
      <c r="BF89" s="202"/>
      <c r="BG89" s="202"/>
      <c r="BH89" s="202"/>
      <c r="BO89" s="202"/>
      <c r="BP89" s="202"/>
    </row>
    <row r="90" spans="1:68" outlineLevel="1" x14ac:dyDescent="0.25">
      <c r="A90" s="214" t="s">
        <v>308</v>
      </c>
      <c r="B90" s="215" t="s">
        <v>338</v>
      </c>
      <c r="C90" s="27" t="s">
        <v>339</v>
      </c>
      <c r="D90" s="28">
        <v>0</v>
      </c>
      <c r="E90" s="30">
        <f t="shared" ref="E90:AJ90" si="55">3*52/12</f>
        <v>13</v>
      </c>
      <c r="F90" s="30">
        <f t="shared" si="55"/>
        <v>13</v>
      </c>
      <c r="G90" s="30">
        <f t="shared" si="55"/>
        <v>13</v>
      </c>
      <c r="H90" s="30">
        <f t="shared" si="55"/>
        <v>13</v>
      </c>
      <c r="I90" s="30">
        <f t="shared" si="55"/>
        <v>13</v>
      </c>
      <c r="J90" s="30">
        <f t="shared" si="55"/>
        <v>13</v>
      </c>
      <c r="K90" s="30">
        <f t="shared" si="55"/>
        <v>13</v>
      </c>
      <c r="L90" s="30">
        <f t="shared" si="55"/>
        <v>13</v>
      </c>
      <c r="M90" s="30">
        <f t="shared" si="55"/>
        <v>13</v>
      </c>
      <c r="N90" s="30">
        <f t="shared" si="55"/>
        <v>13</v>
      </c>
      <c r="O90" s="30">
        <f t="shared" si="55"/>
        <v>13</v>
      </c>
      <c r="P90" s="30">
        <f t="shared" si="55"/>
        <v>13</v>
      </c>
      <c r="Q90" s="30">
        <f t="shared" si="55"/>
        <v>13</v>
      </c>
      <c r="R90" s="30">
        <f t="shared" si="55"/>
        <v>13</v>
      </c>
      <c r="S90" s="30">
        <f t="shared" si="55"/>
        <v>13</v>
      </c>
      <c r="T90" s="30">
        <f t="shared" si="55"/>
        <v>13</v>
      </c>
      <c r="U90" s="30">
        <f t="shared" si="55"/>
        <v>13</v>
      </c>
      <c r="V90" s="30">
        <f t="shared" si="55"/>
        <v>13</v>
      </c>
      <c r="W90" s="30">
        <f t="shared" si="55"/>
        <v>13</v>
      </c>
      <c r="X90" s="30">
        <f t="shared" si="55"/>
        <v>13</v>
      </c>
      <c r="Y90" s="30">
        <f t="shared" si="55"/>
        <v>13</v>
      </c>
      <c r="Z90" s="30">
        <f t="shared" si="55"/>
        <v>13</v>
      </c>
      <c r="AA90" s="30">
        <f t="shared" si="55"/>
        <v>13</v>
      </c>
      <c r="AB90" s="30">
        <f t="shared" si="55"/>
        <v>13</v>
      </c>
      <c r="AC90" s="30">
        <f t="shared" si="55"/>
        <v>13</v>
      </c>
      <c r="AD90" s="30">
        <f t="shared" si="55"/>
        <v>13</v>
      </c>
      <c r="AE90" s="30">
        <f t="shared" si="55"/>
        <v>13</v>
      </c>
      <c r="AF90" s="30">
        <f t="shared" si="55"/>
        <v>13</v>
      </c>
      <c r="AG90" s="30">
        <f t="shared" si="55"/>
        <v>13</v>
      </c>
      <c r="AH90" s="30">
        <f t="shared" si="55"/>
        <v>13</v>
      </c>
      <c r="AI90" s="30">
        <f t="shared" si="55"/>
        <v>13</v>
      </c>
      <c r="AJ90" s="30">
        <f t="shared" si="55"/>
        <v>13</v>
      </c>
      <c r="AK90" s="30">
        <f t="shared" ref="AK90:BD90" si="56">3*52/12</f>
        <v>13</v>
      </c>
      <c r="AL90" s="30">
        <f t="shared" si="56"/>
        <v>13</v>
      </c>
      <c r="AM90" s="30">
        <f t="shared" si="56"/>
        <v>13</v>
      </c>
      <c r="AN90" s="30">
        <f t="shared" si="56"/>
        <v>13</v>
      </c>
      <c r="AO90" s="30">
        <f t="shared" si="56"/>
        <v>13</v>
      </c>
      <c r="AP90" s="30">
        <f t="shared" si="56"/>
        <v>13</v>
      </c>
      <c r="AQ90" s="30">
        <f t="shared" si="56"/>
        <v>13</v>
      </c>
      <c r="AR90" s="30">
        <f t="shared" si="56"/>
        <v>13</v>
      </c>
      <c r="AS90" s="30">
        <f t="shared" si="56"/>
        <v>13</v>
      </c>
      <c r="AT90" s="30">
        <f t="shared" si="56"/>
        <v>13</v>
      </c>
      <c r="AU90" s="30">
        <f t="shared" si="56"/>
        <v>13</v>
      </c>
      <c r="AV90" s="30">
        <f t="shared" si="56"/>
        <v>13</v>
      </c>
      <c r="AW90" s="30">
        <f t="shared" si="56"/>
        <v>13</v>
      </c>
      <c r="AX90" s="30">
        <f t="shared" si="56"/>
        <v>13</v>
      </c>
      <c r="AY90" s="30">
        <f t="shared" si="56"/>
        <v>13</v>
      </c>
      <c r="AZ90" s="30">
        <f t="shared" si="56"/>
        <v>13</v>
      </c>
      <c r="BA90" s="30">
        <f t="shared" si="56"/>
        <v>13</v>
      </c>
      <c r="BB90" s="30">
        <f t="shared" si="56"/>
        <v>13</v>
      </c>
      <c r="BC90" s="30">
        <f t="shared" si="56"/>
        <v>13</v>
      </c>
      <c r="BD90" s="30">
        <f t="shared" si="56"/>
        <v>13</v>
      </c>
      <c r="BE90" s="202"/>
      <c r="BF90" s="202"/>
      <c r="BG90" s="202"/>
      <c r="BH90" s="202"/>
      <c r="BO90" s="202"/>
      <c r="BP90" s="202"/>
    </row>
    <row r="91" spans="1:68" outlineLevel="1" x14ac:dyDescent="0.25">
      <c r="A91" s="202" t="str">
        <f>$B$85</f>
        <v>Primary Direct Staff</v>
      </c>
      <c r="B91" s="209" t="s">
        <v>112</v>
      </c>
      <c r="C91" s="27" t="s">
        <v>329</v>
      </c>
      <c r="D91" s="28">
        <v>0</v>
      </c>
      <c r="E91" s="30">
        <v>10</v>
      </c>
      <c r="F91" s="30">
        <v>10</v>
      </c>
      <c r="G91" s="30">
        <v>10</v>
      </c>
      <c r="H91" s="30">
        <v>10</v>
      </c>
      <c r="I91" s="30">
        <v>10</v>
      </c>
      <c r="J91" s="30">
        <v>10</v>
      </c>
      <c r="K91" s="30">
        <v>10</v>
      </c>
      <c r="L91" s="30">
        <v>10</v>
      </c>
      <c r="M91" s="30">
        <v>10</v>
      </c>
      <c r="N91" s="30">
        <v>10</v>
      </c>
      <c r="O91" s="30">
        <v>10</v>
      </c>
      <c r="P91" s="30">
        <v>10</v>
      </c>
      <c r="Q91" s="30">
        <v>10</v>
      </c>
      <c r="R91" s="30">
        <v>10</v>
      </c>
      <c r="S91" s="30">
        <v>10</v>
      </c>
      <c r="T91" s="30">
        <v>10</v>
      </c>
      <c r="U91" s="30">
        <v>10</v>
      </c>
      <c r="V91" s="30">
        <v>10</v>
      </c>
      <c r="W91" s="30">
        <v>10</v>
      </c>
      <c r="X91" s="30">
        <v>10</v>
      </c>
      <c r="Y91" s="30">
        <v>10</v>
      </c>
      <c r="Z91" s="30">
        <v>10</v>
      </c>
      <c r="AA91" s="30">
        <v>10</v>
      </c>
      <c r="AB91" s="30">
        <v>10</v>
      </c>
      <c r="AC91" s="30">
        <v>10</v>
      </c>
      <c r="AD91" s="30">
        <v>10</v>
      </c>
      <c r="AE91" s="30">
        <v>10</v>
      </c>
      <c r="AF91" s="30">
        <v>10</v>
      </c>
      <c r="AG91" s="30">
        <v>10</v>
      </c>
      <c r="AH91" s="30">
        <v>10</v>
      </c>
      <c r="AI91" s="30">
        <v>10</v>
      </c>
      <c r="AJ91" s="30">
        <v>10</v>
      </c>
      <c r="AK91" s="30">
        <v>10</v>
      </c>
      <c r="AL91" s="30">
        <v>10</v>
      </c>
      <c r="AM91" s="30">
        <v>10</v>
      </c>
      <c r="AN91" s="30">
        <v>10</v>
      </c>
      <c r="AO91" s="30">
        <v>10</v>
      </c>
      <c r="AP91" s="30">
        <v>10</v>
      </c>
      <c r="AQ91" s="30">
        <v>10</v>
      </c>
      <c r="AR91" s="30">
        <v>10</v>
      </c>
      <c r="AS91" s="30">
        <v>10</v>
      </c>
      <c r="AT91" s="30">
        <v>10</v>
      </c>
      <c r="AU91" s="30">
        <v>10</v>
      </c>
      <c r="AV91" s="30">
        <v>10</v>
      </c>
      <c r="AW91" s="30">
        <v>10</v>
      </c>
      <c r="AX91" s="30">
        <v>10</v>
      </c>
      <c r="AY91" s="30">
        <v>10</v>
      </c>
      <c r="AZ91" s="30">
        <v>10</v>
      </c>
      <c r="BA91" s="30">
        <v>10</v>
      </c>
      <c r="BB91" s="30">
        <v>10</v>
      </c>
      <c r="BC91" s="30">
        <v>10</v>
      </c>
      <c r="BD91" s="30">
        <v>10</v>
      </c>
      <c r="BE91" s="202"/>
      <c r="BF91" s="202"/>
      <c r="BG91" s="202"/>
      <c r="BH91" s="202"/>
      <c r="BO91" s="202"/>
      <c r="BP91" s="202"/>
    </row>
    <row r="92" spans="1:68" outlineLevel="1" x14ac:dyDescent="0.25">
      <c r="A92" s="202" t="str">
        <f>$B$85</f>
        <v>Primary Direct Staff</v>
      </c>
      <c r="B92" s="209" t="s">
        <v>113</v>
      </c>
      <c r="C92" s="27" t="s">
        <v>330</v>
      </c>
      <c r="D92" s="28">
        <v>0</v>
      </c>
      <c r="E92" s="30">
        <v>20</v>
      </c>
      <c r="F92" s="30">
        <v>20</v>
      </c>
      <c r="G92" s="30">
        <v>20</v>
      </c>
      <c r="H92" s="30">
        <v>20</v>
      </c>
      <c r="I92" s="30">
        <v>20</v>
      </c>
      <c r="J92" s="30">
        <v>20</v>
      </c>
      <c r="K92" s="30">
        <v>20</v>
      </c>
      <c r="L92" s="30">
        <v>20</v>
      </c>
      <c r="M92" s="30">
        <v>20</v>
      </c>
      <c r="N92" s="30">
        <v>20</v>
      </c>
      <c r="O92" s="30">
        <v>20</v>
      </c>
      <c r="P92" s="30">
        <v>20</v>
      </c>
      <c r="Q92" s="30">
        <v>20</v>
      </c>
      <c r="R92" s="30">
        <v>20</v>
      </c>
      <c r="S92" s="30">
        <v>20</v>
      </c>
      <c r="T92" s="30">
        <v>20</v>
      </c>
      <c r="U92" s="30">
        <v>20</v>
      </c>
      <c r="V92" s="30">
        <v>20</v>
      </c>
      <c r="W92" s="30">
        <v>20</v>
      </c>
      <c r="X92" s="30">
        <v>20</v>
      </c>
      <c r="Y92" s="30">
        <v>20</v>
      </c>
      <c r="Z92" s="30">
        <v>20</v>
      </c>
      <c r="AA92" s="30">
        <v>20</v>
      </c>
      <c r="AB92" s="30">
        <v>20</v>
      </c>
      <c r="AC92" s="30">
        <v>20</v>
      </c>
      <c r="AD92" s="30">
        <v>20</v>
      </c>
      <c r="AE92" s="30">
        <v>20</v>
      </c>
      <c r="AF92" s="30">
        <v>20</v>
      </c>
      <c r="AG92" s="30">
        <v>20</v>
      </c>
      <c r="AH92" s="30">
        <v>20</v>
      </c>
      <c r="AI92" s="30">
        <v>20</v>
      </c>
      <c r="AJ92" s="30">
        <v>20</v>
      </c>
      <c r="AK92" s="30">
        <v>20</v>
      </c>
      <c r="AL92" s="30">
        <v>20</v>
      </c>
      <c r="AM92" s="30">
        <v>20</v>
      </c>
      <c r="AN92" s="30">
        <v>20</v>
      </c>
      <c r="AO92" s="30">
        <v>20</v>
      </c>
      <c r="AP92" s="30">
        <v>20</v>
      </c>
      <c r="AQ92" s="30">
        <v>20</v>
      </c>
      <c r="AR92" s="30">
        <v>20</v>
      </c>
      <c r="AS92" s="30">
        <v>20</v>
      </c>
      <c r="AT92" s="30">
        <v>20</v>
      </c>
      <c r="AU92" s="30">
        <v>20</v>
      </c>
      <c r="AV92" s="30">
        <v>20</v>
      </c>
      <c r="AW92" s="30">
        <v>20</v>
      </c>
      <c r="AX92" s="30">
        <v>20</v>
      </c>
      <c r="AY92" s="30">
        <v>20</v>
      </c>
      <c r="AZ92" s="30">
        <v>20</v>
      </c>
      <c r="BA92" s="30">
        <v>20</v>
      </c>
      <c r="BB92" s="30">
        <v>20</v>
      </c>
      <c r="BC92" s="30">
        <v>20</v>
      </c>
      <c r="BD92" s="30">
        <v>20</v>
      </c>
      <c r="BE92" s="202"/>
      <c r="BF92" s="202"/>
      <c r="BG92" s="202"/>
      <c r="BH92" s="202"/>
      <c r="BO92" s="202"/>
      <c r="BP92" s="202"/>
    </row>
    <row r="93" spans="1:68" outlineLevel="1" x14ac:dyDescent="0.25">
      <c r="A93" s="214" t="s">
        <v>307</v>
      </c>
      <c r="B93" s="214" t="s">
        <v>337</v>
      </c>
      <c r="C93" s="27" t="s">
        <v>114</v>
      </c>
      <c r="D93" s="28">
        <v>0</v>
      </c>
      <c r="E93" s="30">
        <v>250</v>
      </c>
      <c r="F93" s="30">
        <v>250</v>
      </c>
      <c r="G93" s="30">
        <v>250</v>
      </c>
      <c r="H93" s="30">
        <v>250</v>
      </c>
      <c r="I93" s="30">
        <v>250</v>
      </c>
      <c r="J93" s="30">
        <v>250</v>
      </c>
      <c r="K93" s="30">
        <v>250</v>
      </c>
      <c r="L93" s="30">
        <v>250</v>
      </c>
      <c r="M93" s="30">
        <v>250</v>
      </c>
      <c r="N93" s="30">
        <v>250</v>
      </c>
      <c r="O93" s="30">
        <v>250</v>
      </c>
      <c r="P93" s="30">
        <v>250</v>
      </c>
      <c r="Q93" s="30">
        <v>250</v>
      </c>
      <c r="R93" s="30">
        <v>250</v>
      </c>
      <c r="S93" s="30">
        <v>250</v>
      </c>
      <c r="T93" s="30">
        <v>250</v>
      </c>
      <c r="U93" s="30">
        <v>250</v>
      </c>
      <c r="V93" s="30">
        <v>250</v>
      </c>
      <c r="W93" s="30">
        <v>250</v>
      </c>
      <c r="X93" s="30">
        <v>250</v>
      </c>
      <c r="Y93" s="30">
        <v>250</v>
      </c>
      <c r="Z93" s="30">
        <v>250</v>
      </c>
      <c r="AA93" s="30">
        <v>250</v>
      </c>
      <c r="AB93" s="30">
        <v>250</v>
      </c>
      <c r="AC93" s="30">
        <v>250</v>
      </c>
      <c r="AD93" s="30">
        <v>250</v>
      </c>
      <c r="AE93" s="30">
        <v>250</v>
      </c>
      <c r="AF93" s="30">
        <v>250</v>
      </c>
      <c r="AG93" s="30">
        <v>250</v>
      </c>
      <c r="AH93" s="30">
        <v>250</v>
      </c>
      <c r="AI93" s="30">
        <v>250</v>
      </c>
      <c r="AJ93" s="30">
        <v>250</v>
      </c>
      <c r="AK93" s="30">
        <v>250</v>
      </c>
      <c r="AL93" s="30">
        <v>250</v>
      </c>
      <c r="AM93" s="30">
        <v>250</v>
      </c>
      <c r="AN93" s="30">
        <v>250</v>
      </c>
      <c r="AO93" s="30">
        <v>250</v>
      </c>
      <c r="AP93" s="30">
        <v>250</v>
      </c>
      <c r="AQ93" s="30">
        <v>250</v>
      </c>
      <c r="AR93" s="30">
        <v>250</v>
      </c>
      <c r="AS93" s="30">
        <v>250</v>
      </c>
      <c r="AT93" s="30">
        <v>250</v>
      </c>
      <c r="AU93" s="30">
        <v>250</v>
      </c>
      <c r="AV93" s="30">
        <v>250</v>
      </c>
      <c r="AW93" s="30">
        <v>250</v>
      </c>
      <c r="AX93" s="30">
        <v>250</v>
      </c>
      <c r="AY93" s="30">
        <v>250</v>
      </c>
      <c r="AZ93" s="30">
        <v>250</v>
      </c>
      <c r="BA93" s="30">
        <v>250</v>
      </c>
      <c r="BB93" s="30">
        <v>250</v>
      </c>
      <c r="BC93" s="30">
        <v>250</v>
      </c>
      <c r="BD93" s="30">
        <v>250</v>
      </c>
      <c r="BE93" s="202"/>
      <c r="BF93" s="202"/>
      <c r="BG93" s="202"/>
      <c r="BH93" s="202"/>
      <c r="BO93" s="202"/>
      <c r="BP93" s="202"/>
    </row>
    <row r="94" spans="1:68" outlineLevel="1" x14ac:dyDescent="0.25">
      <c r="A94" s="214" t="s">
        <v>307</v>
      </c>
      <c r="B94" s="214" t="s">
        <v>336</v>
      </c>
      <c r="C94" s="27"/>
      <c r="D94" s="28">
        <v>0</v>
      </c>
      <c r="E94" s="30">
        <v>250</v>
      </c>
      <c r="F94" s="30">
        <v>250</v>
      </c>
      <c r="G94" s="30">
        <v>250</v>
      </c>
      <c r="H94" s="30">
        <v>250</v>
      </c>
      <c r="I94" s="30">
        <v>250</v>
      </c>
      <c r="J94" s="30">
        <v>250</v>
      </c>
      <c r="K94" s="30">
        <v>250</v>
      </c>
      <c r="L94" s="30">
        <v>250</v>
      </c>
      <c r="M94" s="30">
        <v>250</v>
      </c>
      <c r="N94" s="30">
        <v>250</v>
      </c>
      <c r="O94" s="30">
        <v>250</v>
      </c>
      <c r="P94" s="30">
        <v>250</v>
      </c>
      <c r="Q94" s="30">
        <v>250</v>
      </c>
      <c r="R94" s="30">
        <v>250</v>
      </c>
      <c r="S94" s="30">
        <v>250</v>
      </c>
      <c r="T94" s="30">
        <v>250</v>
      </c>
      <c r="U94" s="30">
        <v>250</v>
      </c>
      <c r="V94" s="30">
        <v>250</v>
      </c>
      <c r="W94" s="30">
        <v>250</v>
      </c>
      <c r="X94" s="30">
        <v>250</v>
      </c>
      <c r="Y94" s="30">
        <v>250</v>
      </c>
      <c r="Z94" s="30">
        <v>250</v>
      </c>
      <c r="AA94" s="30">
        <v>250</v>
      </c>
      <c r="AB94" s="30">
        <v>250</v>
      </c>
      <c r="AC94" s="30">
        <v>250</v>
      </c>
      <c r="AD94" s="30">
        <v>250</v>
      </c>
      <c r="AE94" s="30">
        <v>250</v>
      </c>
      <c r="AF94" s="30">
        <v>250</v>
      </c>
      <c r="AG94" s="30">
        <v>250</v>
      </c>
      <c r="AH94" s="30">
        <v>250</v>
      </c>
      <c r="AI94" s="30">
        <v>250</v>
      </c>
      <c r="AJ94" s="30">
        <v>250</v>
      </c>
      <c r="AK94" s="30">
        <v>250</v>
      </c>
      <c r="AL94" s="30">
        <v>250</v>
      </c>
      <c r="AM94" s="30">
        <v>250</v>
      </c>
      <c r="AN94" s="30">
        <v>250</v>
      </c>
      <c r="AO94" s="30">
        <v>250</v>
      </c>
      <c r="AP94" s="30">
        <v>250</v>
      </c>
      <c r="AQ94" s="30">
        <v>250</v>
      </c>
      <c r="AR94" s="30">
        <v>250</v>
      </c>
      <c r="AS94" s="30">
        <v>250</v>
      </c>
      <c r="AT94" s="30">
        <v>250</v>
      </c>
      <c r="AU94" s="30">
        <v>250</v>
      </c>
      <c r="AV94" s="30">
        <v>250</v>
      </c>
      <c r="AW94" s="30">
        <v>250</v>
      </c>
      <c r="AX94" s="30">
        <v>250</v>
      </c>
      <c r="AY94" s="30">
        <v>250</v>
      </c>
      <c r="AZ94" s="30">
        <v>250</v>
      </c>
      <c r="BA94" s="30">
        <v>250</v>
      </c>
      <c r="BB94" s="30">
        <v>250</v>
      </c>
      <c r="BC94" s="30">
        <v>250</v>
      </c>
      <c r="BD94" s="30">
        <v>250</v>
      </c>
      <c r="BE94" s="202"/>
      <c r="BF94" s="202"/>
      <c r="BG94" s="202"/>
      <c r="BH94" s="202"/>
      <c r="BO94" s="202"/>
      <c r="BP94" s="202"/>
    </row>
    <row r="95" spans="1:68" outlineLevel="1" x14ac:dyDescent="0.25">
      <c r="A95" s="214" t="s">
        <v>307</v>
      </c>
      <c r="B95" s="214" t="s">
        <v>335</v>
      </c>
      <c r="C95" s="29" t="s">
        <v>334</v>
      </c>
      <c r="D95" s="28">
        <v>0</v>
      </c>
      <c r="E95" s="30">
        <v>10</v>
      </c>
      <c r="F95" s="30">
        <v>10</v>
      </c>
      <c r="G95" s="30">
        <v>10</v>
      </c>
      <c r="H95" s="30">
        <v>10</v>
      </c>
      <c r="I95" s="30">
        <v>10</v>
      </c>
      <c r="J95" s="30">
        <v>0</v>
      </c>
      <c r="K95" s="30">
        <v>10</v>
      </c>
      <c r="L95" s="30">
        <v>0</v>
      </c>
      <c r="M95" s="30">
        <v>10</v>
      </c>
      <c r="N95" s="30">
        <v>10</v>
      </c>
      <c r="O95" s="30">
        <v>10</v>
      </c>
      <c r="P95" s="30">
        <v>0</v>
      </c>
      <c r="Q95" s="30">
        <v>10</v>
      </c>
      <c r="R95" s="30">
        <v>0</v>
      </c>
      <c r="S95" s="30">
        <v>10</v>
      </c>
      <c r="T95" s="30">
        <v>0</v>
      </c>
      <c r="U95" s="30">
        <v>10</v>
      </c>
      <c r="V95" s="30">
        <v>10</v>
      </c>
      <c r="W95" s="30">
        <v>0</v>
      </c>
      <c r="X95" s="30">
        <v>10</v>
      </c>
      <c r="Y95" s="30">
        <v>0</v>
      </c>
      <c r="Z95" s="30">
        <v>10</v>
      </c>
      <c r="AA95" s="30">
        <v>0</v>
      </c>
      <c r="AB95" s="30">
        <v>10</v>
      </c>
      <c r="AC95" s="30">
        <v>0</v>
      </c>
      <c r="AD95" s="30">
        <v>10</v>
      </c>
      <c r="AE95" s="30">
        <v>0</v>
      </c>
      <c r="AF95" s="30">
        <v>10</v>
      </c>
      <c r="AG95" s="30">
        <v>10</v>
      </c>
      <c r="AH95" s="30">
        <v>0</v>
      </c>
      <c r="AI95" s="30">
        <v>10</v>
      </c>
      <c r="AJ95" s="30">
        <v>10</v>
      </c>
      <c r="AK95" s="30">
        <v>0</v>
      </c>
      <c r="AL95" s="30">
        <v>10</v>
      </c>
      <c r="AM95" s="30">
        <v>0</v>
      </c>
      <c r="AN95" s="30">
        <v>10</v>
      </c>
      <c r="AO95" s="30">
        <v>10</v>
      </c>
      <c r="AP95" s="30">
        <v>10</v>
      </c>
      <c r="AQ95" s="30">
        <v>0</v>
      </c>
      <c r="AR95" s="30">
        <v>10</v>
      </c>
      <c r="AS95" s="30">
        <v>0</v>
      </c>
      <c r="AT95" s="30">
        <v>10</v>
      </c>
      <c r="AU95" s="30">
        <v>10</v>
      </c>
      <c r="AV95" s="30">
        <v>10</v>
      </c>
      <c r="AW95" s="30">
        <v>10</v>
      </c>
      <c r="AX95" s="30">
        <v>10</v>
      </c>
      <c r="AY95" s="30">
        <v>10</v>
      </c>
      <c r="AZ95" s="30">
        <v>0</v>
      </c>
      <c r="BA95" s="30">
        <v>10</v>
      </c>
      <c r="BB95" s="30">
        <v>0</v>
      </c>
      <c r="BC95" s="30">
        <v>0</v>
      </c>
      <c r="BD95" s="30">
        <v>0</v>
      </c>
      <c r="BE95" s="202"/>
      <c r="BF95" s="202"/>
      <c r="BG95" s="202"/>
      <c r="BH95" s="202"/>
      <c r="BO95" s="202"/>
      <c r="BP95" s="202"/>
    </row>
    <row r="96" spans="1:68" outlineLevel="1" x14ac:dyDescent="0.25">
      <c r="A96" s="214" t="s">
        <v>307</v>
      </c>
      <c r="B96" s="214" t="s">
        <v>331</v>
      </c>
      <c r="C96" s="29" t="s">
        <v>334</v>
      </c>
      <c r="D96" s="84">
        <f>IFERROR(40*(48/52)/SUM(D79:D80),0)+N("35 hours but adjusted to 40 to account for Director of ST")</f>
        <v>0</v>
      </c>
      <c r="E96" s="84">
        <f t="shared" ref="E96:H96" si="57">IFERROR(40*(48/52)/SUM(E79:E80),0)+N("35 hours but adjusted to 40 to account for Director of ST")</f>
        <v>0</v>
      </c>
      <c r="F96" s="84">
        <f t="shared" si="57"/>
        <v>0</v>
      </c>
      <c r="G96" s="84">
        <f t="shared" si="57"/>
        <v>0</v>
      </c>
      <c r="H96" s="84">
        <f t="shared" si="57"/>
        <v>0</v>
      </c>
      <c r="I96" s="84">
        <f t="shared" ref="I96:BD96" si="58">IFERROR(40*(48/52)/SUM(I79:I80),0)+N("35 hours but adjusted to 40 to account for Director of ST")</f>
        <v>41.379310344827587</v>
      </c>
      <c r="J96" s="84">
        <f t="shared" si="58"/>
        <v>0</v>
      </c>
      <c r="K96" s="84">
        <f t="shared" si="58"/>
        <v>41.379310344827587</v>
      </c>
      <c r="L96" s="84">
        <f t="shared" ref="L96" si="59">IFERROR(40*(48/52)/SUM(L79:L80),0)+N("35 hours but adjusted to 40 to account for Director of ST")</f>
        <v>0</v>
      </c>
      <c r="M96" s="84">
        <f t="shared" si="58"/>
        <v>41.379310344827587</v>
      </c>
      <c r="N96" s="84">
        <f t="shared" si="58"/>
        <v>41.379310344827587</v>
      </c>
      <c r="O96" s="84">
        <f t="shared" si="58"/>
        <v>41.379310344827587</v>
      </c>
      <c r="P96" s="84">
        <f t="shared" si="58"/>
        <v>0</v>
      </c>
      <c r="Q96" s="84">
        <f t="shared" si="58"/>
        <v>41.379310344827587</v>
      </c>
      <c r="R96" s="84">
        <f t="shared" si="58"/>
        <v>0</v>
      </c>
      <c r="S96" s="84">
        <f t="shared" si="58"/>
        <v>41.379310344827587</v>
      </c>
      <c r="T96" s="84">
        <f t="shared" si="58"/>
        <v>0</v>
      </c>
      <c r="U96" s="84">
        <f t="shared" si="58"/>
        <v>41.379310344827587</v>
      </c>
      <c r="V96" s="84">
        <f t="shared" si="58"/>
        <v>41.379310344827587</v>
      </c>
      <c r="W96" s="84">
        <f t="shared" si="58"/>
        <v>0</v>
      </c>
      <c r="X96" s="84">
        <f t="shared" si="58"/>
        <v>41.379310344827587</v>
      </c>
      <c r="Y96" s="84">
        <f t="shared" si="58"/>
        <v>0</v>
      </c>
      <c r="Z96" s="84">
        <f t="shared" si="58"/>
        <v>41.379310344827587</v>
      </c>
      <c r="AA96" s="84">
        <f t="shared" si="58"/>
        <v>0</v>
      </c>
      <c r="AB96" s="84">
        <f t="shared" si="58"/>
        <v>41.379310344827587</v>
      </c>
      <c r="AC96" s="84">
        <f t="shared" si="58"/>
        <v>0</v>
      </c>
      <c r="AD96" s="84">
        <f t="shared" si="58"/>
        <v>41.379310344827587</v>
      </c>
      <c r="AE96" s="84">
        <f t="shared" si="58"/>
        <v>0</v>
      </c>
      <c r="AF96" s="84">
        <f t="shared" si="58"/>
        <v>41.379310344827587</v>
      </c>
      <c r="AG96" s="84">
        <f t="shared" si="58"/>
        <v>41.379310344827587</v>
      </c>
      <c r="AH96" s="84">
        <f t="shared" si="58"/>
        <v>0</v>
      </c>
      <c r="AI96" s="84">
        <f t="shared" si="58"/>
        <v>41.379310344827587</v>
      </c>
      <c r="AJ96" s="84">
        <f t="shared" si="58"/>
        <v>41.379310344827587</v>
      </c>
      <c r="AK96" s="84">
        <f t="shared" si="58"/>
        <v>0</v>
      </c>
      <c r="AL96" s="84">
        <f t="shared" si="58"/>
        <v>41.379310344827587</v>
      </c>
      <c r="AM96" s="84">
        <f t="shared" si="58"/>
        <v>0</v>
      </c>
      <c r="AN96" s="84">
        <f t="shared" si="58"/>
        <v>41.379310344827587</v>
      </c>
      <c r="AO96" s="84">
        <f t="shared" si="58"/>
        <v>41.379310344827587</v>
      </c>
      <c r="AP96" s="84">
        <f t="shared" si="58"/>
        <v>41.379310344827587</v>
      </c>
      <c r="AQ96" s="84">
        <f t="shared" si="58"/>
        <v>0</v>
      </c>
      <c r="AR96" s="84">
        <f t="shared" si="58"/>
        <v>41.379310344827587</v>
      </c>
      <c r="AS96" s="174">
        <f>IFERROR(40*(48/52)/SUM(AS79:AS80),0)+N("35 hours but adjusted to 40 to account for Director of ST")</f>
        <v>0</v>
      </c>
      <c r="AT96" s="84">
        <f t="shared" si="58"/>
        <v>41.379310344827587</v>
      </c>
      <c r="AU96" s="84">
        <f t="shared" si="58"/>
        <v>41.379310344827587</v>
      </c>
      <c r="AV96" s="84">
        <f t="shared" si="58"/>
        <v>41.379310344827587</v>
      </c>
      <c r="AW96" s="84">
        <f t="shared" si="58"/>
        <v>41.379310344827587</v>
      </c>
      <c r="AX96" s="84">
        <f t="shared" si="58"/>
        <v>41.379310344827587</v>
      </c>
      <c r="AY96" s="84">
        <f t="shared" si="58"/>
        <v>41.379310344827587</v>
      </c>
      <c r="AZ96" s="84">
        <f t="shared" si="58"/>
        <v>0</v>
      </c>
      <c r="BA96" s="84">
        <f t="shared" si="58"/>
        <v>0</v>
      </c>
      <c r="BB96" s="84">
        <f t="shared" ref="BB96:BC96" si="60">IFERROR(40*(48/52)/SUM(BB79:BB80),0)+N("35 hours but adjusted to 40 to account for Director of ST")</f>
        <v>0</v>
      </c>
      <c r="BC96" s="84">
        <f t="shared" si="60"/>
        <v>0</v>
      </c>
      <c r="BD96" s="84">
        <f t="shared" si="58"/>
        <v>0</v>
      </c>
      <c r="BE96" s="202"/>
      <c r="BF96" s="202"/>
      <c r="BG96" s="202"/>
      <c r="BH96" s="202"/>
      <c r="BO96" s="202"/>
      <c r="BP96" s="202"/>
    </row>
    <row r="97" spans="1:68" outlineLevel="1" x14ac:dyDescent="0.25">
      <c r="A97" s="214" t="s">
        <v>307</v>
      </c>
      <c r="B97" s="214" t="s">
        <v>332</v>
      </c>
      <c r="C97" s="29" t="s">
        <v>334</v>
      </c>
      <c r="D97" s="84">
        <f>IFERROR(40*(48/52)/D82,0)+N("35 hours but adjusted to 40 to account for Director of OT")</f>
        <v>0</v>
      </c>
      <c r="E97" s="84">
        <f t="shared" ref="E97:H97" si="61">IFERROR(40*(48/52)/E82,0)+N("35 hours but adjusted to 40 to account for Director of OT")</f>
        <v>0</v>
      </c>
      <c r="F97" s="84">
        <f t="shared" si="61"/>
        <v>0</v>
      </c>
      <c r="G97" s="84">
        <f t="shared" si="61"/>
        <v>0</v>
      </c>
      <c r="H97" s="84">
        <f t="shared" si="61"/>
        <v>0</v>
      </c>
      <c r="I97" s="84">
        <f t="shared" ref="I97:BD97" si="62">IFERROR(40*(48/52)/I82,0)+N("35 hours but adjusted to 40 to account for Director of OT")</f>
        <v>46.153846153846153</v>
      </c>
      <c r="J97" s="84">
        <f t="shared" si="62"/>
        <v>0</v>
      </c>
      <c r="K97" s="84">
        <f t="shared" si="62"/>
        <v>46.153846153846153</v>
      </c>
      <c r="L97" s="84">
        <f t="shared" ref="L97" si="63">IFERROR(40*(48/52)/L82,0)+N("35 hours but adjusted to 40 to account for Director of OT")</f>
        <v>0</v>
      </c>
      <c r="M97" s="84">
        <f t="shared" si="62"/>
        <v>46.153846153846153</v>
      </c>
      <c r="N97" s="84">
        <f t="shared" si="62"/>
        <v>46.153846153846153</v>
      </c>
      <c r="O97" s="84">
        <f t="shared" si="62"/>
        <v>46.153846153846153</v>
      </c>
      <c r="P97" s="84">
        <f t="shared" si="62"/>
        <v>0</v>
      </c>
      <c r="Q97" s="84">
        <f t="shared" si="62"/>
        <v>46.153846153846153</v>
      </c>
      <c r="R97" s="84">
        <f t="shared" si="62"/>
        <v>0</v>
      </c>
      <c r="S97" s="84">
        <f t="shared" si="62"/>
        <v>46.153846153846153</v>
      </c>
      <c r="T97" s="84">
        <f t="shared" si="62"/>
        <v>0</v>
      </c>
      <c r="U97" s="84">
        <f t="shared" si="62"/>
        <v>46.153846153846153</v>
      </c>
      <c r="V97" s="84">
        <f t="shared" si="62"/>
        <v>46.153846153846153</v>
      </c>
      <c r="W97" s="84">
        <f t="shared" si="62"/>
        <v>0</v>
      </c>
      <c r="X97" s="84">
        <f t="shared" si="62"/>
        <v>46.153846153846153</v>
      </c>
      <c r="Y97" s="84">
        <f t="shared" si="62"/>
        <v>0</v>
      </c>
      <c r="Z97" s="84">
        <f t="shared" si="62"/>
        <v>46.153846153846153</v>
      </c>
      <c r="AA97" s="84">
        <f t="shared" si="62"/>
        <v>0</v>
      </c>
      <c r="AB97" s="84">
        <f t="shared" si="62"/>
        <v>46.153846153846153</v>
      </c>
      <c r="AC97" s="84">
        <f t="shared" si="62"/>
        <v>0</v>
      </c>
      <c r="AD97" s="84">
        <f t="shared" si="62"/>
        <v>46.153846153846153</v>
      </c>
      <c r="AE97" s="84">
        <f t="shared" si="62"/>
        <v>0</v>
      </c>
      <c r="AF97" s="84">
        <f t="shared" si="62"/>
        <v>46.153846153846153</v>
      </c>
      <c r="AG97" s="84">
        <f t="shared" si="62"/>
        <v>46.153846153846153</v>
      </c>
      <c r="AH97" s="84">
        <f t="shared" si="62"/>
        <v>0</v>
      </c>
      <c r="AI97" s="84">
        <f t="shared" si="62"/>
        <v>46.153846153846153</v>
      </c>
      <c r="AJ97" s="84">
        <f t="shared" si="62"/>
        <v>46.153846153846153</v>
      </c>
      <c r="AK97" s="84">
        <f t="shared" si="62"/>
        <v>0</v>
      </c>
      <c r="AL97" s="84">
        <f t="shared" si="62"/>
        <v>46.153846153846153</v>
      </c>
      <c r="AM97" s="84">
        <f t="shared" si="62"/>
        <v>0</v>
      </c>
      <c r="AN97" s="84">
        <f t="shared" si="62"/>
        <v>46.153846153846153</v>
      </c>
      <c r="AO97" s="84">
        <f t="shared" si="62"/>
        <v>46.153846153846153</v>
      </c>
      <c r="AP97" s="84">
        <f t="shared" si="62"/>
        <v>46.153846153846153</v>
      </c>
      <c r="AQ97" s="84">
        <f t="shared" si="62"/>
        <v>0</v>
      </c>
      <c r="AR97" s="84">
        <f t="shared" si="62"/>
        <v>46.153846153846153</v>
      </c>
      <c r="AS97" s="174">
        <f>IFERROR(40*(48/52)/AS82,0)+N("35 hours but adjusted to 40 to account for Director of OT")</f>
        <v>0</v>
      </c>
      <c r="AT97" s="84">
        <f t="shared" si="62"/>
        <v>46.153846153846153</v>
      </c>
      <c r="AU97" s="84">
        <f t="shared" si="62"/>
        <v>46.153846153846153</v>
      </c>
      <c r="AV97" s="84">
        <f t="shared" si="62"/>
        <v>46.153846153846153</v>
      </c>
      <c r="AW97" s="84">
        <f t="shared" si="62"/>
        <v>46.153846153846153</v>
      </c>
      <c r="AX97" s="84">
        <f t="shared" si="62"/>
        <v>46.153846153846153</v>
      </c>
      <c r="AY97" s="84">
        <f t="shared" si="62"/>
        <v>46.153846153846153</v>
      </c>
      <c r="AZ97" s="84">
        <f t="shared" si="62"/>
        <v>0</v>
      </c>
      <c r="BA97" s="84">
        <f t="shared" si="62"/>
        <v>0</v>
      </c>
      <c r="BB97" s="84">
        <f t="shared" ref="BB97:BC97" si="64">IFERROR(40*(48/52)/BB82,0)+N("35 hours but adjusted to 40 to account for Director of OT")</f>
        <v>0</v>
      </c>
      <c r="BC97" s="84">
        <f t="shared" si="64"/>
        <v>0</v>
      </c>
      <c r="BD97" s="84">
        <f t="shared" si="62"/>
        <v>0</v>
      </c>
      <c r="BE97" s="202"/>
      <c r="BF97" s="202"/>
      <c r="BG97" s="202"/>
      <c r="BH97" s="202"/>
      <c r="BO97" s="202"/>
      <c r="BP97" s="202"/>
    </row>
    <row r="98" spans="1:68" outlineLevel="1" x14ac:dyDescent="0.25">
      <c r="A98" s="214" t="s">
        <v>308</v>
      </c>
      <c r="B98" s="162" t="s">
        <v>333</v>
      </c>
      <c r="C98" s="29" t="s">
        <v>334</v>
      </c>
      <c r="D98" s="84">
        <f t="shared" ref="D98:AI98" si="65">IFERROR(42*(40/D81)/(3/D9),0)+N("35 hours but adjusted to 40 to account for Director of Psych")</f>
        <v>0</v>
      </c>
      <c r="E98" s="84">
        <f t="shared" ref="E98:H98" si="66">IFERROR(42*(40/E81)/(3/E9),0)+N("35 hours but adjusted to 40 to account for Director of Psych")</f>
        <v>0</v>
      </c>
      <c r="F98" s="84">
        <f t="shared" si="66"/>
        <v>0</v>
      </c>
      <c r="G98" s="84">
        <f t="shared" si="66"/>
        <v>0</v>
      </c>
      <c r="H98" s="84">
        <f t="shared" si="66"/>
        <v>0</v>
      </c>
      <c r="I98" s="84">
        <f t="shared" si="65"/>
        <v>112</v>
      </c>
      <c r="J98" s="84">
        <f t="shared" si="65"/>
        <v>0</v>
      </c>
      <c r="K98" s="84">
        <f t="shared" si="65"/>
        <v>112</v>
      </c>
      <c r="L98" s="84">
        <f t="shared" ref="L98" si="67">IFERROR(42*(40/L81)/(3/L9),0)+N("35 hours but adjusted to 40 to account for Director of Psych")</f>
        <v>0</v>
      </c>
      <c r="M98" s="84">
        <f t="shared" si="65"/>
        <v>112</v>
      </c>
      <c r="N98" s="84">
        <f t="shared" si="65"/>
        <v>112</v>
      </c>
      <c r="O98" s="84">
        <f t="shared" si="65"/>
        <v>112</v>
      </c>
      <c r="P98" s="84">
        <f t="shared" si="65"/>
        <v>0</v>
      </c>
      <c r="Q98" s="84">
        <f t="shared" si="65"/>
        <v>112</v>
      </c>
      <c r="R98" s="84">
        <f t="shared" si="65"/>
        <v>0</v>
      </c>
      <c r="S98" s="84">
        <f t="shared" si="65"/>
        <v>112</v>
      </c>
      <c r="T98" s="84">
        <f t="shared" si="65"/>
        <v>0</v>
      </c>
      <c r="U98" s="84">
        <f t="shared" si="65"/>
        <v>112</v>
      </c>
      <c r="V98" s="84">
        <f t="shared" si="65"/>
        <v>112</v>
      </c>
      <c r="W98" s="84">
        <f t="shared" si="65"/>
        <v>0</v>
      </c>
      <c r="X98" s="84">
        <f t="shared" si="65"/>
        <v>112</v>
      </c>
      <c r="Y98" s="84">
        <f t="shared" si="65"/>
        <v>0</v>
      </c>
      <c r="Z98" s="84">
        <f t="shared" si="65"/>
        <v>112</v>
      </c>
      <c r="AA98" s="84">
        <f t="shared" si="65"/>
        <v>0</v>
      </c>
      <c r="AB98" s="84">
        <f t="shared" si="65"/>
        <v>112</v>
      </c>
      <c r="AC98" s="84">
        <f t="shared" si="65"/>
        <v>0</v>
      </c>
      <c r="AD98" s="84">
        <f t="shared" si="65"/>
        <v>112</v>
      </c>
      <c r="AE98" s="84">
        <f t="shared" si="65"/>
        <v>0</v>
      </c>
      <c r="AF98" s="84">
        <f t="shared" si="65"/>
        <v>112</v>
      </c>
      <c r="AG98" s="84">
        <f t="shared" si="65"/>
        <v>112</v>
      </c>
      <c r="AH98" s="84">
        <f t="shared" si="65"/>
        <v>0</v>
      </c>
      <c r="AI98" s="84">
        <f t="shared" si="65"/>
        <v>112</v>
      </c>
      <c r="AJ98" s="84">
        <f t="shared" ref="AJ98:BD98" si="68">IFERROR(42*(40/AJ81)/(3/AJ9),0)+N("35 hours but adjusted to 40 to account for Director of Psych")</f>
        <v>112</v>
      </c>
      <c r="AK98" s="84">
        <f t="shared" si="68"/>
        <v>0</v>
      </c>
      <c r="AL98" s="84">
        <f t="shared" si="68"/>
        <v>112</v>
      </c>
      <c r="AM98" s="84">
        <f t="shared" si="68"/>
        <v>0</v>
      </c>
      <c r="AN98" s="84">
        <f t="shared" si="68"/>
        <v>112</v>
      </c>
      <c r="AO98" s="84">
        <f t="shared" si="68"/>
        <v>112</v>
      </c>
      <c r="AP98" s="84">
        <f t="shared" si="68"/>
        <v>112</v>
      </c>
      <c r="AQ98" s="84">
        <f t="shared" si="68"/>
        <v>0</v>
      </c>
      <c r="AR98" s="84">
        <f t="shared" si="68"/>
        <v>112</v>
      </c>
      <c r="AS98" s="174">
        <f>IFERROR(42*(40/AS81)/(3/AS9),0)+N("35 hours but adjusted to 40 to account for Director of Psych")</f>
        <v>0</v>
      </c>
      <c r="AT98" s="84">
        <f t="shared" si="68"/>
        <v>112</v>
      </c>
      <c r="AU98" s="84">
        <f t="shared" si="68"/>
        <v>112</v>
      </c>
      <c r="AV98" s="84">
        <f t="shared" si="68"/>
        <v>140</v>
      </c>
      <c r="AW98" s="84">
        <f t="shared" si="68"/>
        <v>140</v>
      </c>
      <c r="AX98" s="84">
        <f t="shared" si="68"/>
        <v>224</v>
      </c>
      <c r="AY98" s="84">
        <f t="shared" si="68"/>
        <v>224</v>
      </c>
      <c r="AZ98" s="84">
        <f t="shared" si="68"/>
        <v>0</v>
      </c>
      <c r="BA98" s="84">
        <f t="shared" si="68"/>
        <v>0</v>
      </c>
      <c r="BB98" s="84">
        <f t="shared" ref="BB98:BC98" si="69">IFERROR(42*(40/BB81)/(3/BB9),0)+N("35 hours but adjusted to 40 to account for Director of Psych")</f>
        <v>0</v>
      </c>
      <c r="BC98" s="84">
        <f t="shared" si="69"/>
        <v>0</v>
      </c>
      <c r="BD98" s="84">
        <f t="shared" si="68"/>
        <v>0</v>
      </c>
      <c r="BE98" s="202"/>
      <c r="BF98" s="202"/>
      <c r="BG98" s="202"/>
      <c r="BH98" s="202"/>
      <c r="BO98" s="202"/>
      <c r="BP98" s="202"/>
    </row>
    <row r="99" spans="1:68" outlineLevel="1" x14ac:dyDescent="0.25">
      <c r="A99" s="202"/>
      <c r="B99" s="111"/>
      <c r="C99" s="202"/>
      <c r="D99" s="18"/>
      <c r="E99" s="84"/>
      <c r="F99" s="84"/>
      <c r="G99" s="84"/>
      <c r="H99" s="84"/>
      <c r="I99" s="84"/>
      <c r="J99" s="84"/>
      <c r="K99" s="84"/>
      <c r="L99" s="84"/>
      <c r="M99" s="84"/>
      <c r="N99" s="84"/>
      <c r="O99" s="84"/>
      <c r="P99" s="84"/>
      <c r="Q99" s="84"/>
      <c r="R99" s="84"/>
      <c r="S99" s="84"/>
      <c r="T99" s="84"/>
      <c r="U99" s="84"/>
      <c r="V99" s="84"/>
      <c r="W99" s="84"/>
      <c r="X99" s="84"/>
      <c r="Y99" s="84"/>
      <c r="Z99" s="84"/>
      <c r="AA99" s="84"/>
      <c r="AB99" s="84"/>
      <c r="AC99" s="84"/>
      <c r="AD99" s="84"/>
      <c r="AE99" s="84"/>
      <c r="AF99" s="84"/>
      <c r="AG99" s="84"/>
      <c r="AH99" s="84"/>
      <c r="AI99" s="84"/>
      <c r="AJ99" s="84"/>
      <c r="AK99" s="84"/>
      <c r="AL99" s="84"/>
      <c r="AM99" s="84"/>
      <c r="AN99" s="84"/>
      <c r="AO99" s="84"/>
      <c r="AP99" s="84"/>
      <c r="AQ99" s="84"/>
      <c r="AR99" s="84"/>
      <c r="AS99" s="174"/>
      <c r="AT99" s="84"/>
      <c r="AU99" s="84"/>
      <c r="AV99" s="84"/>
      <c r="AW99" s="84"/>
      <c r="AX99" s="84"/>
      <c r="AY99" s="84"/>
      <c r="AZ99" s="84"/>
      <c r="BA99" s="84"/>
      <c r="BB99" s="84"/>
      <c r="BC99" s="84"/>
      <c r="BD99" s="84"/>
      <c r="BE99" s="202"/>
      <c r="BF99" s="202"/>
      <c r="BG99" s="202"/>
      <c r="BH99" s="202"/>
      <c r="BO99" s="202"/>
      <c r="BP99" s="202"/>
    </row>
    <row r="100" spans="1:68" x14ac:dyDescent="0.25">
      <c r="A100" s="202"/>
      <c r="B100" s="202"/>
      <c r="C100" s="18"/>
      <c r="D100" s="18"/>
      <c r="E100" s="18"/>
      <c r="F100" s="18"/>
      <c r="G100" s="18"/>
      <c r="H100" s="18"/>
      <c r="I100" s="202"/>
      <c r="J100" s="202"/>
      <c r="K100" s="202"/>
      <c r="L100" s="202"/>
      <c r="M100" s="202"/>
      <c r="N100" s="202"/>
      <c r="O100" s="202"/>
      <c r="P100" s="202"/>
      <c r="Q100" s="202"/>
      <c r="R100" s="202"/>
      <c r="S100" s="202"/>
      <c r="T100" s="202"/>
      <c r="U100" s="202"/>
      <c r="V100" s="202"/>
      <c r="W100" s="202"/>
      <c r="X100" s="202"/>
      <c r="Y100" s="202"/>
      <c r="Z100" s="202"/>
      <c r="AA100" s="202"/>
      <c r="AB100" s="202"/>
      <c r="AC100" s="202"/>
      <c r="AD100" s="202"/>
      <c r="AE100" s="202"/>
      <c r="AF100" s="202"/>
      <c r="AG100" s="202"/>
      <c r="AH100" s="202"/>
      <c r="AI100" s="202"/>
      <c r="AJ100" s="202"/>
      <c r="AK100" s="202"/>
      <c r="AL100" s="202"/>
      <c r="AM100" s="202"/>
      <c r="AN100" s="202"/>
      <c r="AO100" s="202"/>
      <c r="AP100" s="202"/>
      <c r="AQ100" s="202"/>
      <c r="AR100" s="202"/>
      <c r="AS100" s="202"/>
      <c r="AT100" s="202"/>
      <c r="AU100" s="202"/>
      <c r="AV100" s="202"/>
      <c r="AW100" s="202"/>
      <c r="AX100" s="202"/>
      <c r="AY100" s="202"/>
      <c r="AZ100" s="202"/>
      <c r="BA100" s="202"/>
      <c r="BB100" s="202"/>
      <c r="BC100" s="202"/>
      <c r="BD100" s="202"/>
      <c r="BE100" s="202"/>
      <c r="BF100" s="202"/>
      <c r="BG100" s="202"/>
      <c r="BH100" s="202"/>
      <c r="BO100" s="202"/>
      <c r="BP100" s="202"/>
    </row>
    <row r="101" spans="1:68" x14ac:dyDescent="0.25">
      <c r="A101" s="202"/>
      <c r="B101" s="18"/>
      <c r="C101" s="18"/>
      <c r="D101" s="18"/>
      <c r="E101" s="18"/>
      <c r="F101" s="18"/>
      <c r="G101" s="18"/>
      <c r="H101" s="18"/>
      <c r="I101" s="202"/>
      <c r="J101" s="202"/>
      <c r="K101" s="202"/>
      <c r="L101" s="202"/>
      <c r="M101" s="202"/>
      <c r="N101" s="202"/>
      <c r="O101" s="202"/>
      <c r="P101" s="202"/>
      <c r="Q101" s="202"/>
      <c r="R101" s="202"/>
      <c r="S101" s="202"/>
      <c r="T101" s="202"/>
      <c r="U101" s="202"/>
      <c r="V101" s="202"/>
      <c r="W101" s="202"/>
      <c r="X101" s="202"/>
      <c r="Y101" s="202"/>
      <c r="Z101" s="202"/>
      <c r="AA101" s="202"/>
      <c r="AB101" s="202"/>
      <c r="AC101" s="202"/>
      <c r="AD101" s="202"/>
      <c r="AE101" s="202"/>
      <c r="AF101" s="202"/>
      <c r="AG101" s="202"/>
      <c r="AH101" s="202"/>
      <c r="AI101" s="202"/>
      <c r="AJ101" s="202"/>
      <c r="AK101" s="202"/>
      <c r="AL101" s="202"/>
      <c r="AM101" s="202"/>
      <c r="AN101" s="202"/>
      <c r="AO101" s="202"/>
      <c r="AP101" s="202"/>
      <c r="AQ101" s="202"/>
      <c r="AR101" s="202"/>
      <c r="AS101" s="202"/>
      <c r="AT101" s="202"/>
      <c r="AU101" s="202"/>
      <c r="AV101" s="202"/>
      <c r="AW101" s="202"/>
      <c r="AX101" s="202"/>
      <c r="AY101" s="202"/>
      <c r="AZ101" s="202"/>
      <c r="BA101" s="202"/>
      <c r="BB101" s="202"/>
      <c r="BC101" s="202"/>
      <c r="BD101" s="202"/>
      <c r="BE101" s="202"/>
      <c r="BF101" s="202"/>
      <c r="BG101" s="202"/>
      <c r="BH101" s="202"/>
      <c r="BO101" s="202"/>
      <c r="BP101" s="202"/>
    </row>
    <row r="102" spans="1:68" x14ac:dyDescent="0.25">
      <c r="A102" s="202"/>
      <c r="B102" s="18"/>
      <c r="C102" s="18"/>
      <c r="D102" s="18"/>
      <c r="E102" s="18"/>
      <c r="F102" s="18"/>
      <c r="G102" s="18"/>
      <c r="H102" s="18"/>
      <c r="I102" s="202"/>
      <c r="J102" s="202"/>
      <c r="K102" s="202"/>
      <c r="L102" s="202"/>
      <c r="M102" s="202"/>
      <c r="N102" s="202"/>
      <c r="O102" s="202"/>
      <c r="P102" s="202"/>
      <c r="Q102" s="202"/>
      <c r="R102" s="202"/>
      <c r="S102" s="202"/>
      <c r="T102" s="202"/>
      <c r="U102" s="202"/>
      <c r="V102" s="202"/>
      <c r="W102" s="202"/>
      <c r="X102" s="202"/>
      <c r="Y102" s="202"/>
      <c r="Z102" s="202"/>
      <c r="AA102" s="202"/>
      <c r="AB102" s="202"/>
      <c r="AC102" s="202"/>
      <c r="AD102" s="202"/>
      <c r="AE102" s="202"/>
      <c r="AF102" s="202"/>
      <c r="AG102" s="202"/>
      <c r="AH102" s="202"/>
      <c r="AI102" s="202"/>
      <c r="AJ102" s="202"/>
      <c r="AK102" s="202"/>
      <c r="AL102" s="202"/>
      <c r="AM102" s="202"/>
      <c r="AN102" s="202"/>
      <c r="AO102" s="202"/>
      <c r="AP102" s="202"/>
      <c r="AQ102" s="202"/>
      <c r="AR102" s="202"/>
      <c r="AS102" s="202"/>
      <c r="AT102" s="202"/>
      <c r="AU102" s="202"/>
      <c r="AV102" s="202"/>
      <c r="AW102" s="202"/>
      <c r="AX102" s="202"/>
      <c r="AY102" s="202"/>
      <c r="AZ102" s="202"/>
      <c r="BA102" s="202"/>
      <c r="BB102" s="202"/>
      <c r="BC102" s="202"/>
      <c r="BD102" s="202"/>
      <c r="BE102" s="202"/>
      <c r="BF102" s="202"/>
      <c r="BG102" s="202"/>
      <c r="BH102" s="202"/>
      <c r="BO102" s="202"/>
      <c r="BP102" s="202"/>
    </row>
    <row r="103" spans="1:68" x14ac:dyDescent="0.25">
      <c r="A103" s="202"/>
      <c r="B103" s="18"/>
      <c r="C103" s="18"/>
      <c r="D103" s="112" t="str">
        <f>"Primary pay rate adjusted (25% pay increase for Service B hours.)"</f>
        <v>Primary pay rate adjusted (25% pay increase for Service B hours.)</v>
      </c>
      <c r="E103" s="18"/>
      <c r="F103" s="18"/>
      <c r="G103" s="18"/>
      <c r="H103" s="18"/>
      <c r="I103" s="202"/>
      <c r="J103" s="202"/>
      <c r="K103" s="202"/>
      <c r="L103" s="202"/>
      <c r="M103" s="202"/>
      <c r="N103" s="202"/>
      <c r="O103" s="202"/>
      <c r="P103" s="202"/>
      <c r="Q103" s="202"/>
      <c r="R103" s="202"/>
      <c r="S103" s="202"/>
      <c r="T103" s="202"/>
      <c r="U103" s="202"/>
      <c r="V103" s="202"/>
      <c r="W103" s="202"/>
      <c r="X103" s="202"/>
      <c r="Y103" s="202"/>
      <c r="Z103" s="202"/>
      <c r="AA103" s="202"/>
      <c r="AB103" s="202"/>
      <c r="AC103" s="202"/>
      <c r="AD103" s="202"/>
      <c r="AE103" s="202"/>
      <c r="AF103" s="202"/>
      <c r="AG103" s="202"/>
      <c r="AH103" s="202"/>
      <c r="AI103" s="202"/>
      <c r="AJ103" s="202"/>
      <c r="AK103" s="202"/>
      <c r="AL103" s="202"/>
      <c r="AM103" s="202"/>
      <c r="AN103" s="202"/>
      <c r="AO103" s="202"/>
      <c r="AP103" s="202"/>
      <c r="AQ103" s="202"/>
      <c r="AR103" s="202"/>
      <c r="AS103" s="202"/>
      <c r="AT103" s="202"/>
      <c r="AU103" s="202"/>
      <c r="AV103" s="202"/>
      <c r="AW103" s="202"/>
      <c r="AX103" s="202"/>
      <c r="AY103" s="202"/>
      <c r="AZ103" s="202"/>
      <c r="BA103" s="202"/>
      <c r="BB103" s="202"/>
      <c r="BC103" s="202"/>
      <c r="BD103" s="202"/>
      <c r="BE103" s="202"/>
      <c r="BF103" s="202"/>
      <c r="BG103" s="202"/>
      <c r="BH103" s="202"/>
      <c r="BO103" s="202"/>
      <c r="BP103" s="202"/>
    </row>
    <row r="104" spans="1:68" x14ac:dyDescent="0.25">
      <c r="A104" s="202"/>
      <c r="B104" s="23" t="s">
        <v>116</v>
      </c>
      <c r="C104" s="23"/>
      <c r="D104" s="112" t="s">
        <v>342</v>
      </c>
      <c r="E104" s="33"/>
      <c r="F104" s="33"/>
      <c r="G104" s="33"/>
      <c r="H104" s="33"/>
      <c r="I104" s="202"/>
      <c r="J104" s="202"/>
      <c r="K104" s="202"/>
      <c r="L104" s="202"/>
      <c r="M104" s="202"/>
      <c r="N104" s="202"/>
      <c r="O104" s="202"/>
      <c r="P104" s="202"/>
      <c r="Q104" s="202"/>
      <c r="R104" s="202"/>
      <c r="S104" s="202"/>
      <c r="T104" s="202"/>
      <c r="U104" s="202"/>
      <c r="V104" s="202"/>
      <c r="W104" s="202"/>
      <c r="X104" s="202"/>
      <c r="Y104" s="202"/>
      <c r="Z104" s="202"/>
      <c r="AA104" s="202"/>
      <c r="AB104" s="202"/>
      <c r="AC104" s="202"/>
      <c r="AD104" s="202"/>
      <c r="AE104" s="202"/>
      <c r="AF104" s="202"/>
      <c r="AG104" s="202"/>
      <c r="AH104" s="202"/>
      <c r="AI104" s="202"/>
      <c r="AJ104" s="202"/>
      <c r="AK104" s="202"/>
      <c r="AL104" s="202"/>
      <c r="AM104" s="202"/>
      <c r="AN104" s="202"/>
      <c r="AO104" s="202"/>
      <c r="AP104" s="202"/>
      <c r="AQ104" s="202"/>
      <c r="AR104" s="202"/>
      <c r="AS104" s="202"/>
      <c r="AT104" s="202"/>
      <c r="AU104" s="202"/>
      <c r="AV104" s="202"/>
      <c r="AW104" s="202"/>
      <c r="AX104" s="202"/>
      <c r="AY104" s="202"/>
      <c r="AZ104" s="202"/>
      <c r="BA104" s="202"/>
      <c r="BB104" s="202"/>
      <c r="BC104" s="202"/>
      <c r="BD104" s="202"/>
      <c r="BE104" s="202"/>
      <c r="BF104" s="202"/>
      <c r="BG104" s="202"/>
      <c r="BH104" s="202"/>
      <c r="BI104" s="2" t="s">
        <v>209</v>
      </c>
      <c r="BO104" s="202"/>
      <c r="BP104" s="202"/>
    </row>
    <row r="105" spans="1:68" outlineLevel="1" x14ac:dyDescent="0.25">
      <c r="A105" s="202"/>
      <c r="B105" s="214" t="s">
        <v>309</v>
      </c>
      <c r="C105" s="24" t="s">
        <v>340</v>
      </c>
      <c r="D105" s="31">
        <v>0</v>
      </c>
      <c r="E105" s="31">
        <v>0</v>
      </c>
      <c r="F105" s="31">
        <v>0</v>
      </c>
      <c r="G105" s="31">
        <v>0</v>
      </c>
      <c r="H105" s="31">
        <v>0</v>
      </c>
      <c r="I105" s="45">
        <v>26</v>
      </c>
      <c r="J105" s="45">
        <v>27</v>
      </c>
      <c r="K105" s="45">
        <v>26</v>
      </c>
      <c r="L105" s="45">
        <v>27</v>
      </c>
      <c r="M105" s="45">
        <v>33</v>
      </c>
      <c r="N105" s="45">
        <v>33</v>
      </c>
      <c r="O105" s="45">
        <v>33</v>
      </c>
      <c r="P105" s="45">
        <v>37</v>
      </c>
      <c r="Q105" s="45">
        <v>33</v>
      </c>
      <c r="R105" s="45">
        <v>36</v>
      </c>
      <c r="S105" s="45">
        <v>33</v>
      </c>
      <c r="T105" s="45">
        <v>36</v>
      </c>
      <c r="U105" s="45">
        <v>33</v>
      </c>
      <c r="V105" s="45">
        <v>33</v>
      </c>
      <c r="W105" s="45">
        <v>36</v>
      </c>
      <c r="X105" s="45">
        <v>33</v>
      </c>
      <c r="Y105" s="45">
        <v>37</v>
      </c>
      <c r="Z105" s="45">
        <v>33</v>
      </c>
      <c r="AA105" s="45">
        <v>37</v>
      </c>
      <c r="AB105" s="45">
        <v>33</v>
      </c>
      <c r="AC105" s="45">
        <v>36</v>
      </c>
      <c r="AD105" s="45">
        <v>33</v>
      </c>
      <c r="AE105" s="45">
        <v>36</v>
      </c>
      <c r="AF105" s="45">
        <v>33</v>
      </c>
      <c r="AG105" s="45">
        <v>33</v>
      </c>
      <c r="AH105" s="45">
        <v>36</v>
      </c>
      <c r="AI105" s="45">
        <v>33</v>
      </c>
      <c r="AJ105" s="45">
        <v>33</v>
      </c>
      <c r="AK105" s="45">
        <v>36</v>
      </c>
      <c r="AL105" s="45">
        <v>33</v>
      </c>
      <c r="AM105" s="45">
        <v>36</v>
      </c>
      <c r="AN105" s="45">
        <v>33</v>
      </c>
      <c r="AO105" s="45">
        <v>33</v>
      </c>
      <c r="AP105" s="45">
        <v>33</v>
      </c>
      <c r="AQ105" s="45">
        <v>36</v>
      </c>
      <c r="AR105" s="45">
        <v>25</v>
      </c>
      <c r="AS105" s="45">
        <v>26.5</v>
      </c>
      <c r="AT105" s="45">
        <v>25</v>
      </c>
      <c r="AU105" s="45">
        <v>25</v>
      </c>
      <c r="AV105" s="45">
        <v>25</v>
      </c>
      <c r="AW105" s="45">
        <v>25</v>
      </c>
      <c r="AX105" s="45">
        <v>25</v>
      </c>
      <c r="AY105" s="45">
        <v>25</v>
      </c>
      <c r="AZ105" s="45">
        <v>26.5</v>
      </c>
      <c r="BA105" s="45">
        <v>25</v>
      </c>
      <c r="BB105" s="45">
        <v>26</v>
      </c>
      <c r="BC105" s="45">
        <v>26</v>
      </c>
      <c r="BD105" s="45">
        <v>26</v>
      </c>
      <c r="BE105" s="202"/>
      <c r="BF105" s="202"/>
      <c r="BG105" s="202"/>
      <c r="BH105" s="202"/>
      <c r="BI105" t="str" cm="1">
        <f t="array" ref="BI105:BI118">Base!B85:B98</f>
        <v>Primary Direct Staff</v>
      </c>
      <c r="BJ105" s="37">
        <v>1</v>
      </c>
      <c r="BK105" s="37">
        <f t="shared" ref="BK105:BL118" si="70">BJ105*1.1</f>
        <v>1.1000000000000001</v>
      </c>
      <c r="BL105" s="37">
        <f t="shared" si="70"/>
        <v>1.2100000000000002</v>
      </c>
      <c r="BN105" s="96" t="s">
        <v>210</v>
      </c>
      <c r="BO105" s="202"/>
      <c r="BP105" s="202"/>
    </row>
    <row r="106" spans="1:68" outlineLevel="1" x14ac:dyDescent="0.25">
      <c r="A106" s="202"/>
      <c r="B106" s="214" t="s">
        <v>331</v>
      </c>
      <c r="C106" s="24" t="s">
        <v>340</v>
      </c>
      <c r="D106" s="31">
        <v>0</v>
      </c>
      <c r="E106" s="31">
        <v>0</v>
      </c>
      <c r="F106" s="31">
        <v>0</v>
      </c>
      <c r="G106" s="31">
        <v>0</v>
      </c>
      <c r="H106" s="31">
        <v>0</v>
      </c>
      <c r="I106" s="31">
        <v>75</v>
      </c>
      <c r="J106" s="31">
        <v>75</v>
      </c>
      <c r="K106" s="31">
        <v>75</v>
      </c>
      <c r="L106" s="31">
        <v>75</v>
      </c>
      <c r="M106" s="31">
        <v>85</v>
      </c>
      <c r="N106" s="31">
        <v>85</v>
      </c>
      <c r="O106" s="31">
        <v>85</v>
      </c>
      <c r="P106" s="31">
        <v>85</v>
      </c>
      <c r="Q106" s="31">
        <v>85</v>
      </c>
      <c r="R106" s="31">
        <v>85</v>
      </c>
      <c r="S106" s="31">
        <v>85</v>
      </c>
      <c r="T106" s="31">
        <v>85</v>
      </c>
      <c r="U106" s="31">
        <v>85</v>
      </c>
      <c r="V106" s="31">
        <v>85</v>
      </c>
      <c r="W106" s="31">
        <v>85</v>
      </c>
      <c r="X106" s="31">
        <v>85</v>
      </c>
      <c r="Y106" s="31">
        <v>85</v>
      </c>
      <c r="Z106" s="31">
        <v>85</v>
      </c>
      <c r="AA106" s="31">
        <v>85</v>
      </c>
      <c r="AB106" s="31">
        <v>85</v>
      </c>
      <c r="AC106" s="31">
        <v>85</v>
      </c>
      <c r="AD106" s="31">
        <v>85</v>
      </c>
      <c r="AE106" s="31">
        <v>85</v>
      </c>
      <c r="AF106" s="31">
        <v>85</v>
      </c>
      <c r="AG106" s="31">
        <v>85</v>
      </c>
      <c r="AH106" s="31">
        <v>85</v>
      </c>
      <c r="AI106" s="31">
        <v>85</v>
      </c>
      <c r="AJ106" s="31">
        <v>85</v>
      </c>
      <c r="AK106" s="31">
        <v>85</v>
      </c>
      <c r="AL106" s="31">
        <v>85</v>
      </c>
      <c r="AM106" s="31">
        <v>85</v>
      </c>
      <c r="AN106" s="31">
        <v>85</v>
      </c>
      <c r="AO106" s="31">
        <v>85</v>
      </c>
      <c r="AP106" s="31">
        <v>85</v>
      </c>
      <c r="AQ106" s="31">
        <v>85</v>
      </c>
      <c r="AR106" s="31">
        <v>85</v>
      </c>
      <c r="AS106" s="31">
        <v>85</v>
      </c>
      <c r="AT106" s="31">
        <v>85</v>
      </c>
      <c r="AU106" s="31">
        <v>85</v>
      </c>
      <c r="AV106" s="31">
        <v>85</v>
      </c>
      <c r="AW106" s="31">
        <v>85</v>
      </c>
      <c r="AX106" s="31">
        <v>85</v>
      </c>
      <c r="AY106" s="31">
        <v>85</v>
      </c>
      <c r="AZ106" s="31">
        <v>85</v>
      </c>
      <c r="BA106" s="31">
        <v>85</v>
      </c>
      <c r="BB106" s="31">
        <v>85</v>
      </c>
      <c r="BC106" s="31">
        <v>85</v>
      </c>
      <c r="BD106" s="31">
        <v>85</v>
      </c>
      <c r="BE106" s="202"/>
      <c r="BF106" s="202"/>
      <c r="BG106" s="202"/>
      <c r="BH106" s="202"/>
      <c r="BI106" t="str">
        <v>Secondary Direct Staff</v>
      </c>
      <c r="BJ106" s="37">
        <v>1</v>
      </c>
      <c r="BK106" s="37">
        <f t="shared" si="70"/>
        <v>1.1000000000000001</v>
      </c>
      <c r="BL106" s="37">
        <f t="shared" si="70"/>
        <v>1.2100000000000002</v>
      </c>
      <c r="BO106" s="202"/>
      <c r="BP106" s="202"/>
    </row>
    <row r="107" spans="1:68" outlineLevel="1" x14ac:dyDescent="0.25">
      <c r="A107" s="202"/>
      <c r="B107" s="214" t="s">
        <v>332</v>
      </c>
      <c r="C107" s="24" t="s">
        <v>340</v>
      </c>
      <c r="D107" s="31">
        <v>0</v>
      </c>
      <c r="E107" s="31">
        <v>0</v>
      </c>
      <c r="F107" s="31">
        <v>0</v>
      </c>
      <c r="G107" s="31">
        <v>0</v>
      </c>
      <c r="H107" s="31">
        <v>0</v>
      </c>
      <c r="I107" s="31">
        <v>75</v>
      </c>
      <c r="J107" s="31">
        <v>75</v>
      </c>
      <c r="K107" s="31">
        <v>75</v>
      </c>
      <c r="L107" s="31">
        <v>75</v>
      </c>
      <c r="M107" s="31">
        <v>85</v>
      </c>
      <c r="N107" s="31">
        <v>85</v>
      </c>
      <c r="O107" s="31">
        <v>85</v>
      </c>
      <c r="P107" s="31">
        <v>85</v>
      </c>
      <c r="Q107" s="31">
        <v>85</v>
      </c>
      <c r="R107" s="31">
        <v>85</v>
      </c>
      <c r="S107" s="31">
        <v>85</v>
      </c>
      <c r="T107" s="31">
        <v>85</v>
      </c>
      <c r="U107" s="31">
        <v>85</v>
      </c>
      <c r="V107" s="31">
        <v>85</v>
      </c>
      <c r="W107" s="31">
        <v>85</v>
      </c>
      <c r="X107" s="31">
        <v>85</v>
      </c>
      <c r="Y107" s="31">
        <v>85</v>
      </c>
      <c r="Z107" s="31">
        <v>85</v>
      </c>
      <c r="AA107" s="31">
        <v>85</v>
      </c>
      <c r="AB107" s="31">
        <v>85</v>
      </c>
      <c r="AC107" s="31">
        <v>85</v>
      </c>
      <c r="AD107" s="31">
        <v>85</v>
      </c>
      <c r="AE107" s="31">
        <v>85</v>
      </c>
      <c r="AF107" s="31">
        <v>85</v>
      </c>
      <c r="AG107" s="31">
        <v>85</v>
      </c>
      <c r="AH107" s="31">
        <v>85</v>
      </c>
      <c r="AI107" s="31">
        <v>85</v>
      </c>
      <c r="AJ107" s="31">
        <v>85</v>
      </c>
      <c r="AK107" s="31">
        <v>85</v>
      </c>
      <c r="AL107" s="31">
        <v>85</v>
      </c>
      <c r="AM107" s="31">
        <v>85</v>
      </c>
      <c r="AN107" s="31">
        <v>85</v>
      </c>
      <c r="AO107" s="31">
        <v>85</v>
      </c>
      <c r="AP107" s="31">
        <v>85</v>
      </c>
      <c r="AQ107" s="31">
        <v>85</v>
      </c>
      <c r="AR107" s="31">
        <v>85</v>
      </c>
      <c r="AS107" s="31">
        <v>85</v>
      </c>
      <c r="AT107" s="31">
        <v>85</v>
      </c>
      <c r="AU107" s="31">
        <v>85</v>
      </c>
      <c r="AV107" s="31">
        <v>85</v>
      </c>
      <c r="AW107" s="31">
        <v>85</v>
      </c>
      <c r="AX107" s="31">
        <v>85</v>
      </c>
      <c r="AY107" s="31">
        <v>85</v>
      </c>
      <c r="AZ107" s="31">
        <v>85</v>
      </c>
      <c r="BA107" s="31">
        <v>85</v>
      </c>
      <c r="BB107" s="31">
        <v>85</v>
      </c>
      <c r="BC107" s="31">
        <v>85</v>
      </c>
      <c r="BD107" s="31">
        <v>85</v>
      </c>
      <c r="BE107" s="202"/>
      <c r="BF107" s="202"/>
      <c r="BG107" s="202"/>
      <c r="BH107" s="202"/>
      <c r="BI107" t="str">
        <v>Center Manager</v>
      </c>
      <c r="BJ107" s="37">
        <v>1</v>
      </c>
      <c r="BK107" s="37">
        <f t="shared" si="70"/>
        <v>1.1000000000000001</v>
      </c>
      <c r="BL107" s="37">
        <f t="shared" si="70"/>
        <v>1.2100000000000002</v>
      </c>
      <c r="BO107" s="202"/>
      <c r="BP107" s="202"/>
    </row>
    <row r="108" spans="1:68" outlineLevel="1" x14ac:dyDescent="0.25">
      <c r="A108" s="202"/>
      <c r="B108" s="214" t="s">
        <v>309</v>
      </c>
      <c r="C108" s="24" t="s">
        <v>341</v>
      </c>
      <c r="D108" s="41">
        <f>D105*D74</f>
        <v>0</v>
      </c>
      <c r="E108" s="41">
        <f t="shared" ref="E108:H108" si="71">E105*E74</f>
        <v>0</v>
      </c>
      <c r="F108" s="41">
        <f t="shared" si="71"/>
        <v>0</v>
      </c>
      <c r="G108" s="41">
        <f t="shared" si="71"/>
        <v>0</v>
      </c>
      <c r="H108" s="41">
        <f t="shared" si="71"/>
        <v>0</v>
      </c>
      <c r="I108" s="41">
        <f>I105*SUM(I74:I75)*(52/12)*(52/48)</f>
        <v>2929.333333333333</v>
      </c>
      <c r="J108" s="41">
        <f t="shared" ref="J108:BD108" si="72">J105*SUM(J74:J75)*(52/12)*(52/48)</f>
        <v>1457.625</v>
      </c>
      <c r="K108" s="41">
        <f t="shared" si="72"/>
        <v>2929.333333333333</v>
      </c>
      <c r="L108" s="41">
        <f t="shared" si="72"/>
        <v>1457.625</v>
      </c>
      <c r="M108" s="41">
        <f t="shared" si="72"/>
        <v>3717.9999999999991</v>
      </c>
      <c r="N108" s="41">
        <f t="shared" si="72"/>
        <v>3717.9999999999991</v>
      </c>
      <c r="O108" s="41">
        <f t="shared" si="72"/>
        <v>3717.9999999999991</v>
      </c>
      <c r="P108" s="41">
        <f t="shared" si="72"/>
        <v>1910.6388888888887</v>
      </c>
      <c r="Q108" s="41">
        <f t="shared" si="72"/>
        <v>3717.9999999999991</v>
      </c>
      <c r="R108" s="41">
        <f t="shared" si="72"/>
        <v>1943.4999999999995</v>
      </c>
      <c r="S108" s="41">
        <f t="shared" si="72"/>
        <v>3717.9999999999991</v>
      </c>
      <c r="T108" s="41">
        <f t="shared" si="72"/>
        <v>1943.4999999999995</v>
      </c>
      <c r="U108" s="41">
        <f t="shared" si="72"/>
        <v>3717.9999999999991</v>
      </c>
      <c r="V108" s="41">
        <f t="shared" si="72"/>
        <v>3717.9999999999991</v>
      </c>
      <c r="W108" s="41">
        <f t="shared" si="72"/>
        <v>1943.4999999999995</v>
      </c>
      <c r="X108" s="41">
        <f t="shared" si="72"/>
        <v>3717.9999999999991</v>
      </c>
      <c r="Y108" s="41">
        <f t="shared" si="72"/>
        <v>1997.4861111111109</v>
      </c>
      <c r="Z108" s="41">
        <f t="shared" si="72"/>
        <v>3717.9999999999991</v>
      </c>
      <c r="AA108" s="41">
        <f t="shared" si="72"/>
        <v>1997.4861111111109</v>
      </c>
      <c r="AB108" s="41">
        <f t="shared" si="72"/>
        <v>3717.9999999999991</v>
      </c>
      <c r="AC108" s="41">
        <f t="shared" si="72"/>
        <v>1943.4999999999995</v>
      </c>
      <c r="AD108" s="41">
        <f t="shared" si="72"/>
        <v>3717.9999999999991</v>
      </c>
      <c r="AE108" s="41">
        <f t="shared" si="72"/>
        <v>1943.4999999999995</v>
      </c>
      <c r="AF108" s="41">
        <f t="shared" si="72"/>
        <v>3717.9999999999991</v>
      </c>
      <c r="AG108" s="41">
        <f t="shared" si="72"/>
        <v>3717.9999999999991</v>
      </c>
      <c r="AH108" s="41">
        <f t="shared" si="72"/>
        <v>1943.4999999999995</v>
      </c>
      <c r="AI108" s="41">
        <f t="shared" si="72"/>
        <v>3717.9999999999991</v>
      </c>
      <c r="AJ108" s="41">
        <f t="shared" si="72"/>
        <v>3717.9999999999991</v>
      </c>
      <c r="AK108" s="41">
        <f t="shared" si="72"/>
        <v>1943.4999999999995</v>
      </c>
      <c r="AL108" s="41">
        <f t="shared" si="72"/>
        <v>3717.9999999999991</v>
      </c>
      <c r="AM108" s="41">
        <f t="shared" si="72"/>
        <v>1943.4999999999995</v>
      </c>
      <c r="AN108" s="41">
        <f t="shared" si="72"/>
        <v>3717.9999999999991</v>
      </c>
      <c r="AO108" s="41">
        <f t="shared" si="72"/>
        <v>3717.9999999999991</v>
      </c>
      <c r="AP108" s="41">
        <f t="shared" si="72"/>
        <v>3717.9999999999991</v>
      </c>
      <c r="AQ108" s="41">
        <f t="shared" si="72"/>
        <v>1943.4999999999995</v>
      </c>
      <c r="AR108" s="41">
        <f t="shared" si="72"/>
        <v>2816.6666666666665</v>
      </c>
      <c r="AS108" s="41">
        <f t="shared" si="72"/>
        <v>1430.6319444444443</v>
      </c>
      <c r="AT108" s="41">
        <f t="shared" si="72"/>
        <v>2816.6666666666665</v>
      </c>
      <c r="AU108" s="41">
        <f t="shared" si="72"/>
        <v>2816.6666666666665</v>
      </c>
      <c r="AV108" s="41">
        <f t="shared" si="72"/>
        <v>2816.6666666666665</v>
      </c>
      <c r="AW108" s="41">
        <f t="shared" si="72"/>
        <v>2816.6666666666665</v>
      </c>
      <c r="AX108" s="41">
        <f t="shared" si="72"/>
        <v>2816.6666666666665</v>
      </c>
      <c r="AY108" s="41">
        <f t="shared" si="72"/>
        <v>2816.6666666666665</v>
      </c>
      <c r="AZ108" s="41">
        <f t="shared" si="72"/>
        <v>1430.6319444444443</v>
      </c>
      <c r="BA108" s="41">
        <f t="shared" si="72"/>
        <v>2816.6666666666665</v>
      </c>
      <c r="BB108" s="41">
        <f t="shared" si="72"/>
        <v>1403.6388888888887</v>
      </c>
      <c r="BC108" s="41">
        <f t="shared" si="72"/>
        <v>1403.6388888888887</v>
      </c>
      <c r="BD108" s="41">
        <f t="shared" si="72"/>
        <v>1403.6388888888887</v>
      </c>
      <c r="BE108" s="202"/>
      <c r="BF108" s="202"/>
      <c r="BG108" s="202"/>
      <c r="BH108" s="202"/>
      <c r="BI108" t="str">
        <v>Intake</v>
      </c>
      <c r="BJ108" s="37">
        <v>1</v>
      </c>
      <c r="BK108" s="37">
        <f t="shared" si="70"/>
        <v>1.1000000000000001</v>
      </c>
      <c r="BL108" s="37">
        <f t="shared" si="70"/>
        <v>1.2100000000000002</v>
      </c>
      <c r="BO108" s="202"/>
      <c r="BP108" s="202"/>
    </row>
    <row r="109" spans="1:68" outlineLevel="1" x14ac:dyDescent="0.25">
      <c r="A109" s="202"/>
      <c r="B109" s="214" t="s">
        <v>310</v>
      </c>
      <c r="C109" s="23"/>
      <c r="D109" s="31">
        <v>0</v>
      </c>
      <c r="E109" s="31">
        <v>0</v>
      </c>
      <c r="F109" s="31">
        <v>0</v>
      </c>
      <c r="G109" s="31">
        <v>0</v>
      </c>
      <c r="H109" s="31">
        <v>0</v>
      </c>
      <c r="I109" s="31">
        <f>(92000+96000)/2/12</f>
        <v>7833.333333333333</v>
      </c>
      <c r="J109" s="31">
        <f>(85000+98000)/2/12</f>
        <v>7625</v>
      </c>
      <c r="K109" s="31">
        <f>(92000+100000)/2/12</f>
        <v>8000</v>
      </c>
      <c r="L109" s="31">
        <f>(85000+98000)/2/12</f>
        <v>7625</v>
      </c>
      <c r="M109" s="31">
        <f t="shared" ref="M109:AQ109" si="73">(92000+105000)/2/12</f>
        <v>8208.3333333333339</v>
      </c>
      <c r="N109" s="31">
        <f t="shared" si="73"/>
        <v>8208.3333333333339</v>
      </c>
      <c r="O109" s="31">
        <f t="shared" si="73"/>
        <v>8208.3333333333339</v>
      </c>
      <c r="P109" s="31">
        <f t="shared" si="73"/>
        <v>8208.3333333333339</v>
      </c>
      <c r="Q109" s="31">
        <f t="shared" si="73"/>
        <v>8208.3333333333339</v>
      </c>
      <c r="R109" s="31">
        <f t="shared" si="73"/>
        <v>8208.3333333333339</v>
      </c>
      <c r="S109" s="31">
        <f t="shared" si="73"/>
        <v>8208.3333333333339</v>
      </c>
      <c r="T109" s="31">
        <f t="shared" si="73"/>
        <v>8208.3333333333339</v>
      </c>
      <c r="U109" s="31">
        <f t="shared" si="73"/>
        <v>8208.3333333333339</v>
      </c>
      <c r="V109" s="31">
        <f t="shared" si="73"/>
        <v>8208.3333333333339</v>
      </c>
      <c r="W109" s="31">
        <f t="shared" si="73"/>
        <v>8208.3333333333339</v>
      </c>
      <c r="X109" s="31">
        <f t="shared" si="73"/>
        <v>8208.3333333333339</v>
      </c>
      <c r="Y109" s="31">
        <f t="shared" si="73"/>
        <v>8208.3333333333339</v>
      </c>
      <c r="Z109" s="31">
        <f t="shared" si="73"/>
        <v>8208.3333333333339</v>
      </c>
      <c r="AA109" s="31">
        <f t="shared" si="73"/>
        <v>8208.3333333333339</v>
      </c>
      <c r="AB109" s="31">
        <f t="shared" si="73"/>
        <v>8208.3333333333339</v>
      </c>
      <c r="AC109" s="31">
        <f t="shared" si="73"/>
        <v>8208.3333333333339</v>
      </c>
      <c r="AD109" s="31">
        <f t="shared" si="73"/>
        <v>8208.3333333333339</v>
      </c>
      <c r="AE109" s="31">
        <f t="shared" si="73"/>
        <v>8208.3333333333339</v>
      </c>
      <c r="AF109" s="31">
        <f t="shared" si="73"/>
        <v>8208.3333333333339</v>
      </c>
      <c r="AG109" s="31">
        <f t="shared" si="73"/>
        <v>8208.3333333333339</v>
      </c>
      <c r="AH109" s="31">
        <f t="shared" si="73"/>
        <v>8208.3333333333339</v>
      </c>
      <c r="AI109" s="31">
        <f t="shared" si="73"/>
        <v>8208.3333333333339</v>
      </c>
      <c r="AJ109" s="31">
        <f t="shared" si="73"/>
        <v>8208.3333333333339</v>
      </c>
      <c r="AK109" s="31">
        <f t="shared" si="73"/>
        <v>8208.3333333333339</v>
      </c>
      <c r="AL109" s="31">
        <f t="shared" si="73"/>
        <v>8208.3333333333339</v>
      </c>
      <c r="AM109" s="31">
        <f t="shared" si="73"/>
        <v>8208.3333333333339</v>
      </c>
      <c r="AN109" s="31">
        <f t="shared" si="73"/>
        <v>8208.3333333333339</v>
      </c>
      <c r="AO109" s="31">
        <f t="shared" si="73"/>
        <v>8208.3333333333339</v>
      </c>
      <c r="AP109" s="31">
        <f t="shared" si="73"/>
        <v>8208.3333333333339</v>
      </c>
      <c r="AQ109" s="31">
        <f t="shared" si="73"/>
        <v>8208.3333333333339</v>
      </c>
      <c r="AR109" s="31">
        <f>(92000+100000)/2/12</f>
        <v>8000</v>
      </c>
      <c r="AS109" s="31">
        <f>(92000+100000)/2/12</f>
        <v>8000</v>
      </c>
      <c r="AT109" s="31">
        <f>(92000+100000)/2/12</f>
        <v>8000</v>
      </c>
      <c r="AU109" s="31">
        <f>(92000+100000)/2/12</f>
        <v>8000</v>
      </c>
      <c r="AV109" s="31">
        <f>(90000+95000)/2/12</f>
        <v>7708.333333333333</v>
      </c>
      <c r="AW109" s="31">
        <f>(90000+95000)/2/12</f>
        <v>7708.333333333333</v>
      </c>
      <c r="AX109" s="31">
        <f>(90000+95000)/2/12</f>
        <v>7708.333333333333</v>
      </c>
      <c r="AY109" s="31">
        <f>(90000+95000)/2/12</f>
        <v>7708.333333333333</v>
      </c>
      <c r="AZ109" s="31">
        <f>(80000+92000)/2/12</f>
        <v>7166.666666666667</v>
      </c>
      <c r="BA109" s="31">
        <f>(80000+90000)/2/12</f>
        <v>7083.333333333333</v>
      </c>
      <c r="BB109" s="31">
        <f>(80000+95000)/2/12</f>
        <v>7291.666666666667</v>
      </c>
      <c r="BC109" s="31">
        <f>(80000+95000)/2/12</f>
        <v>7291.666666666667</v>
      </c>
      <c r="BD109" s="31">
        <f>(80000+95000)/2/12</f>
        <v>7291.666666666667</v>
      </c>
      <c r="BE109" s="202"/>
      <c r="BF109" s="202"/>
      <c r="BG109" s="202"/>
      <c r="BH109" s="202"/>
      <c r="BI109" t="str">
        <v>Scheduler</v>
      </c>
      <c r="BJ109" s="37">
        <v>1</v>
      </c>
      <c r="BK109" s="37">
        <f t="shared" si="70"/>
        <v>1.1000000000000001</v>
      </c>
      <c r="BL109" s="37">
        <f t="shared" si="70"/>
        <v>1.2100000000000002</v>
      </c>
      <c r="BO109" s="202"/>
      <c r="BP109" s="202"/>
    </row>
    <row r="110" spans="1:68" outlineLevel="1" x14ac:dyDescent="0.25">
      <c r="A110" s="202"/>
      <c r="B110" s="214" t="s">
        <v>311</v>
      </c>
      <c r="C110" s="23"/>
      <c r="D110" s="31">
        <v>0</v>
      </c>
      <c r="E110" s="31">
        <v>0</v>
      </c>
      <c r="F110" s="31">
        <v>0</v>
      </c>
      <c r="G110" s="31">
        <v>0</v>
      </c>
      <c r="H110" s="31">
        <v>0</v>
      </c>
      <c r="I110" s="31">
        <f>90000/12</f>
        <v>7500</v>
      </c>
      <c r="J110" s="31">
        <f t="shared" ref="J110:L110" si="74">90000/12</f>
        <v>7500</v>
      </c>
      <c r="K110" s="31">
        <f t="shared" si="74"/>
        <v>7500</v>
      </c>
      <c r="L110" s="31">
        <f t="shared" si="74"/>
        <v>7500</v>
      </c>
      <c r="M110" s="31">
        <f t="shared" ref="M110:BD110" si="75">100000/12</f>
        <v>8333.3333333333339</v>
      </c>
      <c r="N110" s="31">
        <f t="shared" si="75"/>
        <v>8333.3333333333339</v>
      </c>
      <c r="O110" s="31">
        <f t="shared" si="75"/>
        <v>8333.3333333333339</v>
      </c>
      <c r="P110" s="31">
        <f t="shared" si="75"/>
        <v>8333.3333333333339</v>
      </c>
      <c r="Q110" s="31">
        <f t="shared" si="75"/>
        <v>8333.3333333333339</v>
      </c>
      <c r="R110" s="31">
        <f t="shared" si="75"/>
        <v>8333.3333333333339</v>
      </c>
      <c r="S110" s="31">
        <f t="shared" si="75"/>
        <v>8333.3333333333339</v>
      </c>
      <c r="T110" s="31">
        <f t="shared" si="75"/>
        <v>8333.3333333333339</v>
      </c>
      <c r="U110" s="31">
        <f t="shared" si="75"/>
        <v>8333.3333333333339</v>
      </c>
      <c r="V110" s="31">
        <f t="shared" si="75"/>
        <v>8333.3333333333339</v>
      </c>
      <c r="W110" s="31">
        <f t="shared" si="75"/>
        <v>8333.3333333333339</v>
      </c>
      <c r="X110" s="31">
        <f t="shared" si="75"/>
        <v>8333.3333333333339</v>
      </c>
      <c r="Y110" s="31">
        <f t="shared" si="75"/>
        <v>8333.3333333333339</v>
      </c>
      <c r="Z110" s="31">
        <f t="shared" si="75"/>
        <v>8333.3333333333339</v>
      </c>
      <c r="AA110" s="31">
        <f t="shared" si="75"/>
        <v>8333.3333333333339</v>
      </c>
      <c r="AB110" s="31">
        <f t="shared" si="75"/>
        <v>8333.3333333333339</v>
      </c>
      <c r="AC110" s="31">
        <f t="shared" si="75"/>
        <v>8333.3333333333339</v>
      </c>
      <c r="AD110" s="31">
        <f t="shared" si="75"/>
        <v>8333.3333333333339</v>
      </c>
      <c r="AE110" s="31">
        <f t="shared" si="75"/>
        <v>8333.3333333333339</v>
      </c>
      <c r="AF110" s="31">
        <f t="shared" si="75"/>
        <v>8333.3333333333339</v>
      </c>
      <c r="AG110" s="31">
        <f t="shared" si="75"/>
        <v>8333.3333333333339</v>
      </c>
      <c r="AH110" s="31">
        <f t="shared" si="75"/>
        <v>8333.3333333333339</v>
      </c>
      <c r="AI110" s="31">
        <f t="shared" si="75"/>
        <v>8333.3333333333339</v>
      </c>
      <c r="AJ110" s="31">
        <f t="shared" si="75"/>
        <v>8333.3333333333339</v>
      </c>
      <c r="AK110" s="31">
        <f t="shared" si="75"/>
        <v>8333.3333333333339</v>
      </c>
      <c r="AL110" s="31">
        <f t="shared" si="75"/>
        <v>8333.3333333333339</v>
      </c>
      <c r="AM110" s="31">
        <f t="shared" si="75"/>
        <v>8333.3333333333339</v>
      </c>
      <c r="AN110" s="31">
        <f t="shared" si="75"/>
        <v>8333.3333333333339</v>
      </c>
      <c r="AO110" s="31">
        <f t="shared" si="75"/>
        <v>8333.3333333333339</v>
      </c>
      <c r="AP110" s="31">
        <f t="shared" si="75"/>
        <v>8333.3333333333339</v>
      </c>
      <c r="AQ110" s="31">
        <f t="shared" si="75"/>
        <v>8333.3333333333339</v>
      </c>
      <c r="AR110" s="31">
        <f t="shared" ref="AR110:AU110" si="76">90000/12</f>
        <v>7500</v>
      </c>
      <c r="AS110" s="31">
        <f>90000/12</f>
        <v>7500</v>
      </c>
      <c r="AT110" s="31">
        <f t="shared" si="76"/>
        <v>7500</v>
      </c>
      <c r="AU110" s="31">
        <f t="shared" si="76"/>
        <v>7500</v>
      </c>
      <c r="AV110" s="31">
        <f t="shared" si="75"/>
        <v>8333.3333333333339</v>
      </c>
      <c r="AW110" s="31">
        <f t="shared" si="75"/>
        <v>8333.3333333333339</v>
      </c>
      <c r="AX110" s="31">
        <f t="shared" si="75"/>
        <v>8333.3333333333339</v>
      </c>
      <c r="AY110" s="31">
        <f t="shared" si="75"/>
        <v>8333.3333333333339</v>
      </c>
      <c r="AZ110" s="31">
        <f t="shared" si="75"/>
        <v>8333.3333333333339</v>
      </c>
      <c r="BA110" s="31">
        <f t="shared" si="75"/>
        <v>8333.3333333333339</v>
      </c>
      <c r="BB110" s="31">
        <f t="shared" si="75"/>
        <v>8333.3333333333339</v>
      </c>
      <c r="BC110" s="31">
        <f t="shared" si="75"/>
        <v>8333.3333333333339</v>
      </c>
      <c r="BD110" s="31">
        <f t="shared" si="75"/>
        <v>8333.3333333333339</v>
      </c>
      <c r="BE110" s="202"/>
      <c r="BF110" s="202"/>
      <c r="BG110" s="202"/>
      <c r="BH110" s="202"/>
      <c r="BI110" t="str">
        <v>Initial Consultation Expert</v>
      </c>
      <c r="BJ110" s="37">
        <v>1</v>
      </c>
      <c r="BK110" s="37">
        <f t="shared" si="70"/>
        <v>1.1000000000000001</v>
      </c>
      <c r="BL110" s="37">
        <f t="shared" si="70"/>
        <v>1.2100000000000002</v>
      </c>
      <c r="BO110" s="202"/>
      <c r="BP110" s="202"/>
    </row>
    <row r="111" spans="1:68" outlineLevel="1" x14ac:dyDescent="0.25">
      <c r="A111" s="202"/>
      <c r="B111" s="202" t="s">
        <v>109</v>
      </c>
      <c r="C111" s="23"/>
      <c r="D111" s="31">
        <v>0</v>
      </c>
      <c r="E111" s="31">
        <v>0</v>
      </c>
      <c r="F111" s="31">
        <v>0</v>
      </c>
      <c r="G111" s="31">
        <v>0</v>
      </c>
      <c r="H111" s="31">
        <v>0</v>
      </c>
      <c r="I111" s="31">
        <v>4167</v>
      </c>
      <c r="J111" s="31">
        <v>4166.666666666667</v>
      </c>
      <c r="K111" s="31">
        <v>4166.666666666667</v>
      </c>
      <c r="L111" s="31">
        <v>4166.666666666667</v>
      </c>
      <c r="M111" s="31">
        <v>5416.666666666667</v>
      </c>
      <c r="N111" s="31">
        <v>5416.666666666667</v>
      </c>
      <c r="O111" s="31">
        <v>5416.666666666667</v>
      </c>
      <c r="P111" s="31">
        <v>5416.666666666667</v>
      </c>
      <c r="Q111" s="31">
        <v>5416.666666666667</v>
      </c>
      <c r="R111" s="31">
        <v>5416.666666666667</v>
      </c>
      <c r="S111" s="31">
        <v>5416.666666666667</v>
      </c>
      <c r="T111" s="31">
        <v>5416.666666666667</v>
      </c>
      <c r="U111" s="31">
        <v>5416.666666666667</v>
      </c>
      <c r="V111" s="31">
        <v>5416.666666666667</v>
      </c>
      <c r="W111" s="31">
        <v>5416.666666666667</v>
      </c>
      <c r="X111" s="31">
        <v>5416.666666666667</v>
      </c>
      <c r="Y111" s="31">
        <v>5416.666666666667</v>
      </c>
      <c r="Z111" s="31">
        <v>5416.666666666667</v>
      </c>
      <c r="AA111" s="31">
        <v>5416.666666666667</v>
      </c>
      <c r="AB111" s="31">
        <v>5416.666666666667</v>
      </c>
      <c r="AC111" s="31">
        <v>5416.666666666667</v>
      </c>
      <c r="AD111" s="31">
        <v>5416.666666666667</v>
      </c>
      <c r="AE111" s="31">
        <v>5416.666666666667</v>
      </c>
      <c r="AF111" s="31">
        <v>5416.666666666667</v>
      </c>
      <c r="AG111" s="31">
        <v>5416.666666666667</v>
      </c>
      <c r="AH111" s="31">
        <v>5416.666666666667</v>
      </c>
      <c r="AI111" s="31">
        <v>5416.666666666667</v>
      </c>
      <c r="AJ111" s="31">
        <v>5416.666666666667</v>
      </c>
      <c r="AK111" s="31">
        <v>5416.666666666667</v>
      </c>
      <c r="AL111" s="31">
        <v>5416.666666666667</v>
      </c>
      <c r="AM111" s="31">
        <v>5416.666666666667</v>
      </c>
      <c r="AN111" s="31">
        <v>5416.666666666667</v>
      </c>
      <c r="AO111" s="31">
        <v>5416.666666666667</v>
      </c>
      <c r="AP111" s="31">
        <v>5416.666666666667</v>
      </c>
      <c r="AQ111" s="31">
        <v>5416.666666666667</v>
      </c>
      <c r="AR111" s="31">
        <v>4167</v>
      </c>
      <c r="AS111" s="31">
        <v>4167</v>
      </c>
      <c r="AT111" s="31">
        <v>4167</v>
      </c>
      <c r="AU111" s="31">
        <v>4167</v>
      </c>
      <c r="AV111" s="31">
        <v>4166.666666666667</v>
      </c>
      <c r="AW111" s="31">
        <v>4166.666666666667</v>
      </c>
      <c r="AX111" s="31">
        <v>4166.666666666667</v>
      </c>
      <c r="AY111" s="31">
        <v>4166.666666666667</v>
      </c>
      <c r="AZ111" s="31">
        <v>4166.666666666667</v>
      </c>
      <c r="BA111" s="31">
        <v>4166.666666666667</v>
      </c>
      <c r="BB111" s="31">
        <v>4166.666666666667</v>
      </c>
      <c r="BC111" s="31">
        <v>4166.666666666667</v>
      </c>
      <c r="BD111" s="31">
        <v>4166.666666666667</v>
      </c>
      <c r="BE111" s="202"/>
      <c r="BF111" s="202"/>
      <c r="BG111" s="202"/>
      <c r="BH111" s="202"/>
      <c r="BI111" t="str">
        <v>Trainer</v>
      </c>
      <c r="BJ111" s="37">
        <v>1</v>
      </c>
      <c r="BK111" s="37">
        <f t="shared" si="70"/>
        <v>1.1000000000000001</v>
      </c>
      <c r="BL111" s="37">
        <f t="shared" si="70"/>
        <v>1.2100000000000002</v>
      </c>
      <c r="BO111" s="202"/>
      <c r="BP111" s="202"/>
    </row>
    <row r="112" spans="1:68" outlineLevel="1" x14ac:dyDescent="0.25">
      <c r="A112" s="202"/>
      <c r="B112" s="202" t="s">
        <v>111</v>
      </c>
      <c r="C112" s="23"/>
      <c r="D112" s="31">
        <v>0</v>
      </c>
      <c r="E112" s="31">
        <v>0</v>
      </c>
      <c r="F112" s="31">
        <v>0</v>
      </c>
      <c r="G112" s="31">
        <v>0</v>
      </c>
      <c r="H112" s="31">
        <v>0</v>
      </c>
      <c r="I112" s="31">
        <v>4167</v>
      </c>
      <c r="J112" s="31">
        <v>4166.666666666667</v>
      </c>
      <c r="K112" s="31">
        <v>4166.666666666667</v>
      </c>
      <c r="L112" s="31">
        <v>4166.666666666667</v>
      </c>
      <c r="M112" s="31">
        <v>5000</v>
      </c>
      <c r="N112" s="31">
        <v>5000</v>
      </c>
      <c r="O112" s="31">
        <v>5000</v>
      </c>
      <c r="P112" s="31">
        <v>5000</v>
      </c>
      <c r="Q112" s="31">
        <v>5000</v>
      </c>
      <c r="R112" s="31">
        <v>5000</v>
      </c>
      <c r="S112" s="31">
        <v>5000</v>
      </c>
      <c r="T112" s="31">
        <v>5000</v>
      </c>
      <c r="U112" s="31">
        <v>5000</v>
      </c>
      <c r="V112" s="31">
        <v>5000</v>
      </c>
      <c r="W112" s="31">
        <v>5000</v>
      </c>
      <c r="X112" s="31">
        <v>5000</v>
      </c>
      <c r="Y112" s="31">
        <v>5000</v>
      </c>
      <c r="Z112" s="31">
        <v>5000</v>
      </c>
      <c r="AA112" s="31">
        <v>5000</v>
      </c>
      <c r="AB112" s="31">
        <v>5000</v>
      </c>
      <c r="AC112" s="31">
        <v>5000</v>
      </c>
      <c r="AD112" s="31">
        <v>5000</v>
      </c>
      <c r="AE112" s="31">
        <v>5000</v>
      </c>
      <c r="AF112" s="31">
        <v>5000</v>
      </c>
      <c r="AG112" s="31">
        <v>5000</v>
      </c>
      <c r="AH112" s="31">
        <v>5000</v>
      </c>
      <c r="AI112" s="31">
        <v>5000</v>
      </c>
      <c r="AJ112" s="31">
        <v>5000</v>
      </c>
      <c r="AK112" s="31">
        <v>5000</v>
      </c>
      <c r="AL112" s="31">
        <v>5000</v>
      </c>
      <c r="AM112" s="31">
        <v>5000</v>
      </c>
      <c r="AN112" s="31">
        <v>5000</v>
      </c>
      <c r="AO112" s="31">
        <v>5000</v>
      </c>
      <c r="AP112" s="31">
        <v>5000</v>
      </c>
      <c r="AQ112" s="31">
        <v>5000</v>
      </c>
      <c r="AR112" s="31">
        <v>4167</v>
      </c>
      <c r="AS112" s="31">
        <v>4167</v>
      </c>
      <c r="AT112" s="31">
        <v>4167</v>
      </c>
      <c r="AU112" s="31">
        <v>4167</v>
      </c>
      <c r="AV112" s="31">
        <v>4166.666666666667</v>
      </c>
      <c r="AW112" s="31">
        <v>4166.666666666667</v>
      </c>
      <c r="AX112" s="31">
        <v>4166.666666666667</v>
      </c>
      <c r="AY112" s="31">
        <v>4166.666666666667</v>
      </c>
      <c r="AZ112" s="31">
        <v>4166.666666666667</v>
      </c>
      <c r="BA112" s="31">
        <v>4166.666666666667</v>
      </c>
      <c r="BB112" s="31">
        <v>4166.666666666667</v>
      </c>
      <c r="BC112" s="31">
        <v>4166.666666666667</v>
      </c>
      <c r="BD112" s="31">
        <v>4166.666666666667</v>
      </c>
      <c r="BE112" s="202"/>
      <c r="BF112" s="202"/>
      <c r="BG112" s="202"/>
      <c r="BH112" s="202"/>
      <c r="BI112" t="str">
        <v>Recruiter</v>
      </c>
      <c r="BJ112" s="37">
        <v>1</v>
      </c>
      <c r="BK112" s="37">
        <f t="shared" si="70"/>
        <v>1.1000000000000001</v>
      </c>
      <c r="BL112" s="37">
        <f t="shared" si="70"/>
        <v>1.2100000000000002</v>
      </c>
      <c r="BO112" s="202"/>
      <c r="BP112" s="202"/>
    </row>
    <row r="113" spans="1:68" outlineLevel="1" x14ac:dyDescent="0.25">
      <c r="A113" s="202"/>
      <c r="B113" s="202" t="s">
        <v>338</v>
      </c>
      <c r="C113" s="23"/>
      <c r="D113" s="31">
        <v>0</v>
      </c>
      <c r="E113" s="31">
        <v>0</v>
      </c>
      <c r="F113" s="31">
        <v>0</v>
      </c>
      <c r="G113" s="31">
        <v>0</v>
      </c>
      <c r="H113" s="31">
        <v>0</v>
      </c>
      <c r="I113" s="31">
        <f>(90000+105000)/2/12</f>
        <v>8125</v>
      </c>
      <c r="J113" s="31">
        <f>(90000+105000)/2/12</f>
        <v>8125</v>
      </c>
      <c r="K113" s="31">
        <f>(90000+105000)/2/12</f>
        <v>8125</v>
      </c>
      <c r="L113" s="31">
        <f>(90000+105000)/2/12</f>
        <v>8125</v>
      </c>
      <c r="M113" s="31">
        <f t="shared" ref="M113:AQ113" si="77">(90000+110000)/2/12</f>
        <v>8333.3333333333339</v>
      </c>
      <c r="N113" s="31">
        <f t="shared" si="77"/>
        <v>8333.3333333333339</v>
      </c>
      <c r="O113" s="31">
        <f t="shared" si="77"/>
        <v>8333.3333333333339</v>
      </c>
      <c r="P113" s="31">
        <f t="shared" si="77"/>
        <v>8333.3333333333339</v>
      </c>
      <c r="Q113" s="31">
        <f t="shared" si="77"/>
        <v>8333.3333333333339</v>
      </c>
      <c r="R113" s="31">
        <f t="shared" si="77"/>
        <v>8333.3333333333339</v>
      </c>
      <c r="S113" s="31">
        <f t="shared" si="77"/>
        <v>8333.3333333333339</v>
      </c>
      <c r="T113" s="31">
        <f t="shared" si="77"/>
        <v>8333.3333333333339</v>
      </c>
      <c r="U113" s="31">
        <f t="shared" si="77"/>
        <v>8333.3333333333339</v>
      </c>
      <c r="V113" s="31">
        <f t="shared" si="77"/>
        <v>8333.3333333333339</v>
      </c>
      <c r="W113" s="31">
        <f t="shared" si="77"/>
        <v>8333.3333333333339</v>
      </c>
      <c r="X113" s="31">
        <f t="shared" si="77"/>
        <v>8333.3333333333339</v>
      </c>
      <c r="Y113" s="31">
        <f t="shared" si="77"/>
        <v>8333.3333333333339</v>
      </c>
      <c r="Z113" s="31">
        <f t="shared" si="77"/>
        <v>8333.3333333333339</v>
      </c>
      <c r="AA113" s="31">
        <f t="shared" si="77"/>
        <v>8333.3333333333339</v>
      </c>
      <c r="AB113" s="31">
        <f t="shared" si="77"/>
        <v>8333.3333333333339</v>
      </c>
      <c r="AC113" s="31">
        <f t="shared" si="77"/>
        <v>8333.3333333333339</v>
      </c>
      <c r="AD113" s="31">
        <f t="shared" si="77"/>
        <v>8333.3333333333339</v>
      </c>
      <c r="AE113" s="31">
        <f t="shared" si="77"/>
        <v>8333.3333333333339</v>
      </c>
      <c r="AF113" s="31">
        <f t="shared" si="77"/>
        <v>8333.3333333333339</v>
      </c>
      <c r="AG113" s="31">
        <f t="shared" si="77"/>
        <v>8333.3333333333339</v>
      </c>
      <c r="AH113" s="31">
        <f t="shared" si="77"/>
        <v>8333.3333333333339</v>
      </c>
      <c r="AI113" s="31">
        <f t="shared" si="77"/>
        <v>8333.3333333333339</v>
      </c>
      <c r="AJ113" s="31">
        <f t="shared" si="77"/>
        <v>8333.3333333333339</v>
      </c>
      <c r="AK113" s="31">
        <f t="shared" si="77"/>
        <v>8333.3333333333339</v>
      </c>
      <c r="AL113" s="31">
        <f t="shared" si="77"/>
        <v>8333.3333333333339</v>
      </c>
      <c r="AM113" s="31">
        <f t="shared" si="77"/>
        <v>8333.3333333333339</v>
      </c>
      <c r="AN113" s="31">
        <f t="shared" si="77"/>
        <v>8333.3333333333339</v>
      </c>
      <c r="AO113" s="31">
        <f t="shared" si="77"/>
        <v>8333.3333333333339</v>
      </c>
      <c r="AP113" s="31">
        <f t="shared" si="77"/>
        <v>8333.3333333333339</v>
      </c>
      <c r="AQ113" s="31">
        <f t="shared" si="77"/>
        <v>8333.3333333333339</v>
      </c>
      <c r="AR113" s="31">
        <f>(90000+105000)/2/12</f>
        <v>8125</v>
      </c>
      <c r="AS113" s="31">
        <f>(90000+105000)/2/12</f>
        <v>8125</v>
      </c>
      <c r="AT113" s="31">
        <f>(90000+105000)/2/12</f>
        <v>8125</v>
      </c>
      <c r="AU113" s="31">
        <f>(90000+105000)/2/12</f>
        <v>8125</v>
      </c>
      <c r="AV113" s="31">
        <f>(90000+100000)/2/12</f>
        <v>7916.666666666667</v>
      </c>
      <c r="AW113" s="31">
        <f>(90000+100000)/2/12</f>
        <v>7916.666666666667</v>
      </c>
      <c r="AX113" s="31">
        <f>(90000+100000)/2/12</f>
        <v>7916.666666666667</v>
      </c>
      <c r="AY113" s="31">
        <f>(90000+100000)/2/12</f>
        <v>7916.666666666667</v>
      </c>
      <c r="AZ113" s="31">
        <f>(90000+100000)/2/12</f>
        <v>7916.666666666667</v>
      </c>
      <c r="BA113" s="31">
        <f>(95000+100000)/2/12</f>
        <v>8125</v>
      </c>
      <c r="BB113" s="31">
        <f>(95000+100000)/2/12</f>
        <v>8125</v>
      </c>
      <c r="BC113" s="31">
        <f>(95000+100000)/2/12</f>
        <v>8125</v>
      </c>
      <c r="BD113" s="31">
        <f>(95000+100000)/2/12</f>
        <v>8125</v>
      </c>
      <c r="BE113" s="202"/>
      <c r="BF113" s="202"/>
      <c r="BG113" s="202"/>
      <c r="BH113" s="202"/>
      <c r="BI113" t="str">
        <v>Center Director / Remote Site Director</v>
      </c>
      <c r="BJ113" s="37">
        <v>1</v>
      </c>
      <c r="BK113" s="37">
        <f t="shared" si="70"/>
        <v>1.1000000000000001</v>
      </c>
      <c r="BL113" s="37">
        <f t="shared" si="70"/>
        <v>1.2100000000000002</v>
      </c>
      <c r="BO113" s="202"/>
      <c r="BP113" s="202"/>
    </row>
    <row r="114" spans="1:68" outlineLevel="1" x14ac:dyDescent="0.25">
      <c r="A114" s="202"/>
      <c r="B114" s="202" t="s">
        <v>112</v>
      </c>
      <c r="C114" s="23"/>
      <c r="D114" s="31">
        <v>0</v>
      </c>
      <c r="E114" s="31">
        <v>0</v>
      </c>
      <c r="F114" s="31">
        <v>0</v>
      </c>
      <c r="G114" s="31">
        <v>0</v>
      </c>
      <c r="H114" s="31">
        <v>0</v>
      </c>
      <c r="I114" s="31">
        <v>4583</v>
      </c>
      <c r="J114" s="31">
        <v>4583.333333333333</v>
      </c>
      <c r="K114" s="31">
        <v>4583.333333333333</v>
      </c>
      <c r="L114" s="31">
        <v>4583.333333333333</v>
      </c>
      <c r="M114" s="31">
        <v>5250</v>
      </c>
      <c r="N114" s="31">
        <v>5250</v>
      </c>
      <c r="O114" s="31">
        <v>5250</v>
      </c>
      <c r="P114" s="31">
        <v>5250</v>
      </c>
      <c r="Q114" s="31">
        <v>5250</v>
      </c>
      <c r="R114" s="31">
        <v>5250</v>
      </c>
      <c r="S114" s="31">
        <v>5250</v>
      </c>
      <c r="T114" s="31">
        <v>5250</v>
      </c>
      <c r="U114" s="31">
        <v>5250</v>
      </c>
      <c r="V114" s="31">
        <v>5250</v>
      </c>
      <c r="W114" s="31">
        <v>5250</v>
      </c>
      <c r="X114" s="31">
        <v>5250</v>
      </c>
      <c r="Y114" s="31">
        <v>5250</v>
      </c>
      <c r="Z114" s="31">
        <v>5250</v>
      </c>
      <c r="AA114" s="31">
        <v>5250</v>
      </c>
      <c r="AB114" s="31">
        <v>5250</v>
      </c>
      <c r="AC114" s="31">
        <v>5250</v>
      </c>
      <c r="AD114" s="31">
        <v>5250</v>
      </c>
      <c r="AE114" s="31">
        <v>5250</v>
      </c>
      <c r="AF114" s="31">
        <v>5250</v>
      </c>
      <c r="AG114" s="31">
        <v>5250</v>
      </c>
      <c r="AH114" s="31">
        <v>5250</v>
      </c>
      <c r="AI114" s="31">
        <v>5250</v>
      </c>
      <c r="AJ114" s="31">
        <v>5250</v>
      </c>
      <c r="AK114" s="31">
        <v>5250</v>
      </c>
      <c r="AL114" s="31">
        <v>5250</v>
      </c>
      <c r="AM114" s="31">
        <v>5250</v>
      </c>
      <c r="AN114" s="31">
        <v>5250</v>
      </c>
      <c r="AO114" s="31">
        <v>5250</v>
      </c>
      <c r="AP114" s="31">
        <v>5250</v>
      </c>
      <c r="AQ114" s="31">
        <v>5250</v>
      </c>
      <c r="AR114" s="31">
        <v>4583</v>
      </c>
      <c r="AS114" s="31">
        <v>4583</v>
      </c>
      <c r="AT114" s="31">
        <v>4583</v>
      </c>
      <c r="AU114" s="31">
        <v>4583</v>
      </c>
      <c r="AV114" s="31">
        <v>4583.333333333333</v>
      </c>
      <c r="AW114" s="31">
        <v>4583.333333333333</v>
      </c>
      <c r="AX114" s="31">
        <v>4583.333333333333</v>
      </c>
      <c r="AY114" s="31">
        <v>4583.333333333333</v>
      </c>
      <c r="AZ114" s="31">
        <v>4583.333333333333</v>
      </c>
      <c r="BA114" s="31">
        <v>4583.333333333333</v>
      </c>
      <c r="BB114" s="31">
        <v>4583.333333333333</v>
      </c>
      <c r="BC114" s="31">
        <v>4583.333333333333</v>
      </c>
      <c r="BD114" s="31">
        <v>4583.333333333333</v>
      </c>
      <c r="BE114" s="202"/>
      <c r="BF114" s="202"/>
      <c r="BG114" s="202"/>
      <c r="BH114" s="202"/>
      <c r="BI114" t="str">
        <v>Center Marketing Outreach</v>
      </c>
      <c r="BJ114" s="37">
        <v>1</v>
      </c>
      <c r="BK114" s="37">
        <f t="shared" si="70"/>
        <v>1.1000000000000001</v>
      </c>
      <c r="BL114" s="37">
        <f t="shared" si="70"/>
        <v>1.2100000000000002</v>
      </c>
      <c r="BO114" s="202"/>
      <c r="BP114" s="202"/>
    </row>
    <row r="115" spans="1:68" outlineLevel="1" x14ac:dyDescent="0.25">
      <c r="A115" s="202"/>
      <c r="B115" s="202" t="s">
        <v>113</v>
      </c>
      <c r="C115" s="23"/>
      <c r="D115" s="31">
        <v>0</v>
      </c>
      <c r="E115" s="31">
        <v>0</v>
      </c>
      <c r="F115" s="31">
        <v>0</v>
      </c>
      <c r="G115" s="31">
        <v>0</v>
      </c>
      <c r="H115" s="31">
        <v>0</v>
      </c>
      <c r="I115" s="31">
        <v>4583</v>
      </c>
      <c r="J115" s="31">
        <v>4583.333333333333</v>
      </c>
      <c r="K115" s="31">
        <v>4583.333333333333</v>
      </c>
      <c r="L115" s="31">
        <v>4583.333333333333</v>
      </c>
      <c r="M115" s="31">
        <v>5500</v>
      </c>
      <c r="N115" s="31">
        <v>5500</v>
      </c>
      <c r="O115" s="31">
        <v>5500</v>
      </c>
      <c r="P115" s="31">
        <v>5500</v>
      </c>
      <c r="Q115" s="31">
        <v>5500</v>
      </c>
      <c r="R115" s="31">
        <v>5500</v>
      </c>
      <c r="S115" s="31">
        <v>5500</v>
      </c>
      <c r="T115" s="31">
        <v>5500</v>
      </c>
      <c r="U115" s="31">
        <v>5500</v>
      </c>
      <c r="V115" s="31">
        <v>5500</v>
      </c>
      <c r="W115" s="31">
        <v>5500</v>
      </c>
      <c r="X115" s="31">
        <v>5500</v>
      </c>
      <c r="Y115" s="31">
        <v>5500</v>
      </c>
      <c r="Z115" s="31">
        <v>5500</v>
      </c>
      <c r="AA115" s="31">
        <v>5500</v>
      </c>
      <c r="AB115" s="31">
        <v>5500</v>
      </c>
      <c r="AC115" s="31">
        <v>5500</v>
      </c>
      <c r="AD115" s="31">
        <v>5500</v>
      </c>
      <c r="AE115" s="31">
        <v>5500</v>
      </c>
      <c r="AF115" s="31">
        <v>5500</v>
      </c>
      <c r="AG115" s="31">
        <v>5500</v>
      </c>
      <c r="AH115" s="31">
        <v>5500</v>
      </c>
      <c r="AI115" s="31">
        <v>5500</v>
      </c>
      <c r="AJ115" s="31">
        <v>5500</v>
      </c>
      <c r="AK115" s="31">
        <v>5500</v>
      </c>
      <c r="AL115" s="31">
        <v>5500</v>
      </c>
      <c r="AM115" s="31">
        <v>5500</v>
      </c>
      <c r="AN115" s="31">
        <v>5500</v>
      </c>
      <c r="AO115" s="31">
        <v>5500</v>
      </c>
      <c r="AP115" s="31">
        <v>5500</v>
      </c>
      <c r="AQ115" s="31">
        <v>5500</v>
      </c>
      <c r="AR115" s="31">
        <v>4583</v>
      </c>
      <c r="AS115" s="31">
        <v>4583</v>
      </c>
      <c r="AT115" s="31">
        <v>4583</v>
      </c>
      <c r="AU115" s="31">
        <v>4583</v>
      </c>
      <c r="AV115" s="31">
        <v>4583.333333333333</v>
      </c>
      <c r="AW115" s="31">
        <v>4583.333333333333</v>
      </c>
      <c r="AX115" s="31">
        <v>4583.333333333333</v>
      </c>
      <c r="AY115" s="31">
        <v>4583.333333333333</v>
      </c>
      <c r="AZ115" s="31">
        <v>4583.333333333333</v>
      </c>
      <c r="BA115" s="31">
        <v>4583.333333333333</v>
      </c>
      <c r="BB115" s="31">
        <v>4583.333333333333</v>
      </c>
      <c r="BC115" s="31">
        <v>4583.333333333333</v>
      </c>
      <c r="BD115" s="31">
        <v>4583.333333333333</v>
      </c>
      <c r="BE115" s="202"/>
      <c r="BF115" s="202"/>
      <c r="BG115" s="202"/>
      <c r="BH115" s="202"/>
      <c r="BI115" t="str">
        <v>Primary Direct Staff Lead</v>
      </c>
      <c r="BJ115" s="37">
        <v>1</v>
      </c>
      <c r="BK115" s="37">
        <f t="shared" si="70"/>
        <v>1.1000000000000001</v>
      </c>
      <c r="BL115" s="37">
        <f t="shared" si="70"/>
        <v>1.2100000000000002</v>
      </c>
      <c r="BO115" s="202"/>
      <c r="BP115" s="202"/>
    </row>
    <row r="116" spans="1:68" outlineLevel="1" x14ac:dyDescent="0.25">
      <c r="A116" s="202"/>
      <c r="B116" s="202" t="s">
        <v>337</v>
      </c>
      <c r="C116" s="23"/>
      <c r="D116" s="31">
        <v>0</v>
      </c>
      <c r="E116" s="31">
        <v>0</v>
      </c>
      <c r="F116" s="31">
        <v>0</v>
      </c>
      <c r="G116" s="31">
        <v>0</v>
      </c>
      <c r="H116" s="31">
        <v>0</v>
      </c>
      <c r="I116" s="31">
        <v>8333</v>
      </c>
      <c r="J116" s="31">
        <v>8333.3333333333339</v>
      </c>
      <c r="K116" s="31">
        <v>8333.3333333333339</v>
      </c>
      <c r="L116" s="31">
        <v>8333.3333333333339</v>
      </c>
      <c r="M116" s="31">
        <v>9166.6666666666661</v>
      </c>
      <c r="N116" s="31">
        <v>9166.6666666666661</v>
      </c>
      <c r="O116" s="31">
        <v>9166.6666666666661</v>
      </c>
      <c r="P116" s="31">
        <v>9166.6666666666661</v>
      </c>
      <c r="Q116" s="31">
        <v>9166.6666666666661</v>
      </c>
      <c r="R116" s="31">
        <v>9166.6666666666661</v>
      </c>
      <c r="S116" s="31">
        <v>9166.6666666666661</v>
      </c>
      <c r="T116" s="31">
        <v>9166.6666666666661</v>
      </c>
      <c r="U116" s="31">
        <v>9166.6666666666661</v>
      </c>
      <c r="V116" s="31">
        <v>9166.6666666666661</v>
      </c>
      <c r="W116" s="31">
        <v>9166.6666666666661</v>
      </c>
      <c r="X116" s="31">
        <v>9166.6666666666661</v>
      </c>
      <c r="Y116" s="31">
        <v>9166.6666666666661</v>
      </c>
      <c r="Z116" s="31">
        <v>9166.6666666666661</v>
      </c>
      <c r="AA116" s="31">
        <v>9166.6666666666661</v>
      </c>
      <c r="AB116" s="31">
        <v>9166.6666666666661</v>
      </c>
      <c r="AC116" s="31">
        <v>9166.6666666666661</v>
      </c>
      <c r="AD116" s="31">
        <v>9166.6666666666661</v>
      </c>
      <c r="AE116" s="31">
        <v>9166.6666666666661</v>
      </c>
      <c r="AF116" s="31">
        <v>9166.6666666666661</v>
      </c>
      <c r="AG116" s="31">
        <v>9166.6666666666661</v>
      </c>
      <c r="AH116" s="31">
        <v>9166.6666666666661</v>
      </c>
      <c r="AI116" s="31">
        <v>9166.6666666666661</v>
      </c>
      <c r="AJ116" s="31">
        <v>9166.6666666666661</v>
      </c>
      <c r="AK116" s="31">
        <v>9166.6666666666661</v>
      </c>
      <c r="AL116" s="31">
        <v>9166.6666666666661</v>
      </c>
      <c r="AM116" s="31">
        <v>9166.6666666666661</v>
      </c>
      <c r="AN116" s="31">
        <v>9166.6666666666661</v>
      </c>
      <c r="AO116" s="31">
        <v>9166.6666666666661</v>
      </c>
      <c r="AP116" s="31">
        <v>9166.6666666666661</v>
      </c>
      <c r="AQ116" s="31">
        <v>9166.6666666666661</v>
      </c>
      <c r="AR116" s="31">
        <v>8333</v>
      </c>
      <c r="AS116" s="31">
        <v>8333</v>
      </c>
      <c r="AT116" s="31">
        <v>8333</v>
      </c>
      <c r="AU116" s="31">
        <v>8333</v>
      </c>
      <c r="AV116" s="31">
        <v>7916.666666666667</v>
      </c>
      <c r="AW116" s="31">
        <v>7916.666666666667</v>
      </c>
      <c r="AX116" s="31">
        <v>7916.666666666667</v>
      </c>
      <c r="AY116" s="31">
        <v>7916.666666666667</v>
      </c>
      <c r="AZ116" s="31">
        <v>7916.666666666667</v>
      </c>
      <c r="BA116" s="31">
        <v>7916.666666666667</v>
      </c>
      <c r="BB116" s="31">
        <v>8125</v>
      </c>
      <c r="BC116" s="31">
        <v>8125</v>
      </c>
      <c r="BD116" s="31">
        <v>8125</v>
      </c>
      <c r="BE116" s="202"/>
      <c r="BF116" s="202"/>
      <c r="BG116" s="202"/>
      <c r="BH116" s="202"/>
      <c r="BI116" t="str">
        <v>Tertiary Direct Staff</v>
      </c>
      <c r="BJ116" s="37">
        <v>1</v>
      </c>
      <c r="BK116" s="37">
        <f t="shared" si="70"/>
        <v>1.1000000000000001</v>
      </c>
      <c r="BL116" s="37">
        <f t="shared" si="70"/>
        <v>1.2100000000000002</v>
      </c>
      <c r="BO116" s="202"/>
      <c r="BP116" s="202"/>
    </row>
    <row r="117" spans="1:68" outlineLevel="1" x14ac:dyDescent="0.25">
      <c r="A117" s="202"/>
      <c r="B117" s="202" t="s">
        <v>336</v>
      </c>
      <c r="C117" s="23"/>
      <c r="D117" s="31">
        <v>0</v>
      </c>
      <c r="E117" s="31">
        <v>0</v>
      </c>
      <c r="F117" s="31">
        <v>0</v>
      </c>
      <c r="G117" s="31">
        <v>0</v>
      </c>
      <c r="H117" s="31">
        <v>0</v>
      </c>
      <c r="I117" s="31">
        <f>95000/12</f>
        <v>7916.666666666667</v>
      </c>
      <c r="J117" s="31">
        <f t="shared" ref="J117:L117" si="78">95000/12</f>
        <v>7916.666666666667</v>
      </c>
      <c r="K117" s="31">
        <f t="shared" si="78"/>
        <v>7916.666666666667</v>
      </c>
      <c r="L117" s="31">
        <f t="shared" si="78"/>
        <v>7916.666666666667</v>
      </c>
      <c r="M117" s="31">
        <f t="shared" ref="M117:BD117" si="79">100000/12</f>
        <v>8333.3333333333339</v>
      </c>
      <c r="N117" s="31">
        <f t="shared" si="79"/>
        <v>8333.3333333333339</v>
      </c>
      <c r="O117" s="31">
        <f t="shared" si="79"/>
        <v>8333.3333333333339</v>
      </c>
      <c r="P117" s="31">
        <f t="shared" si="79"/>
        <v>8333.3333333333339</v>
      </c>
      <c r="Q117" s="31">
        <f t="shared" si="79"/>
        <v>8333.3333333333339</v>
      </c>
      <c r="R117" s="31">
        <f t="shared" si="79"/>
        <v>8333.3333333333339</v>
      </c>
      <c r="S117" s="31">
        <f t="shared" si="79"/>
        <v>8333.3333333333339</v>
      </c>
      <c r="T117" s="31">
        <f t="shared" si="79"/>
        <v>8333.3333333333339</v>
      </c>
      <c r="U117" s="31">
        <f t="shared" si="79"/>
        <v>8333.3333333333339</v>
      </c>
      <c r="V117" s="31">
        <f t="shared" si="79"/>
        <v>8333.3333333333339</v>
      </c>
      <c r="W117" s="31">
        <f t="shared" si="79"/>
        <v>8333.3333333333339</v>
      </c>
      <c r="X117" s="31">
        <f t="shared" si="79"/>
        <v>8333.3333333333339</v>
      </c>
      <c r="Y117" s="31">
        <f t="shared" si="79"/>
        <v>8333.3333333333339</v>
      </c>
      <c r="Z117" s="31">
        <f t="shared" si="79"/>
        <v>8333.3333333333339</v>
      </c>
      <c r="AA117" s="31">
        <f t="shared" si="79"/>
        <v>8333.3333333333339</v>
      </c>
      <c r="AB117" s="31">
        <f t="shared" si="79"/>
        <v>8333.3333333333339</v>
      </c>
      <c r="AC117" s="31">
        <f t="shared" si="79"/>
        <v>8333.3333333333339</v>
      </c>
      <c r="AD117" s="31">
        <f t="shared" si="79"/>
        <v>8333.3333333333339</v>
      </c>
      <c r="AE117" s="31">
        <f t="shared" si="79"/>
        <v>8333.3333333333339</v>
      </c>
      <c r="AF117" s="31">
        <f t="shared" si="79"/>
        <v>8333.3333333333339</v>
      </c>
      <c r="AG117" s="31">
        <f t="shared" si="79"/>
        <v>8333.3333333333339</v>
      </c>
      <c r="AH117" s="31">
        <f t="shared" si="79"/>
        <v>8333.3333333333339</v>
      </c>
      <c r="AI117" s="31">
        <f t="shared" si="79"/>
        <v>8333.3333333333339</v>
      </c>
      <c r="AJ117" s="31">
        <f t="shared" si="79"/>
        <v>8333.3333333333339</v>
      </c>
      <c r="AK117" s="31">
        <f t="shared" si="79"/>
        <v>8333.3333333333339</v>
      </c>
      <c r="AL117" s="31">
        <f t="shared" si="79"/>
        <v>8333.3333333333339</v>
      </c>
      <c r="AM117" s="31">
        <f t="shared" si="79"/>
        <v>8333.3333333333339</v>
      </c>
      <c r="AN117" s="31">
        <f t="shared" si="79"/>
        <v>8333.3333333333339</v>
      </c>
      <c r="AO117" s="31">
        <f t="shared" si="79"/>
        <v>8333.3333333333339</v>
      </c>
      <c r="AP117" s="31">
        <f t="shared" si="79"/>
        <v>8333.3333333333339</v>
      </c>
      <c r="AQ117" s="31">
        <f t="shared" si="79"/>
        <v>8333.3333333333339</v>
      </c>
      <c r="AR117" s="31">
        <f t="shared" ref="AR117:AU117" si="80">95000/12</f>
        <v>7916.666666666667</v>
      </c>
      <c r="AS117" s="31">
        <f>95000/12</f>
        <v>7916.666666666667</v>
      </c>
      <c r="AT117" s="31">
        <f t="shared" si="80"/>
        <v>7916.666666666667</v>
      </c>
      <c r="AU117" s="31">
        <f t="shared" si="80"/>
        <v>7916.666666666667</v>
      </c>
      <c r="AV117" s="31">
        <f t="shared" si="79"/>
        <v>8333.3333333333339</v>
      </c>
      <c r="AW117" s="31">
        <f t="shared" si="79"/>
        <v>8333.3333333333339</v>
      </c>
      <c r="AX117" s="31">
        <f t="shared" si="79"/>
        <v>8333.3333333333339</v>
      </c>
      <c r="AY117" s="31">
        <f t="shared" si="79"/>
        <v>8333.3333333333339</v>
      </c>
      <c r="AZ117" s="31">
        <f t="shared" si="79"/>
        <v>8333.3333333333339</v>
      </c>
      <c r="BA117" s="31">
        <f t="shared" si="79"/>
        <v>8333.3333333333339</v>
      </c>
      <c r="BB117" s="31">
        <f t="shared" si="79"/>
        <v>8333.3333333333339</v>
      </c>
      <c r="BC117" s="31">
        <f t="shared" si="79"/>
        <v>8333.3333333333339</v>
      </c>
      <c r="BD117" s="31">
        <f t="shared" si="79"/>
        <v>8333.3333333333339</v>
      </c>
      <c r="BE117" s="202"/>
      <c r="BF117" s="202"/>
      <c r="BG117" s="202"/>
      <c r="BH117" s="202"/>
      <c r="BI117" t="str">
        <v>Quinary Direct Staff</v>
      </c>
      <c r="BJ117" s="37">
        <v>1</v>
      </c>
      <c r="BK117" s="37">
        <f t="shared" si="70"/>
        <v>1.1000000000000001</v>
      </c>
      <c r="BL117" s="37">
        <f t="shared" si="70"/>
        <v>1.2100000000000002</v>
      </c>
      <c r="BO117" s="202"/>
      <c r="BP117" s="202"/>
    </row>
    <row r="118" spans="1:68" outlineLevel="1" x14ac:dyDescent="0.25">
      <c r="A118" s="202"/>
      <c r="B118" s="202" t="s">
        <v>335</v>
      </c>
      <c r="C118" s="23"/>
      <c r="D118" s="31">
        <v>0</v>
      </c>
      <c r="E118" s="31">
        <v>0</v>
      </c>
      <c r="F118" s="31">
        <v>0</v>
      </c>
      <c r="G118" s="31">
        <v>0</v>
      </c>
      <c r="H118" s="31">
        <v>0</v>
      </c>
      <c r="I118" s="31">
        <f t="shared" ref="I118:BD118" si="81">55000/12</f>
        <v>4583.333333333333</v>
      </c>
      <c r="J118" s="31">
        <f t="shared" si="81"/>
        <v>4583.333333333333</v>
      </c>
      <c r="K118" s="31">
        <f t="shared" si="81"/>
        <v>4583.333333333333</v>
      </c>
      <c r="L118" s="31">
        <f t="shared" si="81"/>
        <v>4583.333333333333</v>
      </c>
      <c r="M118" s="31">
        <v>5350</v>
      </c>
      <c r="N118" s="31">
        <v>5350</v>
      </c>
      <c r="O118" s="31">
        <v>5350</v>
      </c>
      <c r="P118" s="31">
        <v>5350</v>
      </c>
      <c r="Q118" s="31">
        <v>5350</v>
      </c>
      <c r="R118" s="31">
        <v>5350</v>
      </c>
      <c r="S118" s="31">
        <v>5350</v>
      </c>
      <c r="T118" s="31">
        <v>5350</v>
      </c>
      <c r="U118" s="31">
        <v>5350</v>
      </c>
      <c r="V118" s="31">
        <v>5350</v>
      </c>
      <c r="W118" s="31">
        <v>5350</v>
      </c>
      <c r="X118" s="31">
        <v>5350</v>
      </c>
      <c r="Y118" s="31">
        <v>5350</v>
      </c>
      <c r="Z118" s="31">
        <v>5350</v>
      </c>
      <c r="AA118" s="31">
        <v>5350</v>
      </c>
      <c r="AB118" s="31">
        <v>5350</v>
      </c>
      <c r="AC118" s="31">
        <v>5350</v>
      </c>
      <c r="AD118" s="31">
        <v>5350</v>
      </c>
      <c r="AE118" s="31">
        <v>5350</v>
      </c>
      <c r="AF118" s="31">
        <v>5350</v>
      </c>
      <c r="AG118" s="31">
        <v>5350</v>
      </c>
      <c r="AH118" s="31">
        <v>5350</v>
      </c>
      <c r="AI118" s="31">
        <v>5350</v>
      </c>
      <c r="AJ118" s="31">
        <v>5350</v>
      </c>
      <c r="AK118" s="31">
        <v>5350</v>
      </c>
      <c r="AL118" s="31">
        <v>5350</v>
      </c>
      <c r="AM118" s="31">
        <v>5350</v>
      </c>
      <c r="AN118" s="31">
        <v>5350</v>
      </c>
      <c r="AO118" s="31">
        <v>5350</v>
      </c>
      <c r="AP118" s="31">
        <v>5350</v>
      </c>
      <c r="AQ118" s="31">
        <v>5350</v>
      </c>
      <c r="AR118" s="31">
        <f t="shared" si="81"/>
        <v>4583.333333333333</v>
      </c>
      <c r="AS118" s="31">
        <f>55000/12</f>
        <v>4583.333333333333</v>
      </c>
      <c r="AT118" s="31">
        <f t="shared" si="81"/>
        <v>4583.333333333333</v>
      </c>
      <c r="AU118" s="31">
        <f t="shared" si="81"/>
        <v>4583.333333333333</v>
      </c>
      <c r="AV118" s="31">
        <f t="shared" si="81"/>
        <v>4583.333333333333</v>
      </c>
      <c r="AW118" s="31">
        <f t="shared" si="81"/>
        <v>4583.333333333333</v>
      </c>
      <c r="AX118" s="31">
        <f t="shared" si="81"/>
        <v>4583.333333333333</v>
      </c>
      <c r="AY118" s="31">
        <f t="shared" si="81"/>
        <v>4583.333333333333</v>
      </c>
      <c r="AZ118" s="31">
        <f t="shared" si="81"/>
        <v>4583.333333333333</v>
      </c>
      <c r="BA118" s="31">
        <f t="shared" si="81"/>
        <v>4583.333333333333</v>
      </c>
      <c r="BB118" s="31">
        <f t="shared" si="81"/>
        <v>4583.333333333333</v>
      </c>
      <c r="BC118" s="31">
        <f t="shared" si="81"/>
        <v>4583.333333333333</v>
      </c>
      <c r="BD118" s="31">
        <f t="shared" si="81"/>
        <v>4583.333333333333</v>
      </c>
      <c r="BE118" s="202"/>
      <c r="BF118" s="202"/>
      <c r="BG118" s="202"/>
      <c r="BH118" s="202"/>
      <c r="BI118" t="str">
        <v>Quaternary Direct Staff</v>
      </c>
      <c r="BJ118" s="37">
        <v>1</v>
      </c>
      <c r="BK118" s="37">
        <f t="shared" si="70"/>
        <v>1.1000000000000001</v>
      </c>
      <c r="BL118" s="37">
        <f t="shared" si="70"/>
        <v>1.2100000000000002</v>
      </c>
      <c r="BO118" s="202"/>
      <c r="BP118" s="202"/>
    </row>
    <row r="119" spans="1:68" outlineLevel="1" x14ac:dyDescent="0.25">
      <c r="A119" s="202"/>
      <c r="B119" s="202" t="s">
        <v>331</v>
      </c>
      <c r="C119" s="24" t="s">
        <v>341</v>
      </c>
      <c r="D119" s="41">
        <f>D106*SUM(D79:D80)</f>
        <v>0</v>
      </c>
      <c r="E119" s="41">
        <f t="shared" ref="E119:H119" si="82">E106*SUM(E79:E80)</f>
        <v>0</v>
      </c>
      <c r="F119" s="41">
        <f t="shared" si="82"/>
        <v>0</v>
      </c>
      <c r="G119" s="41">
        <f t="shared" si="82"/>
        <v>0</v>
      </c>
      <c r="H119" s="41">
        <f t="shared" si="82"/>
        <v>0</v>
      </c>
      <c r="I119" s="41">
        <f>I106*35*(48/52)*(52/12)</f>
        <v>10500</v>
      </c>
      <c r="J119" s="41">
        <f t="shared" ref="J119:BD119" si="83">J106*35*(48/52)*(52/12)</f>
        <v>10500</v>
      </c>
      <c r="K119" s="41">
        <f t="shared" si="83"/>
        <v>10500</v>
      </c>
      <c r="L119" s="41">
        <f t="shared" ref="L119" si="84">L106*35*(48/52)*(52/12)</f>
        <v>10500</v>
      </c>
      <c r="M119" s="41">
        <f t="shared" si="83"/>
        <v>11900</v>
      </c>
      <c r="N119" s="41">
        <f t="shared" si="83"/>
        <v>11900</v>
      </c>
      <c r="O119" s="41">
        <f t="shared" si="83"/>
        <v>11900</v>
      </c>
      <c r="P119" s="41">
        <f t="shared" si="83"/>
        <v>11900</v>
      </c>
      <c r="Q119" s="41">
        <f t="shared" si="83"/>
        <v>11900</v>
      </c>
      <c r="R119" s="41">
        <f t="shared" si="83"/>
        <v>11900</v>
      </c>
      <c r="S119" s="41">
        <f t="shared" si="83"/>
        <v>11900</v>
      </c>
      <c r="T119" s="41">
        <f t="shared" si="83"/>
        <v>11900</v>
      </c>
      <c r="U119" s="41">
        <f t="shared" si="83"/>
        <v>11900</v>
      </c>
      <c r="V119" s="41">
        <f t="shared" si="83"/>
        <v>11900</v>
      </c>
      <c r="W119" s="41">
        <f t="shared" si="83"/>
        <v>11900</v>
      </c>
      <c r="X119" s="41">
        <f t="shared" si="83"/>
        <v>11900</v>
      </c>
      <c r="Y119" s="41">
        <f t="shared" si="83"/>
        <v>11900</v>
      </c>
      <c r="Z119" s="41">
        <f t="shared" si="83"/>
        <v>11900</v>
      </c>
      <c r="AA119" s="41">
        <f t="shared" si="83"/>
        <v>11900</v>
      </c>
      <c r="AB119" s="41">
        <f t="shared" si="83"/>
        <v>11900</v>
      </c>
      <c r="AC119" s="41">
        <f t="shared" si="83"/>
        <v>11900</v>
      </c>
      <c r="AD119" s="41">
        <f t="shared" si="83"/>
        <v>11900</v>
      </c>
      <c r="AE119" s="41">
        <f t="shared" si="83"/>
        <v>11900</v>
      </c>
      <c r="AF119" s="41">
        <f t="shared" si="83"/>
        <v>11900</v>
      </c>
      <c r="AG119" s="41">
        <f t="shared" si="83"/>
        <v>11900</v>
      </c>
      <c r="AH119" s="41">
        <f t="shared" si="83"/>
        <v>11900</v>
      </c>
      <c r="AI119" s="41">
        <f t="shared" si="83"/>
        <v>11900</v>
      </c>
      <c r="AJ119" s="41">
        <f t="shared" si="83"/>
        <v>11900</v>
      </c>
      <c r="AK119" s="41">
        <f t="shared" si="83"/>
        <v>11900</v>
      </c>
      <c r="AL119" s="41">
        <f t="shared" si="83"/>
        <v>11900</v>
      </c>
      <c r="AM119" s="41">
        <f t="shared" si="83"/>
        <v>11900</v>
      </c>
      <c r="AN119" s="41">
        <f t="shared" si="83"/>
        <v>11900</v>
      </c>
      <c r="AO119" s="41">
        <f t="shared" si="83"/>
        <v>11900</v>
      </c>
      <c r="AP119" s="41">
        <f t="shared" si="83"/>
        <v>11900</v>
      </c>
      <c r="AQ119" s="41">
        <f t="shared" si="83"/>
        <v>11900</v>
      </c>
      <c r="AR119" s="41">
        <f t="shared" si="83"/>
        <v>11900</v>
      </c>
      <c r="AS119" s="175">
        <f>AS106*35*(48/52)*(52/12)</f>
        <v>11900</v>
      </c>
      <c r="AT119" s="41">
        <f t="shared" si="83"/>
        <v>11900</v>
      </c>
      <c r="AU119" s="41">
        <f t="shared" si="83"/>
        <v>11900</v>
      </c>
      <c r="AV119" s="41">
        <f t="shared" si="83"/>
        <v>11900</v>
      </c>
      <c r="AW119" s="41">
        <f t="shared" si="83"/>
        <v>11900</v>
      </c>
      <c r="AX119" s="41">
        <f t="shared" si="83"/>
        <v>11900</v>
      </c>
      <c r="AY119" s="41">
        <f t="shared" si="83"/>
        <v>11900</v>
      </c>
      <c r="AZ119" s="41">
        <f t="shared" si="83"/>
        <v>11900</v>
      </c>
      <c r="BA119" s="41">
        <f t="shared" si="83"/>
        <v>11900</v>
      </c>
      <c r="BB119" s="41">
        <f t="shared" ref="BB119:BC119" si="85">BB106*35*(48/52)*(52/12)</f>
        <v>11900</v>
      </c>
      <c r="BC119" s="41">
        <f t="shared" si="85"/>
        <v>11900</v>
      </c>
      <c r="BD119" s="41">
        <f t="shared" si="83"/>
        <v>11900</v>
      </c>
      <c r="BE119" s="202"/>
      <c r="BF119" s="202"/>
      <c r="BG119" s="202"/>
      <c r="BH119" s="202"/>
      <c r="BO119" s="202"/>
      <c r="BP119" s="202"/>
    </row>
    <row r="120" spans="1:68" outlineLevel="1" x14ac:dyDescent="0.25">
      <c r="A120" s="202"/>
      <c r="B120" s="202" t="s">
        <v>332</v>
      </c>
      <c r="C120" s="24" t="s">
        <v>341</v>
      </c>
      <c r="D120" s="41">
        <f>D107*D82</f>
        <v>0</v>
      </c>
      <c r="E120" s="41">
        <f t="shared" ref="E120:H120" si="86">E107*E82</f>
        <v>0</v>
      </c>
      <c r="F120" s="41">
        <f t="shared" si="86"/>
        <v>0</v>
      </c>
      <c r="G120" s="41">
        <f t="shared" si="86"/>
        <v>0</v>
      </c>
      <c r="H120" s="41">
        <f t="shared" si="86"/>
        <v>0</v>
      </c>
      <c r="I120" s="41">
        <f>I107*35*(48/52)*(52/12)</f>
        <v>10500</v>
      </c>
      <c r="J120" s="41">
        <f t="shared" ref="J120:BD120" si="87">J107*35*(48/52)*(52/12)</f>
        <v>10500</v>
      </c>
      <c r="K120" s="41">
        <f t="shared" si="87"/>
        <v>10500</v>
      </c>
      <c r="L120" s="41">
        <f t="shared" ref="L120" si="88">L107*35*(48/52)*(52/12)</f>
        <v>10500</v>
      </c>
      <c r="M120" s="41">
        <f t="shared" si="87"/>
        <v>11900</v>
      </c>
      <c r="N120" s="41">
        <f t="shared" si="87"/>
        <v>11900</v>
      </c>
      <c r="O120" s="41">
        <f t="shared" si="87"/>
        <v>11900</v>
      </c>
      <c r="P120" s="41">
        <f t="shared" si="87"/>
        <v>11900</v>
      </c>
      <c r="Q120" s="41">
        <f t="shared" si="87"/>
        <v>11900</v>
      </c>
      <c r="R120" s="41">
        <f t="shared" si="87"/>
        <v>11900</v>
      </c>
      <c r="S120" s="41">
        <f t="shared" si="87"/>
        <v>11900</v>
      </c>
      <c r="T120" s="41">
        <f t="shared" si="87"/>
        <v>11900</v>
      </c>
      <c r="U120" s="41">
        <f t="shared" si="87"/>
        <v>11900</v>
      </c>
      <c r="V120" s="41">
        <f t="shared" si="87"/>
        <v>11900</v>
      </c>
      <c r="W120" s="41">
        <f t="shared" si="87"/>
        <v>11900</v>
      </c>
      <c r="X120" s="41">
        <f t="shared" si="87"/>
        <v>11900</v>
      </c>
      <c r="Y120" s="41">
        <f t="shared" si="87"/>
        <v>11900</v>
      </c>
      <c r="Z120" s="41">
        <f t="shared" si="87"/>
        <v>11900</v>
      </c>
      <c r="AA120" s="41">
        <f t="shared" si="87"/>
        <v>11900</v>
      </c>
      <c r="AB120" s="41">
        <f t="shared" si="87"/>
        <v>11900</v>
      </c>
      <c r="AC120" s="41">
        <f t="shared" si="87"/>
        <v>11900</v>
      </c>
      <c r="AD120" s="41">
        <f t="shared" si="87"/>
        <v>11900</v>
      </c>
      <c r="AE120" s="41">
        <f t="shared" si="87"/>
        <v>11900</v>
      </c>
      <c r="AF120" s="41">
        <f t="shared" si="87"/>
        <v>11900</v>
      </c>
      <c r="AG120" s="41">
        <f t="shared" si="87"/>
        <v>11900</v>
      </c>
      <c r="AH120" s="41">
        <f t="shared" si="87"/>
        <v>11900</v>
      </c>
      <c r="AI120" s="41">
        <f t="shared" si="87"/>
        <v>11900</v>
      </c>
      <c r="AJ120" s="41">
        <f t="shared" si="87"/>
        <v>11900</v>
      </c>
      <c r="AK120" s="41">
        <f t="shared" si="87"/>
        <v>11900</v>
      </c>
      <c r="AL120" s="41">
        <f t="shared" si="87"/>
        <v>11900</v>
      </c>
      <c r="AM120" s="41">
        <f t="shared" si="87"/>
        <v>11900</v>
      </c>
      <c r="AN120" s="41">
        <f t="shared" si="87"/>
        <v>11900</v>
      </c>
      <c r="AO120" s="41">
        <f t="shared" si="87"/>
        <v>11900</v>
      </c>
      <c r="AP120" s="41">
        <f t="shared" si="87"/>
        <v>11900</v>
      </c>
      <c r="AQ120" s="41">
        <f t="shared" si="87"/>
        <v>11900</v>
      </c>
      <c r="AR120" s="41">
        <f t="shared" si="87"/>
        <v>11900</v>
      </c>
      <c r="AS120" s="175">
        <f>AS107*35*(48/52)*(52/12)</f>
        <v>11900</v>
      </c>
      <c r="AT120" s="41">
        <f t="shared" si="87"/>
        <v>11900</v>
      </c>
      <c r="AU120" s="41">
        <f t="shared" si="87"/>
        <v>11900</v>
      </c>
      <c r="AV120" s="41">
        <f t="shared" si="87"/>
        <v>11900</v>
      </c>
      <c r="AW120" s="41">
        <f t="shared" si="87"/>
        <v>11900</v>
      </c>
      <c r="AX120" s="41">
        <f t="shared" si="87"/>
        <v>11900</v>
      </c>
      <c r="AY120" s="41">
        <f t="shared" si="87"/>
        <v>11900</v>
      </c>
      <c r="AZ120" s="41">
        <f t="shared" si="87"/>
        <v>11900</v>
      </c>
      <c r="BA120" s="41">
        <f t="shared" si="87"/>
        <v>11900</v>
      </c>
      <c r="BB120" s="41">
        <f t="shared" ref="BB120:BC120" si="89">BB107*35*(48/52)*(52/12)</f>
        <v>11900</v>
      </c>
      <c r="BC120" s="41">
        <f t="shared" si="89"/>
        <v>11900</v>
      </c>
      <c r="BD120" s="41">
        <f t="shared" si="87"/>
        <v>11900</v>
      </c>
      <c r="BE120" s="202"/>
      <c r="BF120" s="202"/>
      <c r="BG120" s="202"/>
      <c r="BH120" s="202"/>
      <c r="BO120" s="202"/>
      <c r="BP120" s="202"/>
    </row>
    <row r="121" spans="1:68" outlineLevel="1" x14ac:dyDescent="0.25">
      <c r="A121" s="202"/>
      <c r="B121" s="202" t="s">
        <v>333</v>
      </c>
      <c r="C121" s="23"/>
      <c r="D121" s="31">
        <v>0</v>
      </c>
      <c r="E121" s="31">
        <v>0</v>
      </c>
      <c r="F121" s="31">
        <v>0</v>
      </c>
      <c r="G121" s="31">
        <v>0</v>
      </c>
      <c r="H121" s="31">
        <v>0</v>
      </c>
      <c r="I121" s="31">
        <f t="shared" ref="I121:BD121" si="90">150000/12</f>
        <v>12500</v>
      </c>
      <c r="J121" s="31">
        <f t="shared" si="90"/>
        <v>12500</v>
      </c>
      <c r="K121" s="31">
        <f t="shared" si="90"/>
        <v>12500</v>
      </c>
      <c r="L121" s="31">
        <f t="shared" si="90"/>
        <v>12500</v>
      </c>
      <c r="M121" s="31">
        <f t="shared" si="90"/>
        <v>12500</v>
      </c>
      <c r="N121" s="31">
        <f t="shared" si="90"/>
        <v>12500</v>
      </c>
      <c r="O121" s="31">
        <f t="shared" si="90"/>
        <v>12500</v>
      </c>
      <c r="P121" s="31">
        <f t="shared" si="90"/>
        <v>12500</v>
      </c>
      <c r="Q121" s="31">
        <f t="shared" si="90"/>
        <v>12500</v>
      </c>
      <c r="R121" s="31">
        <f t="shared" si="90"/>
        <v>12500</v>
      </c>
      <c r="S121" s="31">
        <f t="shared" si="90"/>
        <v>12500</v>
      </c>
      <c r="T121" s="31">
        <f t="shared" si="90"/>
        <v>12500</v>
      </c>
      <c r="U121" s="31">
        <f t="shared" si="90"/>
        <v>12500</v>
      </c>
      <c r="V121" s="31">
        <f t="shared" si="90"/>
        <v>12500</v>
      </c>
      <c r="W121" s="31">
        <f t="shared" si="90"/>
        <v>12500</v>
      </c>
      <c r="X121" s="31">
        <f t="shared" si="90"/>
        <v>12500</v>
      </c>
      <c r="Y121" s="31">
        <f t="shared" si="90"/>
        <v>12500</v>
      </c>
      <c r="Z121" s="31">
        <f t="shared" si="90"/>
        <v>12500</v>
      </c>
      <c r="AA121" s="31">
        <f t="shared" si="90"/>
        <v>12500</v>
      </c>
      <c r="AB121" s="31">
        <f t="shared" si="90"/>
        <v>12500</v>
      </c>
      <c r="AC121" s="31">
        <f t="shared" si="90"/>
        <v>12500</v>
      </c>
      <c r="AD121" s="31">
        <f t="shared" si="90"/>
        <v>12500</v>
      </c>
      <c r="AE121" s="31">
        <f t="shared" si="90"/>
        <v>12500</v>
      </c>
      <c r="AF121" s="31">
        <f t="shared" si="90"/>
        <v>12500</v>
      </c>
      <c r="AG121" s="31">
        <f t="shared" si="90"/>
        <v>12500</v>
      </c>
      <c r="AH121" s="31">
        <f t="shared" si="90"/>
        <v>12500</v>
      </c>
      <c r="AI121" s="31">
        <f t="shared" si="90"/>
        <v>12500</v>
      </c>
      <c r="AJ121" s="31">
        <f t="shared" si="90"/>
        <v>12500</v>
      </c>
      <c r="AK121" s="31">
        <f t="shared" si="90"/>
        <v>12500</v>
      </c>
      <c r="AL121" s="31">
        <f t="shared" si="90"/>
        <v>12500</v>
      </c>
      <c r="AM121" s="31">
        <f t="shared" si="90"/>
        <v>12500</v>
      </c>
      <c r="AN121" s="31">
        <f t="shared" si="90"/>
        <v>12500</v>
      </c>
      <c r="AO121" s="31">
        <f t="shared" si="90"/>
        <v>12500</v>
      </c>
      <c r="AP121" s="31">
        <f t="shared" si="90"/>
        <v>12500</v>
      </c>
      <c r="AQ121" s="31">
        <f t="shared" si="90"/>
        <v>12500</v>
      </c>
      <c r="AR121" s="31">
        <f t="shared" si="90"/>
        <v>12500</v>
      </c>
      <c r="AS121" s="31">
        <f>150000/12</f>
        <v>12500</v>
      </c>
      <c r="AT121" s="31">
        <f t="shared" si="90"/>
        <v>12500</v>
      </c>
      <c r="AU121" s="31">
        <f t="shared" si="90"/>
        <v>12500</v>
      </c>
      <c r="AV121" s="31">
        <f t="shared" si="90"/>
        <v>12500</v>
      </c>
      <c r="AW121" s="31">
        <f t="shared" si="90"/>
        <v>12500</v>
      </c>
      <c r="AX121" s="31">
        <f t="shared" si="90"/>
        <v>12500</v>
      </c>
      <c r="AY121" s="31">
        <f t="shared" si="90"/>
        <v>12500</v>
      </c>
      <c r="AZ121" s="31">
        <f t="shared" si="90"/>
        <v>12500</v>
      </c>
      <c r="BA121" s="31">
        <f t="shared" si="90"/>
        <v>12500</v>
      </c>
      <c r="BB121" s="31">
        <f t="shared" si="90"/>
        <v>12500</v>
      </c>
      <c r="BC121" s="31">
        <f t="shared" si="90"/>
        <v>12500</v>
      </c>
      <c r="BD121" s="31">
        <f t="shared" si="90"/>
        <v>12500</v>
      </c>
      <c r="BE121" s="202"/>
      <c r="BF121" s="202"/>
      <c r="BG121" s="202"/>
      <c r="BH121" s="202"/>
      <c r="BO121" s="202"/>
      <c r="BP121" s="202"/>
    </row>
    <row r="122" spans="1:68" outlineLevel="1" x14ac:dyDescent="0.25">
      <c r="A122" s="202"/>
      <c r="B122" s="202"/>
      <c r="C122" s="202"/>
      <c r="D122" s="202"/>
      <c r="E122" s="202"/>
      <c r="F122" s="202"/>
      <c r="G122" s="202"/>
      <c r="H122" s="202"/>
      <c r="I122" s="210"/>
      <c r="J122" s="202"/>
      <c r="K122" s="202"/>
      <c r="L122" s="202"/>
      <c r="M122" s="202"/>
      <c r="N122" s="202"/>
      <c r="O122" s="202"/>
      <c r="P122" s="202"/>
      <c r="Q122" s="202"/>
      <c r="R122" s="202"/>
      <c r="S122" s="202"/>
      <c r="T122" s="202"/>
      <c r="U122" s="202"/>
      <c r="V122" s="202"/>
      <c r="W122" s="202"/>
      <c r="X122" s="202"/>
      <c r="Y122" s="202"/>
      <c r="Z122" s="202"/>
      <c r="AA122" s="202"/>
      <c r="AB122" s="202"/>
      <c r="AC122" s="202"/>
      <c r="AD122" s="202"/>
      <c r="AE122" s="202"/>
      <c r="AF122" s="202"/>
      <c r="AG122" s="202"/>
      <c r="AH122" s="202"/>
      <c r="AI122" s="202"/>
      <c r="AJ122" s="202"/>
      <c r="AK122" s="202"/>
      <c r="AL122" s="202"/>
      <c r="AM122" s="202"/>
      <c r="AN122" s="202"/>
      <c r="AO122" s="202"/>
      <c r="AP122" s="202"/>
      <c r="AQ122" s="202"/>
      <c r="AR122" s="202"/>
      <c r="AS122" s="202"/>
      <c r="AT122" s="202"/>
      <c r="AU122" s="202"/>
      <c r="AV122" s="202"/>
      <c r="AW122" s="202"/>
      <c r="AX122" s="202"/>
      <c r="AY122" s="202"/>
      <c r="AZ122" s="202"/>
      <c r="BA122" s="202"/>
      <c r="BB122" s="202"/>
      <c r="BC122" s="202"/>
      <c r="BD122" s="202"/>
      <c r="BE122" s="202"/>
      <c r="BF122" s="202"/>
      <c r="BG122" s="202"/>
      <c r="BH122" s="202"/>
      <c r="BO122" s="202"/>
      <c r="BP122" s="202"/>
    </row>
    <row r="123" spans="1:68" x14ac:dyDescent="0.25">
      <c r="A123" s="202"/>
      <c r="B123" s="80"/>
      <c r="C123" s="202"/>
      <c r="D123" s="202"/>
      <c r="E123" s="202"/>
      <c r="F123" s="202"/>
      <c r="G123" s="202"/>
      <c r="H123" s="202"/>
      <c r="I123" s="202"/>
      <c r="J123" s="202"/>
      <c r="K123" s="202"/>
      <c r="L123" s="202"/>
      <c r="M123" s="202"/>
      <c r="N123" s="202"/>
      <c r="O123" s="202"/>
      <c r="P123" s="202"/>
      <c r="Q123" s="202"/>
      <c r="R123" s="202"/>
      <c r="S123" s="202"/>
      <c r="T123" s="202"/>
      <c r="U123" s="202"/>
      <c r="V123" s="202"/>
      <c r="W123" s="202"/>
      <c r="X123" s="202"/>
      <c r="Y123" s="202"/>
      <c r="Z123" s="202"/>
      <c r="AA123" s="202"/>
      <c r="AB123" s="202"/>
      <c r="AC123" s="202"/>
      <c r="AD123" s="202"/>
      <c r="AE123" s="202"/>
      <c r="AF123" s="202"/>
      <c r="AG123" s="202"/>
      <c r="AH123" s="202"/>
      <c r="AI123" s="202"/>
      <c r="AJ123" s="202"/>
      <c r="AK123" s="202"/>
      <c r="AL123" s="202"/>
      <c r="AM123" s="202"/>
      <c r="AN123" s="202"/>
      <c r="AO123" s="202"/>
      <c r="AP123" s="202"/>
      <c r="AQ123" s="202"/>
      <c r="AR123" s="202"/>
      <c r="AS123" s="202"/>
      <c r="AT123" s="202"/>
      <c r="AU123" s="202"/>
      <c r="AV123" s="202"/>
      <c r="AW123" s="202"/>
      <c r="AX123" s="202"/>
      <c r="AY123" s="202"/>
      <c r="AZ123" s="202"/>
      <c r="BA123" s="202"/>
      <c r="BB123" s="202"/>
      <c r="BC123" s="202"/>
      <c r="BD123" s="202"/>
      <c r="BE123" s="202"/>
      <c r="BF123" s="202"/>
      <c r="BG123" s="202"/>
      <c r="BH123" s="202"/>
      <c r="BO123" s="202"/>
      <c r="BP123" s="202"/>
    </row>
    <row r="124" spans="1:68" x14ac:dyDescent="0.25">
      <c r="A124" s="202"/>
      <c r="B124" s="202" t="s">
        <v>117</v>
      </c>
      <c r="C124" s="202"/>
      <c r="D124" s="46">
        <v>0.16</v>
      </c>
      <c r="E124" s="46">
        <v>0.16</v>
      </c>
      <c r="F124" s="46">
        <v>0.16</v>
      </c>
      <c r="G124" s="46">
        <v>0.16</v>
      </c>
      <c r="H124" s="46">
        <v>0.16</v>
      </c>
      <c r="I124" s="46">
        <v>0.16</v>
      </c>
      <c r="J124" s="46">
        <v>0.16</v>
      </c>
      <c r="K124" s="46">
        <v>0.16</v>
      </c>
      <c r="L124" s="46">
        <v>0.16</v>
      </c>
      <c r="M124" s="46">
        <v>0.16</v>
      </c>
      <c r="N124" s="46">
        <v>0.16</v>
      </c>
      <c r="O124" s="46">
        <v>0.16</v>
      </c>
      <c r="P124" s="46">
        <v>0.16</v>
      </c>
      <c r="Q124" s="46">
        <v>0.16</v>
      </c>
      <c r="R124" s="46">
        <v>0.16</v>
      </c>
      <c r="S124" s="46">
        <v>0.16</v>
      </c>
      <c r="T124" s="46">
        <v>0.16</v>
      </c>
      <c r="U124" s="46">
        <v>0.16</v>
      </c>
      <c r="V124" s="46">
        <v>0.16</v>
      </c>
      <c r="W124" s="46">
        <v>0.16</v>
      </c>
      <c r="X124" s="46">
        <v>0.16</v>
      </c>
      <c r="Y124" s="46">
        <v>0.16</v>
      </c>
      <c r="Z124" s="46">
        <v>0.16</v>
      </c>
      <c r="AA124" s="46">
        <v>0.16</v>
      </c>
      <c r="AB124" s="46">
        <v>0.16</v>
      </c>
      <c r="AC124" s="46">
        <v>0.16</v>
      </c>
      <c r="AD124" s="46">
        <v>0.16</v>
      </c>
      <c r="AE124" s="46">
        <v>0.16</v>
      </c>
      <c r="AF124" s="46">
        <v>0.16</v>
      </c>
      <c r="AG124" s="46">
        <v>0.16</v>
      </c>
      <c r="AH124" s="46">
        <v>0.16</v>
      </c>
      <c r="AI124" s="46">
        <v>0.16</v>
      </c>
      <c r="AJ124" s="46">
        <v>0.16</v>
      </c>
      <c r="AK124" s="46">
        <v>0.16</v>
      </c>
      <c r="AL124" s="46">
        <v>0.16</v>
      </c>
      <c r="AM124" s="46">
        <v>0.16</v>
      </c>
      <c r="AN124" s="46">
        <v>0.16</v>
      </c>
      <c r="AO124" s="46">
        <v>0.16</v>
      </c>
      <c r="AP124" s="46">
        <v>0.16</v>
      </c>
      <c r="AQ124" s="46">
        <v>0.16</v>
      </c>
      <c r="AR124" s="46">
        <v>0.16</v>
      </c>
      <c r="AS124" s="46">
        <v>0.16</v>
      </c>
      <c r="AT124" s="46">
        <v>0.16</v>
      </c>
      <c r="AU124" s="46">
        <v>0.16</v>
      </c>
      <c r="AV124" s="46">
        <v>0.16</v>
      </c>
      <c r="AW124" s="46">
        <v>0.16</v>
      </c>
      <c r="AX124" s="46">
        <v>0.16</v>
      </c>
      <c r="AY124" s="46">
        <v>0.16</v>
      </c>
      <c r="AZ124" s="46">
        <v>0.16</v>
      </c>
      <c r="BA124" s="46">
        <v>0.16</v>
      </c>
      <c r="BB124" s="46">
        <v>0.16</v>
      </c>
      <c r="BC124" s="46">
        <v>0.16</v>
      </c>
      <c r="BD124" s="46">
        <v>0.16</v>
      </c>
      <c r="BE124" s="202"/>
      <c r="BF124" s="202"/>
      <c r="BG124" s="202"/>
      <c r="BH124" s="202"/>
      <c r="BO124" s="202"/>
      <c r="BP124" s="202"/>
    </row>
    <row r="125" spans="1:68" x14ac:dyDescent="0.25">
      <c r="A125" s="202"/>
      <c r="B125" s="202"/>
      <c r="C125" s="202"/>
      <c r="D125" s="202"/>
      <c r="E125" s="202"/>
      <c r="F125" s="202"/>
      <c r="G125" s="202"/>
      <c r="H125" s="202"/>
      <c r="I125" s="202"/>
      <c r="J125" s="202"/>
      <c r="K125" s="202"/>
      <c r="L125" s="202"/>
      <c r="M125" s="202"/>
      <c r="N125" s="202"/>
      <c r="O125" s="202"/>
      <c r="P125" s="202"/>
      <c r="Q125" s="202"/>
      <c r="R125" s="202"/>
      <c r="S125" s="202"/>
      <c r="T125" s="202"/>
      <c r="U125" s="202"/>
      <c r="V125" s="202"/>
      <c r="W125" s="202"/>
      <c r="X125" s="202"/>
      <c r="Y125" s="202"/>
      <c r="Z125" s="202"/>
      <c r="AA125" s="202"/>
      <c r="AB125" s="202"/>
      <c r="AC125" s="202"/>
      <c r="AD125" s="202"/>
      <c r="AE125" s="202"/>
      <c r="AF125" s="202"/>
      <c r="AG125" s="202"/>
      <c r="AH125" s="202"/>
      <c r="AI125" s="202"/>
      <c r="AJ125" s="202"/>
      <c r="AK125" s="202"/>
      <c r="AL125" s="202"/>
      <c r="AM125" s="202"/>
      <c r="AN125" s="202"/>
      <c r="AO125" s="202"/>
      <c r="AP125" s="202"/>
      <c r="AQ125" s="202"/>
      <c r="AR125" s="202"/>
      <c r="AS125" s="202"/>
      <c r="AT125" s="202"/>
      <c r="AU125" s="202"/>
      <c r="AV125" s="202"/>
      <c r="AW125" s="202"/>
      <c r="AX125" s="202"/>
      <c r="AY125" s="202"/>
      <c r="AZ125" s="202"/>
      <c r="BA125" s="202"/>
      <c r="BB125" s="202"/>
      <c r="BC125" s="202"/>
      <c r="BD125" s="202"/>
      <c r="BE125" s="202"/>
      <c r="BF125" s="202"/>
      <c r="BG125" s="202"/>
      <c r="BH125" s="202"/>
      <c r="BO125" s="202"/>
      <c r="BP125" s="202"/>
    </row>
    <row r="126" spans="1:68" x14ac:dyDescent="0.25">
      <c r="A126" s="202"/>
      <c r="B126" s="23" t="s">
        <v>118</v>
      </c>
      <c r="C126" s="202"/>
      <c r="D126" s="202"/>
      <c r="E126" s="202"/>
      <c r="F126" s="202"/>
      <c r="G126" s="202"/>
      <c r="H126" s="202"/>
      <c r="I126" s="202"/>
      <c r="J126" s="202"/>
      <c r="K126" s="202"/>
      <c r="L126" s="202"/>
      <c r="M126" s="202"/>
      <c r="N126" s="202"/>
      <c r="O126" s="202"/>
      <c r="P126" s="202"/>
      <c r="Q126" s="202"/>
      <c r="R126" s="202"/>
      <c r="S126" s="202"/>
      <c r="T126" s="202"/>
      <c r="U126" s="202"/>
      <c r="V126" s="202"/>
      <c r="W126" s="202"/>
      <c r="X126" s="202"/>
      <c r="Y126" s="202"/>
      <c r="Z126" s="202"/>
      <c r="AA126" s="202"/>
      <c r="AB126" s="202"/>
      <c r="AC126" s="202"/>
      <c r="AD126" s="202"/>
      <c r="AE126" s="202"/>
      <c r="AF126" s="202"/>
      <c r="AG126" s="202"/>
      <c r="AH126" s="202"/>
      <c r="AI126" s="202"/>
      <c r="AJ126" s="202"/>
      <c r="AK126" s="202"/>
      <c r="AL126" s="202"/>
      <c r="AM126" s="202"/>
      <c r="AN126" s="202"/>
      <c r="AO126" s="202"/>
      <c r="AP126" s="202"/>
      <c r="AQ126" s="202"/>
      <c r="AR126" s="202"/>
      <c r="AS126" s="202"/>
      <c r="AT126" s="202"/>
      <c r="AU126" s="202"/>
      <c r="AV126" s="202"/>
      <c r="AW126" s="202"/>
      <c r="AX126" s="202"/>
      <c r="AY126" s="202"/>
      <c r="AZ126" s="202"/>
      <c r="BA126" s="202"/>
      <c r="BB126" s="202"/>
      <c r="BC126" s="202"/>
      <c r="BD126" s="202"/>
      <c r="BE126" s="202"/>
      <c r="BF126" s="202"/>
      <c r="BG126" s="202"/>
      <c r="BH126" s="202"/>
      <c r="BO126" s="202"/>
      <c r="BP126" s="202"/>
    </row>
    <row r="127" spans="1:68" x14ac:dyDescent="0.25">
      <c r="A127" s="202"/>
      <c r="B127" s="34" t="s">
        <v>28</v>
      </c>
      <c r="C127" s="202"/>
      <c r="D127" s="31">
        <v>0</v>
      </c>
      <c r="E127" s="31">
        <v>0</v>
      </c>
      <c r="F127" s="31">
        <v>0</v>
      </c>
      <c r="G127" s="31">
        <v>0</v>
      </c>
      <c r="H127" s="31">
        <v>0</v>
      </c>
      <c r="I127" s="31">
        <v>14292.37</v>
      </c>
      <c r="J127" s="31">
        <v>0</v>
      </c>
      <c r="K127" s="31">
        <v>4890.43</v>
      </c>
      <c r="L127" s="31">
        <v>0</v>
      </c>
      <c r="M127" s="31">
        <v>18750</v>
      </c>
      <c r="N127" s="31">
        <v>10000</v>
      </c>
      <c r="O127" s="31">
        <v>15000</v>
      </c>
      <c r="P127" s="31">
        <v>0</v>
      </c>
      <c r="Q127" s="31">
        <v>22411.49</v>
      </c>
      <c r="R127" s="31">
        <v>0</v>
      </c>
      <c r="S127" s="31">
        <v>15000</v>
      </c>
      <c r="T127" s="31">
        <v>0</v>
      </c>
      <c r="U127" s="31">
        <v>15000</v>
      </c>
      <c r="V127" s="31">
        <v>15000</v>
      </c>
      <c r="W127" s="31">
        <v>0</v>
      </c>
      <c r="X127" s="31">
        <v>15000</v>
      </c>
      <c r="Y127" s="31">
        <v>0</v>
      </c>
      <c r="Z127" s="31">
        <v>15000</v>
      </c>
      <c r="AA127" s="31">
        <v>0</v>
      </c>
      <c r="AB127" s="31">
        <v>15000</v>
      </c>
      <c r="AC127" s="31">
        <v>0</v>
      </c>
      <c r="AD127" s="31">
        <v>15000</v>
      </c>
      <c r="AE127" s="31">
        <v>0</v>
      </c>
      <c r="AF127" s="31">
        <v>15000</v>
      </c>
      <c r="AG127" s="31">
        <v>15000</v>
      </c>
      <c r="AH127" s="31">
        <v>0</v>
      </c>
      <c r="AI127" s="31">
        <v>15000</v>
      </c>
      <c r="AJ127" s="31">
        <v>15000</v>
      </c>
      <c r="AK127" s="31">
        <v>0</v>
      </c>
      <c r="AL127" s="31">
        <v>15000</v>
      </c>
      <c r="AM127" s="31">
        <v>0</v>
      </c>
      <c r="AN127" s="31">
        <v>15000</v>
      </c>
      <c r="AO127" s="31">
        <v>15000</v>
      </c>
      <c r="AP127" s="31">
        <v>15000</v>
      </c>
      <c r="AQ127" s="31">
        <v>0</v>
      </c>
      <c r="AR127" s="31">
        <v>14292.37</v>
      </c>
      <c r="AS127" s="31">
        <v>0</v>
      </c>
      <c r="AT127" s="31">
        <v>14292.37</v>
      </c>
      <c r="AU127" s="31">
        <v>14292.37</v>
      </c>
      <c r="AV127" s="31">
        <v>6713</v>
      </c>
      <c r="AW127" s="31">
        <v>6713</v>
      </c>
      <c r="AX127" s="31">
        <v>6713</v>
      </c>
      <c r="AY127" s="31">
        <v>6713</v>
      </c>
      <c r="AZ127" s="31">
        <v>0</v>
      </c>
      <c r="BA127" s="31">
        <v>6713</v>
      </c>
      <c r="BB127" s="31">
        <v>0</v>
      </c>
      <c r="BC127" s="31">
        <v>0</v>
      </c>
      <c r="BD127" s="31">
        <v>0</v>
      </c>
      <c r="BE127" s="202"/>
      <c r="BF127" s="202"/>
      <c r="BG127" s="202"/>
      <c r="BH127" s="202"/>
      <c r="BI127" s="34" t="s">
        <v>28</v>
      </c>
      <c r="BJ127" s="37">
        <v>1</v>
      </c>
      <c r="BK127" s="37">
        <f>BJ127*1.03</f>
        <v>1.03</v>
      </c>
      <c r="BL127" s="37">
        <f>BK127*1.03</f>
        <v>1.0609</v>
      </c>
      <c r="BO127" s="202"/>
      <c r="BP127" s="202"/>
    </row>
    <row r="128" spans="1:68" x14ac:dyDescent="0.25">
      <c r="A128" s="202"/>
      <c r="B128" s="34" t="s">
        <v>31</v>
      </c>
      <c r="C128" s="202"/>
      <c r="D128" s="211">
        <f>SUM(D129:D134)</f>
        <v>0</v>
      </c>
      <c r="E128" s="211">
        <f t="shared" ref="E128:H128" si="91">SUM(E129:E134)</f>
        <v>0</v>
      </c>
      <c r="F128" s="211">
        <f t="shared" si="91"/>
        <v>0</v>
      </c>
      <c r="G128" s="211">
        <f t="shared" si="91"/>
        <v>0</v>
      </c>
      <c r="H128" s="211">
        <f t="shared" si="91"/>
        <v>0</v>
      </c>
      <c r="I128" s="211">
        <f t="shared" ref="I128:BD128" si="92">SUM(I129:I134)</f>
        <v>4200</v>
      </c>
      <c r="J128" s="211">
        <f t="shared" si="92"/>
        <v>0</v>
      </c>
      <c r="K128" s="211">
        <f t="shared" si="92"/>
        <v>5361.26</v>
      </c>
      <c r="L128" s="211">
        <f t="shared" ref="L128" si="93">SUM(L129:L134)</f>
        <v>0</v>
      </c>
      <c r="M128" s="211">
        <f t="shared" si="92"/>
        <v>6000</v>
      </c>
      <c r="N128" s="211">
        <f t="shared" si="92"/>
        <v>8400</v>
      </c>
      <c r="O128" s="211">
        <f t="shared" si="92"/>
        <v>8700</v>
      </c>
      <c r="P128" s="211">
        <f t="shared" si="92"/>
        <v>0</v>
      </c>
      <c r="Q128" s="211">
        <f t="shared" si="92"/>
        <v>7661.67</v>
      </c>
      <c r="R128" s="211">
        <f t="shared" si="92"/>
        <v>0</v>
      </c>
      <c r="S128" s="211">
        <f t="shared" ref="S128" si="94">SUM(S129:S134)</f>
        <v>8700</v>
      </c>
      <c r="T128" s="211">
        <f t="shared" ref="T128:V128" si="95">SUM(T129:T134)</f>
        <v>0</v>
      </c>
      <c r="U128" s="211">
        <f t="shared" si="95"/>
        <v>8700</v>
      </c>
      <c r="V128" s="211">
        <f t="shared" si="95"/>
        <v>8700</v>
      </c>
      <c r="W128" s="211">
        <f t="shared" ref="W128:X128" si="96">SUM(W129:W134)</f>
        <v>0</v>
      </c>
      <c r="X128" s="211">
        <f t="shared" si="96"/>
        <v>8700</v>
      </c>
      <c r="Y128" s="211">
        <f t="shared" ref="Y128:Z128" si="97">SUM(Y129:Y134)</f>
        <v>0</v>
      </c>
      <c r="Z128" s="211">
        <f t="shared" si="97"/>
        <v>8700</v>
      </c>
      <c r="AA128" s="211">
        <f t="shared" ref="AA128:AQ128" si="98">SUM(AA129:AA134)</f>
        <v>0</v>
      </c>
      <c r="AB128" s="211">
        <f t="shared" si="98"/>
        <v>8700</v>
      </c>
      <c r="AC128" s="211">
        <f t="shared" si="98"/>
        <v>0</v>
      </c>
      <c r="AD128" s="211">
        <f t="shared" si="98"/>
        <v>8700</v>
      </c>
      <c r="AE128" s="211">
        <f t="shared" si="98"/>
        <v>0</v>
      </c>
      <c r="AF128" s="211">
        <f t="shared" si="98"/>
        <v>8700</v>
      </c>
      <c r="AG128" s="211">
        <f t="shared" si="98"/>
        <v>8700</v>
      </c>
      <c r="AH128" s="211">
        <f t="shared" si="98"/>
        <v>0</v>
      </c>
      <c r="AI128" s="211">
        <f t="shared" si="98"/>
        <v>7700</v>
      </c>
      <c r="AJ128" s="211">
        <f t="shared" si="98"/>
        <v>7700</v>
      </c>
      <c r="AK128" s="211">
        <f t="shared" si="98"/>
        <v>0</v>
      </c>
      <c r="AL128" s="211">
        <f t="shared" si="98"/>
        <v>7700</v>
      </c>
      <c r="AM128" s="211">
        <f t="shared" si="98"/>
        <v>0</v>
      </c>
      <c r="AN128" s="211">
        <f t="shared" si="98"/>
        <v>7700</v>
      </c>
      <c r="AO128" s="211">
        <f t="shared" si="98"/>
        <v>7700</v>
      </c>
      <c r="AP128" s="211">
        <f t="shared" si="98"/>
        <v>7700</v>
      </c>
      <c r="AQ128" s="211">
        <f t="shared" si="98"/>
        <v>0</v>
      </c>
      <c r="AR128" s="211">
        <f t="shared" ref="AR128:AU128" si="99">SUM(AR129:AR134)</f>
        <v>5700</v>
      </c>
      <c r="AS128" s="211">
        <f>SUM(AS129:AS134)</f>
        <v>0</v>
      </c>
      <c r="AT128" s="211">
        <f t="shared" si="99"/>
        <v>5700</v>
      </c>
      <c r="AU128" s="211">
        <f t="shared" si="99"/>
        <v>5700</v>
      </c>
      <c r="AV128" s="211">
        <f t="shared" ref="AV128:AX128" si="100">SUM(AV129:AV134)</f>
        <v>5600</v>
      </c>
      <c r="AW128" s="211">
        <f t="shared" si="100"/>
        <v>5600</v>
      </c>
      <c r="AX128" s="211">
        <f t="shared" si="100"/>
        <v>5600</v>
      </c>
      <c r="AY128" s="211">
        <f t="shared" si="92"/>
        <v>5600</v>
      </c>
      <c r="AZ128" s="211">
        <f t="shared" si="92"/>
        <v>0</v>
      </c>
      <c r="BA128" s="211">
        <f t="shared" si="92"/>
        <v>4600</v>
      </c>
      <c r="BB128" s="211">
        <f t="shared" ref="BB128:BC128" si="101">SUM(BB129:BB134)</f>
        <v>0</v>
      </c>
      <c r="BC128" s="211">
        <f t="shared" si="101"/>
        <v>0</v>
      </c>
      <c r="BD128" s="211">
        <f t="shared" si="92"/>
        <v>0</v>
      </c>
      <c r="BE128" s="202"/>
      <c r="BF128" s="202"/>
      <c r="BG128" s="202"/>
      <c r="BH128" s="202"/>
      <c r="BI128" s="34" t="s">
        <v>31</v>
      </c>
      <c r="BO128" s="202"/>
      <c r="BP128" s="202"/>
    </row>
    <row r="129" spans="1:68" outlineLevel="1" x14ac:dyDescent="0.25">
      <c r="A129" s="202"/>
      <c r="B129" s="204" t="s">
        <v>119</v>
      </c>
      <c r="C129" s="202"/>
      <c r="D129" s="31">
        <v>0</v>
      </c>
      <c r="E129" s="31">
        <v>0</v>
      </c>
      <c r="F129" s="31">
        <v>0</v>
      </c>
      <c r="G129" s="31">
        <v>0</v>
      </c>
      <c r="H129" s="31">
        <v>0</v>
      </c>
      <c r="I129" s="31">
        <v>500</v>
      </c>
      <c r="J129" s="31">
        <v>0</v>
      </c>
      <c r="K129" s="31">
        <v>0</v>
      </c>
      <c r="L129" s="31">
        <v>0</v>
      </c>
      <c r="M129" s="31">
        <v>0</v>
      </c>
      <c r="N129" s="31">
        <v>700</v>
      </c>
      <c r="O129" s="31">
        <v>700</v>
      </c>
      <c r="P129" s="31">
        <v>0</v>
      </c>
      <c r="Q129" s="31">
        <v>0</v>
      </c>
      <c r="R129" s="31">
        <v>0</v>
      </c>
      <c r="S129" s="31">
        <v>700</v>
      </c>
      <c r="T129" s="31">
        <v>0</v>
      </c>
      <c r="U129" s="31">
        <v>700</v>
      </c>
      <c r="V129" s="31">
        <v>700</v>
      </c>
      <c r="W129" s="31">
        <v>0</v>
      </c>
      <c r="X129" s="31">
        <v>700</v>
      </c>
      <c r="Y129" s="31">
        <v>0</v>
      </c>
      <c r="Z129" s="31">
        <v>700</v>
      </c>
      <c r="AA129" s="31">
        <v>0</v>
      </c>
      <c r="AB129" s="31">
        <v>700</v>
      </c>
      <c r="AC129" s="31">
        <v>0</v>
      </c>
      <c r="AD129" s="31">
        <v>700</v>
      </c>
      <c r="AE129" s="31">
        <v>0</v>
      </c>
      <c r="AF129" s="31">
        <v>700</v>
      </c>
      <c r="AG129" s="31">
        <v>700</v>
      </c>
      <c r="AH129" s="31">
        <v>0</v>
      </c>
      <c r="AI129" s="31">
        <v>700</v>
      </c>
      <c r="AJ129" s="31">
        <v>700</v>
      </c>
      <c r="AK129" s="31">
        <v>0</v>
      </c>
      <c r="AL129" s="31">
        <v>700</v>
      </c>
      <c r="AM129" s="31">
        <v>0</v>
      </c>
      <c r="AN129" s="31">
        <v>700</v>
      </c>
      <c r="AO129" s="31">
        <v>700</v>
      </c>
      <c r="AP129" s="31">
        <v>700</v>
      </c>
      <c r="AQ129" s="31">
        <v>0</v>
      </c>
      <c r="AR129" s="31">
        <v>500</v>
      </c>
      <c r="AS129" s="31">
        <v>0</v>
      </c>
      <c r="AT129" s="31">
        <v>500</v>
      </c>
      <c r="AU129" s="31">
        <v>500</v>
      </c>
      <c r="AV129" s="31">
        <v>500</v>
      </c>
      <c r="AW129" s="31">
        <v>500</v>
      </c>
      <c r="AX129" s="31">
        <v>500</v>
      </c>
      <c r="AY129" s="31">
        <v>500</v>
      </c>
      <c r="AZ129" s="31">
        <v>0</v>
      </c>
      <c r="BA129" s="31">
        <v>500</v>
      </c>
      <c r="BB129" s="31">
        <v>0</v>
      </c>
      <c r="BC129" s="31">
        <v>0</v>
      </c>
      <c r="BD129" s="31">
        <v>0</v>
      </c>
      <c r="BE129" s="202"/>
      <c r="BF129" s="202"/>
      <c r="BG129" s="202"/>
      <c r="BH129" s="202"/>
      <c r="BI129" s="204" t="s">
        <v>119</v>
      </c>
      <c r="BJ129" s="37">
        <v>1</v>
      </c>
      <c r="BK129" s="37">
        <f>BJ129*1.04</f>
        <v>1.04</v>
      </c>
      <c r="BL129" s="37">
        <f>BK129*1.04</f>
        <v>1.0816000000000001</v>
      </c>
      <c r="BO129" s="202"/>
      <c r="BP129" s="202"/>
    </row>
    <row r="130" spans="1:68" outlineLevel="1" x14ac:dyDescent="0.25">
      <c r="A130" s="202"/>
      <c r="B130" s="204" t="s">
        <v>120</v>
      </c>
      <c r="C130" s="202"/>
      <c r="D130" s="31">
        <v>0</v>
      </c>
      <c r="E130" s="31">
        <v>0</v>
      </c>
      <c r="F130" s="31">
        <v>0</v>
      </c>
      <c r="G130" s="31">
        <v>0</v>
      </c>
      <c r="H130" s="31">
        <v>0</v>
      </c>
      <c r="I130" s="31">
        <v>0</v>
      </c>
      <c r="J130" s="31">
        <v>0</v>
      </c>
      <c r="K130" s="31">
        <v>1053.07</v>
      </c>
      <c r="L130" s="31">
        <v>0</v>
      </c>
      <c r="M130" s="31">
        <v>0</v>
      </c>
      <c r="N130" s="31">
        <v>0</v>
      </c>
      <c r="O130" s="31">
        <v>0</v>
      </c>
      <c r="P130" s="31">
        <v>0</v>
      </c>
      <c r="Q130" s="31">
        <v>0</v>
      </c>
      <c r="R130" s="31">
        <v>0</v>
      </c>
      <c r="S130" s="31">
        <v>0</v>
      </c>
      <c r="T130" s="31">
        <v>0</v>
      </c>
      <c r="U130" s="31">
        <v>0</v>
      </c>
      <c r="V130" s="31">
        <v>0</v>
      </c>
      <c r="W130" s="31">
        <v>0</v>
      </c>
      <c r="X130" s="31">
        <v>0</v>
      </c>
      <c r="Y130" s="31">
        <v>0</v>
      </c>
      <c r="Z130" s="31">
        <v>0</v>
      </c>
      <c r="AA130" s="31">
        <v>0</v>
      </c>
      <c r="AB130" s="31">
        <v>0</v>
      </c>
      <c r="AC130" s="31">
        <v>0</v>
      </c>
      <c r="AD130" s="31">
        <v>0</v>
      </c>
      <c r="AE130" s="31">
        <v>0</v>
      </c>
      <c r="AF130" s="31">
        <v>0</v>
      </c>
      <c r="AG130" s="31">
        <v>0</v>
      </c>
      <c r="AH130" s="31">
        <v>0</v>
      </c>
      <c r="AI130" s="31">
        <v>0</v>
      </c>
      <c r="AJ130" s="31">
        <v>0</v>
      </c>
      <c r="AK130" s="31">
        <v>0</v>
      </c>
      <c r="AL130" s="31">
        <v>0</v>
      </c>
      <c r="AM130" s="31">
        <v>0</v>
      </c>
      <c r="AN130" s="31">
        <v>0</v>
      </c>
      <c r="AO130" s="31">
        <v>0</v>
      </c>
      <c r="AP130" s="31">
        <v>0</v>
      </c>
      <c r="AQ130" s="31">
        <v>0</v>
      </c>
      <c r="AR130" s="31">
        <v>0</v>
      </c>
      <c r="AS130" s="31">
        <v>0</v>
      </c>
      <c r="AT130" s="31">
        <v>0</v>
      </c>
      <c r="AU130" s="31">
        <v>0</v>
      </c>
      <c r="AV130" s="31">
        <v>0</v>
      </c>
      <c r="AW130" s="31">
        <v>0</v>
      </c>
      <c r="AX130" s="31">
        <v>0</v>
      </c>
      <c r="AY130" s="31">
        <v>0</v>
      </c>
      <c r="AZ130" s="31">
        <v>0</v>
      </c>
      <c r="BA130" s="31">
        <v>0</v>
      </c>
      <c r="BB130" s="31">
        <v>0</v>
      </c>
      <c r="BC130" s="31">
        <v>0</v>
      </c>
      <c r="BD130" s="31">
        <v>0</v>
      </c>
      <c r="BE130" s="202"/>
      <c r="BF130" s="202"/>
      <c r="BG130" s="202"/>
      <c r="BH130" s="202"/>
      <c r="BI130" s="204" t="s">
        <v>120</v>
      </c>
      <c r="BJ130" s="37">
        <v>1</v>
      </c>
      <c r="BK130" s="37">
        <f t="shared" ref="BK130:BL134" si="102">BJ130*1.02</f>
        <v>1.02</v>
      </c>
      <c r="BL130" s="37">
        <f t="shared" si="102"/>
        <v>1.0404</v>
      </c>
      <c r="BO130" s="202"/>
      <c r="BP130" s="202"/>
    </row>
    <row r="131" spans="1:68" outlineLevel="1" x14ac:dyDescent="0.25">
      <c r="A131" s="202"/>
      <c r="B131" s="204" t="s">
        <v>121</v>
      </c>
      <c r="C131" s="202"/>
      <c r="D131" s="31">
        <v>0</v>
      </c>
      <c r="E131" s="31">
        <v>0</v>
      </c>
      <c r="F131" s="31">
        <v>0</v>
      </c>
      <c r="G131" s="31">
        <v>0</v>
      </c>
      <c r="H131" s="31">
        <v>0</v>
      </c>
      <c r="I131" s="31">
        <v>0</v>
      </c>
      <c r="J131" s="31">
        <v>0</v>
      </c>
      <c r="K131" s="31">
        <v>808.19</v>
      </c>
      <c r="L131" s="31">
        <v>0</v>
      </c>
      <c r="M131" s="31">
        <v>0</v>
      </c>
      <c r="N131" s="31">
        <v>2000</v>
      </c>
      <c r="O131" s="31">
        <v>2000</v>
      </c>
      <c r="P131" s="31">
        <v>0</v>
      </c>
      <c r="Q131" s="31">
        <v>2761.67</v>
      </c>
      <c r="R131" s="31">
        <v>0</v>
      </c>
      <c r="S131" s="31">
        <v>2000</v>
      </c>
      <c r="T131" s="31">
        <v>0</v>
      </c>
      <c r="U131" s="31">
        <v>2000</v>
      </c>
      <c r="V131" s="31">
        <v>2000</v>
      </c>
      <c r="W131" s="31">
        <v>0</v>
      </c>
      <c r="X131" s="31">
        <v>2000</v>
      </c>
      <c r="Y131" s="31">
        <v>0</v>
      </c>
      <c r="Z131" s="31">
        <v>2000</v>
      </c>
      <c r="AA131" s="31">
        <v>0</v>
      </c>
      <c r="AB131" s="31">
        <v>2000</v>
      </c>
      <c r="AC131" s="31">
        <v>0</v>
      </c>
      <c r="AD131" s="31">
        <v>2000</v>
      </c>
      <c r="AE131" s="31">
        <v>0</v>
      </c>
      <c r="AF131" s="31">
        <v>2000</v>
      </c>
      <c r="AG131" s="31">
        <v>2000</v>
      </c>
      <c r="AH131" s="31">
        <v>0</v>
      </c>
      <c r="AI131" s="31">
        <v>1500</v>
      </c>
      <c r="AJ131" s="31">
        <v>1500</v>
      </c>
      <c r="AK131" s="31">
        <v>0</v>
      </c>
      <c r="AL131" s="31">
        <v>1500</v>
      </c>
      <c r="AM131" s="31">
        <v>0</v>
      </c>
      <c r="AN131" s="31">
        <v>1500</v>
      </c>
      <c r="AO131" s="31">
        <v>1500</v>
      </c>
      <c r="AP131" s="31">
        <v>1500</v>
      </c>
      <c r="AQ131" s="31">
        <v>0</v>
      </c>
      <c r="AR131" s="31">
        <v>500</v>
      </c>
      <c r="AS131" s="31">
        <v>0</v>
      </c>
      <c r="AT131" s="31">
        <v>500</v>
      </c>
      <c r="AU131" s="31">
        <v>500</v>
      </c>
      <c r="AV131" s="31">
        <v>1000</v>
      </c>
      <c r="AW131" s="31">
        <v>1000</v>
      </c>
      <c r="AX131" s="31">
        <v>1000</v>
      </c>
      <c r="AY131" s="31">
        <v>1000</v>
      </c>
      <c r="AZ131" s="31">
        <v>0</v>
      </c>
      <c r="BA131" s="31">
        <v>0</v>
      </c>
      <c r="BB131" s="31">
        <v>0</v>
      </c>
      <c r="BC131" s="31">
        <v>0</v>
      </c>
      <c r="BD131" s="31">
        <v>0</v>
      </c>
      <c r="BE131" s="202"/>
      <c r="BF131" s="202"/>
      <c r="BG131" s="202"/>
      <c r="BH131" s="202"/>
      <c r="BI131" s="204" t="s">
        <v>121</v>
      </c>
      <c r="BJ131" s="37">
        <v>1</v>
      </c>
      <c r="BK131" s="37">
        <f t="shared" si="102"/>
        <v>1.02</v>
      </c>
      <c r="BL131" s="37">
        <f t="shared" si="102"/>
        <v>1.0404</v>
      </c>
      <c r="BO131" s="202"/>
      <c r="BP131" s="202"/>
    </row>
    <row r="132" spans="1:68" outlineLevel="1" x14ac:dyDescent="0.25">
      <c r="A132" s="202"/>
      <c r="B132" s="204" t="s">
        <v>122</v>
      </c>
      <c r="C132" s="202"/>
      <c r="D132" s="31">
        <v>0</v>
      </c>
      <c r="E132" s="31">
        <v>0</v>
      </c>
      <c r="F132" s="31">
        <v>0</v>
      </c>
      <c r="G132" s="31">
        <v>0</v>
      </c>
      <c r="H132" s="31">
        <v>0</v>
      </c>
      <c r="I132" s="31">
        <v>1200</v>
      </c>
      <c r="J132" s="31">
        <v>0</v>
      </c>
      <c r="K132" s="31">
        <v>1200</v>
      </c>
      <c r="L132" s="31">
        <v>0</v>
      </c>
      <c r="M132" s="31">
        <v>2000</v>
      </c>
      <c r="N132" s="31">
        <v>2000</v>
      </c>
      <c r="O132" s="31">
        <v>2000</v>
      </c>
      <c r="P132" s="31">
        <v>0</v>
      </c>
      <c r="Q132" s="31">
        <v>1200</v>
      </c>
      <c r="R132" s="31">
        <v>0</v>
      </c>
      <c r="S132" s="31">
        <v>2000</v>
      </c>
      <c r="T132" s="31">
        <v>0</v>
      </c>
      <c r="U132" s="31">
        <v>2000</v>
      </c>
      <c r="V132" s="31">
        <v>2000</v>
      </c>
      <c r="W132" s="31">
        <v>0</v>
      </c>
      <c r="X132" s="31">
        <v>2000</v>
      </c>
      <c r="Y132" s="31">
        <v>0</v>
      </c>
      <c r="Z132" s="31">
        <v>2000</v>
      </c>
      <c r="AA132" s="31">
        <v>0</v>
      </c>
      <c r="AB132" s="31">
        <v>2000</v>
      </c>
      <c r="AC132" s="31">
        <v>0</v>
      </c>
      <c r="AD132" s="31">
        <v>2000</v>
      </c>
      <c r="AE132" s="31">
        <v>0</v>
      </c>
      <c r="AF132" s="31">
        <v>2000</v>
      </c>
      <c r="AG132" s="31">
        <v>2000</v>
      </c>
      <c r="AH132" s="31">
        <v>0</v>
      </c>
      <c r="AI132" s="31">
        <v>1500</v>
      </c>
      <c r="AJ132" s="31">
        <v>1500</v>
      </c>
      <c r="AK132" s="31">
        <v>0</v>
      </c>
      <c r="AL132" s="31">
        <v>1500</v>
      </c>
      <c r="AM132" s="31">
        <v>0</v>
      </c>
      <c r="AN132" s="31">
        <v>1500</v>
      </c>
      <c r="AO132" s="31">
        <v>1500</v>
      </c>
      <c r="AP132" s="31">
        <v>1500</v>
      </c>
      <c r="AQ132" s="31">
        <v>0</v>
      </c>
      <c r="AR132" s="31">
        <v>1200</v>
      </c>
      <c r="AS132" s="31">
        <v>0</v>
      </c>
      <c r="AT132" s="31">
        <v>1200</v>
      </c>
      <c r="AU132" s="31">
        <v>1200</v>
      </c>
      <c r="AV132" s="31">
        <v>800</v>
      </c>
      <c r="AW132" s="31">
        <v>800</v>
      </c>
      <c r="AX132" s="31">
        <v>800</v>
      </c>
      <c r="AY132" s="31">
        <v>800</v>
      </c>
      <c r="AZ132" s="31">
        <v>0</v>
      </c>
      <c r="BA132" s="31">
        <v>800</v>
      </c>
      <c r="BB132" s="31">
        <v>0</v>
      </c>
      <c r="BC132" s="31">
        <v>0</v>
      </c>
      <c r="BD132" s="31">
        <v>0</v>
      </c>
      <c r="BE132" s="202"/>
      <c r="BF132" s="202"/>
      <c r="BG132" s="202"/>
      <c r="BH132" s="202"/>
      <c r="BI132" s="204" t="s">
        <v>122</v>
      </c>
      <c r="BJ132" s="37">
        <v>1</v>
      </c>
      <c r="BK132" s="37">
        <f t="shared" si="102"/>
        <v>1.02</v>
      </c>
      <c r="BL132" s="37">
        <f t="shared" si="102"/>
        <v>1.0404</v>
      </c>
      <c r="BO132" s="202"/>
      <c r="BP132" s="202"/>
    </row>
    <row r="133" spans="1:68" outlineLevel="1" x14ac:dyDescent="0.25">
      <c r="A133" s="202"/>
      <c r="B133" s="204" t="s">
        <v>123</v>
      </c>
      <c r="C133" s="202"/>
      <c r="D133" s="31">
        <v>0</v>
      </c>
      <c r="E133" s="31">
        <v>0</v>
      </c>
      <c r="F133" s="31">
        <v>0</v>
      </c>
      <c r="G133" s="31">
        <v>0</v>
      </c>
      <c r="H133" s="31">
        <v>0</v>
      </c>
      <c r="I133" s="31">
        <v>1000</v>
      </c>
      <c r="J133" s="31">
        <v>0</v>
      </c>
      <c r="K133" s="31">
        <v>800</v>
      </c>
      <c r="L133" s="31">
        <v>0</v>
      </c>
      <c r="M133" s="31">
        <v>1500</v>
      </c>
      <c r="N133" s="31">
        <v>1200</v>
      </c>
      <c r="O133" s="31">
        <v>1500</v>
      </c>
      <c r="P133" s="31">
        <v>0</v>
      </c>
      <c r="Q133" s="31">
        <v>1200</v>
      </c>
      <c r="R133" s="31">
        <v>0</v>
      </c>
      <c r="S133" s="31">
        <v>1500</v>
      </c>
      <c r="T133" s="31">
        <v>0</v>
      </c>
      <c r="U133" s="31">
        <v>1500</v>
      </c>
      <c r="V133" s="31">
        <v>1500</v>
      </c>
      <c r="W133" s="31">
        <v>0</v>
      </c>
      <c r="X133" s="31">
        <v>1500</v>
      </c>
      <c r="Y133" s="31">
        <v>0</v>
      </c>
      <c r="Z133" s="31">
        <v>1500</v>
      </c>
      <c r="AA133" s="31">
        <v>0</v>
      </c>
      <c r="AB133" s="31">
        <v>1500</v>
      </c>
      <c r="AC133" s="31">
        <v>0</v>
      </c>
      <c r="AD133" s="31">
        <v>1500</v>
      </c>
      <c r="AE133" s="31">
        <v>0</v>
      </c>
      <c r="AF133" s="31">
        <v>1500</v>
      </c>
      <c r="AG133" s="31">
        <v>1500</v>
      </c>
      <c r="AH133" s="31">
        <v>0</v>
      </c>
      <c r="AI133" s="31">
        <v>1500</v>
      </c>
      <c r="AJ133" s="31">
        <v>1500</v>
      </c>
      <c r="AK133" s="31">
        <v>0</v>
      </c>
      <c r="AL133" s="31">
        <v>1500</v>
      </c>
      <c r="AM133" s="31">
        <v>0</v>
      </c>
      <c r="AN133" s="31">
        <v>1500</v>
      </c>
      <c r="AO133" s="31">
        <v>1500</v>
      </c>
      <c r="AP133" s="31">
        <v>1500</v>
      </c>
      <c r="AQ133" s="31">
        <v>0</v>
      </c>
      <c r="AR133" s="31">
        <v>1000</v>
      </c>
      <c r="AS133" s="31">
        <v>0</v>
      </c>
      <c r="AT133" s="31">
        <v>1000</v>
      </c>
      <c r="AU133" s="31">
        <v>1000</v>
      </c>
      <c r="AV133" s="31">
        <v>800</v>
      </c>
      <c r="AW133" s="31">
        <v>800</v>
      </c>
      <c r="AX133" s="31">
        <v>800</v>
      </c>
      <c r="AY133" s="31">
        <v>800</v>
      </c>
      <c r="AZ133" s="31">
        <v>0</v>
      </c>
      <c r="BA133" s="31">
        <v>800</v>
      </c>
      <c r="BB133" s="31">
        <v>0</v>
      </c>
      <c r="BC133" s="31">
        <v>0</v>
      </c>
      <c r="BD133" s="31">
        <v>0</v>
      </c>
      <c r="BE133" s="202"/>
      <c r="BF133" s="202"/>
      <c r="BG133" s="202"/>
      <c r="BH133" s="202"/>
      <c r="BI133" s="204" t="s">
        <v>123</v>
      </c>
      <c r="BJ133" s="37">
        <v>1</v>
      </c>
      <c r="BK133" s="37">
        <f t="shared" si="102"/>
        <v>1.02</v>
      </c>
      <c r="BL133" s="37">
        <f t="shared" si="102"/>
        <v>1.0404</v>
      </c>
      <c r="BO133" s="202"/>
      <c r="BP133" s="202"/>
    </row>
    <row r="134" spans="1:68" outlineLevel="1" x14ac:dyDescent="0.25">
      <c r="A134" s="202"/>
      <c r="B134" s="204" t="s">
        <v>124</v>
      </c>
      <c r="C134" s="202"/>
      <c r="D134" s="31">
        <v>0</v>
      </c>
      <c r="E134" s="31">
        <v>0</v>
      </c>
      <c r="F134" s="31">
        <v>0</v>
      </c>
      <c r="G134" s="31">
        <v>0</v>
      </c>
      <c r="H134" s="31">
        <v>0</v>
      </c>
      <c r="I134" s="31">
        <v>1500</v>
      </c>
      <c r="J134" s="31">
        <v>0</v>
      </c>
      <c r="K134" s="31">
        <v>1500</v>
      </c>
      <c r="L134" s="31">
        <v>0</v>
      </c>
      <c r="M134" s="31">
        <v>2500</v>
      </c>
      <c r="N134" s="31">
        <v>2500</v>
      </c>
      <c r="O134" s="31">
        <v>2500</v>
      </c>
      <c r="P134" s="31">
        <v>0</v>
      </c>
      <c r="Q134" s="31">
        <v>2500</v>
      </c>
      <c r="R134" s="31">
        <v>0</v>
      </c>
      <c r="S134" s="31">
        <v>2500</v>
      </c>
      <c r="T134" s="31">
        <v>0</v>
      </c>
      <c r="U134" s="31">
        <v>2500</v>
      </c>
      <c r="V134" s="31">
        <v>2500</v>
      </c>
      <c r="W134" s="31">
        <v>0</v>
      </c>
      <c r="X134" s="31">
        <v>2500</v>
      </c>
      <c r="Y134" s="31">
        <v>0</v>
      </c>
      <c r="Z134" s="31">
        <v>2500</v>
      </c>
      <c r="AA134" s="31">
        <v>0</v>
      </c>
      <c r="AB134" s="31">
        <v>2500</v>
      </c>
      <c r="AC134" s="31">
        <v>0</v>
      </c>
      <c r="AD134" s="31">
        <v>2500</v>
      </c>
      <c r="AE134" s="31">
        <v>0</v>
      </c>
      <c r="AF134" s="31">
        <v>2500</v>
      </c>
      <c r="AG134" s="31">
        <v>2500</v>
      </c>
      <c r="AH134" s="31">
        <v>0</v>
      </c>
      <c r="AI134" s="31">
        <v>2500</v>
      </c>
      <c r="AJ134" s="31">
        <v>2500</v>
      </c>
      <c r="AK134" s="31">
        <v>0</v>
      </c>
      <c r="AL134" s="31">
        <v>2500</v>
      </c>
      <c r="AM134" s="31">
        <v>0</v>
      </c>
      <c r="AN134" s="31">
        <v>2500</v>
      </c>
      <c r="AO134" s="31">
        <v>2500</v>
      </c>
      <c r="AP134" s="31">
        <v>2500</v>
      </c>
      <c r="AQ134" s="31">
        <v>0</v>
      </c>
      <c r="AR134" s="31">
        <v>2500</v>
      </c>
      <c r="AS134" s="31">
        <v>0</v>
      </c>
      <c r="AT134" s="31">
        <v>2500</v>
      </c>
      <c r="AU134" s="31">
        <v>2500</v>
      </c>
      <c r="AV134" s="31">
        <v>2500</v>
      </c>
      <c r="AW134" s="31">
        <v>2500</v>
      </c>
      <c r="AX134" s="31">
        <v>2500</v>
      </c>
      <c r="AY134" s="31">
        <v>2500</v>
      </c>
      <c r="AZ134" s="31">
        <v>0</v>
      </c>
      <c r="BA134" s="31">
        <v>2500</v>
      </c>
      <c r="BB134" s="31">
        <v>0</v>
      </c>
      <c r="BC134" s="31">
        <v>0</v>
      </c>
      <c r="BD134" s="31">
        <v>0</v>
      </c>
      <c r="BE134" s="202"/>
      <c r="BF134" s="202"/>
      <c r="BG134" s="202"/>
      <c r="BH134" s="202"/>
      <c r="BI134" s="204" t="s">
        <v>124</v>
      </c>
      <c r="BJ134" s="37">
        <v>1</v>
      </c>
      <c r="BK134" s="37">
        <f t="shared" si="102"/>
        <v>1.02</v>
      </c>
      <c r="BL134" s="37">
        <f t="shared" si="102"/>
        <v>1.0404</v>
      </c>
      <c r="BO134" s="202"/>
      <c r="BP134" s="202"/>
    </row>
    <row r="135" spans="1:68" x14ac:dyDescent="0.25">
      <c r="A135" s="202"/>
      <c r="B135" s="34" t="s">
        <v>36</v>
      </c>
      <c r="C135" s="202"/>
      <c r="D135" s="211">
        <f>SUM(D136:D139)</f>
        <v>36000</v>
      </c>
      <c r="E135" s="211">
        <f>SUM(E136:E139)</f>
        <v>0</v>
      </c>
      <c r="F135" s="211">
        <f>SUM(F136:F139)</f>
        <v>0</v>
      </c>
      <c r="G135" s="211">
        <f>SUM(G136:G139)</f>
        <v>0</v>
      </c>
      <c r="H135" s="211">
        <f>SUM(H136:H139)</f>
        <v>0</v>
      </c>
      <c r="I135" s="211">
        <f t="shared" ref="I135:BD135" si="103">SUM(I136:I139)</f>
        <v>4250</v>
      </c>
      <c r="J135" s="211">
        <f t="shared" si="103"/>
        <v>0</v>
      </c>
      <c r="K135" s="211">
        <f t="shared" si="103"/>
        <v>4250</v>
      </c>
      <c r="L135" s="211">
        <f t="shared" ref="L135" si="104">SUM(L136:L139)</f>
        <v>0</v>
      </c>
      <c r="M135" s="211">
        <f t="shared" si="103"/>
        <v>7500</v>
      </c>
      <c r="N135" s="211">
        <f t="shared" si="103"/>
        <v>7500</v>
      </c>
      <c r="O135" s="211">
        <f t="shared" si="103"/>
        <v>7500</v>
      </c>
      <c r="P135" s="211">
        <f t="shared" si="103"/>
        <v>0</v>
      </c>
      <c r="Q135" s="211">
        <f t="shared" si="103"/>
        <v>7500</v>
      </c>
      <c r="R135" s="211">
        <f t="shared" si="103"/>
        <v>0</v>
      </c>
      <c r="S135" s="211">
        <f t="shared" ref="S135:T135" si="105">SUM(S136:S139)</f>
        <v>7500</v>
      </c>
      <c r="T135" s="211">
        <f t="shared" si="105"/>
        <v>0</v>
      </c>
      <c r="U135" s="211">
        <f t="shared" ref="U135" si="106">SUM(U136:U139)</f>
        <v>7500</v>
      </c>
      <c r="V135" s="211">
        <f t="shared" ref="V135:AH135" si="107">SUM(V136:V139)</f>
        <v>7500</v>
      </c>
      <c r="W135" s="211">
        <f t="shared" si="107"/>
        <v>0</v>
      </c>
      <c r="X135" s="211">
        <f t="shared" ref="X135:Y135" si="108">SUM(X136:X139)</f>
        <v>7500</v>
      </c>
      <c r="Y135" s="211">
        <f t="shared" si="108"/>
        <v>0</v>
      </c>
      <c r="Z135" s="211">
        <f t="shared" ref="Z135:AA135" si="109">SUM(Z136:Z139)</f>
        <v>7500</v>
      </c>
      <c r="AA135" s="211">
        <f t="shared" si="109"/>
        <v>0</v>
      </c>
      <c r="AB135" s="211">
        <f t="shared" si="107"/>
        <v>7500</v>
      </c>
      <c r="AC135" s="211">
        <f t="shared" si="107"/>
        <v>0</v>
      </c>
      <c r="AD135" s="211">
        <f t="shared" ref="AD135:AE135" si="110">SUM(AD136:AD139)</f>
        <v>6500</v>
      </c>
      <c r="AE135" s="211">
        <f t="shared" si="110"/>
        <v>0</v>
      </c>
      <c r="AF135" s="211">
        <f t="shared" si="107"/>
        <v>6500</v>
      </c>
      <c r="AG135" s="211">
        <f t="shared" si="107"/>
        <v>6500</v>
      </c>
      <c r="AH135" s="211">
        <f t="shared" si="107"/>
        <v>0</v>
      </c>
      <c r="AI135" s="211">
        <f t="shared" ref="AI135" si="111">SUM(AI136:AI139)</f>
        <v>6500</v>
      </c>
      <c r="AJ135" s="211">
        <f t="shared" ref="AJ135:AP135" si="112">SUM(AJ136:AJ139)</f>
        <v>6500</v>
      </c>
      <c r="AK135" s="211">
        <f t="shared" si="112"/>
        <v>0</v>
      </c>
      <c r="AL135" s="211">
        <f t="shared" si="112"/>
        <v>6500</v>
      </c>
      <c r="AM135" s="211">
        <f t="shared" si="112"/>
        <v>0</v>
      </c>
      <c r="AN135" s="211">
        <f t="shared" si="112"/>
        <v>6500</v>
      </c>
      <c r="AO135" s="211">
        <f t="shared" si="112"/>
        <v>6500</v>
      </c>
      <c r="AP135" s="211">
        <f t="shared" si="112"/>
        <v>6500</v>
      </c>
      <c r="AQ135" s="211">
        <f t="shared" ref="AQ135:AU135" si="113">SUM(AQ136:AQ139)</f>
        <v>0</v>
      </c>
      <c r="AR135" s="211">
        <f t="shared" si="113"/>
        <v>4250</v>
      </c>
      <c r="AS135" s="211">
        <f>SUM(AS136:AS139)</f>
        <v>0</v>
      </c>
      <c r="AT135" s="211">
        <f t="shared" si="113"/>
        <v>4250</v>
      </c>
      <c r="AU135" s="211">
        <f t="shared" si="113"/>
        <v>4250</v>
      </c>
      <c r="AV135" s="211">
        <f t="shared" ref="AV135:AX135" si="114">SUM(AV136:AV139)</f>
        <v>6000</v>
      </c>
      <c r="AW135" s="211">
        <f t="shared" si="114"/>
        <v>6000</v>
      </c>
      <c r="AX135" s="211">
        <f t="shared" si="114"/>
        <v>6000</v>
      </c>
      <c r="AY135" s="211">
        <f t="shared" si="103"/>
        <v>6000</v>
      </c>
      <c r="AZ135" s="211">
        <f t="shared" si="103"/>
        <v>0</v>
      </c>
      <c r="BA135" s="211">
        <f t="shared" si="103"/>
        <v>4500</v>
      </c>
      <c r="BB135" s="211">
        <f t="shared" ref="BB135:BC135" si="115">SUM(BB136:BB139)</f>
        <v>4500</v>
      </c>
      <c r="BC135" s="211">
        <f t="shared" si="115"/>
        <v>4500</v>
      </c>
      <c r="BD135" s="211">
        <f t="shared" si="103"/>
        <v>4500</v>
      </c>
      <c r="BE135" s="202"/>
      <c r="BF135" s="202"/>
      <c r="BG135" s="202"/>
      <c r="BH135" s="202"/>
      <c r="BI135" s="34" t="s">
        <v>36</v>
      </c>
      <c r="BO135" s="202"/>
      <c r="BP135" s="202"/>
    </row>
    <row r="136" spans="1:68" outlineLevel="1" x14ac:dyDescent="0.25">
      <c r="A136" s="202"/>
      <c r="B136" s="204" t="s">
        <v>125</v>
      </c>
      <c r="C136" s="202"/>
      <c r="D136" s="31">
        <v>35000</v>
      </c>
      <c r="E136" s="31">
        <v>0</v>
      </c>
      <c r="F136" s="31">
        <v>0</v>
      </c>
      <c r="G136" s="31">
        <v>0</v>
      </c>
      <c r="H136" s="31">
        <v>0</v>
      </c>
      <c r="I136" s="31">
        <v>2000</v>
      </c>
      <c r="J136" s="31">
        <v>0</v>
      </c>
      <c r="K136" s="31">
        <v>2000</v>
      </c>
      <c r="L136" s="31">
        <v>0</v>
      </c>
      <c r="M136" s="31">
        <v>3000</v>
      </c>
      <c r="N136" s="31">
        <v>3000</v>
      </c>
      <c r="O136" s="31">
        <v>3000</v>
      </c>
      <c r="P136" s="31">
        <v>0</v>
      </c>
      <c r="Q136" s="31">
        <v>3000</v>
      </c>
      <c r="R136" s="31">
        <v>0</v>
      </c>
      <c r="S136" s="31">
        <v>3000</v>
      </c>
      <c r="T136" s="31">
        <v>0</v>
      </c>
      <c r="U136" s="31">
        <v>3000</v>
      </c>
      <c r="V136" s="31">
        <v>3000</v>
      </c>
      <c r="W136" s="31">
        <v>0</v>
      </c>
      <c r="X136" s="31">
        <v>3000</v>
      </c>
      <c r="Y136" s="31">
        <v>0</v>
      </c>
      <c r="Z136" s="31">
        <v>3000</v>
      </c>
      <c r="AA136" s="31">
        <v>0</v>
      </c>
      <c r="AB136" s="31">
        <v>3000</v>
      </c>
      <c r="AC136" s="31">
        <v>0</v>
      </c>
      <c r="AD136" s="31">
        <v>2000</v>
      </c>
      <c r="AE136" s="31">
        <v>0</v>
      </c>
      <c r="AF136" s="31">
        <v>2000</v>
      </c>
      <c r="AG136" s="31">
        <v>2000</v>
      </c>
      <c r="AH136" s="31">
        <v>0</v>
      </c>
      <c r="AI136" s="31">
        <v>2000</v>
      </c>
      <c r="AJ136" s="31">
        <v>2000</v>
      </c>
      <c r="AK136" s="31">
        <v>0</v>
      </c>
      <c r="AL136" s="31">
        <v>2000</v>
      </c>
      <c r="AM136" s="31">
        <v>0</v>
      </c>
      <c r="AN136" s="31">
        <v>2000</v>
      </c>
      <c r="AO136" s="31">
        <v>2000</v>
      </c>
      <c r="AP136" s="31">
        <v>2000</v>
      </c>
      <c r="AQ136" s="31">
        <v>0</v>
      </c>
      <c r="AR136" s="31">
        <v>2000</v>
      </c>
      <c r="AS136" s="31">
        <v>0</v>
      </c>
      <c r="AT136" s="31">
        <v>2000</v>
      </c>
      <c r="AU136" s="31">
        <v>2000</v>
      </c>
      <c r="AV136" s="31">
        <v>2000</v>
      </c>
      <c r="AW136" s="31">
        <v>2000</v>
      </c>
      <c r="AX136" s="31">
        <v>2000</v>
      </c>
      <c r="AY136" s="31">
        <v>2000</v>
      </c>
      <c r="AZ136" s="31">
        <v>0</v>
      </c>
      <c r="BA136" s="31">
        <v>1000</v>
      </c>
      <c r="BB136" s="31">
        <v>1000</v>
      </c>
      <c r="BC136" s="31">
        <v>1000</v>
      </c>
      <c r="BD136" s="31">
        <v>1000</v>
      </c>
      <c r="BE136" s="202"/>
      <c r="BF136" s="202"/>
      <c r="BG136" s="202"/>
      <c r="BH136" s="202"/>
      <c r="BI136" s="204" t="s">
        <v>211</v>
      </c>
      <c r="BJ136" s="37">
        <v>1</v>
      </c>
      <c r="BK136" s="37">
        <f t="shared" ref="BK136:BL139" si="116">BJ136*1.02</f>
        <v>1.02</v>
      </c>
      <c r="BL136" s="37">
        <f t="shared" si="116"/>
        <v>1.0404</v>
      </c>
      <c r="BO136" s="202"/>
      <c r="BP136" s="202"/>
    </row>
    <row r="137" spans="1:68" outlineLevel="1" x14ac:dyDescent="0.25">
      <c r="A137" s="202"/>
      <c r="B137" s="204" t="s">
        <v>126</v>
      </c>
      <c r="C137" s="202" t="s">
        <v>127</v>
      </c>
      <c r="D137" s="31">
        <v>1000</v>
      </c>
      <c r="E137" s="31">
        <v>0</v>
      </c>
      <c r="F137" s="31">
        <v>0</v>
      </c>
      <c r="G137" s="31">
        <v>0</v>
      </c>
      <c r="H137" s="31">
        <v>0</v>
      </c>
      <c r="I137" s="31">
        <v>750</v>
      </c>
      <c r="J137" s="31">
        <v>0</v>
      </c>
      <c r="K137" s="31">
        <v>750</v>
      </c>
      <c r="L137" s="31">
        <v>0</v>
      </c>
      <c r="M137" s="31">
        <v>1500</v>
      </c>
      <c r="N137" s="31">
        <v>1500</v>
      </c>
      <c r="O137" s="31">
        <v>1500</v>
      </c>
      <c r="P137" s="31">
        <v>0</v>
      </c>
      <c r="Q137" s="31">
        <v>1500</v>
      </c>
      <c r="R137" s="31">
        <v>0</v>
      </c>
      <c r="S137" s="31">
        <v>1500</v>
      </c>
      <c r="T137" s="31">
        <v>0</v>
      </c>
      <c r="U137" s="31">
        <v>1500</v>
      </c>
      <c r="V137" s="31">
        <v>1500</v>
      </c>
      <c r="W137" s="31">
        <v>0</v>
      </c>
      <c r="X137" s="31">
        <v>1500</v>
      </c>
      <c r="Y137" s="31">
        <v>0</v>
      </c>
      <c r="Z137" s="31">
        <v>1500</v>
      </c>
      <c r="AA137" s="31">
        <v>0</v>
      </c>
      <c r="AB137" s="31">
        <v>1500</v>
      </c>
      <c r="AC137" s="31">
        <v>0</v>
      </c>
      <c r="AD137" s="31">
        <v>1500</v>
      </c>
      <c r="AE137" s="31">
        <v>0</v>
      </c>
      <c r="AF137" s="31">
        <v>1500</v>
      </c>
      <c r="AG137" s="31">
        <v>1500</v>
      </c>
      <c r="AH137" s="31">
        <v>0</v>
      </c>
      <c r="AI137" s="31">
        <v>1500</v>
      </c>
      <c r="AJ137" s="31">
        <v>1500</v>
      </c>
      <c r="AK137" s="31">
        <v>0</v>
      </c>
      <c r="AL137" s="31">
        <v>1500</v>
      </c>
      <c r="AM137" s="31">
        <v>0</v>
      </c>
      <c r="AN137" s="31">
        <v>1500</v>
      </c>
      <c r="AO137" s="31">
        <v>1500</v>
      </c>
      <c r="AP137" s="31">
        <v>1500</v>
      </c>
      <c r="AQ137" s="31">
        <v>0</v>
      </c>
      <c r="AR137" s="31">
        <v>750</v>
      </c>
      <c r="AS137" s="31">
        <v>0</v>
      </c>
      <c r="AT137" s="31">
        <v>750</v>
      </c>
      <c r="AU137" s="31">
        <v>750</v>
      </c>
      <c r="AV137" s="31">
        <v>1000</v>
      </c>
      <c r="AW137" s="31">
        <v>1000</v>
      </c>
      <c r="AX137" s="31">
        <v>1000</v>
      </c>
      <c r="AY137" s="31">
        <v>1000</v>
      </c>
      <c r="AZ137" s="31">
        <v>0</v>
      </c>
      <c r="BA137" s="31">
        <v>500</v>
      </c>
      <c r="BB137" s="31">
        <v>500</v>
      </c>
      <c r="BC137" s="31">
        <v>500</v>
      </c>
      <c r="BD137" s="31">
        <v>500</v>
      </c>
      <c r="BE137" s="202"/>
      <c r="BF137" s="202"/>
      <c r="BG137" s="202"/>
      <c r="BH137" s="202"/>
      <c r="BI137" s="204" t="s">
        <v>126</v>
      </c>
      <c r="BJ137" s="37">
        <v>1</v>
      </c>
      <c r="BK137" s="37">
        <f t="shared" si="116"/>
        <v>1.02</v>
      </c>
      <c r="BL137" s="37">
        <f t="shared" si="116"/>
        <v>1.0404</v>
      </c>
      <c r="BO137" s="202"/>
      <c r="BP137" s="202"/>
    </row>
    <row r="138" spans="1:68" outlineLevel="1" x14ac:dyDescent="0.25">
      <c r="A138" s="202"/>
      <c r="B138" s="204" t="s">
        <v>128</v>
      </c>
      <c r="C138" s="202"/>
      <c r="D138" s="31">
        <v>0</v>
      </c>
      <c r="E138" s="31">
        <v>0</v>
      </c>
      <c r="F138" s="31">
        <v>0</v>
      </c>
      <c r="G138" s="31">
        <v>0</v>
      </c>
      <c r="H138" s="31">
        <v>0</v>
      </c>
      <c r="I138" s="31">
        <v>750</v>
      </c>
      <c r="J138" s="31">
        <v>0</v>
      </c>
      <c r="K138" s="31">
        <v>750</v>
      </c>
      <c r="L138" s="31">
        <v>0</v>
      </c>
      <c r="M138" s="31">
        <v>1500</v>
      </c>
      <c r="N138" s="31">
        <v>1500</v>
      </c>
      <c r="O138" s="31">
        <v>1500</v>
      </c>
      <c r="P138" s="31">
        <v>0</v>
      </c>
      <c r="Q138" s="31">
        <v>1500</v>
      </c>
      <c r="R138" s="31">
        <v>0</v>
      </c>
      <c r="S138" s="31">
        <v>1500</v>
      </c>
      <c r="T138" s="31">
        <v>0</v>
      </c>
      <c r="U138" s="31">
        <v>1500</v>
      </c>
      <c r="V138" s="31">
        <v>1500</v>
      </c>
      <c r="W138" s="31">
        <v>0</v>
      </c>
      <c r="X138" s="31">
        <v>1500</v>
      </c>
      <c r="Y138" s="31">
        <v>0</v>
      </c>
      <c r="Z138" s="31">
        <v>1500</v>
      </c>
      <c r="AA138" s="31">
        <v>0</v>
      </c>
      <c r="AB138" s="31">
        <v>1500</v>
      </c>
      <c r="AC138" s="31">
        <v>0</v>
      </c>
      <c r="AD138" s="31">
        <v>1500</v>
      </c>
      <c r="AE138" s="31">
        <v>0</v>
      </c>
      <c r="AF138" s="31">
        <v>1500</v>
      </c>
      <c r="AG138" s="31">
        <v>1500</v>
      </c>
      <c r="AH138" s="31">
        <v>0</v>
      </c>
      <c r="AI138" s="31">
        <v>1500</v>
      </c>
      <c r="AJ138" s="31">
        <v>1500</v>
      </c>
      <c r="AK138" s="31">
        <v>0</v>
      </c>
      <c r="AL138" s="31">
        <v>1500</v>
      </c>
      <c r="AM138" s="31">
        <v>0</v>
      </c>
      <c r="AN138" s="31">
        <v>1500</v>
      </c>
      <c r="AO138" s="31">
        <v>1500</v>
      </c>
      <c r="AP138" s="31">
        <v>1500</v>
      </c>
      <c r="AQ138" s="31">
        <v>0</v>
      </c>
      <c r="AR138" s="31">
        <v>750</v>
      </c>
      <c r="AS138" s="31">
        <v>0</v>
      </c>
      <c r="AT138" s="31">
        <v>750</v>
      </c>
      <c r="AU138" s="31">
        <v>750</v>
      </c>
      <c r="AV138" s="31">
        <v>1500</v>
      </c>
      <c r="AW138" s="31">
        <v>1500</v>
      </c>
      <c r="AX138" s="31">
        <v>1500</v>
      </c>
      <c r="AY138" s="31">
        <v>1500</v>
      </c>
      <c r="AZ138" s="31">
        <v>0</v>
      </c>
      <c r="BA138" s="31">
        <v>1500</v>
      </c>
      <c r="BB138" s="31">
        <v>1500</v>
      </c>
      <c r="BC138" s="31">
        <v>1500</v>
      </c>
      <c r="BD138" s="31">
        <v>1500</v>
      </c>
      <c r="BE138" s="202"/>
      <c r="BF138" s="202"/>
      <c r="BG138" s="202"/>
      <c r="BH138" s="202"/>
      <c r="BI138" s="204" t="s">
        <v>128</v>
      </c>
      <c r="BJ138" s="37">
        <v>1</v>
      </c>
      <c r="BK138" s="37">
        <f t="shared" si="116"/>
        <v>1.02</v>
      </c>
      <c r="BL138" s="37">
        <f t="shared" si="116"/>
        <v>1.0404</v>
      </c>
      <c r="BO138" s="202"/>
      <c r="BP138" s="202"/>
    </row>
    <row r="139" spans="1:68" outlineLevel="1" x14ac:dyDescent="0.25">
      <c r="A139" s="202"/>
      <c r="B139" s="204" t="s">
        <v>115</v>
      </c>
      <c r="C139" s="202"/>
      <c r="D139" s="31">
        <v>0</v>
      </c>
      <c r="E139" s="31">
        <v>0</v>
      </c>
      <c r="F139" s="31">
        <v>0</v>
      </c>
      <c r="G139" s="31">
        <v>0</v>
      </c>
      <c r="H139" s="31">
        <v>0</v>
      </c>
      <c r="I139" s="31">
        <v>750</v>
      </c>
      <c r="J139" s="31">
        <v>0</v>
      </c>
      <c r="K139" s="31">
        <v>750</v>
      </c>
      <c r="L139" s="31">
        <v>0</v>
      </c>
      <c r="M139" s="31">
        <v>1500</v>
      </c>
      <c r="N139" s="31">
        <v>1500</v>
      </c>
      <c r="O139" s="31">
        <v>1500</v>
      </c>
      <c r="P139" s="31">
        <v>0</v>
      </c>
      <c r="Q139" s="31">
        <v>1500</v>
      </c>
      <c r="R139" s="31">
        <v>0</v>
      </c>
      <c r="S139" s="31">
        <v>1500</v>
      </c>
      <c r="T139" s="31">
        <v>0</v>
      </c>
      <c r="U139" s="31">
        <v>1500</v>
      </c>
      <c r="V139" s="31">
        <v>1500</v>
      </c>
      <c r="W139" s="31">
        <v>0</v>
      </c>
      <c r="X139" s="31">
        <v>1500</v>
      </c>
      <c r="Y139" s="31">
        <v>0</v>
      </c>
      <c r="Z139" s="31">
        <v>1500</v>
      </c>
      <c r="AA139" s="31">
        <v>0</v>
      </c>
      <c r="AB139" s="31">
        <v>1500</v>
      </c>
      <c r="AC139" s="31">
        <v>0</v>
      </c>
      <c r="AD139" s="31">
        <v>1500</v>
      </c>
      <c r="AE139" s="31">
        <v>0</v>
      </c>
      <c r="AF139" s="31">
        <v>1500</v>
      </c>
      <c r="AG139" s="31">
        <v>1500</v>
      </c>
      <c r="AH139" s="31">
        <v>0</v>
      </c>
      <c r="AI139" s="31">
        <v>1500</v>
      </c>
      <c r="AJ139" s="31">
        <v>1500</v>
      </c>
      <c r="AK139" s="31">
        <v>0</v>
      </c>
      <c r="AL139" s="31">
        <v>1500</v>
      </c>
      <c r="AM139" s="31">
        <v>0</v>
      </c>
      <c r="AN139" s="31">
        <v>1500</v>
      </c>
      <c r="AO139" s="31">
        <v>1500</v>
      </c>
      <c r="AP139" s="31">
        <v>1500</v>
      </c>
      <c r="AQ139" s="31">
        <v>0</v>
      </c>
      <c r="AR139" s="31">
        <v>750</v>
      </c>
      <c r="AS139" s="31">
        <v>0</v>
      </c>
      <c r="AT139" s="31">
        <v>750</v>
      </c>
      <c r="AU139" s="31">
        <v>750</v>
      </c>
      <c r="AV139" s="31">
        <v>1500</v>
      </c>
      <c r="AW139" s="31">
        <v>1500</v>
      </c>
      <c r="AX139" s="31">
        <v>1500</v>
      </c>
      <c r="AY139" s="31">
        <v>1500</v>
      </c>
      <c r="AZ139" s="31">
        <v>0</v>
      </c>
      <c r="BA139" s="31">
        <v>1500</v>
      </c>
      <c r="BB139" s="31">
        <v>1500</v>
      </c>
      <c r="BC139" s="31">
        <v>1500</v>
      </c>
      <c r="BD139" s="31">
        <v>1500</v>
      </c>
      <c r="BE139" s="202"/>
      <c r="BF139" s="202"/>
      <c r="BG139" s="202"/>
      <c r="BH139" s="202"/>
      <c r="BI139" s="204" t="s">
        <v>115</v>
      </c>
      <c r="BJ139" s="37">
        <v>1</v>
      </c>
      <c r="BK139" s="37">
        <f t="shared" si="116"/>
        <v>1.02</v>
      </c>
      <c r="BL139" s="37">
        <f t="shared" si="116"/>
        <v>1.0404</v>
      </c>
      <c r="BO139" s="202"/>
      <c r="BP139" s="202"/>
    </row>
    <row r="140" spans="1:68" x14ac:dyDescent="0.25">
      <c r="A140" s="202"/>
      <c r="B140" s="34" t="s">
        <v>38</v>
      </c>
      <c r="C140" s="202"/>
      <c r="D140" s="211">
        <f t="shared" ref="D140:AH140" si="117">SUM(D141:D145)</f>
        <v>500</v>
      </c>
      <c r="E140" s="211">
        <f t="shared" si="117"/>
        <v>416.66666666666669</v>
      </c>
      <c r="F140" s="211">
        <f t="shared" si="117"/>
        <v>160</v>
      </c>
      <c r="G140" s="211">
        <f t="shared" si="117"/>
        <v>160</v>
      </c>
      <c r="H140" s="211">
        <f t="shared" si="117"/>
        <v>160</v>
      </c>
      <c r="I140" s="211">
        <f t="shared" si="117"/>
        <v>1810</v>
      </c>
      <c r="J140" s="211">
        <f t="shared" si="117"/>
        <v>1610</v>
      </c>
      <c r="K140" s="211">
        <f t="shared" si="117"/>
        <v>1910</v>
      </c>
      <c r="L140" s="211">
        <f t="shared" ref="L140" si="118">SUM(L141:L145)</f>
        <v>1610</v>
      </c>
      <c r="M140" s="211">
        <f t="shared" si="117"/>
        <v>1910</v>
      </c>
      <c r="N140" s="211">
        <f t="shared" si="117"/>
        <v>1910</v>
      </c>
      <c r="O140" s="211">
        <f t="shared" si="117"/>
        <v>1910</v>
      </c>
      <c r="P140" s="211">
        <f t="shared" si="117"/>
        <v>1860</v>
      </c>
      <c r="Q140" s="211">
        <f t="shared" si="117"/>
        <v>1910</v>
      </c>
      <c r="R140" s="211">
        <f t="shared" si="117"/>
        <v>1860</v>
      </c>
      <c r="S140" s="211">
        <f t="shared" si="117"/>
        <v>1910</v>
      </c>
      <c r="T140" s="211">
        <f t="shared" si="117"/>
        <v>1860</v>
      </c>
      <c r="U140" s="211">
        <f t="shared" si="117"/>
        <v>1910</v>
      </c>
      <c r="V140" s="211">
        <f t="shared" si="117"/>
        <v>1910</v>
      </c>
      <c r="W140" s="211">
        <f t="shared" si="117"/>
        <v>1860</v>
      </c>
      <c r="X140" s="211">
        <f t="shared" si="117"/>
        <v>1910</v>
      </c>
      <c r="Y140" s="211">
        <f t="shared" si="117"/>
        <v>1860</v>
      </c>
      <c r="Z140" s="211">
        <f t="shared" si="117"/>
        <v>1910</v>
      </c>
      <c r="AA140" s="211">
        <f t="shared" si="117"/>
        <v>1860</v>
      </c>
      <c r="AB140" s="211">
        <f t="shared" si="117"/>
        <v>1910</v>
      </c>
      <c r="AC140" s="211">
        <f t="shared" si="117"/>
        <v>1860</v>
      </c>
      <c r="AD140" s="211">
        <f t="shared" si="117"/>
        <v>1910</v>
      </c>
      <c r="AE140" s="211">
        <f t="shared" si="117"/>
        <v>1860</v>
      </c>
      <c r="AF140" s="211">
        <f t="shared" si="117"/>
        <v>1910</v>
      </c>
      <c r="AG140" s="211">
        <f t="shared" si="117"/>
        <v>1910</v>
      </c>
      <c r="AH140" s="211">
        <f t="shared" si="117"/>
        <v>1860</v>
      </c>
      <c r="AI140" s="211">
        <f t="shared" ref="AI140:BD140" si="119">SUM(AI141:AI145)</f>
        <v>1910</v>
      </c>
      <c r="AJ140" s="211">
        <f t="shared" si="119"/>
        <v>1910</v>
      </c>
      <c r="AK140" s="211">
        <f t="shared" si="119"/>
        <v>1860</v>
      </c>
      <c r="AL140" s="211">
        <f t="shared" si="119"/>
        <v>1910</v>
      </c>
      <c r="AM140" s="211">
        <f t="shared" si="119"/>
        <v>1860</v>
      </c>
      <c r="AN140" s="211">
        <f t="shared" si="119"/>
        <v>1910</v>
      </c>
      <c r="AO140" s="211">
        <f t="shared" si="119"/>
        <v>1910</v>
      </c>
      <c r="AP140" s="211">
        <f t="shared" si="119"/>
        <v>1910</v>
      </c>
      <c r="AQ140" s="211">
        <f t="shared" si="119"/>
        <v>1860</v>
      </c>
      <c r="AR140" s="211">
        <f t="shared" si="119"/>
        <v>1810</v>
      </c>
      <c r="AS140" s="211">
        <f>SUM(AS141:AS145)</f>
        <v>1810</v>
      </c>
      <c r="AT140" s="211">
        <f t="shared" si="119"/>
        <v>1810</v>
      </c>
      <c r="AU140" s="211">
        <f t="shared" si="119"/>
        <v>1810</v>
      </c>
      <c r="AV140" s="211">
        <f t="shared" si="119"/>
        <v>1910</v>
      </c>
      <c r="AW140" s="211">
        <f t="shared" si="119"/>
        <v>1910</v>
      </c>
      <c r="AX140" s="211">
        <f t="shared" si="119"/>
        <v>1910</v>
      </c>
      <c r="AY140" s="211">
        <f t="shared" si="119"/>
        <v>1910</v>
      </c>
      <c r="AZ140" s="211">
        <f t="shared" si="119"/>
        <v>1860</v>
      </c>
      <c r="BA140" s="211">
        <f t="shared" ref="BA140:BB140" si="120">SUM(BA141:BA145)</f>
        <v>1910</v>
      </c>
      <c r="BB140" s="211">
        <f t="shared" si="120"/>
        <v>1860</v>
      </c>
      <c r="BC140" s="211">
        <f t="shared" ref="BC140" si="121">SUM(BC141:BC145)</f>
        <v>1860</v>
      </c>
      <c r="BD140" s="211">
        <f t="shared" si="119"/>
        <v>1860</v>
      </c>
      <c r="BE140" s="202"/>
      <c r="BF140" s="202"/>
      <c r="BG140" s="202"/>
      <c r="BH140" s="202"/>
      <c r="BI140" s="34" t="s">
        <v>38</v>
      </c>
      <c r="BO140" s="202"/>
      <c r="BP140" s="202"/>
    </row>
    <row r="141" spans="1:68" outlineLevel="1" x14ac:dyDescent="0.25">
      <c r="A141" s="202"/>
      <c r="B141" s="204" t="s">
        <v>129</v>
      </c>
      <c r="C141" s="202" t="s">
        <v>130</v>
      </c>
      <c r="D141" s="31">
        <v>500</v>
      </c>
      <c r="E141" s="31">
        <v>0</v>
      </c>
      <c r="F141" s="31">
        <v>0</v>
      </c>
      <c r="G141" s="31">
        <v>0</v>
      </c>
      <c r="H141" s="31">
        <v>0</v>
      </c>
      <c r="I141" s="31">
        <v>250</v>
      </c>
      <c r="J141" s="31">
        <v>250</v>
      </c>
      <c r="K141" s="31">
        <v>350</v>
      </c>
      <c r="L141" s="31">
        <v>250</v>
      </c>
      <c r="M141" s="31">
        <v>350</v>
      </c>
      <c r="N141" s="31">
        <v>350</v>
      </c>
      <c r="O141" s="31">
        <v>350</v>
      </c>
      <c r="P141" s="31">
        <v>500</v>
      </c>
      <c r="Q141" s="31">
        <v>350</v>
      </c>
      <c r="R141" s="31">
        <v>500</v>
      </c>
      <c r="S141" s="31">
        <v>350</v>
      </c>
      <c r="T141" s="31">
        <v>500</v>
      </c>
      <c r="U141" s="31">
        <v>350</v>
      </c>
      <c r="V141" s="31">
        <v>350</v>
      </c>
      <c r="W141" s="31">
        <v>500</v>
      </c>
      <c r="X141" s="31">
        <v>350</v>
      </c>
      <c r="Y141" s="31">
        <v>500</v>
      </c>
      <c r="Z141" s="31">
        <v>350</v>
      </c>
      <c r="AA141" s="31">
        <v>500</v>
      </c>
      <c r="AB141" s="31">
        <v>350</v>
      </c>
      <c r="AC141" s="31">
        <v>500</v>
      </c>
      <c r="AD141" s="31">
        <v>350</v>
      </c>
      <c r="AE141" s="31">
        <v>500</v>
      </c>
      <c r="AF141" s="31">
        <v>350</v>
      </c>
      <c r="AG141" s="31">
        <v>350</v>
      </c>
      <c r="AH141" s="31">
        <v>500</v>
      </c>
      <c r="AI141" s="31">
        <v>350</v>
      </c>
      <c r="AJ141" s="31">
        <v>350</v>
      </c>
      <c r="AK141" s="31">
        <v>500</v>
      </c>
      <c r="AL141" s="31">
        <v>350</v>
      </c>
      <c r="AM141" s="31">
        <v>500</v>
      </c>
      <c r="AN141" s="31">
        <v>350</v>
      </c>
      <c r="AO141" s="31">
        <v>350</v>
      </c>
      <c r="AP141" s="31">
        <v>350</v>
      </c>
      <c r="AQ141" s="31">
        <v>500</v>
      </c>
      <c r="AR141" s="31">
        <v>250</v>
      </c>
      <c r="AS141" s="31">
        <v>250</v>
      </c>
      <c r="AT141" s="31">
        <v>250</v>
      </c>
      <c r="AU141" s="31">
        <v>250</v>
      </c>
      <c r="AV141" s="31">
        <v>350</v>
      </c>
      <c r="AW141" s="31">
        <v>350</v>
      </c>
      <c r="AX141" s="31">
        <v>350</v>
      </c>
      <c r="AY141" s="31">
        <v>350</v>
      </c>
      <c r="AZ141" s="31">
        <v>500</v>
      </c>
      <c r="BA141" s="31">
        <v>350</v>
      </c>
      <c r="BB141" s="31">
        <v>500</v>
      </c>
      <c r="BC141" s="31">
        <v>500</v>
      </c>
      <c r="BD141" s="31">
        <v>500</v>
      </c>
      <c r="BE141" s="202"/>
      <c r="BF141" s="202"/>
      <c r="BG141" s="202"/>
      <c r="BH141" s="202"/>
      <c r="BI141" s="204" t="s">
        <v>129</v>
      </c>
      <c r="BJ141" s="37">
        <v>1</v>
      </c>
      <c r="BK141" s="37">
        <f>BJ141*1.02</f>
        <v>1.02</v>
      </c>
      <c r="BL141" s="37">
        <f>BK141*1.02</f>
        <v>1.0404</v>
      </c>
      <c r="BO141" s="202"/>
      <c r="BP141" s="202"/>
    </row>
    <row r="142" spans="1:68" x14ac:dyDescent="0.25">
      <c r="A142" s="202"/>
      <c r="B142" s="218" t="s">
        <v>396</v>
      </c>
      <c r="C142" s="202"/>
      <c r="D142" s="31">
        <v>0</v>
      </c>
      <c r="E142" s="31">
        <f>5000/12</f>
        <v>416.66666666666669</v>
      </c>
      <c r="F142" s="31">
        <v>160</v>
      </c>
      <c r="G142" s="31">
        <v>160</v>
      </c>
      <c r="H142" s="31">
        <v>160</v>
      </c>
      <c r="I142" s="31">
        <v>160</v>
      </c>
      <c r="J142" s="31">
        <v>160</v>
      </c>
      <c r="K142" s="31">
        <v>160</v>
      </c>
      <c r="L142" s="31">
        <v>160</v>
      </c>
      <c r="M142" s="31">
        <v>160</v>
      </c>
      <c r="N142" s="31">
        <v>160</v>
      </c>
      <c r="O142" s="31">
        <v>160</v>
      </c>
      <c r="P142" s="31">
        <v>160</v>
      </c>
      <c r="Q142" s="31">
        <v>160</v>
      </c>
      <c r="R142" s="31">
        <v>160</v>
      </c>
      <c r="S142" s="31">
        <v>160</v>
      </c>
      <c r="T142" s="31">
        <v>160</v>
      </c>
      <c r="U142" s="31">
        <v>160</v>
      </c>
      <c r="V142" s="31">
        <v>160</v>
      </c>
      <c r="W142" s="31">
        <v>160</v>
      </c>
      <c r="X142" s="31">
        <v>160</v>
      </c>
      <c r="Y142" s="31">
        <v>160</v>
      </c>
      <c r="Z142" s="31">
        <v>160</v>
      </c>
      <c r="AA142" s="31">
        <v>160</v>
      </c>
      <c r="AB142" s="31">
        <v>160</v>
      </c>
      <c r="AC142" s="31">
        <v>160</v>
      </c>
      <c r="AD142" s="31">
        <v>160</v>
      </c>
      <c r="AE142" s="31">
        <v>160</v>
      </c>
      <c r="AF142" s="31">
        <v>160</v>
      </c>
      <c r="AG142" s="31">
        <v>160</v>
      </c>
      <c r="AH142" s="31">
        <v>160</v>
      </c>
      <c r="AI142" s="31">
        <v>160</v>
      </c>
      <c r="AJ142" s="31">
        <v>160</v>
      </c>
      <c r="AK142" s="31">
        <v>160</v>
      </c>
      <c r="AL142" s="31">
        <v>160</v>
      </c>
      <c r="AM142" s="31">
        <v>160</v>
      </c>
      <c r="AN142" s="31">
        <v>160</v>
      </c>
      <c r="AO142" s="31">
        <v>160</v>
      </c>
      <c r="AP142" s="31">
        <v>160</v>
      </c>
      <c r="AQ142" s="31">
        <v>160</v>
      </c>
      <c r="AR142" s="31">
        <v>160</v>
      </c>
      <c r="AS142" s="31">
        <v>160</v>
      </c>
      <c r="AT142" s="31">
        <v>160</v>
      </c>
      <c r="AU142" s="31">
        <v>160</v>
      </c>
      <c r="AV142" s="31">
        <v>160</v>
      </c>
      <c r="AW142" s="31">
        <v>160</v>
      </c>
      <c r="AX142" s="31">
        <v>160</v>
      </c>
      <c r="AY142" s="31">
        <v>160</v>
      </c>
      <c r="AZ142" s="31">
        <v>160</v>
      </c>
      <c r="BA142" s="31">
        <v>160</v>
      </c>
      <c r="BB142" s="31">
        <v>160</v>
      </c>
      <c r="BC142" s="31">
        <v>160</v>
      </c>
      <c r="BD142" s="31">
        <v>160</v>
      </c>
      <c r="BE142" s="202"/>
      <c r="BF142" s="202"/>
      <c r="BG142" s="202"/>
      <c r="BH142" s="202"/>
      <c r="BI142" s="218" t="s">
        <v>396</v>
      </c>
      <c r="BJ142" s="37">
        <v>1</v>
      </c>
      <c r="BK142" s="37">
        <f t="shared" ref="BK142:BL142" si="122">BJ142*1.02</f>
        <v>1.02</v>
      </c>
      <c r="BL142" s="37">
        <f t="shared" si="122"/>
        <v>1.0404</v>
      </c>
      <c r="BO142" s="202"/>
      <c r="BP142" s="202"/>
    </row>
    <row r="143" spans="1:68" outlineLevel="1" x14ac:dyDescent="0.25">
      <c r="A143" s="202"/>
      <c r="B143" s="204" t="s">
        <v>131</v>
      </c>
      <c r="C143" s="202"/>
      <c r="D143" s="31">
        <v>0</v>
      </c>
      <c r="E143" s="31">
        <v>0</v>
      </c>
      <c r="F143" s="31">
        <v>0</v>
      </c>
      <c r="G143" s="31">
        <v>0</v>
      </c>
      <c r="H143" s="31">
        <v>0</v>
      </c>
      <c r="I143" s="31">
        <v>600</v>
      </c>
      <c r="J143" s="31">
        <v>600</v>
      </c>
      <c r="K143" s="31">
        <v>600</v>
      </c>
      <c r="L143" s="31">
        <v>600</v>
      </c>
      <c r="M143" s="31">
        <v>600</v>
      </c>
      <c r="N143" s="31">
        <v>600</v>
      </c>
      <c r="O143" s="31">
        <v>600</v>
      </c>
      <c r="P143" s="31">
        <v>600</v>
      </c>
      <c r="Q143" s="31">
        <v>600</v>
      </c>
      <c r="R143" s="31">
        <v>600</v>
      </c>
      <c r="S143" s="31">
        <v>600</v>
      </c>
      <c r="T143" s="31">
        <v>600</v>
      </c>
      <c r="U143" s="31">
        <v>600</v>
      </c>
      <c r="V143" s="31">
        <v>600</v>
      </c>
      <c r="W143" s="31">
        <v>600</v>
      </c>
      <c r="X143" s="31">
        <v>600</v>
      </c>
      <c r="Y143" s="31">
        <v>600</v>
      </c>
      <c r="Z143" s="31">
        <v>600</v>
      </c>
      <c r="AA143" s="31">
        <v>600</v>
      </c>
      <c r="AB143" s="31">
        <v>600</v>
      </c>
      <c r="AC143" s="31">
        <v>600</v>
      </c>
      <c r="AD143" s="31">
        <v>600</v>
      </c>
      <c r="AE143" s="31">
        <v>600</v>
      </c>
      <c r="AF143" s="31">
        <v>600</v>
      </c>
      <c r="AG143" s="31">
        <v>600</v>
      </c>
      <c r="AH143" s="31">
        <v>600</v>
      </c>
      <c r="AI143" s="31">
        <v>600</v>
      </c>
      <c r="AJ143" s="31">
        <v>600</v>
      </c>
      <c r="AK143" s="31">
        <v>600</v>
      </c>
      <c r="AL143" s="31">
        <v>600</v>
      </c>
      <c r="AM143" s="31">
        <v>600</v>
      </c>
      <c r="AN143" s="31">
        <v>600</v>
      </c>
      <c r="AO143" s="31">
        <v>600</v>
      </c>
      <c r="AP143" s="31">
        <v>600</v>
      </c>
      <c r="AQ143" s="31">
        <v>600</v>
      </c>
      <c r="AR143" s="31">
        <v>600</v>
      </c>
      <c r="AS143" s="31">
        <v>600</v>
      </c>
      <c r="AT143" s="31">
        <v>600</v>
      </c>
      <c r="AU143" s="31">
        <v>600</v>
      </c>
      <c r="AV143" s="31">
        <v>600</v>
      </c>
      <c r="AW143" s="31">
        <v>600</v>
      </c>
      <c r="AX143" s="31">
        <v>600</v>
      </c>
      <c r="AY143" s="31">
        <v>600</v>
      </c>
      <c r="AZ143" s="31">
        <v>600</v>
      </c>
      <c r="BA143" s="31">
        <v>600</v>
      </c>
      <c r="BB143" s="31">
        <v>600</v>
      </c>
      <c r="BC143" s="31">
        <v>600</v>
      </c>
      <c r="BD143" s="31">
        <v>600</v>
      </c>
      <c r="BE143" s="202"/>
      <c r="BF143" s="202"/>
      <c r="BG143" s="202"/>
      <c r="BH143" s="202"/>
      <c r="BI143" s="204" t="s">
        <v>131</v>
      </c>
      <c r="BJ143" s="37">
        <v>1</v>
      </c>
      <c r="BK143" s="37">
        <f t="shared" ref="BK143:BL143" si="123">BJ143*1.02</f>
        <v>1.02</v>
      </c>
      <c r="BL143" s="37">
        <f t="shared" si="123"/>
        <v>1.0404</v>
      </c>
      <c r="BO143" s="202"/>
      <c r="BP143" s="202"/>
    </row>
    <row r="144" spans="1:68" outlineLevel="1" x14ac:dyDescent="0.25">
      <c r="A144" s="202"/>
      <c r="B144" s="204" t="s">
        <v>132</v>
      </c>
      <c r="C144" s="202"/>
      <c r="D144" s="31">
        <v>0</v>
      </c>
      <c r="E144" s="31">
        <v>0</v>
      </c>
      <c r="F144" s="31">
        <v>0</v>
      </c>
      <c r="G144" s="31">
        <v>0</v>
      </c>
      <c r="H144" s="31">
        <v>0</v>
      </c>
      <c r="I144" s="31">
        <v>300</v>
      </c>
      <c r="J144" s="31">
        <v>100</v>
      </c>
      <c r="K144" s="31">
        <v>300</v>
      </c>
      <c r="L144" s="31">
        <v>100</v>
      </c>
      <c r="M144" s="31">
        <v>300</v>
      </c>
      <c r="N144" s="31">
        <v>300</v>
      </c>
      <c r="O144" s="31">
        <v>300</v>
      </c>
      <c r="P144" s="31">
        <v>100</v>
      </c>
      <c r="Q144" s="31">
        <v>300</v>
      </c>
      <c r="R144" s="31">
        <v>100</v>
      </c>
      <c r="S144" s="31">
        <v>300</v>
      </c>
      <c r="T144" s="31">
        <v>100</v>
      </c>
      <c r="U144" s="31">
        <v>300</v>
      </c>
      <c r="V144" s="31">
        <v>300</v>
      </c>
      <c r="W144" s="31">
        <v>100</v>
      </c>
      <c r="X144" s="31">
        <v>300</v>
      </c>
      <c r="Y144" s="31">
        <v>100</v>
      </c>
      <c r="Z144" s="31">
        <v>300</v>
      </c>
      <c r="AA144" s="31">
        <v>100</v>
      </c>
      <c r="AB144" s="31">
        <v>300</v>
      </c>
      <c r="AC144" s="31">
        <v>100</v>
      </c>
      <c r="AD144" s="31">
        <v>300</v>
      </c>
      <c r="AE144" s="31">
        <v>100</v>
      </c>
      <c r="AF144" s="31">
        <v>300</v>
      </c>
      <c r="AG144" s="31">
        <v>300</v>
      </c>
      <c r="AH144" s="31">
        <v>100</v>
      </c>
      <c r="AI144" s="31">
        <v>300</v>
      </c>
      <c r="AJ144" s="31">
        <v>300</v>
      </c>
      <c r="AK144" s="31">
        <v>100</v>
      </c>
      <c r="AL144" s="31">
        <v>300</v>
      </c>
      <c r="AM144" s="31">
        <v>100</v>
      </c>
      <c r="AN144" s="31">
        <v>300</v>
      </c>
      <c r="AO144" s="31">
        <v>300</v>
      </c>
      <c r="AP144" s="31">
        <v>300</v>
      </c>
      <c r="AQ144" s="31">
        <v>100</v>
      </c>
      <c r="AR144" s="31">
        <v>300</v>
      </c>
      <c r="AS144" s="31">
        <v>300</v>
      </c>
      <c r="AT144" s="31">
        <v>300</v>
      </c>
      <c r="AU144" s="31">
        <v>300</v>
      </c>
      <c r="AV144" s="31">
        <v>300</v>
      </c>
      <c r="AW144" s="31">
        <v>300</v>
      </c>
      <c r="AX144" s="31">
        <v>300</v>
      </c>
      <c r="AY144" s="31">
        <v>300</v>
      </c>
      <c r="AZ144" s="31">
        <v>100</v>
      </c>
      <c r="BA144" s="31">
        <v>300</v>
      </c>
      <c r="BB144" s="31">
        <v>100</v>
      </c>
      <c r="BC144" s="31">
        <v>100</v>
      </c>
      <c r="BD144" s="31">
        <v>100</v>
      </c>
      <c r="BE144" s="202"/>
      <c r="BF144" s="202"/>
      <c r="BG144" s="202"/>
      <c r="BH144" s="202"/>
      <c r="BI144" s="204" t="s">
        <v>132</v>
      </c>
      <c r="BJ144" s="37">
        <v>1</v>
      </c>
      <c r="BK144" s="37">
        <f t="shared" ref="BK144:BL144" si="124">BJ144*1.02</f>
        <v>1.02</v>
      </c>
      <c r="BL144" s="37">
        <f t="shared" si="124"/>
        <v>1.0404</v>
      </c>
      <c r="BO144" s="202"/>
      <c r="BP144" s="202"/>
    </row>
    <row r="145" spans="1:68" outlineLevel="1" x14ac:dyDescent="0.25">
      <c r="A145" s="202"/>
      <c r="B145" s="204" t="s">
        <v>124</v>
      </c>
      <c r="C145" s="202"/>
      <c r="D145" s="31">
        <v>0</v>
      </c>
      <c r="E145" s="31">
        <v>0</v>
      </c>
      <c r="F145" s="31">
        <v>0</v>
      </c>
      <c r="G145" s="31">
        <v>0</v>
      </c>
      <c r="H145" s="31">
        <v>0</v>
      </c>
      <c r="I145" s="31">
        <v>500</v>
      </c>
      <c r="J145" s="31">
        <v>500</v>
      </c>
      <c r="K145" s="31">
        <v>500</v>
      </c>
      <c r="L145" s="31">
        <v>500</v>
      </c>
      <c r="M145" s="31">
        <v>500</v>
      </c>
      <c r="N145" s="31">
        <v>500</v>
      </c>
      <c r="O145" s="31">
        <v>500</v>
      </c>
      <c r="P145" s="31">
        <v>500</v>
      </c>
      <c r="Q145" s="31">
        <v>500</v>
      </c>
      <c r="R145" s="31">
        <v>500</v>
      </c>
      <c r="S145" s="31">
        <v>500</v>
      </c>
      <c r="T145" s="31">
        <v>500</v>
      </c>
      <c r="U145" s="31">
        <v>500</v>
      </c>
      <c r="V145" s="31">
        <v>500</v>
      </c>
      <c r="W145" s="31">
        <v>500</v>
      </c>
      <c r="X145" s="31">
        <v>500</v>
      </c>
      <c r="Y145" s="31">
        <v>500</v>
      </c>
      <c r="Z145" s="31">
        <v>500</v>
      </c>
      <c r="AA145" s="31">
        <v>500</v>
      </c>
      <c r="AB145" s="31">
        <v>500</v>
      </c>
      <c r="AC145" s="31">
        <v>500</v>
      </c>
      <c r="AD145" s="31">
        <v>500</v>
      </c>
      <c r="AE145" s="31">
        <v>500</v>
      </c>
      <c r="AF145" s="31">
        <v>500</v>
      </c>
      <c r="AG145" s="31">
        <v>500</v>
      </c>
      <c r="AH145" s="31">
        <v>500</v>
      </c>
      <c r="AI145" s="31">
        <v>500</v>
      </c>
      <c r="AJ145" s="31">
        <v>500</v>
      </c>
      <c r="AK145" s="31">
        <v>500</v>
      </c>
      <c r="AL145" s="31">
        <v>500</v>
      </c>
      <c r="AM145" s="31">
        <v>500</v>
      </c>
      <c r="AN145" s="31">
        <v>500</v>
      </c>
      <c r="AO145" s="31">
        <v>500</v>
      </c>
      <c r="AP145" s="31">
        <v>500</v>
      </c>
      <c r="AQ145" s="31">
        <v>500</v>
      </c>
      <c r="AR145" s="31">
        <v>500</v>
      </c>
      <c r="AS145" s="31">
        <v>500</v>
      </c>
      <c r="AT145" s="31">
        <v>500</v>
      </c>
      <c r="AU145" s="31">
        <v>500</v>
      </c>
      <c r="AV145" s="31">
        <v>500</v>
      </c>
      <c r="AW145" s="31">
        <v>500</v>
      </c>
      <c r="AX145" s="31">
        <v>500</v>
      </c>
      <c r="AY145" s="31">
        <v>500</v>
      </c>
      <c r="AZ145" s="31">
        <v>500</v>
      </c>
      <c r="BA145" s="31">
        <v>500</v>
      </c>
      <c r="BB145" s="31">
        <v>500</v>
      </c>
      <c r="BC145" s="31">
        <v>500</v>
      </c>
      <c r="BD145" s="31">
        <v>500</v>
      </c>
      <c r="BE145" s="202"/>
      <c r="BF145" s="202"/>
      <c r="BG145" s="202"/>
      <c r="BH145" s="202"/>
      <c r="BI145" s="204" t="s">
        <v>124</v>
      </c>
      <c r="BJ145" s="37">
        <v>1</v>
      </c>
      <c r="BK145" s="37">
        <f>BJ145*1.02</f>
        <v>1.02</v>
      </c>
      <c r="BL145" s="37">
        <f>BK145*1.02</f>
        <v>1.0404</v>
      </c>
      <c r="BO145" s="202"/>
      <c r="BP145" s="202"/>
    </row>
    <row r="146" spans="1:68" x14ac:dyDescent="0.25">
      <c r="A146" s="202"/>
      <c r="B146" s="34" t="s">
        <v>40</v>
      </c>
      <c r="C146" s="202"/>
      <c r="D146" s="211">
        <f t="shared" ref="D146:BD146" si="125">SUM(D147:D157)</f>
        <v>119500</v>
      </c>
      <c r="E146" s="211">
        <f t="shared" si="125"/>
        <v>0</v>
      </c>
      <c r="F146" s="211">
        <f t="shared" si="125"/>
        <v>0</v>
      </c>
      <c r="G146" s="211">
        <f t="shared" si="125"/>
        <v>0</v>
      </c>
      <c r="H146" s="211">
        <f t="shared" si="125"/>
        <v>0</v>
      </c>
      <c r="I146" s="211">
        <f t="shared" si="125"/>
        <v>4450</v>
      </c>
      <c r="J146" s="211">
        <f t="shared" si="125"/>
        <v>0</v>
      </c>
      <c r="K146" s="211">
        <f t="shared" si="125"/>
        <v>4450</v>
      </c>
      <c r="L146" s="211">
        <f t="shared" ref="L146" si="126">SUM(L147:L157)</f>
        <v>0</v>
      </c>
      <c r="M146" s="211">
        <f t="shared" si="125"/>
        <v>6000</v>
      </c>
      <c r="N146" s="211">
        <f t="shared" si="125"/>
        <v>6000</v>
      </c>
      <c r="O146" s="211">
        <f t="shared" si="125"/>
        <v>6000</v>
      </c>
      <c r="P146" s="211">
        <f t="shared" si="125"/>
        <v>0</v>
      </c>
      <c r="Q146" s="211">
        <f t="shared" si="125"/>
        <v>6000</v>
      </c>
      <c r="R146" s="211">
        <f t="shared" si="125"/>
        <v>0</v>
      </c>
      <c r="S146" s="211">
        <f t="shared" si="125"/>
        <v>6000</v>
      </c>
      <c r="T146" s="211">
        <f t="shared" si="125"/>
        <v>0</v>
      </c>
      <c r="U146" s="211">
        <f t="shared" si="125"/>
        <v>6000</v>
      </c>
      <c r="V146" s="211">
        <f t="shared" si="125"/>
        <v>6000</v>
      </c>
      <c r="W146" s="211">
        <f t="shared" si="125"/>
        <v>0</v>
      </c>
      <c r="X146" s="211">
        <f t="shared" si="125"/>
        <v>6000</v>
      </c>
      <c r="Y146" s="211">
        <f t="shared" si="125"/>
        <v>0</v>
      </c>
      <c r="Z146" s="211">
        <f t="shared" si="125"/>
        <v>6000</v>
      </c>
      <c r="AA146" s="211">
        <f t="shared" si="125"/>
        <v>0</v>
      </c>
      <c r="AB146" s="211">
        <f t="shared" si="125"/>
        <v>6000</v>
      </c>
      <c r="AC146" s="211">
        <f t="shared" si="125"/>
        <v>0</v>
      </c>
      <c r="AD146" s="211">
        <f t="shared" si="125"/>
        <v>6000</v>
      </c>
      <c r="AE146" s="211">
        <f t="shared" si="125"/>
        <v>0</v>
      </c>
      <c r="AF146" s="211">
        <f t="shared" si="125"/>
        <v>6000</v>
      </c>
      <c r="AG146" s="211">
        <f t="shared" si="125"/>
        <v>6000</v>
      </c>
      <c r="AH146" s="211">
        <f t="shared" si="125"/>
        <v>0</v>
      </c>
      <c r="AI146" s="211">
        <f t="shared" si="125"/>
        <v>6000</v>
      </c>
      <c r="AJ146" s="211">
        <f t="shared" si="125"/>
        <v>6000</v>
      </c>
      <c r="AK146" s="211">
        <f t="shared" si="125"/>
        <v>0</v>
      </c>
      <c r="AL146" s="211">
        <f t="shared" si="125"/>
        <v>6000</v>
      </c>
      <c r="AM146" s="211">
        <f t="shared" si="125"/>
        <v>0</v>
      </c>
      <c r="AN146" s="211">
        <f t="shared" si="125"/>
        <v>6000</v>
      </c>
      <c r="AO146" s="211">
        <f t="shared" si="125"/>
        <v>6000</v>
      </c>
      <c r="AP146" s="211">
        <f t="shared" si="125"/>
        <v>6000</v>
      </c>
      <c r="AQ146" s="211">
        <f t="shared" si="125"/>
        <v>0</v>
      </c>
      <c r="AR146" s="211">
        <f t="shared" si="125"/>
        <v>5750</v>
      </c>
      <c r="AS146" s="211">
        <f>SUM(AS147:AS157)</f>
        <v>0</v>
      </c>
      <c r="AT146" s="211">
        <f t="shared" si="125"/>
        <v>5750</v>
      </c>
      <c r="AU146" s="211">
        <f t="shared" si="125"/>
        <v>5750</v>
      </c>
      <c r="AV146" s="211">
        <f t="shared" si="125"/>
        <v>4750</v>
      </c>
      <c r="AW146" s="211">
        <f t="shared" si="125"/>
        <v>4750</v>
      </c>
      <c r="AX146" s="211">
        <f t="shared" si="125"/>
        <v>4750</v>
      </c>
      <c r="AY146" s="211">
        <f t="shared" si="125"/>
        <v>4750</v>
      </c>
      <c r="AZ146" s="211">
        <f t="shared" si="125"/>
        <v>0</v>
      </c>
      <c r="BA146" s="211">
        <f t="shared" si="125"/>
        <v>3950</v>
      </c>
      <c r="BB146" s="211">
        <f t="shared" ref="BB146:BC146" si="127">SUM(BB147:BB157)</f>
        <v>1950</v>
      </c>
      <c r="BC146" s="211">
        <f t="shared" si="127"/>
        <v>1950</v>
      </c>
      <c r="BD146" s="211">
        <f t="shared" si="125"/>
        <v>1950</v>
      </c>
      <c r="BE146" s="202"/>
      <c r="BF146" s="202"/>
      <c r="BG146" s="202"/>
      <c r="BH146" s="202"/>
      <c r="BI146" s="34" t="s">
        <v>40</v>
      </c>
      <c r="BO146" s="202"/>
      <c r="BP146" s="202"/>
    </row>
    <row r="147" spans="1:68" outlineLevel="1" x14ac:dyDescent="0.25">
      <c r="A147" s="202"/>
      <c r="B147" s="204" t="s">
        <v>133</v>
      </c>
      <c r="C147" s="100"/>
      <c r="D147" s="31">
        <f>20000</f>
        <v>20000</v>
      </c>
      <c r="E147" s="45">
        <v>0</v>
      </c>
      <c r="F147" s="45">
        <v>0</v>
      </c>
      <c r="G147" s="45">
        <v>0</v>
      </c>
      <c r="H147" s="45">
        <v>0</v>
      </c>
      <c r="I147" s="45">
        <v>0</v>
      </c>
      <c r="J147" s="45">
        <v>0</v>
      </c>
      <c r="K147" s="45">
        <v>0</v>
      </c>
      <c r="L147" s="45">
        <v>0</v>
      </c>
      <c r="M147" s="45">
        <v>0</v>
      </c>
      <c r="N147" s="45">
        <v>0</v>
      </c>
      <c r="O147" s="45">
        <v>0</v>
      </c>
      <c r="P147" s="45">
        <v>0</v>
      </c>
      <c r="Q147" s="45">
        <v>0</v>
      </c>
      <c r="R147" s="45">
        <v>0</v>
      </c>
      <c r="S147" s="45">
        <v>0</v>
      </c>
      <c r="T147" s="45">
        <v>0</v>
      </c>
      <c r="U147" s="45">
        <v>0</v>
      </c>
      <c r="V147" s="45">
        <v>0</v>
      </c>
      <c r="W147" s="45">
        <v>0</v>
      </c>
      <c r="X147" s="45">
        <v>0</v>
      </c>
      <c r="Y147" s="45">
        <v>0</v>
      </c>
      <c r="Z147" s="45">
        <v>0</v>
      </c>
      <c r="AA147" s="45">
        <v>0</v>
      </c>
      <c r="AB147" s="45">
        <v>0</v>
      </c>
      <c r="AC147" s="45">
        <v>0</v>
      </c>
      <c r="AD147" s="45">
        <v>0</v>
      </c>
      <c r="AE147" s="45">
        <v>0</v>
      </c>
      <c r="AF147" s="45">
        <v>0</v>
      </c>
      <c r="AG147" s="45">
        <v>0</v>
      </c>
      <c r="AH147" s="45">
        <v>0</v>
      </c>
      <c r="AI147" s="45">
        <v>0</v>
      </c>
      <c r="AJ147" s="45">
        <v>0</v>
      </c>
      <c r="AK147" s="45">
        <v>0</v>
      </c>
      <c r="AL147" s="45">
        <v>0</v>
      </c>
      <c r="AM147" s="45">
        <v>0</v>
      </c>
      <c r="AN147" s="45">
        <v>0</v>
      </c>
      <c r="AO147" s="45">
        <v>0</v>
      </c>
      <c r="AP147" s="45">
        <v>0</v>
      </c>
      <c r="AQ147" s="45">
        <v>0</v>
      </c>
      <c r="AR147" s="45">
        <v>0</v>
      </c>
      <c r="AS147" s="45">
        <v>0</v>
      </c>
      <c r="AT147" s="45">
        <v>0</v>
      </c>
      <c r="AU147" s="45">
        <v>0</v>
      </c>
      <c r="AV147" s="45">
        <v>0</v>
      </c>
      <c r="AW147" s="45">
        <v>0</v>
      </c>
      <c r="AX147" s="45">
        <v>0</v>
      </c>
      <c r="AY147" s="45">
        <v>0</v>
      </c>
      <c r="AZ147" s="45">
        <v>0</v>
      </c>
      <c r="BA147" s="45">
        <v>0</v>
      </c>
      <c r="BB147" s="45">
        <v>0</v>
      </c>
      <c r="BC147" s="45">
        <v>0</v>
      </c>
      <c r="BD147" s="45">
        <v>0</v>
      </c>
      <c r="BE147" s="202"/>
      <c r="BF147" s="202"/>
      <c r="BG147" s="202"/>
      <c r="BH147" s="202"/>
      <c r="BI147" s="204" t="s">
        <v>133</v>
      </c>
      <c r="BJ147" s="37">
        <v>1</v>
      </c>
      <c r="BK147" s="37">
        <f>BJ147*1.05</f>
        <v>1.05</v>
      </c>
      <c r="BL147" s="37">
        <f>BK147*1.05</f>
        <v>1.1025</v>
      </c>
      <c r="BO147" s="202"/>
      <c r="BP147" s="202"/>
    </row>
    <row r="148" spans="1:68" outlineLevel="1" x14ac:dyDescent="0.25">
      <c r="A148" s="202"/>
      <c r="B148" s="103" t="s">
        <v>134</v>
      </c>
      <c r="C148" s="202"/>
      <c r="D148" s="210"/>
      <c r="E148" s="202"/>
      <c r="F148" s="202"/>
      <c r="G148" s="202"/>
      <c r="H148" s="202"/>
      <c r="I148" s="202"/>
      <c r="J148" s="202"/>
      <c r="K148" s="202"/>
      <c r="L148" s="202"/>
      <c r="M148" s="202"/>
      <c r="N148" s="202"/>
      <c r="O148" s="202"/>
      <c r="P148" s="202"/>
      <c r="Q148" s="202"/>
      <c r="R148" s="202"/>
      <c r="S148" s="202"/>
      <c r="T148" s="202"/>
      <c r="U148" s="202"/>
      <c r="V148" s="202"/>
      <c r="W148" s="202"/>
      <c r="X148" s="202"/>
      <c r="Y148" s="202"/>
      <c r="Z148" s="202"/>
      <c r="AA148" s="202"/>
      <c r="AB148" s="202"/>
      <c r="AC148" s="202"/>
      <c r="AD148" s="202"/>
      <c r="AE148" s="202"/>
      <c r="AF148" s="202"/>
      <c r="AG148" s="202"/>
      <c r="AH148" s="202"/>
      <c r="AI148" s="202"/>
      <c r="AJ148" s="202"/>
      <c r="AK148" s="202"/>
      <c r="AL148" s="202"/>
      <c r="AM148" s="202"/>
      <c r="AN148" s="202"/>
      <c r="AO148" s="202"/>
      <c r="AP148" s="202"/>
      <c r="AQ148" s="202"/>
      <c r="AR148" s="202"/>
      <c r="AS148" s="202"/>
      <c r="AT148" s="202"/>
      <c r="AU148" s="202"/>
      <c r="AV148" s="202"/>
      <c r="AW148" s="202"/>
      <c r="AX148" s="202"/>
      <c r="AY148" s="202"/>
      <c r="AZ148" s="202"/>
      <c r="BA148" s="202"/>
      <c r="BB148" s="202"/>
      <c r="BC148" s="202"/>
      <c r="BD148" s="202"/>
      <c r="BE148" s="202"/>
      <c r="BF148" s="202"/>
      <c r="BG148" s="202"/>
      <c r="BH148" s="202"/>
      <c r="BI148" s="103" t="s">
        <v>134</v>
      </c>
      <c r="BJ148" s="103"/>
      <c r="BK148" s="103"/>
      <c r="BL148" s="103"/>
      <c r="BO148" s="202"/>
      <c r="BP148" s="202"/>
    </row>
    <row r="149" spans="1:68" outlineLevel="1" x14ac:dyDescent="0.25">
      <c r="A149" s="202"/>
      <c r="B149" s="204" t="s">
        <v>135</v>
      </c>
      <c r="C149" s="202"/>
      <c r="D149" s="31">
        <v>40000</v>
      </c>
      <c r="E149" s="45">
        <v>0</v>
      </c>
      <c r="F149" s="45">
        <v>0</v>
      </c>
      <c r="G149" s="45">
        <v>0</v>
      </c>
      <c r="H149" s="45">
        <v>0</v>
      </c>
      <c r="I149" s="45">
        <v>0</v>
      </c>
      <c r="J149" s="45">
        <v>0</v>
      </c>
      <c r="K149" s="45">
        <v>0</v>
      </c>
      <c r="L149" s="45">
        <v>0</v>
      </c>
      <c r="M149" s="45">
        <v>0</v>
      </c>
      <c r="N149" s="45">
        <v>0</v>
      </c>
      <c r="O149" s="45">
        <v>0</v>
      </c>
      <c r="P149" s="45">
        <v>0</v>
      </c>
      <c r="Q149" s="45">
        <v>0</v>
      </c>
      <c r="R149" s="45">
        <v>0</v>
      </c>
      <c r="S149" s="45">
        <v>0</v>
      </c>
      <c r="T149" s="45">
        <v>0</v>
      </c>
      <c r="U149" s="45">
        <v>0</v>
      </c>
      <c r="V149" s="45">
        <v>0</v>
      </c>
      <c r="W149" s="45">
        <v>0</v>
      </c>
      <c r="X149" s="45">
        <v>0</v>
      </c>
      <c r="Y149" s="45">
        <v>0</v>
      </c>
      <c r="Z149" s="45">
        <v>0</v>
      </c>
      <c r="AA149" s="45">
        <v>0</v>
      </c>
      <c r="AB149" s="45">
        <v>0</v>
      </c>
      <c r="AC149" s="45">
        <v>0</v>
      </c>
      <c r="AD149" s="45">
        <v>0</v>
      </c>
      <c r="AE149" s="45">
        <v>0</v>
      </c>
      <c r="AF149" s="45">
        <v>0</v>
      </c>
      <c r="AG149" s="45">
        <v>0</v>
      </c>
      <c r="AH149" s="45">
        <v>0</v>
      </c>
      <c r="AI149" s="45">
        <v>0</v>
      </c>
      <c r="AJ149" s="45">
        <v>0</v>
      </c>
      <c r="AK149" s="45">
        <v>0</v>
      </c>
      <c r="AL149" s="45">
        <v>0</v>
      </c>
      <c r="AM149" s="45">
        <v>0</v>
      </c>
      <c r="AN149" s="45">
        <v>0</v>
      </c>
      <c r="AO149" s="45">
        <v>0</v>
      </c>
      <c r="AP149" s="45">
        <v>0</v>
      </c>
      <c r="AQ149" s="45">
        <v>0</v>
      </c>
      <c r="AR149" s="45">
        <v>0</v>
      </c>
      <c r="AS149" s="45">
        <v>0</v>
      </c>
      <c r="AT149" s="45">
        <v>0</v>
      </c>
      <c r="AU149" s="45">
        <v>0</v>
      </c>
      <c r="AV149" s="45">
        <v>0</v>
      </c>
      <c r="AW149" s="45">
        <v>0</v>
      </c>
      <c r="AX149" s="45">
        <v>0</v>
      </c>
      <c r="AY149" s="45">
        <v>0</v>
      </c>
      <c r="AZ149" s="45">
        <v>0</v>
      </c>
      <c r="BA149" s="45">
        <v>0</v>
      </c>
      <c r="BB149" s="45">
        <v>0</v>
      </c>
      <c r="BC149" s="45">
        <v>0</v>
      </c>
      <c r="BD149" s="45">
        <v>0</v>
      </c>
      <c r="BE149" s="202"/>
      <c r="BF149" s="202"/>
      <c r="BG149" s="202"/>
      <c r="BH149" s="202"/>
      <c r="BI149" s="204" t="s">
        <v>135</v>
      </c>
      <c r="BJ149" s="37">
        <v>1</v>
      </c>
      <c r="BK149" s="37">
        <v>1</v>
      </c>
      <c r="BL149" s="37">
        <v>1</v>
      </c>
      <c r="BO149" s="202"/>
      <c r="BP149" s="202"/>
    </row>
    <row r="150" spans="1:68" outlineLevel="1" x14ac:dyDescent="0.25">
      <c r="A150" s="202"/>
      <c r="B150" s="204" t="s">
        <v>136</v>
      </c>
      <c r="C150" s="80"/>
      <c r="D150" s="31">
        <v>15000</v>
      </c>
      <c r="E150" s="45">
        <v>0</v>
      </c>
      <c r="F150" s="45">
        <v>0</v>
      </c>
      <c r="G150" s="45">
        <v>0</v>
      </c>
      <c r="H150" s="45">
        <v>0</v>
      </c>
      <c r="I150" s="31">
        <v>750</v>
      </c>
      <c r="J150" s="31">
        <v>0</v>
      </c>
      <c r="K150" s="31">
        <v>750</v>
      </c>
      <c r="L150" s="31">
        <v>0</v>
      </c>
      <c r="M150" s="31">
        <v>1500</v>
      </c>
      <c r="N150" s="31">
        <v>1500</v>
      </c>
      <c r="O150" s="31">
        <v>1500</v>
      </c>
      <c r="P150" s="31">
        <v>0</v>
      </c>
      <c r="Q150" s="31">
        <v>1500</v>
      </c>
      <c r="R150" s="31">
        <v>0</v>
      </c>
      <c r="S150" s="31">
        <v>1500</v>
      </c>
      <c r="T150" s="31">
        <v>0</v>
      </c>
      <c r="U150" s="31">
        <v>1500</v>
      </c>
      <c r="V150" s="31">
        <v>1500</v>
      </c>
      <c r="W150" s="31">
        <v>0</v>
      </c>
      <c r="X150" s="31">
        <v>1500</v>
      </c>
      <c r="Y150" s="31">
        <v>0</v>
      </c>
      <c r="Z150" s="31">
        <v>1500</v>
      </c>
      <c r="AA150" s="31">
        <v>0</v>
      </c>
      <c r="AB150" s="31">
        <v>1500</v>
      </c>
      <c r="AC150" s="31">
        <v>0</v>
      </c>
      <c r="AD150" s="31">
        <v>1500</v>
      </c>
      <c r="AE150" s="31">
        <v>0</v>
      </c>
      <c r="AF150" s="31">
        <v>1500</v>
      </c>
      <c r="AG150" s="31">
        <v>1500</v>
      </c>
      <c r="AH150" s="31">
        <v>0</v>
      </c>
      <c r="AI150" s="31">
        <v>1500</v>
      </c>
      <c r="AJ150" s="31">
        <v>1500</v>
      </c>
      <c r="AK150" s="31">
        <v>0</v>
      </c>
      <c r="AL150" s="31">
        <v>1500</v>
      </c>
      <c r="AM150" s="31">
        <v>0</v>
      </c>
      <c r="AN150" s="31">
        <v>1500</v>
      </c>
      <c r="AO150" s="31">
        <v>1500</v>
      </c>
      <c r="AP150" s="31">
        <v>1500</v>
      </c>
      <c r="AQ150" s="31">
        <v>0</v>
      </c>
      <c r="AR150" s="31">
        <v>750</v>
      </c>
      <c r="AS150" s="31">
        <v>0</v>
      </c>
      <c r="AT150" s="31">
        <v>750</v>
      </c>
      <c r="AU150" s="31">
        <v>750</v>
      </c>
      <c r="AV150" s="31">
        <v>750</v>
      </c>
      <c r="AW150" s="31">
        <v>750</v>
      </c>
      <c r="AX150" s="31">
        <v>750</v>
      </c>
      <c r="AY150" s="31">
        <v>750</v>
      </c>
      <c r="AZ150" s="31"/>
      <c r="BA150" s="31">
        <v>500</v>
      </c>
      <c r="BB150" s="31">
        <v>500</v>
      </c>
      <c r="BC150" s="31">
        <v>500</v>
      </c>
      <c r="BD150" s="31">
        <v>500</v>
      </c>
      <c r="BE150" s="202"/>
      <c r="BF150" s="202"/>
      <c r="BG150" s="202"/>
      <c r="BH150" s="202"/>
      <c r="BI150" s="204" t="s">
        <v>136</v>
      </c>
      <c r="BJ150" s="37">
        <v>1</v>
      </c>
      <c r="BK150" s="37">
        <f>BJ150*1.2</f>
        <v>1.2</v>
      </c>
      <c r="BL150" s="37">
        <f>BK150*1.2</f>
        <v>1.44</v>
      </c>
      <c r="BN150" s="82" t="s">
        <v>212</v>
      </c>
      <c r="BO150" s="202"/>
      <c r="BP150" s="202"/>
    </row>
    <row r="151" spans="1:68" outlineLevel="1" x14ac:dyDescent="0.25">
      <c r="A151" s="202"/>
      <c r="B151" s="204" t="s">
        <v>137</v>
      </c>
      <c r="C151" s="80"/>
      <c r="D151" s="31">
        <v>15000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0</v>
      </c>
      <c r="K151" s="45">
        <v>0</v>
      </c>
      <c r="L151" s="45">
        <v>0</v>
      </c>
      <c r="M151" s="45">
        <v>0</v>
      </c>
      <c r="N151" s="45">
        <v>0</v>
      </c>
      <c r="O151" s="45">
        <v>0</v>
      </c>
      <c r="P151" s="45">
        <v>0</v>
      </c>
      <c r="Q151" s="45">
        <v>0</v>
      </c>
      <c r="R151" s="45">
        <v>0</v>
      </c>
      <c r="S151" s="45">
        <v>0</v>
      </c>
      <c r="T151" s="45">
        <v>0</v>
      </c>
      <c r="U151" s="45">
        <v>0</v>
      </c>
      <c r="V151" s="45">
        <v>0</v>
      </c>
      <c r="W151" s="45">
        <v>0</v>
      </c>
      <c r="X151" s="45">
        <v>0</v>
      </c>
      <c r="Y151" s="45">
        <v>0</v>
      </c>
      <c r="Z151" s="45">
        <v>0</v>
      </c>
      <c r="AA151" s="45">
        <v>0</v>
      </c>
      <c r="AB151" s="45">
        <v>0</v>
      </c>
      <c r="AC151" s="45">
        <v>0</v>
      </c>
      <c r="AD151" s="45">
        <v>0</v>
      </c>
      <c r="AE151" s="45">
        <v>0</v>
      </c>
      <c r="AF151" s="45">
        <v>0</v>
      </c>
      <c r="AG151" s="45">
        <v>0</v>
      </c>
      <c r="AH151" s="45">
        <v>0</v>
      </c>
      <c r="AI151" s="45">
        <v>0</v>
      </c>
      <c r="AJ151" s="45">
        <v>0</v>
      </c>
      <c r="AK151" s="45">
        <v>0</v>
      </c>
      <c r="AL151" s="45">
        <v>0</v>
      </c>
      <c r="AM151" s="45">
        <v>0</v>
      </c>
      <c r="AN151" s="45">
        <v>0</v>
      </c>
      <c r="AO151" s="45">
        <v>0</v>
      </c>
      <c r="AP151" s="45">
        <v>0</v>
      </c>
      <c r="AQ151" s="45">
        <v>0</v>
      </c>
      <c r="AR151" s="45">
        <v>0</v>
      </c>
      <c r="AS151" s="31">
        <v>0</v>
      </c>
      <c r="AT151" s="45">
        <v>0</v>
      </c>
      <c r="AU151" s="45">
        <v>0</v>
      </c>
      <c r="AV151" s="45">
        <v>0</v>
      </c>
      <c r="AW151" s="45">
        <v>0</v>
      </c>
      <c r="AX151" s="45">
        <v>0</v>
      </c>
      <c r="AY151" s="45">
        <v>0</v>
      </c>
      <c r="AZ151" s="45">
        <v>0</v>
      </c>
      <c r="BA151" s="45">
        <v>0</v>
      </c>
      <c r="BB151" s="45">
        <v>0</v>
      </c>
      <c r="BC151" s="45">
        <v>0</v>
      </c>
      <c r="BD151" s="45">
        <v>0</v>
      </c>
      <c r="BE151" s="202"/>
      <c r="BF151" s="202"/>
      <c r="BG151" s="202"/>
      <c r="BH151" s="202"/>
      <c r="BI151" s="204" t="s">
        <v>137</v>
      </c>
      <c r="BJ151" s="37">
        <v>1</v>
      </c>
      <c r="BK151" s="37">
        <f>BJ151*1.1</f>
        <v>1.1000000000000001</v>
      </c>
      <c r="BL151" s="37">
        <f>BK151*1.1</f>
        <v>1.2100000000000002</v>
      </c>
      <c r="BO151" s="202"/>
      <c r="BP151" s="202"/>
    </row>
    <row r="152" spans="1:68" outlineLevel="1" x14ac:dyDescent="0.25">
      <c r="A152" s="202"/>
      <c r="B152" s="204" t="s">
        <v>138</v>
      </c>
      <c r="C152" s="80"/>
      <c r="D152" s="31">
        <v>12000</v>
      </c>
      <c r="E152" s="45">
        <v>0</v>
      </c>
      <c r="F152" s="45">
        <v>0</v>
      </c>
      <c r="G152" s="45">
        <v>0</v>
      </c>
      <c r="H152" s="45">
        <v>0</v>
      </c>
      <c r="I152" s="45">
        <v>0</v>
      </c>
      <c r="J152" s="45">
        <v>0</v>
      </c>
      <c r="K152" s="45">
        <v>0</v>
      </c>
      <c r="L152" s="45">
        <v>0</v>
      </c>
      <c r="M152" s="45">
        <v>0</v>
      </c>
      <c r="N152" s="45">
        <v>0</v>
      </c>
      <c r="O152" s="45">
        <v>0</v>
      </c>
      <c r="P152" s="45">
        <v>0</v>
      </c>
      <c r="Q152" s="45">
        <v>0</v>
      </c>
      <c r="R152" s="45">
        <v>0</v>
      </c>
      <c r="S152" s="45">
        <v>0</v>
      </c>
      <c r="T152" s="45">
        <v>0</v>
      </c>
      <c r="U152" s="45">
        <v>0</v>
      </c>
      <c r="V152" s="45">
        <v>0</v>
      </c>
      <c r="W152" s="45">
        <v>0</v>
      </c>
      <c r="X152" s="45">
        <v>0</v>
      </c>
      <c r="Y152" s="45">
        <v>0</v>
      </c>
      <c r="Z152" s="45">
        <v>0</v>
      </c>
      <c r="AA152" s="45">
        <v>0</v>
      </c>
      <c r="AB152" s="45">
        <v>0</v>
      </c>
      <c r="AC152" s="45">
        <v>0</v>
      </c>
      <c r="AD152" s="45">
        <v>0</v>
      </c>
      <c r="AE152" s="45">
        <v>0</v>
      </c>
      <c r="AF152" s="45">
        <v>0</v>
      </c>
      <c r="AG152" s="45">
        <v>0</v>
      </c>
      <c r="AH152" s="45">
        <v>0</v>
      </c>
      <c r="AI152" s="45">
        <v>0</v>
      </c>
      <c r="AJ152" s="45">
        <v>0</v>
      </c>
      <c r="AK152" s="45">
        <v>0</v>
      </c>
      <c r="AL152" s="45">
        <v>0</v>
      </c>
      <c r="AM152" s="45">
        <v>0</v>
      </c>
      <c r="AN152" s="45">
        <v>0</v>
      </c>
      <c r="AO152" s="45">
        <v>0</v>
      </c>
      <c r="AP152" s="45">
        <v>0</v>
      </c>
      <c r="AQ152" s="45">
        <v>0</v>
      </c>
      <c r="AR152" s="45">
        <v>0</v>
      </c>
      <c r="AS152" s="31">
        <v>0</v>
      </c>
      <c r="AT152" s="45">
        <v>0</v>
      </c>
      <c r="AU152" s="45">
        <v>0</v>
      </c>
      <c r="AV152" s="45">
        <v>0</v>
      </c>
      <c r="AW152" s="45">
        <v>0</v>
      </c>
      <c r="AX152" s="45">
        <v>0</v>
      </c>
      <c r="AY152" s="45">
        <v>0</v>
      </c>
      <c r="AZ152" s="45">
        <v>0</v>
      </c>
      <c r="BA152" s="45">
        <v>0</v>
      </c>
      <c r="BB152" s="45">
        <v>0</v>
      </c>
      <c r="BC152" s="45">
        <v>0</v>
      </c>
      <c r="BD152" s="45">
        <v>0</v>
      </c>
      <c r="BE152" s="202"/>
      <c r="BF152" s="202"/>
      <c r="BG152" s="202"/>
      <c r="BH152" s="202"/>
      <c r="BI152" s="204" t="s">
        <v>138</v>
      </c>
      <c r="BJ152" s="37">
        <v>1</v>
      </c>
      <c r="BK152" s="37">
        <f>BJ152*1.2</f>
        <v>1.2</v>
      </c>
      <c r="BL152" s="37">
        <f>BK152*1.2</f>
        <v>1.44</v>
      </c>
      <c r="BN152" s="82" t="s">
        <v>212</v>
      </c>
      <c r="BO152" s="202"/>
      <c r="BP152" s="202"/>
    </row>
    <row r="153" spans="1:68" outlineLevel="1" x14ac:dyDescent="0.25">
      <c r="A153" s="202"/>
      <c r="B153" s="204" t="s">
        <v>139</v>
      </c>
      <c r="C153" s="80"/>
      <c r="D153" s="31">
        <v>8000</v>
      </c>
      <c r="E153" s="45">
        <v>0</v>
      </c>
      <c r="F153" s="45">
        <v>0</v>
      </c>
      <c r="G153" s="45">
        <v>0</v>
      </c>
      <c r="H153" s="45">
        <v>0</v>
      </c>
      <c r="I153" s="45">
        <v>0</v>
      </c>
      <c r="J153" s="45">
        <v>0</v>
      </c>
      <c r="K153" s="45">
        <v>0</v>
      </c>
      <c r="L153" s="45">
        <v>0</v>
      </c>
      <c r="M153" s="45">
        <v>0</v>
      </c>
      <c r="N153" s="45">
        <v>0</v>
      </c>
      <c r="O153" s="45">
        <v>0</v>
      </c>
      <c r="P153" s="45">
        <v>0</v>
      </c>
      <c r="Q153" s="45">
        <v>0</v>
      </c>
      <c r="R153" s="45">
        <v>0</v>
      </c>
      <c r="S153" s="45">
        <v>0</v>
      </c>
      <c r="T153" s="45">
        <v>0</v>
      </c>
      <c r="U153" s="45">
        <v>0</v>
      </c>
      <c r="V153" s="45">
        <v>0</v>
      </c>
      <c r="W153" s="45">
        <v>0</v>
      </c>
      <c r="X153" s="45">
        <v>0</v>
      </c>
      <c r="Y153" s="45">
        <v>0</v>
      </c>
      <c r="Z153" s="45">
        <v>0</v>
      </c>
      <c r="AA153" s="45">
        <v>0</v>
      </c>
      <c r="AB153" s="45">
        <v>0</v>
      </c>
      <c r="AC153" s="45">
        <v>0</v>
      </c>
      <c r="AD153" s="45">
        <v>0</v>
      </c>
      <c r="AE153" s="45">
        <v>0</v>
      </c>
      <c r="AF153" s="45">
        <v>0</v>
      </c>
      <c r="AG153" s="45">
        <v>0</v>
      </c>
      <c r="AH153" s="45">
        <v>0</v>
      </c>
      <c r="AI153" s="45">
        <v>0</v>
      </c>
      <c r="AJ153" s="45">
        <v>0</v>
      </c>
      <c r="AK153" s="45">
        <v>0</v>
      </c>
      <c r="AL153" s="45">
        <v>0</v>
      </c>
      <c r="AM153" s="45">
        <v>0</v>
      </c>
      <c r="AN153" s="45">
        <v>0</v>
      </c>
      <c r="AO153" s="45">
        <v>0</v>
      </c>
      <c r="AP153" s="45">
        <v>0</v>
      </c>
      <c r="AQ153" s="45">
        <v>0</v>
      </c>
      <c r="AR153" s="45">
        <v>0</v>
      </c>
      <c r="AS153" s="31">
        <v>0</v>
      </c>
      <c r="AT153" s="45">
        <v>0</v>
      </c>
      <c r="AU153" s="45">
        <v>0</v>
      </c>
      <c r="AV153" s="45">
        <v>0</v>
      </c>
      <c r="AW153" s="45">
        <v>0</v>
      </c>
      <c r="AX153" s="45">
        <v>0</v>
      </c>
      <c r="AY153" s="45">
        <v>0</v>
      </c>
      <c r="AZ153" s="45">
        <v>0</v>
      </c>
      <c r="BA153" s="45">
        <v>0</v>
      </c>
      <c r="BB153" s="45">
        <v>0</v>
      </c>
      <c r="BC153" s="45">
        <v>0</v>
      </c>
      <c r="BD153" s="45">
        <v>0</v>
      </c>
      <c r="BE153" s="202"/>
      <c r="BF153" s="202"/>
      <c r="BG153" s="202"/>
      <c r="BH153" s="202"/>
      <c r="BI153" s="204" t="s">
        <v>139</v>
      </c>
      <c r="BJ153" s="37">
        <v>1</v>
      </c>
      <c r="BK153" s="37">
        <f>BJ153*1.2</f>
        <v>1.2</v>
      </c>
      <c r="BL153" s="37">
        <f>BK153*1.2</f>
        <v>1.44</v>
      </c>
      <c r="BN153" s="82" t="s">
        <v>212</v>
      </c>
      <c r="BO153" s="202"/>
      <c r="BP153" s="202"/>
    </row>
    <row r="154" spans="1:68" outlineLevel="1" x14ac:dyDescent="0.25">
      <c r="A154" s="202"/>
      <c r="B154" s="204" t="s">
        <v>140</v>
      </c>
      <c r="C154" s="80"/>
      <c r="D154" s="31">
        <v>5000</v>
      </c>
      <c r="E154" s="45">
        <v>0</v>
      </c>
      <c r="F154" s="45">
        <v>0</v>
      </c>
      <c r="G154" s="45">
        <v>0</v>
      </c>
      <c r="H154" s="45">
        <v>0</v>
      </c>
      <c r="I154" s="31">
        <v>1500</v>
      </c>
      <c r="J154" s="31">
        <v>0</v>
      </c>
      <c r="K154" s="31">
        <v>1500</v>
      </c>
      <c r="L154" s="31">
        <v>0</v>
      </c>
      <c r="M154" s="31">
        <v>2000</v>
      </c>
      <c r="N154" s="31">
        <v>2000</v>
      </c>
      <c r="O154" s="31">
        <v>2000</v>
      </c>
      <c r="P154" s="31">
        <v>0</v>
      </c>
      <c r="Q154" s="31">
        <v>2000</v>
      </c>
      <c r="R154" s="31">
        <v>0</v>
      </c>
      <c r="S154" s="31">
        <v>2000</v>
      </c>
      <c r="T154" s="31">
        <v>0</v>
      </c>
      <c r="U154" s="31">
        <v>2000</v>
      </c>
      <c r="V154" s="31">
        <v>2000</v>
      </c>
      <c r="W154" s="31">
        <v>0</v>
      </c>
      <c r="X154" s="31">
        <v>2000</v>
      </c>
      <c r="Y154" s="31">
        <v>0</v>
      </c>
      <c r="Z154" s="31">
        <v>2000</v>
      </c>
      <c r="AA154" s="31">
        <v>0</v>
      </c>
      <c r="AB154" s="31">
        <v>2000</v>
      </c>
      <c r="AC154" s="31">
        <v>0</v>
      </c>
      <c r="AD154" s="31">
        <v>2000</v>
      </c>
      <c r="AE154" s="31">
        <v>0</v>
      </c>
      <c r="AF154" s="31">
        <v>2000</v>
      </c>
      <c r="AG154" s="31">
        <v>2000</v>
      </c>
      <c r="AH154" s="31">
        <v>0</v>
      </c>
      <c r="AI154" s="31">
        <v>2000</v>
      </c>
      <c r="AJ154" s="31">
        <v>2000</v>
      </c>
      <c r="AK154" s="31">
        <v>0</v>
      </c>
      <c r="AL154" s="31">
        <v>2000</v>
      </c>
      <c r="AM154" s="31">
        <v>0</v>
      </c>
      <c r="AN154" s="31">
        <v>2000</v>
      </c>
      <c r="AO154" s="31">
        <v>2000</v>
      </c>
      <c r="AP154" s="31">
        <v>2000</v>
      </c>
      <c r="AQ154" s="31">
        <v>0</v>
      </c>
      <c r="AR154" s="31">
        <v>2000</v>
      </c>
      <c r="AS154" s="31">
        <v>0</v>
      </c>
      <c r="AT154" s="31">
        <v>2000</v>
      </c>
      <c r="AU154" s="31">
        <v>2000</v>
      </c>
      <c r="AV154" s="31">
        <v>1500</v>
      </c>
      <c r="AW154" s="31">
        <v>1500</v>
      </c>
      <c r="AX154" s="31">
        <v>1500</v>
      </c>
      <c r="AY154" s="31">
        <v>1500</v>
      </c>
      <c r="AZ154" s="31">
        <v>0</v>
      </c>
      <c r="BA154" s="31">
        <v>1500</v>
      </c>
      <c r="BB154" s="31">
        <v>0</v>
      </c>
      <c r="BC154" s="31">
        <v>0</v>
      </c>
      <c r="BD154" s="31">
        <v>0</v>
      </c>
      <c r="BE154" s="202"/>
      <c r="BF154" s="202"/>
      <c r="BG154" s="202"/>
      <c r="BH154" s="202"/>
      <c r="BI154" s="204" t="s">
        <v>140</v>
      </c>
      <c r="BJ154" s="37">
        <v>1</v>
      </c>
      <c r="BK154" s="37">
        <f>BJ154*1.05</f>
        <v>1.05</v>
      </c>
      <c r="BL154" s="37">
        <f>BK154*1.05</f>
        <v>1.1025</v>
      </c>
      <c r="BO154" s="202"/>
      <c r="BP154" s="202"/>
    </row>
    <row r="155" spans="1:68" outlineLevel="1" x14ac:dyDescent="0.25">
      <c r="A155" s="202"/>
      <c r="B155" s="204" t="s">
        <v>141</v>
      </c>
      <c r="C155" s="202"/>
      <c r="D155" s="31">
        <v>3000</v>
      </c>
      <c r="E155" s="45">
        <v>0</v>
      </c>
      <c r="F155" s="45">
        <v>0</v>
      </c>
      <c r="G155" s="45">
        <v>0</v>
      </c>
      <c r="H155" s="45">
        <v>0</v>
      </c>
      <c r="I155" s="31">
        <v>1200</v>
      </c>
      <c r="J155" s="31">
        <v>0</v>
      </c>
      <c r="K155" s="31">
        <v>1200</v>
      </c>
      <c r="L155" s="31">
        <v>0</v>
      </c>
      <c r="M155" s="31">
        <v>1500</v>
      </c>
      <c r="N155" s="31">
        <v>1500</v>
      </c>
      <c r="O155" s="31">
        <v>1500</v>
      </c>
      <c r="P155" s="31">
        <v>0</v>
      </c>
      <c r="Q155" s="31">
        <v>1500</v>
      </c>
      <c r="R155" s="31">
        <v>0</v>
      </c>
      <c r="S155" s="31">
        <v>1500</v>
      </c>
      <c r="T155" s="31">
        <v>0</v>
      </c>
      <c r="U155" s="31">
        <v>1500</v>
      </c>
      <c r="V155" s="31">
        <v>1500</v>
      </c>
      <c r="W155" s="31">
        <v>0</v>
      </c>
      <c r="X155" s="31">
        <v>1500</v>
      </c>
      <c r="Y155" s="31">
        <v>0</v>
      </c>
      <c r="Z155" s="31">
        <v>1500</v>
      </c>
      <c r="AA155" s="31">
        <v>0</v>
      </c>
      <c r="AB155" s="31">
        <v>1500</v>
      </c>
      <c r="AC155" s="31">
        <v>0</v>
      </c>
      <c r="AD155" s="31">
        <v>1500</v>
      </c>
      <c r="AE155" s="31">
        <v>0</v>
      </c>
      <c r="AF155" s="31">
        <v>1500</v>
      </c>
      <c r="AG155" s="31">
        <v>1500</v>
      </c>
      <c r="AH155" s="31">
        <v>0</v>
      </c>
      <c r="AI155" s="31">
        <v>1500</v>
      </c>
      <c r="AJ155" s="31">
        <v>1500</v>
      </c>
      <c r="AK155" s="31">
        <v>0</v>
      </c>
      <c r="AL155" s="31">
        <v>1500</v>
      </c>
      <c r="AM155" s="31">
        <v>0</v>
      </c>
      <c r="AN155" s="31">
        <v>1500</v>
      </c>
      <c r="AO155" s="31">
        <v>1500</v>
      </c>
      <c r="AP155" s="31">
        <v>1500</v>
      </c>
      <c r="AQ155" s="31">
        <v>0</v>
      </c>
      <c r="AR155" s="31">
        <v>2000</v>
      </c>
      <c r="AS155" s="31">
        <v>0</v>
      </c>
      <c r="AT155" s="31">
        <v>2000</v>
      </c>
      <c r="AU155" s="31">
        <v>2000</v>
      </c>
      <c r="AV155" s="31">
        <v>1500</v>
      </c>
      <c r="AW155" s="31">
        <v>1500</v>
      </c>
      <c r="AX155" s="31">
        <v>1500</v>
      </c>
      <c r="AY155" s="31">
        <v>1500</v>
      </c>
      <c r="AZ155" s="31">
        <v>0</v>
      </c>
      <c r="BA155" s="31">
        <v>1000</v>
      </c>
      <c r="BB155" s="31">
        <v>500</v>
      </c>
      <c r="BC155" s="31">
        <v>500</v>
      </c>
      <c r="BD155" s="31">
        <v>500</v>
      </c>
      <c r="BE155" s="202"/>
      <c r="BF155" s="202"/>
      <c r="BG155" s="202"/>
      <c r="BH155" s="202"/>
      <c r="BI155" s="204" t="s">
        <v>141</v>
      </c>
      <c r="BJ155" s="37">
        <v>1</v>
      </c>
      <c r="BK155" s="37">
        <f t="shared" ref="BK155:BL157" si="128">BJ155*1.02</f>
        <v>1.02</v>
      </c>
      <c r="BL155" s="37">
        <f t="shared" si="128"/>
        <v>1.0404</v>
      </c>
      <c r="BO155" s="202"/>
      <c r="BP155" s="202"/>
    </row>
    <row r="156" spans="1:68" outlineLevel="1" x14ac:dyDescent="0.25">
      <c r="A156" s="202"/>
      <c r="B156" s="204" t="s">
        <v>142</v>
      </c>
      <c r="C156" s="202"/>
      <c r="D156" s="31">
        <v>1000</v>
      </c>
      <c r="E156" s="45">
        <v>0</v>
      </c>
      <c r="F156" s="45">
        <v>0</v>
      </c>
      <c r="G156" s="45">
        <v>0</v>
      </c>
      <c r="H156" s="45">
        <v>0</v>
      </c>
      <c r="I156" s="31">
        <v>750</v>
      </c>
      <c r="J156" s="31">
        <v>0</v>
      </c>
      <c r="K156" s="31">
        <v>750</v>
      </c>
      <c r="L156" s="31">
        <v>0</v>
      </c>
      <c r="M156" s="31">
        <v>750</v>
      </c>
      <c r="N156" s="31">
        <v>750</v>
      </c>
      <c r="O156" s="31">
        <v>750</v>
      </c>
      <c r="P156" s="31">
        <v>0</v>
      </c>
      <c r="Q156" s="31">
        <v>750</v>
      </c>
      <c r="R156" s="31">
        <v>0</v>
      </c>
      <c r="S156" s="31">
        <v>750</v>
      </c>
      <c r="T156" s="31">
        <v>0</v>
      </c>
      <c r="U156" s="31">
        <v>750</v>
      </c>
      <c r="V156" s="31">
        <v>750</v>
      </c>
      <c r="W156" s="31">
        <v>0</v>
      </c>
      <c r="X156" s="31">
        <v>750</v>
      </c>
      <c r="Y156" s="31">
        <v>0</v>
      </c>
      <c r="Z156" s="31">
        <v>750</v>
      </c>
      <c r="AA156" s="31">
        <v>0</v>
      </c>
      <c r="AB156" s="31">
        <v>750</v>
      </c>
      <c r="AC156" s="31">
        <v>0</v>
      </c>
      <c r="AD156" s="31">
        <v>750</v>
      </c>
      <c r="AE156" s="31">
        <v>0</v>
      </c>
      <c r="AF156" s="31">
        <v>750</v>
      </c>
      <c r="AG156" s="31">
        <v>750</v>
      </c>
      <c r="AH156" s="31">
        <v>0</v>
      </c>
      <c r="AI156" s="31">
        <v>750</v>
      </c>
      <c r="AJ156" s="31">
        <v>750</v>
      </c>
      <c r="AK156" s="31">
        <v>0</v>
      </c>
      <c r="AL156" s="31">
        <v>750</v>
      </c>
      <c r="AM156" s="31">
        <v>0</v>
      </c>
      <c r="AN156" s="31">
        <v>750</v>
      </c>
      <c r="AO156" s="31">
        <v>750</v>
      </c>
      <c r="AP156" s="31">
        <v>750</v>
      </c>
      <c r="AQ156" s="31">
        <v>0</v>
      </c>
      <c r="AR156" s="31">
        <v>750</v>
      </c>
      <c r="AS156" s="31">
        <v>0</v>
      </c>
      <c r="AT156" s="31">
        <v>750</v>
      </c>
      <c r="AU156" s="31">
        <v>750</v>
      </c>
      <c r="AV156" s="31">
        <v>750</v>
      </c>
      <c r="AW156" s="31">
        <v>750</v>
      </c>
      <c r="AX156" s="31">
        <v>750</v>
      </c>
      <c r="AY156" s="31">
        <v>750</v>
      </c>
      <c r="AZ156" s="31">
        <v>0</v>
      </c>
      <c r="BA156" s="31">
        <v>750</v>
      </c>
      <c r="BB156" s="31">
        <v>750</v>
      </c>
      <c r="BC156" s="31">
        <v>750</v>
      </c>
      <c r="BD156" s="31">
        <v>750</v>
      </c>
      <c r="BE156" s="202"/>
      <c r="BF156" s="202"/>
      <c r="BG156" s="202"/>
      <c r="BH156" s="202"/>
      <c r="BI156" s="204" t="s">
        <v>213</v>
      </c>
      <c r="BJ156" s="37">
        <v>1</v>
      </c>
      <c r="BK156" s="37">
        <f t="shared" si="128"/>
        <v>1.02</v>
      </c>
      <c r="BL156" s="37">
        <f t="shared" si="128"/>
        <v>1.0404</v>
      </c>
      <c r="BO156" s="202"/>
      <c r="BP156" s="202"/>
    </row>
    <row r="157" spans="1:68" outlineLevel="1" x14ac:dyDescent="0.25">
      <c r="A157" s="202"/>
      <c r="B157" s="204" t="s">
        <v>143</v>
      </c>
      <c r="C157" s="202"/>
      <c r="D157" s="31">
        <v>500</v>
      </c>
      <c r="E157" s="45">
        <v>0</v>
      </c>
      <c r="F157" s="45">
        <v>0</v>
      </c>
      <c r="G157" s="45">
        <v>0</v>
      </c>
      <c r="H157" s="45">
        <v>0</v>
      </c>
      <c r="I157" s="31">
        <v>250</v>
      </c>
      <c r="J157" s="31">
        <v>0</v>
      </c>
      <c r="K157" s="31">
        <v>250</v>
      </c>
      <c r="L157" s="31">
        <v>0</v>
      </c>
      <c r="M157" s="31">
        <v>250</v>
      </c>
      <c r="N157" s="31">
        <v>250</v>
      </c>
      <c r="O157" s="31">
        <v>250</v>
      </c>
      <c r="P157" s="31">
        <v>0</v>
      </c>
      <c r="Q157" s="31">
        <v>250</v>
      </c>
      <c r="R157" s="31">
        <v>0</v>
      </c>
      <c r="S157" s="31">
        <v>250</v>
      </c>
      <c r="T157" s="31">
        <v>0</v>
      </c>
      <c r="U157" s="31">
        <v>250</v>
      </c>
      <c r="V157" s="31">
        <v>250</v>
      </c>
      <c r="W157" s="31">
        <v>0</v>
      </c>
      <c r="X157" s="31">
        <v>250</v>
      </c>
      <c r="Y157" s="31">
        <v>0</v>
      </c>
      <c r="Z157" s="31">
        <v>250</v>
      </c>
      <c r="AA157" s="31">
        <v>0</v>
      </c>
      <c r="AB157" s="31">
        <v>250</v>
      </c>
      <c r="AC157" s="31">
        <v>0</v>
      </c>
      <c r="AD157" s="31">
        <v>250</v>
      </c>
      <c r="AE157" s="31">
        <v>0</v>
      </c>
      <c r="AF157" s="31">
        <v>250</v>
      </c>
      <c r="AG157" s="31">
        <v>250</v>
      </c>
      <c r="AH157" s="31">
        <v>0</v>
      </c>
      <c r="AI157" s="31">
        <v>250</v>
      </c>
      <c r="AJ157" s="31">
        <v>250</v>
      </c>
      <c r="AK157" s="31">
        <v>0</v>
      </c>
      <c r="AL157" s="31">
        <v>250</v>
      </c>
      <c r="AM157" s="31">
        <v>0</v>
      </c>
      <c r="AN157" s="31">
        <v>250</v>
      </c>
      <c r="AO157" s="31">
        <v>250</v>
      </c>
      <c r="AP157" s="31">
        <v>250</v>
      </c>
      <c r="AQ157" s="31">
        <v>0</v>
      </c>
      <c r="AR157" s="31">
        <v>250</v>
      </c>
      <c r="AS157" s="31">
        <v>0</v>
      </c>
      <c r="AT157" s="31">
        <v>250</v>
      </c>
      <c r="AU157" s="31">
        <v>250</v>
      </c>
      <c r="AV157" s="31">
        <v>250</v>
      </c>
      <c r="AW157" s="31">
        <v>250</v>
      </c>
      <c r="AX157" s="31">
        <v>250</v>
      </c>
      <c r="AY157" s="31">
        <v>250</v>
      </c>
      <c r="AZ157" s="31">
        <v>0</v>
      </c>
      <c r="BA157" s="31">
        <v>200</v>
      </c>
      <c r="BB157" s="31">
        <v>200</v>
      </c>
      <c r="BC157" s="31">
        <v>200</v>
      </c>
      <c r="BD157" s="31">
        <v>200</v>
      </c>
      <c r="BE157" s="202"/>
      <c r="BF157" s="202"/>
      <c r="BG157" s="202"/>
      <c r="BH157" s="202"/>
      <c r="BI157" s="204" t="s">
        <v>143</v>
      </c>
      <c r="BJ157" s="37">
        <v>1</v>
      </c>
      <c r="BK157" s="37">
        <f t="shared" si="128"/>
        <v>1.02</v>
      </c>
      <c r="BL157" s="37">
        <f t="shared" si="128"/>
        <v>1.0404</v>
      </c>
      <c r="BO157" s="202"/>
      <c r="BP157" s="202"/>
    </row>
    <row r="158" spans="1:68" x14ac:dyDescent="0.25">
      <c r="A158" s="202"/>
      <c r="B158" s="202"/>
      <c r="C158" s="202"/>
      <c r="D158" s="202"/>
      <c r="E158" s="202"/>
      <c r="F158" s="202"/>
      <c r="G158" s="202"/>
      <c r="H158" s="202"/>
      <c r="I158" s="202"/>
      <c r="J158" s="202"/>
      <c r="K158" s="202"/>
      <c r="L158" s="202"/>
      <c r="M158" s="202"/>
      <c r="N158" s="202"/>
      <c r="O158" s="202"/>
      <c r="P158" s="202"/>
      <c r="Q158" s="202"/>
      <c r="R158" s="202"/>
      <c r="S158" s="202"/>
      <c r="T158" s="202"/>
      <c r="U158" s="202"/>
      <c r="V158" s="202"/>
      <c r="W158" s="202"/>
      <c r="X158" s="202"/>
      <c r="Y158" s="202"/>
      <c r="Z158" s="202"/>
      <c r="AA158" s="202"/>
      <c r="AB158" s="202"/>
      <c r="AC158" s="202"/>
      <c r="AD158" s="202"/>
      <c r="AE158" s="202"/>
      <c r="AF158" s="202"/>
      <c r="AG158" s="202"/>
      <c r="AH158" s="202"/>
      <c r="AI158" s="202"/>
      <c r="AJ158" s="202"/>
      <c r="AK158" s="202"/>
      <c r="AL158" s="202"/>
      <c r="AM158" s="202"/>
      <c r="AN158" s="202"/>
      <c r="AO158" s="202"/>
      <c r="AP158" s="202"/>
      <c r="AQ158" s="202"/>
      <c r="AR158" s="202"/>
      <c r="AS158" s="202"/>
      <c r="AT158" s="202"/>
      <c r="AU158" s="202"/>
      <c r="AV158" s="202"/>
      <c r="AW158" s="202"/>
      <c r="AX158" s="202"/>
      <c r="AY158" s="202"/>
      <c r="AZ158" s="202"/>
      <c r="BA158" s="202"/>
      <c r="BB158" s="202"/>
      <c r="BC158" s="202"/>
      <c r="BD158" s="202"/>
      <c r="BE158" s="202"/>
      <c r="BF158" s="202"/>
      <c r="BG158" s="202"/>
      <c r="BH158" s="202"/>
      <c r="BO158" s="202"/>
      <c r="BP158" s="202"/>
    </row>
    <row r="159" spans="1:68" x14ac:dyDescent="0.25">
      <c r="A159" s="80"/>
      <c r="B159" s="23" t="s">
        <v>144</v>
      </c>
      <c r="C159" s="202"/>
      <c r="D159" s="101" cm="1">
        <f t="array" ref="D159:BD159">_xlfn.BYCOL(_xlfn.VSTACK($D$160:$BD$160,$D$172:$BD$174),_xlfn.LAMBDA(_xlpm.a,SUM(_xlpm.a)))</f>
        <v>349.94</v>
      </c>
      <c r="E159" s="101">
        <v>329.34000000000003</v>
      </c>
      <c r="F159" s="101">
        <v>329.34000000000003</v>
      </c>
      <c r="G159" s="101">
        <v>329.34000000000003</v>
      </c>
      <c r="H159" s="101">
        <v>329.34000000000003</v>
      </c>
      <c r="I159" s="101">
        <v>336.94</v>
      </c>
      <c r="J159" s="101">
        <v>336.94</v>
      </c>
      <c r="K159" s="101">
        <v>336.94</v>
      </c>
      <c r="L159" s="101">
        <v>336.94</v>
      </c>
      <c r="M159" s="101">
        <v>336.94</v>
      </c>
      <c r="N159" s="101">
        <v>336.94</v>
      </c>
      <c r="O159" s="101">
        <v>336.94</v>
      </c>
      <c r="P159" s="101">
        <v>336.94</v>
      </c>
      <c r="Q159" s="101">
        <v>336.94</v>
      </c>
      <c r="R159" s="101">
        <v>336.94</v>
      </c>
      <c r="S159" s="101">
        <v>336.94</v>
      </c>
      <c r="T159" s="101">
        <v>336.94</v>
      </c>
      <c r="U159" s="101">
        <v>336.94</v>
      </c>
      <c r="V159" s="101">
        <v>336.94</v>
      </c>
      <c r="W159" s="101">
        <v>336.94</v>
      </c>
      <c r="X159" s="101">
        <v>336.94</v>
      </c>
      <c r="Y159" s="101">
        <v>336.94</v>
      </c>
      <c r="Z159" s="101">
        <v>336.94</v>
      </c>
      <c r="AA159" s="101">
        <v>336.94</v>
      </c>
      <c r="AB159" s="101">
        <v>336.94</v>
      </c>
      <c r="AC159" s="101">
        <v>336.94</v>
      </c>
      <c r="AD159" s="101">
        <v>336.94</v>
      </c>
      <c r="AE159" s="101">
        <v>336.94</v>
      </c>
      <c r="AF159" s="101">
        <v>336.94</v>
      </c>
      <c r="AG159" s="101">
        <v>336.94</v>
      </c>
      <c r="AH159" s="101">
        <v>336.94</v>
      </c>
      <c r="AI159" s="101">
        <v>336.94</v>
      </c>
      <c r="AJ159" s="101">
        <v>336.94</v>
      </c>
      <c r="AK159" s="101">
        <v>336.94</v>
      </c>
      <c r="AL159" s="101">
        <v>336.94</v>
      </c>
      <c r="AM159" s="101">
        <v>336.94</v>
      </c>
      <c r="AN159" s="101">
        <v>336.94</v>
      </c>
      <c r="AO159" s="101">
        <v>336.94</v>
      </c>
      <c r="AP159" s="101">
        <v>336.94</v>
      </c>
      <c r="AQ159" s="101">
        <v>336.94</v>
      </c>
      <c r="AR159" s="101">
        <v>336.94</v>
      </c>
      <c r="AS159" s="101">
        <v>336.94</v>
      </c>
      <c r="AT159" s="101">
        <v>336.94</v>
      </c>
      <c r="AU159" s="101">
        <v>336.94</v>
      </c>
      <c r="AV159" s="101">
        <v>336.94</v>
      </c>
      <c r="AW159" s="101">
        <v>336.94</v>
      </c>
      <c r="AX159" s="101">
        <v>336.94</v>
      </c>
      <c r="AY159" s="101">
        <v>336.94</v>
      </c>
      <c r="AZ159" s="101">
        <v>336.94</v>
      </c>
      <c r="BA159" s="101">
        <v>336.94</v>
      </c>
      <c r="BB159" s="101">
        <v>336.94</v>
      </c>
      <c r="BC159" s="101">
        <v>336.94</v>
      </c>
      <c r="BD159" s="101">
        <v>336.94</v>
      </c>
      <c r="BE159" s="202"/>
      <c r="BF159" s="202"/>
      <c r="BG159" s="202"/>
      <c r="BH159" s="202"/>
      <c r="BO159" s="202"/>
      <c r="BP159" s="202"/>
    </row>
    <row r="160" spans="1:68" x14ac:dyDescent="0.25">
      <c r="A160" s="202"/>
      <c r="B160" s="1" t="s">
        <v>54</v>
      </c>
      <c r="C160" s="34" t="s">
        <v>145</v>
      </c>
      <c r="D160" s="210">
        <f>SUM(D162:D163)</f>
        <v>84.34</v>
      </c>
      <c r="E160" s="210">
        <f t="shared" ref="E160:T160" si="129">SUM(E162:E163)</f>
        <v>84.34</v>
      </c>
      <c r="F160" s="210">
        <f t="shared" ref="F160:G160" si="130">SUM(F162:F163)</f>
        <v>84.34</v>
      </c>
      <c r="G160" s="210">
        <f t="shared" si="130"/>
        <v>84.34</v>
      </c>
      <c r="H160" s="210">
        <f t="shared" ref="H160" si="131">SUM(H162:H163)</f>
        <v>84.34</v>
      </c>
      <c r="I160" s="210">
        <f t="shared" si="129"/>
        <v>84.34</v>
      </c>
      <c r="J160" s="210">
        <f t="shared" si="129"/>
        <v>84.34</v>
      </c>
      <c r="K160" s="210">
        <f t="shared" si="129"/>
        <v>84.34</v>
      </c>
      <c r="L160" s="210">
        <f t="shared" ref="L160" si="132">SUM(L162:L163)</f>
        <v>84.34</v>
      </c>
      <c r="M160" s="210">
        <f t="shared" si="129"/>
        <v>84.34</v>
      </c>
      <c r="N160" s="210">
        <f t="shared" si="129"/>
        <v>84.34</v>
      </c>
      <c r="O160" s="210">
        <f t="shared" si="129"/>
        <v>84.34</v>
      </c>
      <c r="P160" s="210">
        <f t="shared" si="129"/>
        <v>84.34</v>
      </c>
      <c r="Q160" s="210">
        <f t="shared" si="129"/>
        <v>84.34</v>
      </c>
      <c r="R160" s="210">
        <f t="shared" si="129"/>
        <v>84.34</v>
      </c>
      <c r="S160" s="210">
        <f t="shared" si="129"/>
        <v>84.34</v>
      </c>
      <c r="T160" s="210">
        <f t="shared" si="129"/>
        <v>84.34</v>
      </c>
      <c r="U160" s="210">
        <f t="shared" ref="U160:BD160" si="133">SUM(U162:U163)</f>
        <v>84.34</v>
      </c>
      <c r="V160" s="210">
        <f t="shared" si="133"/>
        <v>84.34</v>
      </c>
      <c r="W160" s="210">
        <f t="shared" si="133"/>
        <v>84.34</v>
      </c>
      <c r="X160" s="210">
        <f t="shared" si="133"/>
        <v>84.34</v>
      </c>
      <c r="Y160" s="210">
        <f t="shared" si="133"/>
        <v>84.34</v>
      </c>
      <c r="Z160" s="210">
        <f t="shared" si="133"/>
        <v>84.34</v>
      </c>
      <c r="AA160" s="210">
        <f t="shared" si="133"/>
        <v>84.34</v>
      </c>
      <c r="AB160" s="210">
        <f t="shared" si="133"/>
        <v>84.34</v>
      </c>
      <c r="AC160" s="210">
        <f t="shared" si="133"/>
        <v>84.34</v>
      </c>
      <c r="AD160" s="210">
        <f t="shared" si="133"/>
        <v>84.34</v>
      </c>
      <c r="AE160" s="210">
        <f t="shared" si="133"/>
        <v>84.34</v>
      </c>
      <c r="AF160" s="210">
        <f t="shared" si="133"/>
        <v>84.34</v>
      </c>
      <c r="AG160" s="210">
        <f t="shared" si="133"/>
        <v>84.34</v>
      </c>
      <c r="AH160" s="210">
        <f t="shared" si="133"/>
        <v>84.34</v>
      </c>
      <c r="AI160" s="210">
        <f t="shared" si="133"/>
        <v>84.34</v>
      </c>
      <c r="AJ160" s="210">
        <f t="shared" si="133"/>
        <v>84.34</v>
      </c>
      <c r="AK160" s="210">
        <f t="shared" si="133"/>
        <v>84.34</v>
      </c>
      <c r="AL160" s="210">
        <f t="shared" si="133"/>
        <v>84.34</v>
      </c>
      <c r="AM160" s="210">
        <f t="shared" si="133"/>
        <v>84.34</v>
      </c>
      <c r="AN160" s="210">
        <f t="shared" si="133"/>
        <v>84.34</v>
      </c>
      <c r="AO160" s="210">
        <f t="shared" si="133"/>
        <v>84.34</v>
      </c>
      <c r="AP160" s="210">
        <f t="shared" si="133"/>
        <v>84.34</v>
      </c>
      <c r="AQ160" s="210">
        <f t="shared" si="133"/>
        <v>84.34</v>
      </c>
      <c r="AR160" s="210">
        <f t="shared" si="133"/>
        <v>84.34</v>
      </c>
      <c r="AS160" s="210">
        <f>SUM(AS162:AS163)</f>
        <v>84.34</v>
      </c>
      <c r="AT160" s="210">
        <f t="shared" si="133"/>
        <v>84.34</v>
      </c>
      <c r="AU160" s="210">
        <f t="shared" si="133"/>
        <v>84.34</v>
      </c>
      <c r="AV160" s="210">
        <f t="shared" si="133"/>
        <v>84.34</v>
      </c>
      <c r="AW160" s="210">
        <f t="shared" si="133"/>
        <v>84.34</v>
      </c>
      <c r="AX160" s="210">
        <f t="shared" si="133"/>
        <v>84.34</v>
      </c>
      <c r="AY160" s="210">
        <f t="shared" si="133"/>
        <v>84.34</v>
      </c>
      <c r="AZ160" s="210">
        <f t="shared" si="133"/>
        <v>84.34</v>
      </c>
      <c r="BA160" s="210">
        <f t="shared" ref="BA160:BB160" si="134">SUM(BA162:BA163)</f>
        <v>84.34</v>
      </c>
      <c r="BB160" s="210">
        <f t="shared" si="134"/>
        <v>84.34</v>
      </c>
      <c r="BC160" s="210">
        <f t="shared" ref="BC160" si="135">SUM(BC162:BC163)</f>
        <v>84.34</v>
      </c>
      <c r="BD160" s="210">
        <f t="shared" si="133"/>
        <v>84.34</v>
      </c>
      <c r="BE160" s="202"/>
      <c r="BF160" s="202"/>
      <c r="BG160" s="202"/>
      <c r="BH160" s="202"/>
      <c r="BI160" s="1" t="s">
        <v>54</v>
      </c>
      <c r="BJ160" s="59" t="s">
        <v>214</v>
      </c>
      <c r="BO160" s="202"/>
      <c r="BP160" s="202"/>
    </row>
    <row r="161" spans="1:68" outlineLevel="1" x14ac:dyDescent="0.25">
      <c r="A161" s="202"/>
      <c r="B161" s="39" t="s">
        <v>146</v>
      </c>
      <c r="C161" s="202" t="s">
        <v>147</v>
      </c>
      <c r="D161" s="31">
        <f>5525+250</f>
        <v>5775</v>
      </c>
      <c r="E161" s="31">
        <v>0</v>
      </c>
      <c r="F161" s="31">
        <v>0</v>
      </c>
      <c r="G161" s="31">
        <v>0</v>
      </c>
      <c r="H161" s="31">
        <v>0</v>
      </c>
      <c r="I161" s="31">
        <v>0</v>
      </c>
      <c r="J161" s="31">
        <v>0</v>
      </c>
      <c r="K161" s="31">
        <v>0</v>
      </c>
      <c r="L161" s="31">
        <v>0</v>
      </c>
      <c r="M161" s="31">
        <v>0</v>
      </c>
      <c r="N161" s="31">
        <v>0</v>
      </c>
      <c r="O161" s="31">
        <v>0</v>
      </c>
      <c r="P161" s="31">
        <v>0</v>
      </c>
      <c r="Q161" s="31">
        <v>0</v>
      </c>
      <c r="R161" s="31">
        <v>0</v>
      </c>
      <c r="S161" s="31">
        <v>0</v>
      </c>
      <c r="T161" s="31">
        <v>0</v>
      </c>
      <c r="U161" s="31">
        <v>0</v>
      </c>
      <c r="V161" s="31">
        <v>0</v>
      </c>
      <c r="W161" s="31">
        <v>0</v>
      </c>
      <c r="X161" s="31">
        <v>0</v>
      </c>
      <c r="Y161" s="31">
        <v>0</v>
      </c>
      <c r="Z161" s="31">
        <v>0</v>
      </c>
      <c r="AA161" s="31">
        <v>0</v>
      </c>
      <c r="AB161" s="31">
        <v>0</v>
      </c>
      <c r="AC161" s="31">
        <v>0</v>
      </c>
      <c r="AD161" s="31">
        <v>0</v>
      </c>
      <c r="AE161" s="31">
        <v>0</v>
      </c>
      <c r="AF161" s="31">
        <v>0</v>
      </c>
      <c r="AG161" s="31">
        <v>0</v>
      </c>
      <c r="AH161" s="31">
        <v>0</v>
      </c>
      <c r="AI161" s="31">
        <v>0</v>
      </c>
      <c r="AJ161" s="31">
        <v>0</v>
      </c>
      <c r="AK161" s="31">
        <v>0</v>
      </c>
      <c r="AL161" s="31">
        <v>0</v>
      </c>
      <c r="AM161" s="31">
        <v>0</v>
      </c>
      <c r="AN161" s="31">
        <v>0</v>
      </c>
      <c r="AO161" s="31">
        <v>0</v>
      </c>
      <c r="AP161" s="31">
        <v>0</v>
      </c>
      <c r="AQ161" s="31">
        <v>0</v>
      </c>
      <c r="AR161" s="31">
        <v>0</v>
      </c>
      <c r="AS161" s="31">
        <v>0</v>
      </c>
      <c r="AT161" s="31">
        <v>0</v>
      </c>
      <c r="AU161" s="31">
        <v>0</v>
      </c>
      <c r="AV161" s="31">
        <v>0</v>
      </c>
      <c r="AW161" s="31">
        <v>0</v>
      </c>
      <c r="AX161" s="31">
        <v>0</v>
      </c>
      <c r="AY161" s="31">
        <v>0</v>
      </c>
      <c r="AZ161" s="31">
        <v>0</v>
      </c>
      <c r="BA161" s="31">
        <v>0</v>
      </c>
      <c r="BB161" s="31">
        <v>0</v>
      </c>
      <c r="BC161" s="31">
        <v>0</v>
      </c>
      <c r="BD161" s="31">
        <v>0</v>
      </c>
      <c r="BE161" s="202"/>
      <c r="BF161" s="202"/>
      <c r="BG161" s="202"/>
      <c r="BH161" s="202"/>
      <c r="BI161" t="s">
        <v>146</v>
      </c>
      <c r="BJ161" s="37">
        <v>1</v>
      </c>
      <c r="BK161" s="37">
        <f>BJ161*1.02</f>
        <v>1.02</v>
      </c>
      <c r="BL161" s="37">
        <f>BK161*1.02</f>
        <v>1.0404</v>
      </c>
      <c r="BO161" s="202"/>
      <c r="BP161" s="202"/>
    </row>
    <row r="162" spans="1:68" outlineLevel="1" x14ac:dyDescent="0.25">
      <c r="A162" s="202"/>
      <c r="B162" s="39" t="s">
        <v>397</v>
      </c>
      <c r="C162" s="202" t="s">
        <v>148</v>
      </c>
      <c r="D162" s="31">
        <f>65.34+6</f>
        <v>71.34</v>
      </c>
      <c r="E162" s="31">
        <f t="shared" ref="E162:BD162" si="136">65.34+6</f>
        <v>71.34</v>
      </c>
      <c r="F162" s="31">
        <f t="shared" si="136"/>
        <v>71.34</v>
      </c>
      <c r="G162" s="31">
        <f t="shared" si="136"/>
        <v>71.34</v>
      </c>
      <c r="H162" s="31">
        <f t="shared" si="136"/>
        <v>71.34</v>
      </c>
      <c r="I162" s="31">
        <f t="shared" si="136"/>
        <v>71.34</v>
      </c>
      <c r="J162" s="31">
        <f t="shared" si="136"/>
        <v>71.34</v>
      </c>
      <c r="K162" s="31">
        <f t="shared" si="136"/>
        <v>71.34</v>
      </c>
      <c r="L162" s="31">
        <f t="shared" si="136"/>
        <v>71.34</v>
      </c>
      <c r="M162" s="31">
        <f t="shared" si="136"/>
        <v>71.34</v>
      </c>
      <c r="N162" s="31">
        <f t="shared" si="136"/>
        <v>71.34</v>
      </c>
      <c r="O162" s="31">
        <f t="shared" si="136"/>
        <v>71.34</v>
      </c>
      <c r="P162" s="31">
        <f t="shared" si="136"/>
        <v>71.34</v>
      </c>
      <c r="Q162" s="31">
        <f t="shared" si="136"/>
        <v>71.34</v>
      </c>
      <c r="R162" s="31">
        <f t="shared" si="136"/>
        <v>71.34</v>
      </c>
      <c r="S162" s="31">
        <f t="shared" si="136"/>
        <v>71.34</v>
      </c>
      <c r="T162" s="31">
        <f t="shared" si="136"/>
        <v>71.34</v>
      </c>
      <c r="U162" s="31">
        <f t="shared" si="136"/>
        <v>71.34</v>
      </c>
      <c r="V162" s="31">
        <f t="shared" si="136"/>
        <v>71.34</v>
      </c>
      <c r="W162" s="31">
        <f t="shared" si="136"/>
        <v>71.34</v>
      </c>
      <c r="X162" s="31">
        <f t="shared" si="136"/>
        <v>71.34</v>
      </c>
      <c r="Y162" s="31">
        <f t="shared" si="136"/>
        <v>71.34</v>
      </c>
      <c r="Z162" s="31">
        <f t="shared" si="136"/>
        <v>71.34</v>
      </c>
      <c r="AA162" s="31">
        <f t="shared" si="136"/>
        <v>71.34</v>
      </c>
      <c r="AB162" s="31">
        <f t="shared" si="136"/>
        <v>71.34</v>
      </c>
      <c r="AC162" s="31">
        <f t="shared" si="136"/>
        <v>71.34</v>
      </c>
      <c r="AD162" s="31">
        <f t="shared" si="136"/>
        <v>71.34</v>
      </c>
      <c r="AE162" s="31">
        <f t="shared" si="136"/>
        <v>71.34</v>
      </c>
      <c r="AF162" s="31">
        <f t="shared" si="136"/>
        <v>71.34</v>
      </c>
      <c r="AG162" s="31">
        <f t="shared" si="136"/>
        <v>71.34</v>
      </c>
      <c r="AH162" s="31">
        <f t="shared" si="136"/>
        <v>71.34</v>
      </c>
      <c r="AI162" s="31">
        <f t="shared" si="136"/>
        <v>71.34</v>
      </c>
      <c r="AJ162" s="31">
        <f t="shared" si="136"/>
        <v>71.34</v>
      </c>
      <c r="AK162" s="31">
        <f t="shared" si="136"/>
        <v>71.34</v>
      </c>
      <c r="AL162" s="31">
        <f t="shared" si="136"/>
        <v>71.34</v>
      </c>
      <c r="AM162" s="31">
        <f t="shared" si="136"/>
        <v>71.34</v>
      </c>
      <c r="AN162" s="31">
        <f t="shared" si="136"/>
        <v>71.34</v>
      </c>
      <c r="AO162" s="31">
        <f t="shared" si="136"/>
        <v>71.34</v>
      </c>
      <c r="AP162" s="31">
        <f t="shared" si="136"/>
        <v>71.34</v>
      </c>
      <c r="AQ162" s="31">
        <f t="shared" si="136"/>
        <v>71.34</v>
      </c>
      <c r="AR162" s="31">
        <f t="shared" si="136"/>
        <v>71.34</v>
      </c>
      <c r="AS162" s="31">
        <f>65.34+6</f>
        <v>71.34</v>
      </c>
      <c r="AT162" s="31">
        <f t="shared" si="136"/>
        <v>71.34</v>
      </c>
      <c r="AU162" s="31">
        <f t="shared" si="136"/>
        <v>71.34</v>
      </c>
      <c r="AV162" s="31">
        <f t="shared" si="136"/>
        <v>71.34</v>
      </c>
      <c r="AW162" s="31">
        <f t="shared" si="136"/>
        <v>71.34</v>
      </c>
      <c r="AX162" s="31">
        <f t="shared" si="136"/>
        <v>71.34</v>
      </c>
      <c r="AY162" s="31">
        <f t="shared" si="136"/>
        <v>71.34</v>
      </c>
      <c r="AZ162" s="31">
        <f t="shared" si="136"/>
        <v>71.34</v>
      </c>
      <c r="BA162" s="31">
        <f t="shared" si="136"/>
        <v>71.34</v>
      </c>
      <c r="BB162" s="31">
        <f t="shared" si="136"/>
        <v>71.34</v>
      </c>
      <c r="BC162" s="31">
        <f t="shared" si="136"/>
        <v>71.34</v>
      </c>
      <c r="BD162" s="31">
        <f t="shared" si="136"/>
        <v>71.34</v>
      </c>
      <c r="BE162" s="202"/>
      <c r="BF162" s="202"/>
      <c r="BG162" s="202"/>
      <c r="BH162" s="202"/>
      <c r="BI162" t="s">
        <v>397</v>
      </c>
      <c r="BJ162" s="37">
        <v>1</v>
      </c>
      <c r="BK162" s="37">
        <f>60/65</f>
        <v>0.92307692307692313</v>
      </c>
      <c r="BL162" s="37">
        <f>55/65</f>
        <v>0.84615384615384615</v>
      </c>
      <c r="BN162" s="95" t="s">
        <v>215</v>
      </c>
      <c r="BO162" s="202"/>
      <c r="BP162" s="202"/>
    </row>
    <row r="163" spans="1:68" outlineLevel="1" x14ac:dyDescent="0.25">
      <c r="A163" s="202"/>
      <c r="B163" s="39" t="s">
        <v>149</v>
      </c>
      <c r="C163" s="202" t="s">
        <v>148</v>
      </c>
      <c r="D163" s="31">
        <v>13</v>
      </c>
      <c r="E163" s="31">
        <v>13</v>
      </c>
      <c r="F163" s="31">
        <v>13</v>
      </c>
      <c r="G163" s="31">
        <v>13</v>
      </c>
      <c r="H163" s="31">
        <v>13</v>
      </c>
      <c r="I163" s="31">
        <v>13</v>
      </c>
      <c r="J163" s="31">
        <v>13</v>
      </c>
      <c r="K163" s="31">
        <v>13</v>
      </c>
      <c r="L163" s="31">
        <v>13</v>
      </c>
      <c r="M163" s="31">
        <v>13</v>
      </c>
      <c r="N163" s="31">
        <v>13</v>
      </c>
      <c r="O163" s="31">
        <v>13</v>
      </c>
      <c r="P163" s="31">
        <v>13</v>
      </c>
      <c r="Q163" s="31">
        <v>13</v>
      </c>
      <c r="R163" s="31">
        <v>13</v>
      </c>
      <c r="S163" s="31">
        <v>13</v>
      </c>
      <c r="T163" s="31">
        <v>13</v>
      </c>
      <c r="U163" s="31">
        <v>13</v>
      </c>
      <c r="V163" s="31">
        <v>13</v>
      </c>
      <c r="W163" s="31">
        <v>13</v>
      </c>
      <c r="X163" s="31">
        <v>13</v>
      </c>
      <c r="Y163" s="31">
        <v>13</v>
      </c>
      <c r="Z163" s="31">
        <v>13</v>
      </c>
      <c r="AA163" s="31">
        <v>13</v>
      </c>
      <c r="AB163" s="31">
        <v>13</v>
      </c>
      <c r="AC163" s="31">
        <v>13</v>
      </c>
      <c r="AD163" s="31">
        <v>13</v>
      </c>
      <c r="AE163" s="31">
        <v>13</v>
      </c>
      <c r="AF163" s="31">
        <v>13</v>
      </c>
      <c r="AG163" s="31">
        <v>13</v>
      </c>
      <c r="AH163" s="31">
        <v>13</v>
      </c>
      <c r="AI163" s="31">
        <v>13</v>
      </c>
      <c r="AJ163" s="31">
        <v>13</v>
      </c>
      <c r="AK163" s="31">
        <v>13</v>
      </c>
      <c r="AL163" s="31">
        <v>13</v>
      </c>
      <c r="AM163" s="31">
        <v>13</v>
      </c>
      <c r="AN163" s="31">
        <v>13</v>
      </c>
      <c r="AO163" s="31">
        <v>13</v>
      </c>
      <c r="AP163" s="31">
        <v>13</v>
      </c>
      <c r="AQ163" s="31">
        <v>13</v>
      </c>
      <c r="AR163" s="31">
        <v>13</v>
      </c>
      <c r="AS163" s="31">
        <v>13</v>
      </c>
      <c r="AT163" s="31">
        <v>13</v>
      </c>
      <c r="AU163" s="31">
        <v>13</v>
      </c>
      <c r="AV163" s="31">
        <v>13</v>
      </c>
      <c r="AW163" s="31">
        <v>13</v>
      </c>
      <c r="AX163" s="31">
        <v>13</v>
      </c>
      <c r="AY163" s="31">
        <v>13</v>
      </c>
      <c r="AZ163" s="31">
        <v>13</v>
      </c>
      <c r="BA163" s="31">
        <v>13</v>
      </c>
      <c r="BB163" s="31">
        <v>13</v>
      </c>
      <c r="BC163" s="31">
        <v>13</v>
      </c>
      <c r="BD163" s="31">
        <v>13</v>
      </c>
      <c r="BE163" s="202"/>
      <c r="BF163" s="202"/>
      <c r="BG163" s="202"/>
      <c r="BH163" s="202"/>
      <c r="BI163" t="s">
        <v>149</v>
      </c>
      <c r="BJ163" s="37">
        <v>1</v>
      </c>
      <c r="BK163" s="37">
        <f>BJ163*1.02</f>
        <v>1.02</v>
      </c>
      <c r="BL163" s="37">
        <f>BK163*1.02</f>
        <v>1.0404</v>
      </c>
      <c r="BN163" s="95"/>
      <c r="BO163" s="202"/>
      <c r="BP163" s="202"/>
    </row>
    <row r="164" spans="1:68" outlineLevel="1" x14ac:dyDescent="0.25">
      <c r="A164" s="202"/>
      <c r="B164" s="39" t="s">
        <v>150</v>
      </c>
      <c r="C164" s="202" t="s">
        <v>151</v>
      </c>
      <c r="D164" s="31">
        <v>75</v>
      </c>
      <c r="E164" s="31">
        <v>0</v>
      </c>
      <c r="F164" s="31">
        <v>0</v>
      </c>
      <c r="G164" s="31">
        <v>0</v>
      </c>
      <c r="H164" s="31">
        <v>0</v>
      </c>
      <c r="I164" s="31">
        <v>0</v>
      </c>
      <c r="J164" s="31">
        <v>0</v>
      </c>
      <c r="K164" s="31">
        <v>0</v>
      </c>
      <c r="L164" s="31">
        <v>0</v>
      </c>
      <c r="M164" s="31">
        <v>0</v>
      </c>
      <c r="N164" s="31">
        <v>0</v>
      </c>
      <c r="O164" s="31">
        <v>0</v>
      </c>
      <c r="P164" s="31">
        <v>0</v>
      </c>
      <c r="Q164" s="31">
        <v>0</v>
      </c>
      <c r="R164" s="31">
        <v>0</v>
      </c>
      <c r="S164" s="31">
        <v>0</v>
      </c>
      <c r="T164" s="31">
        <v>0</v>
      </c>
      <c r="U164" s="31">
        <v>0</v>
      </c>
      <c r="V164" s="31">
        <v>0</v>
      </c>
      <c r="W164" s="31">
        <v>0</v>
      </c>
      <c r="X164" s="31">
        <v>0</v>
      </c>
      <c r="Y164" s="31">
        <v>0</v>
      </c>
      <c r="Z164" s="31">
        <v>0</v>
      </c>
      <c r="AA164" s="31">
        <v>0</v>
      </c>
      <c r="AB164" s="31">
        <v>0</v>
      </c>
      <c r="AC164" s="31">
        <v>0</v>
      </c>
      <c r="AD164" s="31">
        <v>0</v>
      </c>
      <c r="AE164" s="31">
        <v>0</v>
      </c>
      <c r="AF164" s="31">
        <v>0</v>
      </c>
      <c r="AG164" s="31">
        <v>0</v>
      </c>
      <c r="AH164" s="31">
        <v>0</v>
      </c>
      <c r="AI164" s="31">
        <v>0</v>
      </c>
      <c r="AJ164" s="31">
        <v>0</v>
      </c>
      <c r="AK164" s="31">
        <v>0</v>
      </c>
      <c r="AL164" s="31">
        <v>0</v>
      </c>
      <c r="AM164" s="31">
        <v>0</v>
      </c>
      <c r="AN164" s="31">
        <v>0</v>
      </c>
      <c r="AO164" s="31">
        <v>0</v>
      </c>
      <c r="AP164" s="31">
        <v>0</v>
      </c>
      <c r="AQ164" s="31">
        <v>0</v>
      </c>
      <c r="AR164" s="31">
        <v>0</v>
      </c>
      <c r="AS164" s="31">
        <v>0</v>
      </c>
      <c r="AT164" s="31">
        <v>0</v>
      </c>
      <c r="AU164" s="31">
        <v>0</v>
      </c>
      <c r="AV164" s="31">
        <v>0</v>
      </c>
      <c r="AW164" s="31">
        <v>0</v>
      </c>
      <c r="AX164" s="31">
        <v>0</v>
      </c>
      <c r="AY164" s="31">
        <v>0</v>
      </c>
      <c r="AZ164" s="31">
        <v>0</v>
      </c>
      <c r="BA164" s="31">
        <v>0</v>
      </c>
      <c r="BB164" s="31">
        <v>0</v>
      </c>
      <c r="BC164" s="31">
        <v>0</v>
      </c>
      <c r="BD164" s="31">
        <v>0</v>
      </c>
      <c r="BE164" s="202"/>
      <c r="BF164" s="202"/>
      <c r="BG164" s="202"/>
      <c r="BH164" s="202"/>
      <c r="BI164" t="s">
        <v>216</v>
      </c>
      <c r="BJ164" s="37">
        <v>1</v>
      </c>
      <c r="BK164" s="37">
        <f>BJ164*1.02</f>
        <v>1.02</v>
      </c>
      <c r="BL164" s="37">
        <f>BK164*1.02</f>
        <v>1.0404</v>
      </c>
      <c r="BO164" s="202"/>
      <c r="BP164" s="202"/>
    </row>
    <row r="165" spans="1:68" x14ac:dyDescent="0.25">
      <c r="A165" s="202"/>
      <c r="B165" s="34"/>
      <c r="C165" s="202"/>
      <c r="D165" s="80" t="s">
        <v>152</v>
      </c>
      <c r="E165" s="202"/>
      <c r="F165" s="202"/>
      <c r="G165" s="202"/>
      <c r="H165" s="202"/>
      <c r="I165" s="202"/>
      <c r="J165" s="202"/>
      <c r="K165" s="202"/>
      <c r="L165" s="202"/>
      <c r="M165" s="202"/>
      <c r="N165" s="202"/>
      <c r="O165" s="202"/>
      <c r="P165" s="202"/>
      <c r="Q165" s="202"/>
      <c r="R165" s="202"/>
      <c r="S165" s="202"/>
      <c r="T165" s="202"/>
      <c r="U165" s="202"/>
      <c r="V165" s="202"/>
      <c r="W165" s="202"/>
      <c r="X165" s="202"/>
      <c r="Y165" s="202"/>
      <c r="Z165" s="202"/>
      <c r="AA165" s="202"/>
      <c r="AB165" s="202"/>
      <c r="AC165" s="202"/>
      <c r="AD165" s="202"/>
      <c r="AE165" s="202"/>
      <c r="AF165" s="202"/>
      <c r="AG165" s="202"/>
      <c r="AH165" s="202"/>
      <c r="AI165" s="202"/>
      <c r="AJ165" s="202"/>
      <c r="AK165" s="202"/>
      <c r="AL165" s="202"/>
      <c r="AM165" s="202"/>
      <c r="AN165" s="202"/>
      <c r="AO165" s="202"/>
      <c r="AP165" s="202"/>
      <c r="AQ165" s="202"/>
      <c r="AR165" s="202"/>
      <c r="AS165" s="202"/>
      <c r="AT165" s="202"/>
      <c r="AU165" s="202"/>
      <c r="AV165" s="202"/>
      <c r="AW165" s="202"/>
      <c r="AX165" s="202"/>
      <c r="AY165" s="202"/>
      <c r="AZ165" s="202"/>
      <c r="BA165" s="202"/>
      <c r="BB165" s="202"/>
      <c r="BC165" s="202"/>
      <c r="BD165" s="202"/>
      <c r="BE165" s="202"/>
      <c r="BF165" s="202"/>
      <c r="BG165" s="202"/>
      <c r="BH165" s="202"/>
      <c r="BO165" s="202"/>
      <c r="BP165" s="202"/>
    </row>
    <row r="166" spans="1:68" x14ac:dyDescent="0.25">
      <c r="A166" s="202"/>
      <c r="B166" s="34" t="s">
        <v>153</v>
      </c>
      <c r="C166" s="34" t="s">
        <v>145</v>
      </c>
      <c r="D166" s="212">
        <f>SUM(D172:D173)</f>
        <v>42.6</v>
      </c>
      <c r="E166" s="212">
        <f t="shared" ref="E166:BD166" si="137">SUM(E172:E173)</f>
        <v>50</v>
      </c>
      <c r="F166" s="212">
        <f t="shared" si="137"/>
        <v>50</v>
      </c>
      <c r="G166" s="212">
        <f t="shared" si="137"/>
        <v>50</v>
      </c>
      <c r="H166" s="212">
        <f t="shared" si="137"/>
        <v>50</v>
      </c>
      <c r="I166" s="212">
        <f t="shared" si="137"/>
        <v>57.6</v>
      </c>
      <c r="J166" s="212">
        <f t="shared" si="137"/>
        <v>57.6</v>
      </c>
      <c r="K166" s="212">
        <f t="shared" si="137"/>
        <v>57.6</v>
      </c>
      <c r="L166" s="212">
        <f t="shared" ref="L166" si="138">SUM(L172:L173)</f>
        <v>57.6</v>
      </c>
      <c r="M166" s="212">
        <f t="shared" si="137"/>
        <v>57.6</v>
      </c>
      <c r="N166" s="212">
        <f t="shared" si="137"/>
        <v>57.6</v>
      </c>
      <c r="O166" s="212">
        <f t="shared" si="137"/>
        <v>57.6</v>
      </c>
      <c r="P166" s="212">
        <f t="shared" si="137"/>
        <v>57.6</v>
      </c>
      <c r="Q166" s="212">
        <f t="shared" si="137"/>
        <v>57.6</v>
      </c>
      <c r="R166" s="212">
        <f t="shared" si="137"/>
        <v>57.6</v>
      </c>
      <c r="S166" s="212">
        <f t="shared" si="137"/>
        <v>57.6</v>
      </c>
      <c r="T166" s="212">
        <f t="shared" si="137"/>
        <v>57.6</v>
      </c>
      <c r="U166" s="212">
        <f t="shared" si="137"/>
        <v>57.6</v>
      </c>
      <c r="V166" s="212">
        <f t="shared" si="137"/>
        <v>57.6</v>
      </c>
      <c r="W166" s="212">
        <f t="shared" si="137"/>
        <v>57.6</v>
      </c>
      <c r="X166" s="212">
        <f t="shared" si="137"/>
        <v>57.6</v>
      </c>
      <c r="Y166" s="212">
        <f t="shared" si="137"/>
        <v>57.6</v>
      </c>
      <c r="Z166" s="212">
        <f t="shared" si="137"/>
        <v>57.6</v>
      </c>
      <c r="AA166" s="212">
        <f t="shared" si="137"/>
        <v>57.6</v>
      </c>
      <c r="AB166" s="212">
        <f t="shared" si="137"/>
        <v>57.6</v>
      </c>
      <c r="AC166" s="212">
        <f t="shared" si="137"/>
        <v>57.6</v>
      </c>
      <c r="AD166" s="212">
        <f t="shared" si="137"/>
        <v>57.6</v>
      </c>
      <c r="AE166" s="212">
        <f t="shared" si="137"/>
        <v>57.6</v>
      </c>
      <c r="AF166" s="212">
        <f t="shared" si="137"/>
        <v>57.6</v>
      </c>
      <c r="AG166" s="212">
        <f t="shared" si="137"/>
        <v>57.6</v>
      </c>
      <c r="AH166" s="212">
        <f t="shared" si="137"/>
        <v>57.6</v>
      </c>
      <c r="AI166" s="212">
        <f t="shared" si="137"/>
        <v>57.6</v>
      </c>
      <c r="AJ166" s="212">
        <f t="shared" si="137"/>
        <v>57.6</v>
      </c>
      <c r="AK166" s="212">
        <f t="shared" si="137"/>
        <v>57.6</v>
      </c>
      <c r="AL166" s="212">
        <f t="shared" si="137"/>
        <v>57.6</v>
      </c>
      <c r="AM166" s="212">
        <f t="shared" si="137"/>
        <v>57.6</v>
      </c>
      <c r="AN166" s="212">
        <f t="shared" si="137"/>
        <v>57.6</v>
      </c>
      <c r="AO166" s="212">
        <f t="shared" si="137"/>
        <v>57.6</v>
      </c>
      <c r="AP166" s="212">
        <f t="shared" si="137"/>
        <v>57.6</v>
      </c>
      <c r="AQ166" s="212">
        <f t="shared" si="137"/>
        <v>57.6</v>
      </c>
      <c r="AR166" s="212">
        <f t="shared" si="137"/>
        <v>57.6</v>
      </c>
      <c r="AS166" s="212">
        <f>SUM(AS172:AS173)</f>
        <v>57.6</v>
      </c>
      <c r="AT166" s="212">
        <f t="shared" si="137"/>
        <v>57.6</v>
      </c>
      <c r="AU166" s="212">
        <f t="shared" si="137"/>
        <v>57.6</v>
      </c>
      <c r="AV166" s="212">
        <f t="shared" si="137"/>
        <v>57.6</v>
      </c>
      <c r="AW166" s="212">
        <f t="shared" si="137"/>
        <v>57.6</v>
      </c>
      <c r="AX166" s="212">
        <f t="shared" si="137"/>
        <v>57.6</v>
      </c>
      <c r="AY166" s="212">
        <f t="shared" si="137"/>
        <v>57.6</v>
      </c>
      <c r="AZ166" s="212">
        <f t="shared" si="137"/>
        <v>57.6</v>
      </c>
      <c r="BA166" s="212">
        <f t="shared" ref="BA166:BB166" si="139">SUM(BA172:BA173)</f>
        <v>57.6</v>
      </c>
      <c r="BB166" s="212">
        <f t="shared" si="139"/>
        <v>57.6</v>
      </c>
      <c r="BC166" s="212">
        <f t="shared" ref="BC166" si="140">SUM(BC172:BC173)</f>
        <v>57.6</v>
      </c>
      <c r="BD166" s="212">
        <f t="shared" si="137"/>
        <v>57.6</v>
      </c>
      <c r="BE166" s="202"/>
      <c r="BF166" s="202"/>
      <c r="BG166" s="202"/>
      <c r="BH166" s="202"/>
      <c r="BO166" s="202"/>
      <c r="BP166" s="202"/>
    </row>
    <row r="167" spans="1:68" outlineLevel="1" x14ac:dyDescent="0.25">
      <c r="A167" s="202"/>
      <c r="B167" s="204" t="s">
        <v>154</v>
      </c>
      <c r="C167" s="202" t="s">
        <v>147</v>
      </c>
      <c r="D167" s="31">
        <v>7155.6</v>
      </c>
      <c r="E167" s="31">
        <v>0</v>
      </c>
      <c r="F167" s="31">
        <v>0</v>
      </c>
      <c r="G167" s="31">
        <v>0</v>
      </c>
      <c r="H167" s="31">
        <v>0</v>
      </c>
      <c r="I167" s="31">
        <v>0</v>
      </c>
      <c r="J167" s="31">
        <v>0</v>
      </c>
      <c r="K167" s="31">
        <v>0</v>
      </c>
      <c r="L167" s="31">
        <v>0</v>
      </c>
      <c r="M167" s="31">
        <v>0</v>
      </c>
      <c r="N167" s="31">
        <v>0</v>
      </c>
      <c r="O167" s="31">
        <v>0</v>
      </c>
      <c r="P167" s="31">
        <v>0</v>
      </c>
      <c r="Q167" s="31">
        <v>0</v>
      </c>
      <c r="R167" s="31">
        <v>0</v>
      </c>
      <c r="S167" s="31">
        <v>0</v>
      </c>
      <c r="T167" s="31">
        <v>0</v>
      </c>
      <c r="U167" s="31">
        <v>0</v>
      </c>
      <c r="V167" s="31">
        <v>0</v>
      </c>
      <c r="W167" s="31">
        <v>0</v>
      </c>
      <c r="X167" s="31">
        <v>0</v>
      </c>
      <c r="Y167" s="31">
        <v>0</v>
      </c>
      <c r="Z167" s="31">
        <v>0</v>
      </c>
      <c r="AA167" s="31">
        <v>0</v>
      </c>
      <c r="AB167" s="31">
        <v>0</v>
      </c>
      <c r="AC167" s="31">
        <v>0</v>
      </c>
      <c r="AD167" s="31">
        <v>0</v>
      </c>
      <c r="AE167" s="31">
        <v>0</v>
      </c>
      <c r="AF167" s="31">
        <v>0</v>
      </c>
      <c r="AG167" s="31">
        <v>0</v>
      </c>
      <c r="AH167" s="31">
        <v>0</v>
      </c>
      <c r="AI167" s="31">
        <v>0</v>
      </c>
      <c r="AJ167" s="31">
        <v>0</v>
      </c>
      <c r="AK167" s="31">
        <v>0</v>
      </c>
      <c r="AL167" s="31">
        <v>0</v>
      </c>
      <c r="AM167" s="31">
        <v>0</v>
      </c>
      <c r="AN167" s="31">
        <v>0</v>
      </c>
      <c r="AO167" s="31">
        <v>0</v>
      </c>
      <c r="AP167" s="31">
        <v>0</v>
      </c>
      <c r="AQ167" s="31">
        <v>0</v>
      </c>
      <c r="AR167" s="31">
        <v>0</v>
      </c>
      <c r="AS167" s="31">
        <v>0</v>
      </c>
      <c r="AT167" s="31">
        <v>0</v>
      </c>
      <c r="AU167" s="31">
        <v>0</v>
      </c>
      <c r="AV167" s="31">
        <v>0</v>
      </c>
      <c r="AW167" s="31">
        <v>0</v>
      </c>
      <c r="AX167" s="31">
        <v>0</v>
      </c>
      <c r="AY167" s="31">
        <v>0</v>
      </c>
      <c r="AZ167" s="31">
        <v>0</v>
      </c>
      <c r="BA167" s="31">
        <v>0</v>
      </c>
      <c r="BB167" s="31">
        <v>0</v>
      </c>
      <c r="BC167" s="31">
        <v>0</v>
      </c>
      <c r="BD167" s="31">
        <v>0</v>
      </c>
      <c r="BE167" s="202"/>
      <c r="BF167" s="202"/>
      <c r="BG167" s="202"/>
      <c r="BH167" s="202"/>
      <c r="BO167" s="202"/>
      <c r="BP167" s="202"/>
    </row>
    <row r="168" spans="1:68" outlineLevel="1" x14ac:dyDescent="0.25">
      <c r="A168" s="202"/>
      <c r="B168" s="204" t="s">
        <v>155</v>
      </c>
      <c r="C168" s="202" t="s">
        <v>156</v>
      </c>
      <c r="D168" s="31">
        <f>36180/30/12</f>
        <v>100.5</v>
      </c>
      <c r="E168" s="31">
        <f t="shared" ref="E168:BD168" si="141">36180/30/12</f>
        <v>100.5</v>
      </c>
      <c r="F168" s="31">
        <f t="shared" si="141"/>
        <v>100.5</v>
      </c>
      <c r="G168" s="31">
        <f t="shared" si="141"/>
        <v>100.5</v>
      </c>
      <c r="H168" s="31">
        <f t="shared" si="141"/>
        <v>100.5</v>
      </c>
      <c r="I168" s="31">
        <f t="shared" si="141"/>
        <v>100.5</v>
      </c>
      <c r="J168" s="31">
        <f t="shared" si="141"/>
        <v>100.5</v>
      </c>
      <c r="K168" s="31">
        <f t="shared" si="141"/>
        <v>100.5</v>
      </c>
      <c r="L168" s="31">
        <f t="shared" si="141"/>
        <v>100.5</v>
      </c>
      <c r="M168" s="31">
        <f t="shared" si="141"/>
        <v>100.5</v>
      </c>
      <c r="N168" s="31">
        <f t="shared" si="141"/>
        <v>100.5</v>
      </c>
      <c r="O168" s="31">
        <f t="shared" si="141"/>
        <v>100.5</v>
      </c>
      <c r="P168" s="31">
        <f t="shared" si="141"/>
        <v>100.5</v>
      </c>
      <c r="Q168" s="31">
        <f t="shared" si="141"/>
        <v>100.5</v>
      </c>
      <c r="R168" s="31">
        <f t="shared" si="141"/>
        <v>100.5</v>
      </c>
      <c r="S168" s="31">
        <f t="shared" si="141"/>
        <v>100.5</v>
      </c>
      <c r="T168" s="31">
        <f t="shared" si="141"/>
        <v>100.5</v>
      </c>
      <c r="U168" s="31">
        <f t="shared" si="141"/>
        <v>100.5</v>
      </c>
      <c r="V168" s="31">
        <f t="shared" si="141"/>
        <v>100.5</v>
      </c>
      <c r="W168" s="31">
        <f t="shared" si="141"/>
        <v>100.5</v>
      </c>
      <c r="X168" s="31">
        <f t="shared" si="141"/>
        <v>100.5</v>
      </c>
      <c r="Y168" s="31">
        <f t="shared" si="141"/>
        <v>100.5</v>
      </c>
      <c r="Z168" s="31">
        <f t="shared" si="141"/>
        <v>100.5</v>
      </c>
      <c r="AA168" s="31">
        <f t="shared" si="141"/>
        <v>100.5</v>
      </c>
      <c r="AB168" s="31">
        <f t="shared" si="141"/>
        <v>100.5</v>
      </c>
      <c r="AC168" s="31">
        <f t="shared" si="141"/>
        <v>100.5</v>
      </c>
      <c r="AD168" s="31">
        <f t="shared" si="141"/>
        <v>100.5</v>
      </c>
      <c r="AE168" s="31">
        <f t="shared" si="141"/>
        <v>100.5</v>
      </c>
      <c r="AF168" s="31">
        <f t="shared" si="141"/>
        <v>100.5</v>
      </c>
      <c r="AG168" s="31">
        <f t="shared" si="141"/>
        <v>100.5</v>
      </c>
      <c r="AH168" s="31">
        <f t="shared" si="141"/>
        <v>100.5</v>
      </c>
      <c r="AI168" s="31">
        <f t="shared" si="141"/>
        <v>100.5</v>
      </c>
      <c r="AJ168" s="31">
        <f t="shared" si="141"/>
        <v>100.5</v>
      </c>
      <c r="AK168" s="31">
        <f t="shared" si="141"/>
        <v>100.5</v>
      </c>
      <c r="AL168" s="31">
        <f t="shared" si="141"/>
        <v>100.5</v>
      </c>
      <c r="AM168" s="31">
        <f t="shared" si="141"/>
        <v>100.5</v>
      </c>
      <c r="AN168" s="31">
        <f t="shared" si="141"/>
        <v>100.5</v>
      </c>
      <c r="AO168" s="31">
        <f t="shared" si="141"/>
        <v>100.5</v>
      </c>
      <c r="AP168" s="31">
        <f t="shared" si="141"/>
        <v>100.5</v>
      </c>
      <c r="AQ168" s="31">
        <f t="shared" si="141"/>
        <v>100.5</v>
      </c>
      <c r="AR168" s="31">
        <f t="shared" si="141"/>
        <v>100.5</v>
      </c>
      <c r="AS168" s="31">
        <f>36180/30/12</f>
        <v>100.5</v>
      </c>
      <c r="AT168" s="31">
        <f t="shared" si="141"/>
        <v>100.5</v>
      </c>
      <c r="AU168" s="31">
        <f t="shared" si="141"/>
        <v>100.5</v>
      </c>
      <c r="AV168" s="31">
        <f t="shared" si="141"/>
        <v>100.5</v>
      </c>
      <c r="AW168" s="31">
        <f t="shared" si="141"/>
        <v>100.5</v>
      </c>
      <c r="AX168" s="31">
        <f t="shared" si="141"/>
        <v>100.5</v>
      </c>
      <c r="AY168" s="31">
        <f t="shared" si="141"/>
        <v>100.5</v>
      </c>
      <c r="AZ168" s="31">
        <f t="shared" si="141"/>
        <v>100.5</v>
      </c>
      <c r="BA168" s="31">
        <f t="shared" si="141"/>
        <v>100.5</v>
      </c>
      <c r="BB168" s="31">
        <f t="shared" si="141"/>
        <v>100.5</v>
      </c>
      <c r="BC168" s="31">
        <f t="shared" si="141"/>
        <v>100.5</v>
      </c>
      <c r="BD168" s="31">
        <f t="shared" si="141"/>
        <v>100.5</v>
      </c>
      <c r="BE168" s="202"/>
      <c r="BF168" s="202"/>
      <c r="BG168" s="202"/>
      <c r="BH168" s="202"/>
      <c r="BO168" s="202"/>
      <c r="BP168" s="202"/>
    </row>
    <row r="169" spans="1:68" outlineLevel="1" x14ac:dyDescent="0.25">
      <c r="A169" s="202"/>
      <c r="B169" s="43" t="s">
        <v>157</v>
      </c>
      <c r="C169" s="202"/>
      <c r="D169" s="30">
        <v>30</v>
      </c>
      <c r="E169" s="30">
        <v>0</v>
      </c>
      <c r="F169" s="30">
        <v>0</v>
      </c>
      <c r="G169" s="30">
        <v>0</v>
      </c>
      <c r="H169" s="30">
        <v>0</v>
      </c>
      <c r="I169" s="30">
        <v>0</v>
      </c>
      <c r="J169" s="30">
        <v>0</v>
      </c>
      <c r="K169" s="30">
        <v>0</v>
      </c>
      <c r="L169" s="30">
        <v>0</v>
      </c>
      <c r="M169" s="30">
        <v>0</v>
      </c>
      <c r="N169" s="30">
        <v>0</v>
      </c>
      <c r="O169" s="30">
        <v>0</v>
      </c>
      <c r="P169" s="30">
        <v>0</v>
      </c>
      <c r="Q169" s="30">
        <v>0</v>
      </c>
      <c r="R169" s="30">
        <v>0</v>
      </c>
      <c r="S169" s="30">
        <v>0</v>
      </c>
      <c r="T169" s="30">
        <v>0</v>
      </c>
      <c r="U169" s="30">
        <v>0</v>
      </c>
      <c r="V169" s="30">
        <v>0</v>
      </c>
      <c r="W169" s="30">
        <v>0</v>
      </c>
      <c r="X169" s="30">
        <v>0</v>
      </c>
      <c r="Y169" s="30">
        <v>0</v>
      </c>
      <c r="Z169" s="30">
        <v>0</v>
      </c>
      <c r="AA169" s="30">
        <v>0</v>
      </c>
      <c r="AB169" s="30">
        <v>0</v>
      </c>
      <c r="AC169" s="30">
        <v>0</v>
      </c>
      <c r="AD169" s="30">
        <v>0</v>
      </c>
      <c r="AE169" s="30">
        <v>0</v>
      </c>
      <c r="AF169" s="30">
        <v>0</v>
      </c>
      <c r="AG169" s="30">
        <v>0</v>
      </c>
      <c r="AH169" s="30">
        <v>0</v>
      </c>
      <c r="AI169" s="30">
        <v>0</v>
      </c>
      <c r="AJ169" s="30">
        <v>0</v>
      </c>
      <c r="AK169" s="30">
        <v>0</v>
      </c>
      <c r="AL169" s="30">
        <v>0</v>
      </c>
      <c r="AM169" s="30">
        <v>0</v>
      </c>
      <c r="AN169" s="30">
        <v>0</v>
      </c>
      <c r="AO169" s="30">
        <v>0</v>
      </c>
      <c r="AP169" s="30">
        <v>0</v>
      </c>
      <c r="AQ169" s="30">
        <v>0</v>
      </c>
      <c r="AR169" s="30">
        <v>0</v>
      </c>
      <c r="AS169" s="30">
        <v>0</v>
      </c>
      <c r="AT169" s="30">
        <v>0</v>
      </c>
      <c r="AU169" s="30">
        <v>0</v>
      </c>
      <c r="AV169" s="30">
        <v>0</v>
      </c>
      <c r="AW169" s="30">
        <v>0</v>
      </c>
      <c r="AX169" s="30">
        <v>0</v>
      </c>
      <c r="AY169" s="30">
        <v>0</v>
      </c>
      <c r="AZ169" s="30">
        <v>0</v>
      </c>
      <c r="BA169" s="30">
        <v>0</v>
      </c>
      <c r="BB169" s="30">
        <v>0</v>
      </c>
      <c r="BC169" s="30">
        <v>0</v>
      </c>
      <c r="BD169" s="30">
        <v>0</v>
      </c>
      <c r="BE169" s="202"/>
      <c r="BF169" s="202"/>
      <c r="BG169" s="202"/>
      <c r="BH169" s="202"/>
      <c r="BO169" s="202"/>
      <c r="BP169" s="202"/>
    </row>
    <row r="170" spans="1:68" outlineLevel="1" x14ac:dyDescent="0.25">
      <c r="A170" s="202"/>
      <c r="B170" s="204" t="s">
        <v>158</v>
      </c>
      <c r="C170" s="202" t="s">
        <v>159</v>
      </c>
      <c r="D170" s="31">
        <f>900/12</f>
        <v>75</v>
      </c>
      <c r="E170" s="31">
        <f t="shared" ref="E170:BD170" si="142">900/12</f>
        <v>75</v>
      </c>
      <c r="F170" s="31">
        <f t="shared" si="142"/>
        <v>75</v>
      </c>
      <c r="G170" s="31">
        <f t="shared" si="142"/>
        <v>75</v>
      </c>
      <c r="H170" s="31">
        <f t="shared" si="142"/>
        <v>75</v>
      </c>
      <c r="I170" s="31">
        <f t="shared" si="142"/>
        <v>75</v>
      </c>
      <c r="J170" s="31">
        <f t="shared" si="142"/>
        <v>75</v>
      </c>
      <c r="K170" s="31">
        <f t="shared" si="142"/>
        <v>75</v>
      </c>
      <c r="L170" s="31">
        <f t="shared" si="142"/>
        <v>75</v>
      </c>
      <c r="M170" s="31">
        <f t="shared" si="142"/>
        <v>75</v>
      </c>
      <c r="N170" s="31">
        <f t="shared" si="142"/>
        <v>75</v>
      </c>
      <c r="O170" s="31">
        <f t="shared" si="142"/>
        <v>75</v>
      </c>
      <c r="P170" s="31">
        <f t="shared" si="142"/>
        <v>75</v>
      </c>
      <c r="Q170" s="31">
        <f t="shared" si="142"/>
        <v>75</v>
      </c>
      <c r="R170" s="31">
        <f t="shared" si="142"/>
        <v>75</v>
      </c>
      <c r="S170" s="31">
        <f t="shared" si="142"/>
        <v>75</v>
      </c>
      <c r="T170" s="31">
        <f t="shared" si="142"/>
        <v>75</v>
      </c>
      <c r="U170" s="31">
        <f t="shared" si="142"/>
        <v>75</v>
      </c>
      <c r="V170" s="31">
        <f t="shared" si="142"/>
        <v>75</v>
      </c>
      <c r="W170" s="31">
        <f t="shared" si="142"/>
        <v>75</v>
      </c>
      <c r="X170" s="31">
        <f t="shared" si="142"/>
        <v>75</v>
      </c>
      <c r="Y170" s="31">
        <f t="shared" si="142"/>
        <v>75</v>
      </c>
      <c r="Z170" s="31">
        <f t="shared" si="142"/>
        <v>75</v>
      </c>
      <c r="AA170" s="31">
        <f t="shared" si="142"/>
        <v>75</v>
      </c>
      <c r="AB170" s="31">
        <f t="shared" si="142"/>
        <v>75</v>
      </c>
      <c r="AC170" s="31">
        <f t="shared" si="142"/>
        <v>75</v>
      </c>
      <c r="AD170" s="31">
        <f t="shared" si="142"/>
        <v>75</v>
      </c>
      <c r="AE170" s="31">
        <f t="shared" si="142"/>
        <v>75</v>
      </c>
      <c r="AF170" s="31">
        <f t="shared" si="142"/>
        <v>75</v>
      </c>
      <c r="AG170" s="31">
        <f t="shared" si="142"/>
        <v>75</v>
      </c>
      <c r="AH170" s="31">
        <f t="shared" si="142"/>
        <v>75</v>
      </c>
      <c r="AI170" s="31">
        <f t="shared" si="142"/>
        <v>75</v>
      </c>
      <c r="AJ170" s="31">
        <f t="shared" si="142"/>
        <v>75</v>
      </c>
      <c r="AK170" s="31">
        <f t="shared" si="142"/>
        <v>75</v>
      </c>
      <c r="AL170" s="31">
        <f t="shared" si="142"/>
        <v>75</v>
      </c>
      <c r="AM170" s="31">
        <f t="shared" si="142"/>
        <v>75</v>
      </c>
      <c r="AN170" s="31">
        <f t="shared" si="142"/>
        <v>75</v>
      </c>
      <c r="AO170" s="31">
        <f t="shared" si="142"/>
        <v>75</v>
      </c>
      <c r="AP170" s="31">
        <f t="shared" si="142"/>
        <v>75</v>
      </c>
      <c r="AQ170" s="31">
        <f t="shared" si="142"/>
        <v>75</v>
      </c>
      <c r="AR170" s="31">
        <f t="shared" si="142"/>
        <v>75</v>
      </c>
      <c r="AS170" s="31">
        <f>900/12</f>
        <v>75</v>
      </c>
      <c r="AT170" s="31">
        <f t="shared" si="142"/>
        <v>75</v>
      </c>
      <c r="AU170" s="31">
        <f t="shared" si="142"/>
        <v>75</v>
      </c>
      <c r="AV170" s="31">
        <f t="shared" si="142"/>
        <v>75</v>
      </c>
      <c r="AW170" s="31">
        <f t="shared" si="142"/>
        <v>75</v>
      </c>
      <c r="AX170" s="31">
        <f t="shared" si="142"/>
        <v>75</v>
      </c>
      <c r="AY170" s="31">
        <f t="shared" si="142"/>
        <v>75</v>
      </c>
      <c r="AZ170" s="31">
        <f t="shared" si="142"/>
        <v>75</v>
      </c>
      <c r="BA170" s="31">
        <f t="shared" si="142"/>
        <v>75</v>
      </c>
      <c r="BB170" s="31">
        <f t="shared" si="142"/>
        <v>75</v>
      </c>
      <c r="BC170" s="31">
        <f t="shared" si="142"/>
        <v>75</v>
      </c>
      <c r="BD170" s="31">
        <f t="shared" si="142"/>
        <v>75</v>
      </c>
      <c r="BE170" s="202"/>
      <c r="BF170" s="202"/>
      <c r="BG170" s="202"/>
      <c r="BH170" s="202"/>
      <c r="BO170" s="202"/>
      <c r="BP170" s="202"/>
    </row>
    <row r="171" spans="1:68" outlineLevel="1" x14ac:dyDescent="0.25">
      <c r="A171" s="202"/>
      <c r="B171" s="43" t="s">
        <v>157</v>
      </c>
      <c r="C171" s="202"/>
      <c r="D171" s="30">
        <v>2</v>
      </c>
      <c r="E171" s="30">
        <v>0</v>
      </c>
      <c r="F171" s="30">
        <v>0</v>
      </c>
      <c r="G171" s="30">
        <v>0</v>
      </c>
      <c r="H171" s="30">
        <v>0</v>
      </c>
      <c r="I171" s="30">
        <v>0</v>
      </c>
      <c r="J171" s="30">
        <v>0</v>
      </c>
      <c r="K171" s="30">
        <v>0</v>
      </c>
      <c r="L171" s="30">
        <v>0</v>
      </c>
      <c r="M171" s="30">
        <v>0</v>
      </c>
      <c r="N171" s="30">
        <v>0</v>
      </c>
      <c r="O171" s="30">
        <v>0</v>
      </c>
      <c r="P171" s="30">
        <v>0</v>
      </c>
      <c r="Q171" s="30">
        <v>0</v>
      </c>
      <c r="R171" s="30">
        <v>0</v>
      </c>
      <c r="S171" s="30">
        <v>0</v>
      </c>
      <c r="T171" s="30">
        <v>0</v>
      </c>
      <c r="U171" s="30">
        <v>0</v>
      </c>
      <c r="V171" s="30">
        <v>0</v>
      </c>
      <c r="W171" s="30">
        <v>0</v>
      </c>
      <c r="X171" s="30">
        <v>0</v>
      </c>
      <c r="Y171" s="30">
        <v>0</v>
      </c>
      <c r="Z171" s="30">
        <v>0</v>
      </c>
      <c r="AA171" s="30">
        <v>0</v>
      </c>
      <c r="AB171" s="30">
        <v>0</v>
      </c>
      <c r="AC171" s="30">
        <v>0</v>
      </c>
      <c r="AD171" s="30">
        <v>0</v>
      </c>
      <c r="AE171" s="30">
        <v>0</v>
      </c>
      <c r="AF171" s="30">
        <v>0</v>
      </c>
      <c r="AG171" s="30">
        <v>0</v>
      </c>
      <c r="AH171" s="30">
        <v>0</v>
      </c>
      <c r="AI171" s="30">
        <v>0</v>
      </c>
      <c r="AJ171" s="30">
        <v>0</v>
      </c>
      <c r="AK171" s="30">
        <v>0</v>
      </c>
      <c r="AL171" s="30">
        <v>0</v>
      </c>
      <c r="AM171" s="30">
        <v>0</v>
      </c>
      <c r="AN171" s="30">
        <v>0</v>
      </c>
      <c r="AO171" s="30">
        <v>0</v>
      </c>
      <c r="AP171" s="30">
        <v>0</v>
      </c>
      <c r="AQ171" s="30">
        <v>0</v>
      </c>
      <c r="AR171" s="30">
        <v>0</v>
      </c>
      <c r="AS171" s="30">
        <v>0</v>
      </c>
      <c r="AT171" s="30">
        <v>0</v>
      </c>
      <c r="AU171" s="30">
        <v>0</v>
      </c>
      <c r="AV171" s="30">
        <v>0</v>
      </c>
      <c r="AW171" s="30">
        <v>0</v>
      </c>
      <c r="AX171" s="30">
        <v>0</v>
      </c>
      <c r="AY171" s="30">
        <v>0</v>
      </c>
      <c r="AZ171" s="30">
        <v>0</v>
      </c>
      <c r="BA171" s="30">
        <v>0</v>
      </c>
      <c r="BB171" s="30">
        <v>0</v>
      </c>
      <c r="BC171" s="30">
        <v>0</v>
      </c>
      <c r="BD171" s="30">
        <v>0</v>
      </c>
      <c r="BE171" s="202"/>
      <c r="BF171" s="202"/>
      <c r="BG171" s="202"/>
      <c r="BH171" s="202"/>
      <c r="BO171" s="202"/>
      <c r="BP171" s="202"/>
    </row>
    <row r="172" spans="1:68" x14ac:dyDescent="0.25">
      <c r="A172" s="202"/>
      <c r="B172" s="34" t="s">
        <v>55</v>
      </c>
      <c r="C172" s="202" t="s">
        <v>148</v>
      </c>
      <c r="D172" s="44">
        <v>7.6</v>
      </c>
      <c r="E172" s="44">
        <v>0</v>
      </c>
      <c r="F172" s="44">
        <v>0</v>
      </c>
      <c r="G172" s="44">
        <v>0</v>
      </c>
      <c r="H172" s="44">
        <v>0</v>
      </c>
      <c r="I172" s="44">
        <v>7.6</v>
      </c>
      <c r="J172" s="44">
        <v>7.6</v>
      </c>
      <c r="K172" s="44">
        <v>7.6</v>
      </c>
      <c r="L172" s="44">
        <v>7.6</v>
      </c>
      <c r="M172" s="44">
        <v>7.6</v>
      </c>
      <c r="N172" s="44">
        <v>7.6</v>
      </c>
      <c r="O172" s="44">
        <v>7.6</v>
      </c>
      <c r="P172" s="44">
        <v>7.6</v>
      </c>
      <c r="Q172" s="44">
        <v>7.6</v>
      </c>
      <c r="R172" s="44">
        <v>7.6</v>
      </c>
      <c r="S172" s="44">
        <v>7.6</v>
      </c>
      <c r="T172" s="44">
        <v>7.6</v>
      </c>
      <c r="U172" s="44">
        <v>7.6</v>
      </c>
      <c r="V172" s="44">
        <v>7.6</v>
      </c>
      <c r="W172" s="44">
        <v>7.6</v>
      </c>
      <c r="X172" s="44">
        <v>7.6</v>
      </c>
      <c r="Y172" s="44">
        <v>7.6</v>
      </c>
      <c r="Z172" s="44">
        <v>7.6</v>
      </c>
      <c r="AA172" s="44">
        <v>7.6</v>
      </c>
      <c r="AB172" s="44">
        <v>7.6</v>
      </c>
      <c r="AC172" s="44">
        <v>7.6</v>
      </c>
      <c r="AD172" s="44">
        <v>7.6</v>
      </c>
      <c r="AE172" s="44">
        <v>7.6</v>
      </c>
      <c r="AF172" s="44">
        <v>7.6</v>
      </c>
      <c r="AG172" s="44">
        <v>7.6</v>
      </c>
      <c r="AH172" s="44">
        <v>7.6</v>
      </c>
      <c r="AI172" s="44">
        <v>7.6</v>
      </c>
      <c r="AJ172" s="44">
        <v>7.6</v>
      </c>
      <c r="AK172" s="44">
        <v>7.6</v>
      </c>
      <c r="AL172" s="44">
        <v>7.6</v>
      </c>
      <c r="AM172" s="44">
        <v>7.6</v>
      </c>
      <c r="AN172" s="44">
        <v>7.6</v>
      </c>
      <c r="AO172" s="44">
        <v>7.6</v>
      </c>
      <c r="AP172" s="44">
        <v>7.6</v>
      </c>
      <c r="AQ172" s="44">
        <v>7.6</v>
      </c>
      <c r="AR172" s="44">
        <v>7.6</v>
      </c>
      <c r="AS172" s="44">
        <v>7.6</v>
      </c>
      <c r="AT172" s="44">
        <v>7.6</v>
      </c>
      <c r="AU172" s="44">
        <v>7.6</v>
      </c>
      <c r="AV172" s="44">
        <v>7.6</v>
      </c>
      <c r="AW172" s="44">
        <v>7.6</v>
      </c>
      <c r="AX172" s="44">
        <v>7.6</v>
      </c>
      <c r="AY172" s="44">
        <v>7.6</v>
      </c>
      <c r="AZ172" s="44">
        <v>7.6</v>
      </c>
      <c r="BA172" s="44">
        <v>7.6</v>
      </c>
      <c r="BB172" s="44">
        <v>7.6</v>
      </c>
      <c r="BC172" s="44">
        <v>7.6</v>
      </c>
      <c r="BD172" s="44">
        <v>7.6</v>
      </c>
      <c r="BE172" s="202"/>
      <c r="BF172" s="202"/>
      <c r="BG172" s="202"/>
      <c r="BH172" s="202"/>
      <c r="BO172" s="202"/>
      <c r="BP172" s="202"/>
    </row>
    <row r="173" spans="1:68" x14ac:dyDescent="0.25">
      <c r="A173" s="202"/>
      <c r="B173" s="86" t="s">
        <v>160</v>
      </c>
      <c r="C173" s="202" t="s">
        <v>148</v>
      </c>
      <c r="D173" s="31">
        <v>35</v>
      </c>
      <c r="E173" s="31">
        <v>50</v>
      </c>
      <c r="F173" s="31">
        <v>50</v>
      </c>
      <c r="G173" s="31">
        <v>50</v>
      </c>
      <c r="H173" s="31">
        <v>50</v>
      </c>
      <c r="I173" s="31">
        <v>50</v>
      </c>
      <c r="J173" s="31">
        <v>50</v>
      </c>
      <c r="K173" s="31">
        <v>50</v>
      </c>
      <c r="L173" s="31">
        <v>50</v>
      </c>
      <c r="M173" s="31">
        <v>50</v>
      </c>
      <c r="N173" s="31">
        <v>50</v>
      </c>
      <c r="O173" s="31">
        <v>50</v>
      </c>
      <c r="P173" s="31">
        <v>50</v>
      </c>
      <c r="Q173" s="31">
        <v>50</v>
      </c>
      <c r="R173" s="31">
        <v>50</v>
      </c>
      <c r="S173" s="31">
        <v>50</v>
      </c>
      <c r="T173" s="31">
        <v>50</v>
      </c>
      <c r="U173" s="31">
        <v>50</v>
      </c>
      <c r="V173" s="31">
        <v>50</v>
      </c>
      <c r="W173" s="31">
        <v>50</v>
      </c>
      <c r="X173" s="31">
        <v>50</v>
      </c>
      <c r="Y173" s="31">
        <v>50</v>
      </c>
      <c r="Z173" s="31">
        <v>50</v>
      </c>
      <c r="AA173" s="31">
        <v>50</v>
      </c>
      <c r="AB173" s="31">
        <v>50</v>
      </c>
      <c r="AC173" s="31">
        <v>50</v>
      </c>
      <c r="AD173" s="31">
        <v>50</v>
      </c>
      <c r="AE173" s="31">
        <v>50</v>
      </c>
      <c r="AF173" s="31">
        <v>50</v>
      </c>
      <c r="AG173" s="31">
        <v>50</v>
      </c>
      <c r="AH173" s="31">
        <v>50</v>
      </c>
      <c r="AI173" s="31">
        <v>50</v>
      </c>
      <c r="AJ173" s="31">
        <v>50</v>
      </c>
      <c r="AK173" s="31">
        <v>50</v>
      </c>
      <c r="AL173" s="31">
        <v>50</v>
      </c>
      <c r="AM173" s="31">
        <v>50</v>
      </c>
      <c r="AN173" s="31">
        <v>50</v>
      </c>
      <c r="AO173" s="31">
        <v>50</v>
      </c>
      <c r="AP173" s="31">
        <v>50</v>
      </c>
      <c r="AQ173" s="31">
        <v>50</v>
      </c>
      <c r="AR173" s="31">
        <v>50</v>
      </c>
      <c r="AS173" s="31">
        <v>50</v>
      </c>
      <c r="AT173" s="31">
        <v>50</v>
      </c>
      <c r="AU173" s="31">
        <v>50</v>
      </c>
      <c r="AV173" s="31">
        <v>50</v>
      </c>
      <c r="AW173" s="31">
        <v>50</v>
      </c>
      <c r="AX173" s="31">
        <v>50</v>
      </c>
      <c r="AY173" s="31">
        <v>50</v>
      </c>
      <c r="AZ173" s="31">
        <v>50</v>
      </c>
      <c r="BA173" s="31">
        <v>50</v>
      </c>
      <c r="BB173" s="31">
        <v>50</v>
      </c>
      <c r="BC173" s="31">
        <v>50</v>
      </c>
      <c r="BD173" s="31">
        <v>50</v>
      </c>
      <c r="BE173" s="202"/>
      <c r="BF173" s="202"/>
      <c r="BG173" s="202"/>
      <c r="BH173" s="202"/>
      <c r="BO173" s="202"/>
      <c r="BP173" s="202"/>
    </row>
    <row r="174" spans="1:68" x14ac:dyDescent="0.25">
      <c r="A174" s="202"/>
      <c r="B174" s="34" t="s">
        <v>161</v>
      </c>
      <c r="C174" s="202"/>
      <c r="D174" s="210">
        <f>SUM(D175,D177,D179)</f>
        <v>223</v>
      </c>
      <c r="E174" s="210">
        <f t="shared" ref="E174:BD174" si="143">SUM(E175,E179)</f>
        <v>195</v>
      </c>
      <c r="F174" s="210">
        <f t="shared" si="143"/>
        <v>195</v>
      </c>
      <c r="G174" s="210">
        <f t="shared" si="143"/>
        <v>195</v>
      </c>
      <c r="H174" s="210">
        <f t="shared" si="143"/>
        <v>195</v>
      </c>
      <c r="I174" s="210">
        <f t="shared" si="143"/>
        <v>195</v>
      </c>
      <c r="J174" s="210">
        <f t="shared" si="143"/>
        <v>195</v>
      </c>
      <c r="K174" s="210">
        <f t="shared" si="143"/>
        <v>195</v>
      </c>
      <c r="L174" s="210">
        <f t="shared" ref="L174" si="144">SUM(L175,L179)</f>
        <v>195</v>
      </c>
      <c r="M174" s="210">
        <f t="shared" si="143"/>
        <v>195</v>
      </c>
      <c r="N174" s="210">
        <f t="shared" si="143"/>
        <v>195</v>
      </c>
      <c r="O174" s="210">
        <f t="shared" si="143"/>
        <v>195</v>
      </c>
      <c r="P174" s="210">
        <f t="shared" si="143"/>
        <v>195</v>
      </c>
      <c r="Q174" s="210">
        <f t="shared" si="143"/>
        <v>195</v>
      </c>
      <c r="R174" s="210">
        <f t="shared" si="143"/>
        <v>195</v>
      </c>
      <c r="S174" s="210">
        <f t="shared" si="143"/>
        <v>195</v>
      </c>
      <c r="T174" s="210">
        <f t="shared" si="143"/>
        <v>195</v>
      </c>
      <c r="U174" s="210">
        <f t="shared" si="143"/>
        <v>195</v>
      </c>
      <c r="V174" s="210">
        <f t="shared" si="143"/>
        <v>195</v>
      </c>
      <c r="W174" s="210">
        <f t="shared" si="143"/>
        <v>195</v>
      </c>
      <c r="X174" s="210">
        <f t="shared" si="143"/>
        <v>195</v>
      </c>
      <c r="Y174" s="210">
        <f t="shared" si="143"/>
        <v>195</v>
      </c>
      <c r="Z174" s="210">
        <f t="shared" si="143"/>
        <v>195</v>
      </c>
      <c r="AA174" s="210">
        <f t="shared" si="143"/>
        <v>195</v>
      </c>
      <c r="AB174" s="210">
        <f t="shared" si="143"/>
        <v>195</v>
      </c>
      <c r="AC174" s="210">
        <f t="shared" si="143"/>
        <v>195</v>
      </c>
      <c r="AD174" s="210">
        <f t="shared" si="143"/>
        <v>195</v>
      </c>
      <c r="AE174" s="210">
        <f t="shared" si="143"/>
        <v>195</v>
      </c>
      <c r="AF174" s="210">
        <f t="shared" si="143"/>
        <v>195</v>
      </c>
      <c r="AG174" s="210">
        <f t="shared" si="143"/>
        <v>195</v>
      </c>
      <c r="AH174" s="210">
        <f t="shared" si="143"/>
        <v>195</v>
      </c>
      <c r="AI174" s="210">
        <f t="shared" si="143"/>
        <v>195</v>
      </c>
      <c r="AJ174" s="210">
        <f t="shared" si="143"/>
        <v>195</v>
      </c>
      <c r="AK174" s="210">
        <f t="shared" si="143"/>
        <v>195</v>
      </c>
      <c r="AL174" s="210">
        <f t="shared" si="143"/>
        <v>195</v>
      </c>
      <c r="AM174" s="210">
        <f t="shared" si="143"/>
        <v>195</v>
      </c>
      <c r="AN174" s="210">
        <f t="shared" si="143"/>
        <v>195</v>
      </c>
      <c r="AO174" s="210">
        <f t="shared" si="143"/>
        <v>195</v>
      </c>
      <c r="AP174" s="210">
        <f t="shared" si="143"/>
        <v>195</v>
      </c>
      <c r="AQ174" s="210">
        <f t="shared" si="143"/>
        <v>195</v>
      </c>
      <c r="AR174" s="210">
        <f t="shared" si="143"/>
        <v>195</v>
      </c>
      <c r="AS174" s="210">
        <f>SUM(AS175,AS179)</f>
        <v>195</v>
      </c>
      <c r="AT174" s="210">
        <f t="shared" si="143"/>
        <v>195</v>
      </c>
      <c r="AU174" s="210">
        <f t="shared" si="143"/>
        <v>195</v>
      </c>
      <c r="AV174" s="210">
        <f t="shared" si="143"/>
        <v>195</v>
      </c>
      <c r="AW174" s="210">
        <f t="shared" si="143"/>
        <v>195</v>
      </c>
      <c r="AX174" s="210">
        <f t="shared" si="143"/>
        <v>195</v>
      </c>
      <c r="AY174" s="210">
        <f t="shared" si="143"/>
        <v>195</v>
      </c>
      <c r="AZ174" s="210">
        <f t="shared" si="143"/>
        <v>195</v>
      </c>
      <c r="BA174" s="210">
        <f t="shared" ref="BA174:BB174" si="145">SUM(BA175,BA179)</f>
        <v>195</v>
      </c>
      <c r="BB174" s="210">
        <f t="shared" si="145"/>
        <v>195</v>
      </c>
      <c r="BC174" s="210">
        <f t="shared" ref="BC174" si="146">SUM(BC175,BC179)</f>
        <v>195</v>
      </c>
      <c r="BD174" s="210">
        <f t="shared" si="143"/>
        <v>195</v>
      </c>
      <c r="BE174" s="202"/>
      <c r="BF174" s="202"/>
      <c r="BG174" s="202"/>
      <c r="BH174" s="202"/>
      <c r="BO174" s="202"/>
      <c r="BP174" s="202"/>
    </row>
    <row r="175" spans="1:68" outlineLevel="1" x14ac:dyDescent="0.25">
      <c r="A175" s="202"/>
      <c r="B175" s="204" t="s">
        <v>162</v>
      </c>
      <c r="C175" s="202" t="s">
        <v>163</v>
      </c>
      <c r="D175" s="31">
        <v>165</v>
      </c>
      <c r="E175" s="31">
        <v>165</v>
      </c>
      <c r="F175" s="31">
        <v>165</v>
      </c>
      <c r="G175" s="31">
        <v>165</v>
      </c>
      <c r="H175" s="31">
        <v>165</v>
      </c>
      <c r="I175" s="31">
        <v>165</v>
      </c>
      <c r="J175" s="31">
        <v>165</v>
      </c>
      <c r="K175" s="31">
        <v>165</v>
      </c>
      <c r="L175" s="31">
        <v>165</v>
      </c>
      <c r="M175" s="31">
        <v>165</v>
      </c>
      <c r="N175" s="31">
        <v>165</v>
      </c>
      <c r="O175" s="31">
        <v>165</v>
      </c>
      <c r="P175" s="31">
        <v>165</v>
      </c>
      <c r="Q175" s="31">
        <v>165</v>
      </c>
      <c r="R175" s="31">
        <v>165</v>
      </c>
      <c r="S175" s="31">
        <v>165</v>
      </c>
      <c r="T175" s="31">
        <v>165</v>
      </c>
      <c r="U175" s="31">
        <v>165</v>
      </c>
      <c r="V175" s="31">
        <v>165</v>
      </c>
      <c r="W175" s="31">
        <v>165</v>
      </c>
      <c r="X175" s="31">
        <v>165</v>
      </c>
      <c r="Y175" s="31">
        <v>165</v>
      </c>
      <c r="Z175" s="31">
        <v>165</v>
      </c>
      <c r="AA175" s="31">
        <v>165</v>
      </c>
      <c r="AB175" s="31">
        <v>165</v>
      </c>
      <c r="AC175" s="31">
        <v>165</v>
      </c>
      <c r="AD175" s="31">
        <v>165</v>
      </c>
      <c r="AE175" s="31">
        <v>165</v>
      </c>
      <c r="AF175" s="31">
        <v>165</v>
      </c>
      <c r="AG175" s="31">
        <v>165</v>
      </c>
      <c r="AH175" s="31">
        <v>165</v>
      </c>
      <c r="AI175" s="31">
        <v>165</v>
      </c>
      <c r="AJ175" s="31">
        <v>165</v>
      </c>
      <c r="AK175" s="31">
        <v>165</v>
      </c>
      <c r="AL175" s="31">
        <v>165</v>
      </c>
      <c r="AM175" s="31">
        <v>165</v>
      </c>
      <c r="AN175" s="31">
        <v>165</v>
      </c>
      <c r="AO175" s="31">
        <v>165</v>
      </c>
      <c r="AP175" s="31">
        <v>165</v>
      </c>
      <c r="AQ175" s="31">
        <v>165</v>
      </c>
      <c r="AR175" s="31">
        <v>165</v>
      </c>
      <c r="AS175" s="31">
        <v>165</v>
      </c>
      <c r="AT175" s="31">
        <v>165</v>
      </c>
      <c r="AU175" s="31">
        <v>165</v>
      </c>
      <c r="AV175" s="31">
        <v>165</v>
      </c>
      <c r="AW175" s="31">
        <v>165</v>
      </c>
      <c r="AX175" s="31">
        <v>165</v>
      </c>
      <c r="AY175" s="31">
        <v>165</v>
      </c>
      <c r="AZ175" s="31">
        <v>165</v>
      </c>
      <c r="BA175" s="31">
        <v>165</v>
      </c>
      <c r="BB175" s="31">
        <v>165</v>
      </c>
      <c r="BC175" s="31">
        <v>165</v>
      </c>
      <c r="BD175" s="31">
        <v>165</v>
      </c>
      <c r="BE175" s="202"/>
      <c r="BF175" s="202"/>
      <c r="BG175" s="202"/>
      <c r="BH175" s="202"/>
      <c r="BO175" s="202"/>
      <c r="BP175" s="202"/>
    </row>
    <row r="176" spans="1:68" outlineLevel="1" x14ac:dyDescent="0.25">
      <c r="A176" s="202"/>
      <c r="B176" s="39" t="s">
        <v>164</v>
      </c>
      <c r="C176" s="202" t="s">
        <v>165</v>
      </c>
      <c r="D176" s="31">
        <f>17*11</f>
        <v>187</v>
      </c>
      <c r="E176" s="31">
        <v>0</v>
      </c>
      <c r="F176" s="31">
        <v>0</v>
      </c>
      <c r="G176" s="31">
        <v>0</v>
      </c>
      <c r="H176" s="31">
        <v>0</v>
      </c>
      <c r="I176" s="31">
        <v>0</v>
      </c>
      <c r="J176" s="31">
        <v>0</v>
      </c>
      <c r="K176" s="31">
        <v>0</v>
      </c>
      <c r="L176" s="31">
        <v>0</v>
      </c>
      <c r="M176" s="31">
        <v>0</v>
      </c>
      <c r="N176" s="31">
        <v>0</v>
      </c>
      <c r="O176" s="31">
        <v>0</v>
      </c>
      <c r="P176" s="31">
        <v>0</v>
      </c>
      <c r="Q176" s="31">
        <v>0</v>
      </c>
      <c r="R176" s="31">
        <v>0</v>
      </c>
      <c r="S176" s="31">
        <v>0</v>
      </c>
      <c r="T176" s="31">
        <v>0</v>
      </c>
      <c r="U176" s="31">
        <v>0</v>
      </c>
      <c r="V176" s="31">
        <v>0</v>
      </c>
      <c r="W176" s="31">
        <v>0</v>
      </c>
      <c r="X176" s="31">
        <v>0</v>
      </c>
      <c r="Y176" s="31">
        <v>0</v>
      </c>
      <c r="Z176" s="31">
        <v>0</v>
      </c>
      <c r="AA176" s="31">
        <v>0</v>
      </c>
      <c r="AB176" s="31">
        <v>0</v>
      </c>
      <c r="AC176" s="31">
        <v>0</v>
      </c>
      <c r="AD176" s="31">
        <v>0</v>
      </c>
      <c r="AE176" s="31">
        <v>0</v>
      </c>
      <c r="AF176" s="31">
        <v>0</v>
      </c>
      <c r="AG176" s="31">
        <v>0</v>
      </c>
      <c r="AH176" s="31">
        <v>0</v>
      </c>
      <c r="AI176" s="31">
        <v>0</v>
      </c>
      <c r="AJ176" s="31">
        <v>0</v>
      </c>
      <c r="AK176" s="31">
        <v>0</v>
      </c>
      <c r="AL176" s="31">
        <v>0</v>
      </c>
      <c r="AM176" s="31">
        <v>0</v>
      </c>
      <c r="AN176" s="31">
        <v>0</v>
      </c>
      <c r="AO176" s="31">
        <v>0</v>
      </c>
      <c r="AP176" s="31">
        <v>0</v>
      </c>
      <c r="AQ176" s="31">
        <v>0</v>
      </c>
      <c r="AR176" s="31">
        <v>0</v>
      </c>
      <c r="AS176" s="31">
        <v>0</v>
      </c>
      <c r="AT176" s="31">
        <v>0</v>
      </c>
      <c r="AU176" s="31">
        <v>0</v>
      </c>
      <c r="AV176" s="31">
        <v>0</v>
      </c>
      <c r="AW176" s="31">
        <v>0</v>
      </c>
      <c r="AX176" s="31">
        <v>0</v>
      </c>
      <c r="AY176" s="31">
        <v>0</v>
      </c>
      <c r="AZ176" s="31">
        <v>0</v>
      </c>
      <c r="BA176" s="31">
        <v>0</v>
      </c>
      <c r="BB176" s="31">
        <v>0</v>
      </c>
      <c r="BC176" s="31">
        <v>0</v>
      </c>
      <c r="BD176" s="31">
        <v>0</v>
      </c>
      <c r="BE176" s="202"/>
      <c r="BF176" s="202"/>
      <c r="BG176" s="202"/>
      <c r="BH176" s="202"/>
      <c r="BO176" s="202"/>
      <c r="BP176" s="202"/>
    </row>
    <row r="177" spans="1:68" outlineLevel="1" x14ac:dyDescent="0.25">
      <c r="A177" s="202"/>
      <c r="B177" s="39" t="s">
        <v>166</v>
      </c>
      <c r="C177" s="202" t="s">
        <v>167</v>
      </c>
      <c r="D177" s="31">
        <v>28</v>
      </c>
      <c r="E177" s="31">
        <v>28</v>
      </c>
      <c r="F177" s="31">
        <v>28</v>
      </c>
      <c r="G177" s="31">
        <v>28</v>
      </c>
      <c r="H177" s="31">
        <v>28</v>
      </c>
      <c r="I177" s="31">
        <v>28</v>
      </c>
      <c r="J177" s="31">
        <v>28</v>
      </c>
      <c r="K177" s="31">
        <v>28</v>
      </c>
      <c r="L177" s="31">
        <v>28</v>
      </c>
      <c r="M177" s="31">
        <v>28</v>
      </c>
      <c r="N177" s="31">
        <v>28</v>
      </c>
      <c r="O177" s="31">
        <v>28</v>
      </c>
      <c r="P177" s="31">
        <v>28</v>
      </c>
      <c r="Q177" s="31">
        <v>28</v>
      </c>
      <c r="R177" s="31">
        <v>28</v>
      </c>
      <c r="S177" s="31">
        <v>28</v>
      </c>
      <c r="T177" s="31">
        <v>28</v>
      </c>
      <c r="U177" s="31">
        <v>28</v>
      </c>
      <c r="V177" s="31">
        <v>28</v>
      </c>
      <c r="W177" s="31">
        <v>28</v>
      </c>
      <c r="X177" s="31">
        <v>28</v>
      </c>
      <c r="Y177" s="31">
        <v>28</v>
      </c>
      <c r="Z177" s="31">
        <v>28</v>
      </c>
      <c r="AA177" s="31">
        <v>28</v>
      </c>
      <c r="AB177" s="31">
        <v>28</v>
      </c>
      <c r="AC177" s="31">
        <v>28</v>
      </c>
      <c r="AD177" s="31">
        <v>28</v>
      </c>
      <c r="AE177" s="31">
        <v>28</v>
      </c>
      <c r="AF177" s="31">
        <v>28</v>
      </c>
      <c r="AG177" s="31">
        <v>28</v>
      </c>
      <c r="AH177" s="31">
        <v>28</v>
      </c>
      <c r="AI177" s="31">
        <v>28</v>
      </c>
      <c r="AJ177" s="31">
        <v>28</v>
      </c>
      <c r="AK177" s="31">
        <v>28</v>
      </c>
      <c r="AL177" s="31">
        <v>28</v>
      </c>
      <c r="AM177" s="31">
        <v>28</v>
      </c>
      <c r="AN177" s="31">
        <v>28</v>
      </c>
      <c r="AO177" s="31">
        <v>28</v>
      </c>
      <c r="AP177" s="31">
        <v>28</v>
      </c>
      <c r="AQ177" s="31">
        <v>28</v>
      </c>
      <c r="AR177" s="31">
        <v>28</v>
      </c>
      <c r="AS177" s="31">
        <v>28</v>
      </c>
      <c r="AT177" s="31">
        <v>28</v>
      </c>
      <c r="AU177" s="31">
        <v>28</v>
      </c>
      <c r="AV177" s="31">
        <v>28</v>
      </c>
      <c r="AW177" s="31">
        <v>28</v>
      </c>
      <c r="AX177" s="31">
        <v>28</v>
      </c>
      <c r="AY177" s="31">
        <v>28</v>
      </c>
      <c r="AZ177" s="31">
        <v>28</v>
      </c>
      <c r="BA177" s="31">
        <v>28</v>
      </c>
      <c r="BB177" s="31">
        <v>28</v>
      </c>
      <c r="BC177" s="31">
        <v>28</v>
      </c>
      <c r="BD177" s="31">
        <v>28</v>
      </c>
      <c r="BE177" s="202"/>
      <c r="BF177" s="202"/>
      <c r="BG177" s="202"/>
      <c r="BH177" s="202"/>
      <c r="BO177" s="202"/>
      <c r="BP177" s="202"/>
    </row>
    <row r="178" spans="1:68" outlineLevel="1" x14ac:dyDescent="0.25">
      <c r="A178" s="202"/>
      <c r="B178" s="39" t="s">
        <v>168</v>
      </c>
      <c r="C178" s="202" t="s">
        <v>169</v>
      </c>
      <c r="D178" s="45">
        <f>14.99*9</f>
        <v>134.91</v>
      </c>
      <c r="E178" s="45">
        <v>0</v>
      </c>
      <c r="F178" s="45">
        <v>0</v>
      </c>
      <c r="G178" s="45">
        <v>0</v>
      </c>
      <c r="H178" s="45">
        <v>0</v>
      </c>
      <c r="I178" s="45">
        <v>0</v>
      </c>
      <c r="J178" s="45">
        <v>0</v>
      </c>
      <c r="K178" s="45">
        <v>0</v>
      </c>
      <c r="L178" s="45">
        <v>0</v>
      </c>
      <c r="M178" s="45">
        <v>0</v>
      </c>
      <c r="N178" s="45">
        <v>0</v>
      </c>
      <c r="O178" s="45">
        <v>0</v>
      </c>
      <c r="P178" s="45">
        <v>0</v>
      </c>
      <c r="Q178" s="45">
        <v>0</v>
      </c>
      <c r="R178" s="45">
        <v>0</v>
      </c>
      <c r="S178" s="45">
        <v>0</v>
      </c>
      <c r="T178" s="45">
        <v>0</v>
      </c>
      <c r="U178" s="45">
        <v>0</v>
      </c>
      <c r="V178" s="45">
        <v>0</v>
      </c>
      <c r="W178" s="45">
        <v>0</v>
      </c>
      <c r="X178" s="45">
        <v>0</v>
      </c>
      <c r="Y178" s="45">
        <v>0</v>
      </c>
      <c r="Z178" s="45">
        <v>0</v>
      </c>
      <c r="AA178" s="45">
        <v>0</v>
      </c>
      <c r="AB178" s="45">
        <v>0</v>
      </c>
      <c r="AC178" s="45">
        <v>0</v>
      </c>
      <c r="AD178" s="45">
        <v>0</v>
      </c>
      <c r="AE178" s="45">
        <v>0</v>
      </c>
      <c r="AF178" s="45">
        <v>0</v>
      </c>
      <c r="AG178" s="45">
        <v>0</v>
      </c>
      <c r="AH178" s="45">
        <v>0</v>
      </c>
      <c r="AI178" s="45">
        <v>0</v>
      </c>
      <c r="AJ178" s="45">
        <v>0</v>
      </c>
      <c r="AK178" s="45">
        <v>0</v>
      </c>
      <c r="AL178" s="45">
        <v>0</v>
      </c>
      <c r="AM178" s="45">
        <v>0</v>
      </c>
      <c r="AN178" s="45">
        <v>0</v>
      </c>
      <c r="AO178" s="45">
        <v>0</v>
      </c>
      <c r="AP178" s="45">
        <v>0</v>
      </c>
      <c r="AQ178" s="45">
        <v>0</v>
      </c>
      <c r="AR178" s="45">
        <v>0</v>
      </c>
      <c r="AS178" s="45">
        <v>0</v>
      </c>
      <c r="AT178" s="45">
        <v>0</v>
      </c>
      <c r="AU178" s="45">
        <v>0</v>
      </c>
      <c r="AV178" s="45">
        <v>0</v>
      </c>
      <c r="AW178" s="45">
        <v>0</v>
      </c>
      <c r="AX178" s="45">
        <v>0</v>
      </c>
      <c r="AY178" s="45">
        <v>0</v>
      </c>
      <c r="AZ178" s="45">
        <v>0</v>
      </c>
      <c r="BA178" s="45">
        <v>0</v>
      </c>
      <c r="BB178" s="45">
        <v>0</v>
      </c>
      <c r="BC178" s="45">
        <v>0</v>
      </c>
      <c r="BD178" s="45">
        <v>0</v>
      </c>
      <c r="BE178" s="202"/>
      <c r="BF178" s="202"/>
      <c r="BG178" s="202"/>
      <c r="BH178" s="202"/>
      <c r="BO178" s="202"/>
      <c r="BP178" s="202"/>
    </row>
    <row r="179" spans="1:68" outlineLevel="1" x14ac:dyDescent="0.25">
      <c r="A179" s="202"/>
      <c r="B179" s="39" t="s">
        <v>170</v>
      </c>
      <c r="C179" s="202" t="s">
        <v>171</v>
      </c>
      <c r="D179" s="31">
        <v>30</v>
      </c>
      <c r="E179" s="31">
        <v>30</v>
      </c>
      <c r="F179" s="31">
        <v>30</v>
      </c>
      <c r="G179" s="31">
        <v>30</v>
      </c>
      <c r="H179" s="31">
        <v>30</v>
      </c>
      <c r="I179" s="31">
        <v>30</v>
      </c>
      <c r="J179" s="31">
        <v>30</v>
      </c>
      <c r="K179" s="31">
        <v>30</v>
      </c>
      <c r="L179" s="31">
        <v>30</v>
      </c>
      <c r="M179" s="31">
        <v>30</v>
      </c>
      <c r="N179" s="31">
        <v>30</v>
      </c>
      <c r="O179" s="31">
        <v>30</v>
      </c>
      <c r="P179" s="31">
        <v>30</v>
      </c>
      <c r="Q179" s="31">
        <v>30</v>
      </c>
      <c r="R179" s="31">
        <v>30</v>
      </c>
      <c r="S179" s="31">
        <v>30</v>
      </c>
      <c r="T179" s="31">
        <v>30</v>
      </c>
      <c r="U179" s="31">
        <v>30</v>
      </c>
      <c r="V179" s="31">
        <v>30</v>
      </c>
      <c r="W179" s="31">
        <v>30</v>
      </c>
      <c r="X179" s="31">
        <v>30</v>
      </c>
      <c r="Y179" s="31">
        <v>30</v>
      </c>
      <c r="Z179" s="31">
        <v>30</v>
      </c>
      <c r="AA179" s="31">
        <v>30</v>
      </c>
      <c r="AB179" s="31">
        <v>30</v>
      </c>
      <c r="AC179" s="31">
        <v>30</v>
      </c>
      <c r="AD179" s="31">
        <v>30</v>
      </c>
      <c r="AE179" s="31">
        <v>30</v>
      </c>
      <c r="AF179" s="31">
        <v>30</v>
      </c>
      <c r="AG179" s="31">
        <v>30</v>
      </c>
      <c r="AH179" s="31">
        <v>30</v>
      </c>
      <c r="AI179" s="31">
        <v>30</v>
      </c>
      <c r="AJ179" s="31">
        <v>30</v>
      </c>
      <c r="AK179" s="31">
        <v>30</v>
      </c>
      <c r="AL179" s="31">
        <v>30</v>
      </c>
      <c r="AM179" s="31">
        <v>30</v>
      </c>
      <c r="AN179" s="31">
        <v>30</v>
      </c>
      <c r="AO179" s="31">
        <v>30</v>
      </c>
      <c r="AP179" s="31">
        <v>30</v>
      </c>
      <c r="AQ179" s="31">
        <v>30</v>
      </c>
      <c r="AR179" s="31">
        <v>30</v>
      </c>
      <c r="AS179" s="31">
        <v>30</v>
      </c>
      <c r="AT179" s="31">
        <v>30</v>
      </c>
      <c r="AU179" s="31">
        <v>30</v>
      </c>
      <c r="AV179" s="31">
        <v>30</v>
      </c>
      <c r="AW179" s="31">
        <v>30</v>
      </c>
      <c r="AX179" s="31">
        <v>30</v>
      </c>
      <c r="AY179" s="31">
        <v>30</v>
      </c>
      <c r="AZ179" s="31">
        <v>30</v>
      </c>
      <c r="BA179" s="31">
        <v>30</v>
      </c>
      <c r="BB179" s="31">
        <v>30</v>
      </c>
      <c r="BC179" s="31">
        <v>30</v>
      </c>
      <c r="BD179" s="31">
        <v>30</v>
      </c>
      <c r="BE179" s="202"/>
      <c r="BF179" s="202"/>
      <c r="BG179" s="202"/>
      <c r="BH179" s="202"/>
      <c r="BO179" s="202"/>
      <c r="BP179" s="202"/>
    </row>
    <row r="180" spans="1:68" x14ac:dyDescent="0.25">
      <c r="A180" s="202"/>
      <c r="B180" s="34"/>
      <c r="C180" s="51"/>
      <c r="D180" s="202"/>
      <c r="E180" s="202"/>
      <c r="F180" s="202"/>
      <c r="G180" s="202"/>
      <c r="H180" s="202"/>
      <c r="I180" s="202"/>
      <c r="J180" s="202"/>
      <c r="K180" s="202"/>
      <c r="L180" s="202"/>
      <c r="M180" s="202"/>
      <c r="N180" s="202"/>
      <c r="O180" s="202"/>
      <c r="P180" s="202"/>
      <c r="Q180" s="202"/>
      <c r="R180" s="202"/>
      <c r="S180" s="202"/>
      <c r="T180" s="202"/>
      <c r="U180" s="202"/>
      <c r="V180" s="202"/>
      <c r="W180" s="202"/>
      <c r="X180" s="202"/>
      <c r="Y180" s="202"/>
      <c r="Z180" s="202"/>
      <c r="AA180" s="202"/>
      <c r="AB180" s="202"/>
      <c r="AC180" s="202"/>
      <c r="AD180" s="202"/>
      <c r="AE180" s="202"/>
      <c r="AF180" s="202"/>
      <c r="AG180" s="202"/>
      <c r="AH180" s="202"/>
      <c r="AI180" s="202"/>
      <c r="AJ180" s="202"/>
      <c r="AK180" s="202"/>
      <c r="AL180" s="202"/>
      <c r="AM180" s="202"/>
      <c r="AN180" s="202"/>
      <c r="AO180" s="202"/>
      <c r="AP180" s="202"/>
      <c r="AQ180" s="202"/>
      <c r="AR180" s="202"/>
      <c r="AS180" s="202"/>
      <c r="AT180" s="202"/>
      <c r="AU180" s="202"/>
      <c r="AV180" s="202"/>
      <c r="AW180" s="202"/>
      <c r="AX180" s="202"/>
      <c r="AY180" s="202"/>
      <c r="AZ180" s="202"/>
      <c r="BA180" s="202"/>
      <c r="BB180" s="202"/>
      <c r="BC180" s="202"/>
      <c r="BD180" s="202"/>
      <c r="BE180" s="202"/>
      <c r="BF180" s="202"/>
      <c r="BG180" s="202"/>
      <c r="BH180" s="202"/>
      <c r="BO180" s="202"/>
      <c r="BP180" s="202"/>
    </row>
    <row r="181" spans="1:68" x14ac:dyDescent="0.25">
      <c r="A181" s="202"/>
      <c r="B181" s="34" t="s">
        <v>172</v>
      </c>
      <c r="C181" s="51"/>
      <c r="D181" s="202"/>
      <c r="E181" s="202"/>
      <c r="F181" s="202"/>
      <c r="G181" s="202"/>
      <c r="H181" s="202"/>
      <c r="I181" s="202"/>
      <c r="J181" s="202"/>
      <c r="K181" s="202"/>
      <c r="L181" s="202"/>
      <c r="M181" s="202"/>
      <c r="N181" s="202"/>
      <c r="O181" s="202"/>
      <c r="P181" s="202"/>
      <c r="Q181" s="202"/>
      <c r="R181" s="202"/>
      <c r="S181" s="202"/>
      <c r="T181" s="202"/>
      <c r="U181" s="202"/>
      <c r="V181" s="202"/>
      <c r="W181" s="202"/>
      <c r="X181" s="202"/>
      <c r="Y181" s="202"/>
      <c r="Z181" s="202"/>
      <c r="AA181" s="202"/>
      <c r="AB181" s="202"/>
      <c r="AC181" s="202"/>
      <c r="AD181" s="202"/>
      <c r="AE181" s="202"/>
      <c r="AF181" s="202"/>
      <c r="AG181" s="202"/>
      <c r="AH181" s="202"/>
      <c r="AI181" s="202"/>
      <c r="AJ181" s="202"/>
      <c r="AK181" s="202"/>
      <c r="AL181" s="202"/>
      <c r="AM181" s="202"/>
      <c r="AN181" s="202"/>
      <c r="AO181" s="202"/>
      <c r="AP181" s="202"/>
      <c r="AQ181" s="202"/>
      <c r="AR181" s="202"/>
      <c r="AS181" s="202"/>
      <c r="AT181" s="202"/>
      <c r="AU181" s="202"/>
      <c r="AV181" s="202"/>
      <c r="AW181" s="202"/>
      <c r="AX181" s="202"/>
      <c r="AY181" s="202"/>
      <c r="AZ181" s="202"/>
      <c r="BA181" s="202"/>
      <c r="BB181" s="202"/>
      <c r="BC181" s="202"/>
      <c r="BD181" s="202"/>
      <c r="BE181" s="202"/>
      <c r="BF181" s="202"/>
      <c r="BG181" s="202"/>
      <c r="BH181" s="202"/>
      <c r="BO181" s="202"/>
      <c r="BP181" s="202"/>
    </row>
    <row r="182" spans="1:68" x14ac:dyDescent="0.25">
      <c r="A182" s="202"/>
      <c r="B182" s="204" t="s">
        <v>309</v>
      </c>
      <c r="C182" s="51"/>
      <c r="D182" s="87">
        <v>5.5E-2</v>
      </c>
      <c r="E182" s="87">
        <v>5.5E-2</v>
      </c>
      <c r="F182" s="87">
        <v>5.5E-2</v>
      </c>
      <c r="G182" s="87">
        <v>5.5E-2</v>
      </c>
      <c r="H182" s="87">
        <v>5.5E-2</v>
      </c>
      <c r="I182" s="87">
        <v>5.5E-2</v>
      </c>
      <c r="J182" s="87">
        <v>5.5E-2</v>
      </c>
      <c r="K182" s="87">
        <v>5.5E-2</v>
      </c>
      <c r="L182" s="87">
        <v>5.5E-2</v>
      </c>
      <c r="M182" s="87">
        <v>5.5E-2</v>
      </c>
      <c r="N182" s="87">
        <v>5.5E-2</v>
      </c>
      <c r="O182" s="87">
        <v>5.5E-2</v>
      </c>
      <c r="P182" s="87">
        <v>5.5E-2</v>
      </c>
      <c r="Q182" s="87">
        <v>5.5E-2</v>
      </c>
      <c r="R182" s="87">
        <v>5.5E-2</v>
      </c>
      <c r="S182" s="87">
        <v>5.5E-2</v>
      </c>
      <c r="T182" s="87">
        <v>5.5E-2</v>
      </c>
      <c r="U182" s="87">
        <v>5.5E-2</v>
      </c>
      <c r="V182" s="87">
        <v>5.5E-2</v>
      </c>
      <c r="W182" s="87">
        <v>5.5E-2</v>
      </c>
      <c r="X182" s="87">
        <v>5.5E-2</v>
      </c>
      <c r="Y182" s="87">
        <v>5.5E-2</v>
      </c>
      <c r="Z182" s="87">
        <v>5.5E-2</v>
      </c>
      <c r="AA182" s="87">
        <v>5.5E-2</v>
      </c>
      <c r="AB182" s="87">
        <v>5.5E-2</v>
      </c>
      <c r="AC182" s="87">
        <v>5.5E-2</v>
      </c>
      <c r="AD182" s="87">
        <v>5.5E-2</v>
      </c>
      <c r="AE182" s="87">
        <v>5.5E-2</v>
      </c>
      <c r="AF182" s="87">
        <v>5.5E-2</v>
      </c>
      <c r="AG182" s="87">
        <v>5.5E-2</v>
      </c>
      <c r="AH182" s="87">
        <v>5.5E-2</v>
      </c>
      <c r="AI182" s="87">
        <v>5.5E-2</v>
      </c>
      <c r="AJ182" s="87">
        <v>5.5E-2</v>
      </c>
      <c r="AK182" s="87">
        <v>5.5E-2</v>
      </c>
      <c r="AL182" s="87">
        <v>5.5E-2</v>
      </c>
      <c r="AM182" s="87">
        <v>5.5E-2</v>
      </c>
      <c r="AN182" s="87">
        <v>5.5E-2</v>
      </c>
      <c r="AO182" s="87">
        <v>5.5E-2</v>
      </c>
      <c r="AP182" s="87">
        <v>5.5E-2</v>
      </c>
      <c r="AQ182" s="87">
        <v>5.5E-2</v>
      </c>
      <c r="AR182" s="87">
        <v>5.5E-2</v>
      </c>
      <c r="AS182" s="87">
        <v>5.5E-2</v>
      </c>
      <c r="AT182" s="87">
        <v>5.5E-2</v>
      </c>
      <c r="AU182" s="87">
        <v>5.5E-2</v>
      </c>
      <c r="AV182" s="87">
        <v>5.5E-2</v>
      </c>
      <c r="AW182" s="87">
        <v>5.5E-2</v>
      </c>
      <c r="AX182" s="87">
        <v>5.5E-2</v>
      </c>
      <c r="AY182" s="87">
        <v>5.5E-2</v>
      </c>
      <c r="AZ182" s="87">
        <v>5.5E-2</v>
      </c>
      <c r="BA182" s="87">
        <v>5.5E-2</v>
      </c>
      <c r="BB182" s="87">
        <v>5.5E-2</v>
      </c>
      <c r="BC182" s="87">
        <v>5.5E-2</v>
      </c>
      <c r="BD182" s="87">
        <v>5.5E-2</v>
      </c>
      <c r="BE182" s="202"/>
      <c r="BF182" s="202"/>
      <c r="BG182" s="202"/>
      <c r="BH182" s="202"/>
      <c r="BO182" s="202"/>
      <c r="BP182" s="202"/>
    </row>
    <row r="183" spans="1:68" x14ac:dyDescent="0.25">
      <c r="A183" s="202"/>
      <c r="B183" s="204" t="s">
        <v>310</v>
      </c>
      <c r="C183" s="51"/>
      <c r="D183" s="87">
        <v>1.2500000000000001E-2</v>
      </c>
      <c r="E183" s="87">
        <v>1.2500000000000001E-2</v>
      </c>
      <c r="F183" s="87">
        <v>1.2500000000000001E-2</v>
      </c>
      <c r="G183" s="87">
        <v>1.2500000000000001E-2</v>
      </c>
      <c r="H183" s="87">
        <v>1.2500000000000001E-2</v>
      </c>
      <c r="I183" s="87">
        <v>1.2500000000000001E-2</v>
      </c>
      <c r="J183" s="87">
        <v>1.2500000000000001E-2</v>
      </c>
      <c r="K183" s="87">
        <v>1.2500000000000001E-2</v>
      </c>
      <c r="L183" s="87">
        <v>1.2500000000000001E-2</v>
      </c>
      <c r="M183" s="87">
        <v>1.2500000000000001E-2</v>
      </c>
      <c r="N183" s="87">
        <v>1.2500000000000001E-2</v>
      </c>
      <c r="O183" s="87">
        <v>1.2500000000000001E-2</v>
      </c>
      <c r="P183" s="87">
        <v>1.2500000000000001E-2</v>
      </c>
      <c r="Q183" s="87">
        <v>1.2500000000000001E-2</v>
      </c>
      <c r="R183" s="87">
        <v>1.2500000000000001E-2</v>
      </c>
      <c r="S183" s="87">
        <v>1.2500000000000001E-2</v>
      </c>
      <c r="T183" s="87">
        <v>1.2500000000000001E-2</v>
      </c>
      <c r="U183" s="87">
        <v>1.2500000000000001E-2</v>
      </c>
      <c r="V183" s="87">
        <v>1.2500000000000001E-2</v>
      </c>
      <c r="W183" s="87">
        <v>1.2500000000000001E-2</v>
      </c>
      <c r="X183" s="87">
        <v>1.2500000000000001E-2</v>
      </c>
      <c r="Y183" s="87">
        <v>1.2500000000000001E-2</v>
      </c>
      <c r="Z183" s="87">
        <v>1.2500000000000001E-2</v>
      </c>
      <c r="AA183" s="87">
        <v>1.2500000000000001E-2</v>
      </c>
      <c r="AB183" s="87">
        <v>1.2500000000000001E-2</v>
      </c>
      <c r="AC183" s="87">
        <v>1.2500000000000001E-2</v>
      </c>
      <c r="AD183" s="87">
        <v>1.2500000000000001E-2</v>
      </c>
      <c r="AE183" s="87">
        <v>1.2500000000000001E-2</v>
      </c>
      <c r="AF183" s="87">
        <v>1.2500000000000001E-2</v>
      </c>
      <c r="AG183" s="87">
        <v>1.2500000000000001E-2</v>
      </c>
      <c r="AH183" s="87">
        <v>1.2500000000000001E-2</v>
      </c>
      <c r="AI183" s="87">
        <v>1.2500000000000001E-2</v>
      </c>
      <c r="AJ183" s="87">
        <v>1.2500000000000001E-2</v>
      </c>
      <c r="AK183" s="87">
        <v>1.2500000000000001E-2</v>
      </c>
      <c r="AL183" s="87">
        <v>1.2500000000000001E-2</v>
      </c>
      <c r="AM183" s="87">
        <v>1.2500000000000001E-2</v>
      </c>
      <c r="AN183" s="87">
        <v>1.2500000000000001E-2</v>
      </c>
      <c r="AO183" s="87">
        <v>1.2500000000000001E-2</v>
      </c>
      <c r="AP183" s="87">
        <v>1.2500000000000001E-2</v>
      </c>
      <c r="AQ183" s="87">
        <v>1.2500000000000001E-2</v>
      </c>
      <c r="AR183" s="87">
        <v>1.2500000000000001E-2</v>
      </c>
      <c r="AS183" s="87">
        <v>1.2500000000000001E-2</v>
      </c>
      <c r="AT183" s="87">
        <v>1.2500000000000001E-2</v>
      </c>
      <c r="AU183" s="87">
        <v>1.2500000000000001E-2</v>
      </c>
      <c r="AV183" s="87">
        <v>1.2500000000000001E-2</v>
      </c>
      <c r="AW183" s="87">
        <v>1.2500000000000001E-2</v>
      </c>
      <c r="AX183" s="87">
        <v>1.2500000000000001E-2</v>
      </c>
      <c r="AY183" s="87">
        <v>1.2500000000000001E-2</v>
      </c>
      <c r="AZ183" s="87">
        <v>1.2500000000000001E-2</v>
      </c>
      <c r="BA183" s="87">
        <v>1.2500000000000001E-2</v>
      </c>
      <c r="BB183" s="87">
        <v>1.2500000000000001E-2</v>
      </c>
      <c r="BC183" s="87">
        <v>1.2500000000000001E-2</v>
      </c>
      <c r="BD183" s="87">
        <v>1.2500000000000001E-2</v>
      </c>
      <c r="BE183" s="202"/>
      <c r="BF183" s="202"/>
      <c r="BG183" s="202"/>
      <c r="BH183" s="202"/>
      <c r="BO183" s="202"/>
      <c r="BP183" s="202"/>
    </row>
    <row r="184" spans="1:68" x14ac:dyDescent="0.25">
      <c r="A184" s="202"/>
      <c r="B184" s="80" t="s">
        <v>173</v>
      </c>
      <c r="C184" s="51"/>
      <c r="D184" s="202"/>
      <c r="E184" s="202"/>
      <c r="F184" s="202"/>
      <c r="G184" s="202"/>
      <c r="H184" s="202"/>
      <c r="I184" s="202"/>
      <c r="J184" s="202"/>
      <c r="K184" s="202"/>
      <c r="L184" s="202"/>
      <c r="M184" s="202"/>
      <c r="N184" s="202"/>
      <c r="O184" s="202"/>
      <c r="P184" s="202"/>
      <c r="Q184" s="202"/>
      <c r="R184" s="202"/>
      <c r="S184" s="202"/>
      <c r="T184" s="202"/>
      <c r="U184" s="202"/>
      <c r="V184" s="202"/>
      <c r="W184" s="202"/>
      <c r="X184" s="202"/>
      <c r="Y184" s="202"/>
      <c r="Z184" s="202"/>
      <c r="AA184" s="202"/>
      <c r="AB184" s="202"/>
      <c r="AC184" s="202"/>
      <c r="AD184" s="202"/>
      <c r="AE184" s="202"/>
      <c r="AF184" s="202"/>
      <c r="AG184" s="202"/>
      <c r="AH184" s="202"/>
      <c r="AI184" s="202"/>
      <c r="AJ184" s="202"/>
      <c r="AK184" s="202"/>
      <c r="AL184" s="202"/>
      <c r="AM184" s="202"/>
      <c r="AN184" s="202"/>
      <c r="AO184" s="202"/>
      <c r="AP184" s="202"/>
      <c r="AQ184" s="202"/>
      <c r="AR184" s="202"/>
      <c r="AS184" s="202"/>
      <c r="AT184" s="202"/>
      <c r="AU184" s="202"/>
      <c r="AV184" s="202"/>
      <c r="AW184" s="202"/>
      <c r="AX184" s="202"/>
      <c r="AY184" s="202"/>
      <c r="AZ184" s="202"/>
      <c r="BA184" s="202"/>
      <c r="BB184" s="202"/>
      <c r="BC184" s="202"/>
      <c r="BD184" s="202"/>
      <c r="BE184" s="202"/>
      <c r="BF184" s="202"/>
      <c r="BG184" s="202"/>
      <c r="BH184" s="202"/>
      <c r="BO184" s="202"/>
      <c r="BP184" s="202"/>
    </row>
    <row r="185" spans="1:68" x14ac:dyDescent="0.25">
      <c r="A185" s="202"/>
      <c r="B185" s="34" t="s">
        <v>174</v>
      </c>
      <c r="C185" s="51" t="s">
        <v>107</v>
      </c>
      <c r="D185" s="202"/>
      <c r="E185" s="202"/>
      <c r="F185" s="202"/>
      <c r="G185" s="202"/>
      <c r="H185" s="202"/>
      <c r="I185" s="202"/>
      <c r="J185" s="202"/>
      <c r="K185" s="202"/>
      <c r="L185" s="202"/>
      <c r="M185" s="202"/>
      <c r="N185" s="202"/>
      <c r="O185" s="202"/>
      <c r="P185" s="202"/>
      <c r="Q185" s="202"/>
      <c r="R185" s="202"/>
      <c r="S185" s="202"/>
      <c r="T185" s="202"/>
      <c r="U185" s="202"/>
      <c r="V185" s="202"/>
      <c r="W185" s="202"/>
      <c r="X185" s="202"/>
      <c r="Y185" s="202"/>
      <c r="Z185" s="202"/>
      <c r="AA185" s="202"/>
      <c r="AB185" s="202"/>
      <c r="AC185" s="202"/>
      <c r="AD185" s="202"/>
      <c r="AE185" s="202"/>
      <c r="AF185" s="202"/>
      <c r="AG185" s="202"/>
      <c r="AH185" s="202"/>
      <c r="AI185" s="202"/>
      <c r="AJ185" s="202"/>
      <c r="AK185" s="202"/>
      <c r="AL185" s="202"/>
      <c r="AM185" s="202"/>
      <c r="AN185" s="202"/>
      <c r="AO185" s="202"/>
      <c r="AP185" s="202"/>
      <c r="AQ185" s="202"/>
      <c r="AR185" s="202"/>
      <c r="AS185" s="202"/>
      <c r="AT185" s="202"/>
      <c r="AU185" s="202"/>
      <c r="AV185" s="202"/>
      <c r="AW185" s="202"/>
      <c r="AX185" s="202"/>
      <c r="AY185" s="202"/>
      <c r="AZ185" s="202"/>
      <c r="BA185" s="202"/>
      <c r="BB185" s="202"/>
      <c r="BC185" s="202"/>
      <c r="BD185" s="202"/>
      <c r="BE185" s="202"/>
      <c r="BF185" s="202"/>
      <c r="BG185" s="202"/>
      <c r="BH185" s="202"/>
      <c r="BI185" s="34" t="s">
        <v>217</v>
      </c>
      <c r="BO185" s="202"/>
      <c r="BP185" s="202"/>
    </row>
    <row r="186" spans="1:68" outlineLevel="1" x14ac:dyDescent="0.25">
      <c r="A186" s="213">
        <v>45658</v>
      </c>
      <c r="B186" s="204" t="s">
        <v>175</v>
      </c>
      <c r="C186" s="31">
        <v>27083.333333333332</v>
      </c>
      <c r="D186" s="30">
        <v>1</v>
      </c>
      <c r="E186" s="30">
        <v>0</v>
      </c>
      <c r="F186" s="30">
        <v>0</v>
      </c>
      <c r="G186" s="30">
        <v>0</v>
      </c>
      <c r="H186" s="30">
        <v>0</v>
      </c>
      <c r="I186" s="30">
        <v>0</v>
      </c>
      <c r="J186" s="30">
        <v>0</v>
      </c>
      <c r="K186" s="30">
        <v>0</v>
      </c>
      <c r="L186" s="30">
        <v>0</v>
      </c>
      <c r="M186" s="30">
        <v>0</v>
      </c>
      <c r="N186" s="30">
        <v>0</v>
      </c>
      <c r="O186" s="30">
        <v>0</v>
      </c>
      <c r="P186" s="30">
        <v>0</v>
      </c>
      <c r="Q186" s="30">
        <v>0</v>
      </c>
      <c r="R186" s="30">
        <v>0</v>
      </c>
      <c r="S186" s="30">
        <v>0</v>
      </c>
      <c r="T186" s="30">
        <v>0</v>
      </c>
      <c r="U186" s="30">
        <v>0</v>
      </c>
      <c r="V186" s="30">
        <v>0</v>
      </c>
      <c r="W186" s="30">
        <v>0</v>
      </c>
      <c r="X186" s="30">
        <v>0</v>
      </c>
      <c r="Y186" s="30">
        <v>0</v>
      </c>
      <c r="Z186" s="30">
        <v>0</v>
      </c>
      <c r="AA186" s="30">
        <v>0</v>
      </c>
      <c r="AB186" s="30">
        <v>0</v>
      </c>
      <c r="AC186" s="30">
        <v>0</v>
      </c>
      <c r="AD186" s="30">
        <v>0</v>
      </c>
      <c r="AE186" s="30">
        <v>0</v>
      </c>
      <c r="AF186" s="30">
        <v>0</v>
      </c>
      <c r="AG186" s="30">
        <v>0</v>
      </c>
      <c r="AH186" s="30">
        <v>0</v>
      </c>
      <c r="AI186" s="30">
        <v>0</v>
      </c>
      <c r="AJ186" s="30">
        <v>0</v>
      </c>
      <c r="AK186" s="30">
        <v>0</v>
      </c>
      <c r="AL186" s="30">
        <v>0</v>
      </c>
      <c r="AM186" s="30">
        <v>0</v>
      </c>
      <c r="AN186" s="30">
        <v>0</v>
      </c>
      <c r="AO186" s="30">
        <v>0</v>
      </c>
      <c r="AP186" s="30">
        <v>0</v>
      </c>
      <c r="AQ186" s="30">
        <v>0</v>
      </c>
      <c r="AR186" s="30">
        <v>0</v>
      </c>
      <c r="AS186" s="30">
        <v>0</v>
      </c>
      <c r="AT186" s="30">
        <v>0</v>
      </c>
      <c r="AU186" s="30">
        <v>0</v>
      </c>
      <c r="AV186" s="30">
        <v>0</v>
      </c>
      <c r="AW186" s="30">
        <v>0</v>
      </c>
      <c r="AX186" s="30">
        <v>0</v>
      </c>
      <c r="AY186" s="30">
        <v>0</v>
      </c>
      <c r="AZ186" s="30">
        <v>0</v>
      </c>
      <c r="BA186" s="30">
        <v>0</v>
      </c>
      <c r="BB186" s="30">
        <v>0</v>
      </c>
      <c r="BC186" s="30">
        <v>0</v>
      </c>
      <c r="BD186" s="30">
        <v>0</v>
      </c>
      <c r="BE186" s="202"/>
      <c r="BF186" s="202"/>
      <c r="BG186" s="202"/>
      <c r="BH186" s="202"/>
      <c r="BI186" s="204" t="s">
        <v>175</v>
      </c>
      <c r="BJ186" s="37">
        <v>1</v>
      </c>
      <c r="BK186" s="37">
        <f t="shared" ref="BK186:BL188" si="147">BJ186*1.1</f>
        <v>1.1000000000000001</v>
      </c>
      <c r="BL186" s="37">
        <f t="shared" si="147"/>
        <v>1.2100000000000002</v>
      </c>
      <c r="BO186" s="202"/>
      <c r="BP186" s="202"/>
    </row>
    <row r="187" spans="1:68" outlineLevel="1" x14ac:dyDescent="0.25">
      <c r="A187" s="213">
        <v>45658</v>
      </c>
      <c r="B187" s="204" t="s">
        <v>176</v>
      </c>
      <c r="C187" s="31">
        <v>20833.333333333332</v>
      </c>
      <c r="D187" s="30">
        <v>1</v>
      </c>
      <c r="E187" s="30">
        <v>0</v>
      </c>
      <c r="F187" s="30">
        <v>0</v>
      </c>
      <c r="G187" s="30">
        <v>0</v>
      </c>
      <c r="H187" s="30">
        <v>0</v>
      </c>
      <c r="I187" s="30">
        <v>0</v>
      </c>
      <c r="J187" s="30">
        <v>0</v>
      </c>
      <c r="K187" s="30">
        <v>0</v>
      </c>
      <c r="L187" s="30">
        <v>0</v>
      </c>
      <c r="M187" s="30">
        <v>0</v>
      </c>
      <c r="N187" s="30">
        <v>0</v>
      </c>
      <c r="O187" s="30">
        <v>0</v>
      </c>
      <c r="P187" s="30">
        <v>0</v>
      </c>
      <c r="Q187" s="30">
        <v>0</v>
      </c>
      <c r="R187" s="30">
        <v>0</v>
      </c>
      <c r="S187" s="30">
        <v>0</v>
      </c>
      <c r="T187" s="30">
        <v>0</v>
      </c>
      <c r="U187" s="30">
        <v>0</v>
      </c>
      <c r="V187" s="30">
        <v>0</v>
      </c>
      <c r="W187" s="30">
        <v>0</v>
      </c>
      <c r="X187" s="30">
        <v>0</v>
      </c>
      <c r="Y187" s="30">
        <v>0</v>
      </c>
      <c r="Z187" s="30">
        <v>0</v>
      </c>
      <c r="AA187" s="30">
        <v>0</v>
      </c>
      <c r="AB187" s="30">
        <v>0</v>
      </c>
      <c r="AC187" s="30">
        <v>0</v>
      </c>
      <c r="AD187" s="30">
        <v>0</v>
      </c>
      <c r="AE187" s="30">
        <v>0</v>
      </c>
      <c r="AF187" s="30">
        <v>0</v>
      </c>
      <c r="AG187" s="30">
        <v>0</v>
      </c>
      <c r="AH187" s="30">
        <v>0</v>
      </c>
      <c r="AI187" s="30">
        <v>0</v>
      </c>
      <c r="AJ187" s="30">
        <v>0</v>
      </c>
      <c r="AK187" s="30">
        <v>0</v>
      </c>
      <c r="AL187" s="30">
        <v>0</v>
      </c>
      <c r="AM187" s="30">
        <v>0</v>
      </c>
      <c r="AN187" s="30">
        <v>0</v>
      </c>
      <c r="AO187" s="30">
        <v>0</v>
      </c>
      <c r="AP187" s="30">
        <v>0</v>
      </c>
      <c r="AQ187" s="30">
        <v>0</v>
      </c>
      <c r="AR187" s="30">
        <v>0</v>
      </c>
      <c r="AS187" s="30">
        <v>0</v>
      </c>
      <c r="AT187" s="30">
        <v>0</v>
      </c>
      <c r="AU187" s="30">
        <v>0</v>
      </c>
      <c r="AV187" s="30">
        <v>0</v>
      </c>
      <c r="AW187" s="30">
        <v>0</v>
      </c>
      <c r="AX187" s="30">
        <v>0</v>
      </c>
      <c r="AY187" s="30">
        <v>0</v>
      </c>
      <c r="AZ187" s="30">
        <v>0</v>
      </c>
      <c r="BA187" s="30">
        <v>0</v>
      </c>
      <c r="BB187" s="30">
        <v>0</v>
      </c>
      <c r="BC187" s="30">
        <v>0</v>
      </c>
      <c r="BD187" s="30">
        <v>0</v>
      </c>
      <c r="BE187" s="202"/>
      <c r="BF187" s="202"/>
      <c r="BG187" s="202"/>
      <c r="BH187" s="202"/>
      <c r="BI187" s="204" t="s">
        <v>176</v>
      </c>
      <c r="BJ187" s="37">
        <v>1</v>
      </c>
      <c r="BK187" s="37">
        <f t="shared" si="147"/>
        <v>1.1000000000000001</v>
      </c>
      <c r="BL187" s="37">
        <f t="shared" si="147"/>
        <v>1.2100000000000002</v>
      </c>
      <c r="BO187" s="202"/>
      <c r="BP187" s="202"/>
    </row>
    <row r="188" spans="1:68" outlineLevel="1" x14ac:dyDescent="0.25">
      <c r="A188" s="213">
        <v>46023</v>
      </c>
      <c r="B188" s="204" t="s">
        <v>177</v>
      </c>
      <c r="C188" s="31">
        <v>20833.333333333332</v>
      </c>
      <c r="D188" s="30">
        <v>1</v>
      </c>
      <c r="E188" s="30">
        <v>0</v>
      </c>
      <c r="F188" s="30">
        <v>0</v>
      </c>
      <c r="G188" s="30">
        <v>0</v>
      </c>
      <c r="H188" s="30">
        <v>0</v>
      </c>
      <c r="I188" s="30">
        <v>0</v>
      </c>
      <c r="J188" s="30">
        <v>0</v>
      </c>
      <c r="K188" s="30">
        <v>0</v>
      </c>
      <c r="L188" s="30">
        <v>0</v>
      </c>
      <c r="M188" s="30">
        <v>0</v>
      </c>
      <c r="N188" s="30">
        <v>0</v>
      </c>
      <c r="O188" s="30">
        <v>0</v>
      </c>
      <c r="P188" s="30">
        <v>0</v>
      </c>
      <c r="Q188" s="30">
        <v>0</v>
      </c>
      <c r="R188" s="30">
        <v>0</v>
      </c>
      <c r="S188" s="30">
        <v>0</v>
      </c>
      <c r="T188" s="30">
        <v>0</v>
      </c>
      <c r="U188" s="30">
        <v>0</v>
      </c>
      <c r="V188" s="30">
        <v>0</v>
      </c>
      <c r="W188" s="30">
        <v>0</v>
      </c>
      <c r="X188" s="30">
        <v>0</v>
      </c>
      <c r="Y188" s="30">
        <v>0</v>
      </c>
      <c r="Z188" s="30">
        <v>0</v>
      </c>
      <c r="AA188" s="30">
        <v>0</v>
      </c>
      <c r="AB188" s="30">
        <v>0</v>
      </c>
      <c r="AC188" s="30">
        <v>0</v>
      </c>
      <c r="AD188" s="30">
        <v>0</v>
      </c>
      <c r="AE188" s="30">
        <v>0</v>
      </c>
      <c r="AF188" s="30">
        <v>0</v>
      </c>
      <c r="AG188" s="30">
        <v>0</v>
      </c>
      <c r="AH188" s="30">
        <v>0</v>
      </c>
      <c r="AI188" s="30">
        <v>0</v>
      </c>
      <c r="AJ188" s="30">
        <v>0</v>
      </c>
      <c r="AK188" s="30">
        <v>0</v>
      </c>
      <c r="AL188" s="30">
        <v>0</v>
      </c>
      <c r="AM188" s="30">
        <v>0</v>
      </c>
      <c r="AN188" s="30">
        <v>0</v>
      </c>
      <c r="AO188" s="30">
        <v>0</v>
      </c>
      <c r="AP188" s="30">
        <v>0</v>
      </c>
      <c r="AQ188" s="30">
        <v>0</v>
      </c>
      <c r="AR188" s="30">
        <v>0</v>
      </c>
      <c r="AS188" s="30">
        <v>0</v>
      </c>
      <c r="AT188" s="30">
        <v>0</v>
      </c>
      <c r="AU188" s="30">
        <v>0</v>
      </c>
      <c r="AV188" s="30">
        <v>0</v>
      </c>
      <c r="AW188" s="30">
        <v>0</v>
      </c>
      <c r="AX188" s="30">
        <v>0</v>
      </c>
      <c r="AY188" s="30">
        <v>0</v>
      </c>
      <c r="AZ188" s="30">
        <v>0</v>
      </c>
      <c r="BA188" s="30">
        <v>0</v>
      </c>
      <c r="BB188" s="30">
        <v>0</v>
      </c>
      <c r="BC188" s="30">
        <v>0</v>
      </c>
      <c r="BD188" s="30">
        <v>0</v>
      </c>
      <c r="BE188" s="202"/>
      <c r="BF188" s="202"/>
      <c r="BG188" s="202"/>
      <c r="BH188" s="202"/>
      <c r="BI188" s="204" t="s">
        <v>177</v>
      </c>
      <c r="BJ188" s="37">
        <v>1</v>
      </c>
      <c r="BK188" s="37">
        <f t="shared" si="147"/>
        <v>1.1000000000000001</v>
      </c>
      <c r="BL188" s="37">
        <f t="shared" si="147"/>
        <v>1.2100000000000002</v>
      </c>
      <c r="BO188" s="202"/>
      <c r="BP188" s="202"/>
    </row>
    <row r="189" spans="1:68" outlineLevel="1" x14ac:dyDescent="0.25">
      <c r="A189" s="213"/>
      <c r="B189" s="204"/>
      <c r="C189" s="202"/>
      <c r="D189" s="202"/>
      <c r="E189" s="202"/>
      <c r="F189" s="202"/>
      <c r="G189" s="202"/>
      <c r="H189" s="202"/>
      <c r="I189" s="202"/>
      <c r="J189" s="202"/>
      <c r="K189" s="202"/>
      <c r="L189" s="202"/>
      <c r="M189" s="202"/>
      <c r="N189" s="202"/>
      <c r="O189" s="202"/>
      <c r="P189" s="202"/>
      <c r="Q189" s="202"/>
      <c r="R189" s="202"/>
      <c r="S189" s="202"/>
      <c r="T189" s="202"/>
      <c r="U189" s="202"/>
      <c r="V189" s="202"/>
      <c r="W189" s="202"/>
      <c r="X189" s="202"/>
      <c r="Y189" s="202"/>
      <c r="Z189" s="202"/>
      <c r="AA189" s="202"/>
      <c r="AB189" s="202"/>
      <c r="AC189" s="202"/>
      <c r="AD189" s="202"/>
      <c r="AE189" s="202"/>
      <c r="AF189" s="202"/>
      <c r="AG189" s="202"/>
      <c r="AH189" s="202"/>
      <c r="AI189" s="202"/>
      <c r="AJ189" s="202"/>
      <c r="AK189" s="202"/>
      <c r="AL189" s="202"/>
      <c r="AM189" s="202"/>
      <c r="AN189" s="202"/>
      <c r="AO189" s="202"/>
      <c r="AP189" s="202"/>
      <c r="AQ189" s="202"/>
      <c r="AR189" s="202"/>
      <c r="AS189" s="202"/>
      <c r="AT189" s="202"/>
      <c r="AU189" s="202"/>
      <c r="AV189" s="202"/>
      <c r="AW189" s="202"/>
      <c r="AX189" s="202"/>
      <c r="AY189" s="202"/>
      <c r="AZ189" s="202"/>
      <c r="BA189" s="202"/>
      <c r="BB189" s="202"/>
      <c r="BC189" s="202"/>
      <c r="BD189" s="202"/>
      <c r="BE189" s="202"/>
      <c r="BF189" s="202"/>
      <c r="BG189" s="202"/>
      <c r="BH189" s="202"/>
      <c r="BI189" s="204"/>
      <c r="BJ189" s="204"/>
      <c r="BK189" s="204"/>
      <c r="BL189" s="204"/>
      <c r="BO189" s="202"/>
      <c r="BP189" s="202"/>
    </row>
    <row r="190" spans="1:68" outlineLevel="1" x14ac:dyDescent="0.25">
      <c r="A190" s="213">
        <v>45658</v>
      </c>
      <c r="B190" s="204" t="s">
        <v>178</v>
      </c>
      <c r="C190" s="31">
        <f>170000/12</f>
        <v>14166.666666666666</v>
      </c>
      <c r="D190" s="30">
        <v>1</v>
      </c>
      <c r="E190" s="30">
        <v>0</v>
      </c>
      <c r="F190" s="30">
        <v>0</v>
      </c>
      <c r="G190" s="30">
        <v>0</v>
      </c>
      <c r="H190" s="30">
        <v>0</v>
      </c>
      <c r="I190" s="30">
        <v>0</v>
      </c>
      <c r="J190" s="30">
        <v>0</v>
      </c>
      <c r="K190" s="30">
        <v>0</v>
      </c>
      <c r="L190" s="30">
        <v>0</v>
      </c>
      <c r="M190" s="30">
        <v>0</v>
      </c>
      <c r="N190" s="30">
        <v>0</v>
      </c>
      <c r="O190" s="30">
        <v>0</v>
      </c>
      <c r="P190" s="30">
        <v>0</v>
      </c>
      <c r="Q190" s="30">
        <v>0</v>
      </c>
      <c r="R190" s="30">
        <v>0</v>
      </c>
      <c r="S190" s="30">
        <v>0</v>
      </c>
      <c r="T190" s="30">
        <v>0</v>
      </c>
      <c r="U190" s="30">
        <v>0</v>
      </c>
      <c r="V190" s="30">
        <v>0</v>
      </c>
      <c r="W190" s="30">
        <v>0</v>
      </c>
      <c r="X190" s="30">
        <v>0</v>
      </c>
      <c r="Y190" s="30">
        <v>0</v>
      </c>
      <c r="Z190" s="30">
        <v>0</v>
      </c>
      <c r="AA190" s="30">
        <v>0</v>
      </c>
      <c r="AB190" s="30">
        <v>0</v>
      </c>
      <c r="AC190" s="30">
        <v>0</v>
      </c>
      <c r="AD190" s="30">
        <v>0</v>
      </c>
      <c r="AE190" s="30">
        <v>0</v>
      </c>
      <c r="AF190" s="30">
        <v>0</v>
      </c>
      <c r="AG190" s="30">
        <v>0</v>
      </c>
      <c r="AH190" s="30">
        <v>0</v>
      </c>
      <c r="AI190" s="30">
        <v>0</v>
      </c>
      <c r="AJ190" s="30">
        <v>0</v>
      </c>
      <c r="AK190" s="30">
        <v>0</v>
      </c>
      <c r="AL190" s="30">
        <v>0</v>
      </c>
      <c r="AM190" s="30">
        <v>0</v>
      </c>
      <c r="AN190" s="30">
        <v>0</v>
      </c>
      <c r="AO190" s="30">
        <v>0</v>
      </c>
      <c r="AP190" s="30">
        <v>0</v>
      </c>
      <c r="AQ190" s="30">
        <v>0</v>
      </c>
      <c r="AR190" s="30">
        <v>0</v>
      </c>
      <c r="AS190" s="30">
        <v>0</v>
      </c>
      <c r="AT190" s="30">
        <v>0</v>
      </c>
      <c r="AU190" s="30">
        <v>0</v>
      </c>
      <c r="AV190" s="30">
        <v>0</v>
      </c>
      <c r="AW190" s="30">
        <v>0</v>
      </c>
      <c r="AX190" s="30">
        <v>0</v>
      </c>
      <c r="AY190" s="30">
        <v>0</v>
      </c>
      <c r="AZ190" s="30">
        <v>0</v>
      </c>
      <c r="BA190" s="30">
        <v>0</v>
      </c>
      <c r="BB190" s="30">
        <v>0</v>
      </c>
      <c r="BC190" s="30">
        <v>0</v>
      </c>
      <c r="BD190" s="30">
        <v>0</v>
      </c>
      <c r="BE190" s="202"/>
      <c r="BF190" s="202"/>
      <c r="BG190" s="202"/>
      <c r="BH190" s="202"/>
      <c r="BI190" s="204" t="s">
        <v>178</v>
      </c>
      <c r="BJ190" s="37">
        <v>1</v>
      </c>
      <c r="BK190" s="37">
        <f t="shared" ref="BK190:BL194" si="148">BJ190*1.1</f>
        <v>1.1000000000000001</v>
      </c>
      <c r="BL190" s="37">
        <f t="shared" si="148"/>
        <v>1.2100000000000002</v>
      </c>
      <c r="BO190" s="202"/>
      <c r="BP190" s="202"/>
    </row>
    <row r="191" spans="1:68" outlineLevel="1" x14ac:dyDescent="0.25">
      <c r="A191" s="213">
        <v>45536</v>
      </c>
      <c r="B191" s="204" t="s">
        <v>179</v>
      </c>
      <c r="C191" s="31">
        <f>130000/12</f>
        <v>10833.333333333334</v>
      </c>
      <c r="D191" s="30">
        <v>1</v>
      </c>
      <c r="E191" s="30">
        <v>0</v>
      </c>
      <c r="F191" s="30">
        <v>0</v>
      </c>
      <c r="G191" s="30">
        <v>0</v>
      </c>
      <c r="H191" s="30">
        <v>0</v>
      </c>
      <c r="I191" s="30">
        <v>0</v>
      </c>
      <c r="J191" s="30">
        <v>0</v>
      </c>
      <c r="K191" s="30">
        <v>0</v>
      </c>
      <c r="L191" s="30">
        <v>0</v>
      </c>
      <c r="M191" s="30">
        <v>0</v>
      </c>
      <c r="N191" s="30">
        <v>0</v>
      </c>
      <c r="O191" s="30">
        <v>0</v>
      </c>
      <c r="P191" s="30">
        <v>0</v>
      </c>
      <c r="Q191" s="30">
        <v>0</v>
      </c>
      <c r="R191" s="30">
        <v>0</v>
      </c>
      <c r="S191" s="30">
        <v>0</v>
      </c>
      <c r="T191" s="30">
        <v>0</v>
      </c>
      <c r="U191" s="30">
        <v>0</v>
      </c>
      <c r="V191" s="30">
        <v>0</v>
      </c>
      <c r="W191" s="30">
        <v>0</v>
      </c>
      <c r="X191" s="30">
        <v>0</v>
      </c>
      <c r="Y191" s="30">
        <v>0</v>
      </c>
      <c r="Z191" s="30">
        <v>0</v>
      </c>
      <c r="AA191" s="30">
        <v>0</v>
      </c>
      <c r="AB191" s="30">
        <v>0</v>
      </c>
      <c r="AC191" s="30">
        <v>0</v>
      </c>
      <c r="AD191" s="30">
        <v>0</v>
      </c>
      <c r="AE191" s="30">
        <v>0</v>
      </c>
      <c r="AF191" s="30">
        <v>0</v>
      </c>
      <c r="AG191" s="30">
        <v>0</v>
      </c>
      <c r="AH191" s="30">
        <v>0</v>
      </c>
      <c r="AI191" s="30">
        <v>0</v>
      </c>
      <c r="AJ191" s="30">
        <v>0</v>
      </c>
      <c r="AK191" s="30">
        <v>0</v>
      </c>
      <c r="AL191" s="30">
        <v>0</v>
      </c>
      <c r="AM191" s="30">
        <v>0</v>
      </c>
      <c r="AN191" s="30">
        <v>0</v>
      </c>
      <c r="AO191" s="30">
        <v>0</v>
      </c>
      <c r="AP191" s="30">
        <v>0</v>
      </c>
      <c r="AQ191" s="30">
        <v>0</v>
      </c>
      <c r="AR191" s="30">
        <v>0</v>
      </c>
      <c r="AS191" s="30">
        <v>0</v>
      </c>
      <c r="AT191" s="30">
        <v>0</v>
      </c>
      <c r="AU191" s="30">
        <v>0</v>
      </c>
      <c r="AV191" s="30">
        <v>0</v>
      </c>
      <c r="AW191" s="30">
        <v>0</v>
      </c>
      <c r="AX191" s="30">
        <v>0</v>
      </c>
      <c r="AY191" s="30">
        <v>0</v>
      </c>
      <c r="AZ191" s="30">
        <v>0</v>
      </c>
      <c r="BA191" s="30">
        <v>0</v>
      </c>
      <c r="BB191" s="30">
        <v>0</v>
      </c>
      <c r="BC191" s="30">
        <v>0</v>
      </c>
      <c r="BD191" s="30">
        <v>0</v>
      </c>
      <c r="BE191" s="202"/>
      <c r="BF191" s="202"/>
      <c r="BG191" s="202"/>
      <c r="BH191" s="202"/>
      <c r="BI191" s="204" t="s">
        <v>179</v>
      </c>
      <c r="BJ191" s="37">
        <v>1</v>
      </c>
      <c r="BK191" s="37">
        <f t="shared" si="148"/>
        <v>1.1000000000000001</v>
      </c>
      <c r="BL191" s="37">
        <f t="shared" si="148"/>
        <v>1.2100000000000002</v>
      </c>
      <c r="BO191" s="202"/>
      <c r="BP191" s="202"/>
    </row>
    <row r="192" spans="1:68" outlineLevel="1" x14ac:dyDescent="0.25">
      <c r="A192" s="213">
        <v>45839</v>
      </c>
      <c r="B192" s="204" t="s">
        <v>180</v>
      </c>
      <c r="C192" s="31">
        <f>110000/12</f>
        <v>9166.6666666666661</v>
      </c>
      <c r="D192" s="30">
        <v>1</v>
      </c>
      <c r="E192" s="30">
        <v>0</v>
      </c>
      <c r="F192" s="30">
        <v>0</v>
      </c>
      <c r="G192" s="30">
        <v>0</v>
      </c>
      <c r="H192" s="30">
        <v>0</v>
      </c>
      <c r="I192" s="30">
        <v>0</v>
      </c>
      <c r="J192" s="30">
        <v>0</v>
      </c>
      <c r="K192" s="30">
        <v>0</v>
      </c>
      <c r="L192" s="30">
        <v>0</v>
      </c>
      <c r="M192" s="30">
        <v>0</v>
      </c>
      <c r="N192" s="30">
        <v>0</v>
      </c>
      <c r="O192" s="30">
        <v>0</v>
      </c>
      <c r="P192" s="30">
        <v>0</v>
      </c>
      <c r="Q192" s="30">
        <v>0</v>
      </c>
      <c r="R192" s="30">
        <v>0</v>
      </c>
      <c r="S192" s="30">
        <v>0</v>
      </c>
      <c r="T192" s="30">
        <v>0</v>
      </c>
      <c r="U192" s="30">
        <v>0</v>
      </c>
      <c r="V192" s="30">
        <v>0</v>
      </c>
      <c r="W192" s="30">
        <v>0</v>
      </c>
      <c r="X192" s="30">
        <v>0</v>
      </c>
      <c r="Y192" s="30">
        <v>0</v>
      </c>
      <c r="Z192" s="30">
        <v>0</v>
      </c>
      <c r="AA192" s="30">
        <v>0</v>
      </c>
      <c r="AB192" s="30">
        <v>0</v>
      </c>
      <c r="AC192" s="30">
        <v>0</v>
      </c>
      <c r="AD192" s="30">
        <v>0</v>
      </c>
      <c r="AE192" s="30">
        <v>0</v>
      </c>
      <c r="AF192" s="30">
        <v>0</v>
      </c>
      <c r="AG192" s="30">
        <v>0</v>
      </c>
      <c r="AH192" s="30">
        <v>0</v>
      </c>
      <c r="AI192" s="30">
        <v>0</v>
      </c>
      <c r="AJ192" s="30">
        <v>0</v>
      </c>
      <c r="AK192" s="30">
        <v>0</v>
      </c>
      <c r="AL192" s="30">
        <v>0</v>
      </c>
      <c r="AM192" s="30">
        <v>0</v>
      </c>
      <c r="AN192" s="30">
        <v>0</v>
      </c>
      <c r="AO192" s="30">
        <v>0</v>
      </c>
      <c r="AP192" s="30">
        <v>0</v>
      </c>
      <c r="AQ192" s="30">
        <v>0</v>
      </c>
      <c r="AR192" s="30">
        <v>0</v>
      </c>
      <c r="AS192" s="30">
        <v>0</v>
      </c>
      <c r="AT192" s="30">
        <v>0</v>
      </c>
      <c r="AU192" s="30">
        <v>0</v>
      </c>
      <c r="AV192" s="30">
        <v>0</v>
      </c>
      <c r="AW192" s="30">
        <v>0</v>
      </c>
      <c r="AX192" s="30">
        <v>0</v>
      </c>
      <c r="AY192" s="30">
        <v>0</v>
      </c>
      <c r="AZ192" s="30">
        <v>0</v>
      </c>
      <c r="BA192" s="30">
        <v>0</v>
      </c>
      <c r="BB192" s="30">
        <v>0</v>
      </c>
      <c r="BC192" s="30">
        <v>0</v>
      </c>
      <c r="BD192" s="30">
        <v>0</v>
      </c>
      <c r="BE192" s="202"/>
      <c r="BF192" s="202"/>
      <c r="BG192" s="202"/>
      <c r="BH192" s="202"/>
      <c r="BI192" s="204" t="s">
        <v>180</v>
      </c>
      <c r="BJ192" s="37">
        <v>1</v>
      </c>
      <c r="BK192" s="37">
        <f t="shared" si="148"/>
        <v>1.1000000000000001</v>
      </c>
      <c r="BL192" s="37">
        <f t="shared" si="148"/>
        <v>1.2100000000000002</v>
      </c>
      <c r="BO192" s="202"/>
      <c r="BP192" s="202"/>
    </row>
    <row r="193" spans="1:68" outlineLevel="1" x14ac:dyDescent="0.25">
      <c r="A193" s="213">
        <v>45901</v>
      </c>
      <c r="B193" s="225" t="s">
        <v>473</v>
      </c>
      <c r="C193" s="31">
        <v>5000</v>
      </c>
      <c r="D193" s="30">
        <v>1</v>
      </c>
      <c r="E193" s="30">
        <v>0</v>
      </c>
      <c r="F193" s="30">
        <v>0</v>
      </c>
      <c r="G193" s="30">
        <v>0</v>
      </c>
      <c r="H193" s="30">
        <v>0</v>
      </c>
      <c r="I193" s="30">
        <v>0</v>
      </c>
      <c r="J193" s="30">
        <v>0</v>
      </c>
      <c r="K193" s="30">
        <v>0</v>
      </c>
      <c r="L193" s="30">
        <v>0</v>
      </c>
      <c r="M193" s="30">
        <v>0</v>
      </c>
      <c r="N193" s="30">
        <v>0</v>
      </c>
      <c r="O193" s="30">
        <v>0</v>
      </c>
      <c r="P193" s="30">
        <v>0</v>
      </c>
      <c r="Q193" s="30">
        <v>0</v>
      </c>
      <c r="R193" s="30">
        <v>0</v>
      </c>
      <c r="S193" s="30">
        <v>0</v>
      </c>
      <c r="T193" s="30">
        <v>0</v>
      </c>
      <c r="U193" s="30">
        <v>0</v>
      </c>
      <c r="V193" s="30">
        <v>0</v>
      </c>
      <c r="W193" s="30">
        <v>0</v>
      </c>
      <c r="X193" s="30">
        <v>0</v>
      </c>
      <c r="Y193" s="30">
        <v>0</v>
      </c>
      <c r="Z193" s="30">
        <v>0</v>
      </c>
      <c r="AA193" s="30">
        <v>0</v>
      </c>
      <c r="AB193" s="30">
        <v>0</v>
      </c>
      <c r="AC193" s="30">
        <v>0</v>
      </c>
      <c r="AD193" s="30">
        <v>0</v>
      </c>
      <c r="AE193" s="30">
        <v>0</v>
      </c>
      <c r="AF193" s="30">
        <v>0</v>
      </c>
      <c r="AG193" s="30">
        <v>0</v>
      </c>
      <c r="AH193" s="30">
        <v>0</v>
      </c>
      <c r="AI193" s="30">
        <v>0</v>
      </c>
      <c r="AJ193" s="30">
        <v>0</v>
      </c>
      <c r="AK193" s="30">
        <v>0</v>
      </c>
      <c r="AL193" s="30">
        <v>0</v>
      </c>
      <c r="AM193" s="30">
        <v>0</v>
      </c>
      <c r="AN193" s="30">
        <v>0</v>
      </c>
      <c r="AO193" s="30">
        <v>0</v>
      </c>
      <c r="AP193" s="30">
        <v>0</v>
      </c>
      <c r="AQ193" s="30">
        <v>0</v>
      </c>
      <c r="AR193" s="30">
        <v>0</v>
      </c>
      <c r="AS193" s="30">
        <v>0</v>
      </c>
      <c r="AT193" s="30">
        <v>0</v>
      </c>
      <c r="AU193" s="30">
        <v>0</v>
      </c>
      <c r="AV193" s="30">
        <v>0</v>
      </c>
      <c r="AW193" s="30">
        <v>0</v>
      </c>
      <c r="AX193" s="30">
        <v>0</v>
      </c>
      <c r="AY193" s="30">
        <v>0</v>
      </c>
      <c r="AZ193" s="30">
        <v>0</v>
      </c>
      <c r="BA193" s="30">
        <v>0</v>
      </c>
      <c r="BB193" s="30">
        <v>0</v>
      </c>
      <c r="BC193" s="30">
        <v>0</v>
      </c>
      <c r="BD193" s="30">
        <v>0</v>
      </c>
      <c r="BE193" s="202"/>
      <c r="BF193" s="202"/>
      <c r="BG193" s="202"/>
      <c r="BH193" s="202"/>
      <c r="BI193" s="225" t="s">
        <v>473</v>
      </c>
      <c r="BJ193" s="37">
        <v>1</v>
      </c>
      <c r="BK193" s="37">
        <f t="shared" si="148"/>
        <v>1.1000000000000001</v>
      </c>
      <c r="BL193" s="37">
        <f t="shared" si="148"/>
        <v>1.2100000000000002</v>
      </c>
      <c r="BO193" s="202"/>
      <c r="BP193" s="202"/>
    </row>
    <row r="194" spans="1:68" outlineLevel="1" x14ac:dyDescent="0.25">
      <c r="A194" s="213">
        <v>46023</v>
      </c>
      <c r="B194" s="225" t="s">
        <v>474</v>
      </c>
      <c r="C194" s="31">
        <f>100000/12</f>
        <v>8333.3333333333339</v>
      </c>
      <c r="D194" s="30">
        <v>1</v>
      </c>
      <c r="E194" s="30">
        <v>0</v>
      </c>
      <c r="F194" s="30">
        <v>0</v>
      </c>
      <c r="G194" s="30">
        <v>0</v>
      </c>
      <c r="H194" s="30">
        <v>0</v>
      </c>
      <c r="I194" s="30">
        <v>0</v>
      </c>
      <c r="J194" s="30">
        <v>0</v>
      </c>
      <c r="K194" s="30">
        <v>0</v>
      </c>
      <c r="L194" s="30">
        <v>0</v>
      </c>
      <c r="M194" s="30">
        <v>0</v>
      </c>
      <c r="N194" s="30">
        <v>0</v>
      </c>
      <c r="O194" s="30">
        <v>0</v>
      </c>
      <c r="P194" s="30">
        <v>0</v>
      </c>
      <c r="Q194" s="30">
        <v>0</v>
      </c>
      <c r="R194" s="30">
        <v>0</v>
      </c>
      <c r="S194" s="30">
        <v>0</v>
      </c>
      <c r="T194" s="30">
        <v>0</v>
      </c>
      <c r="U194" s="30">
        <v>0</v>
      </c>
      <c r="V194" s="30">
        <v>0</v>
      </c>
      <c r="W194" s="30">
        <v>0</v>
      </c>
      <c r="X194" s="30">
        <v>0</v>
      </c>
      <c r="Y194" s="30">
        <v>0</v>
      </c>
      <c r="Z194" s="30">
        <v>0</v>
      </c>
      <c r="AA194" s="30">
        <v>0</v>
      </c>
      <c r="AB194" s="30">
        <v>0</v>
      </c>
      <c r="AC194" s="30">
        <v>0</v>
      </c>
      <c r="AD194" s="30">
        <v>0</v>
      </c>
      <c r="AE194" s="30">
        <v>0</v>
      </c>
      <c r="AF194" s="30">
        <v>0</v>
      </c>
      <c r="AG194" s="30">
        <v>0</v>
      </c>
      <c r="AH194" s="30">
        <v>0</v>
      </c>
      <c r="AI194" s="30">
        <v>0</v>
      </c>
      <c r="AJ194" s="30">
        <v>0</v>
      </c>
      <c r="AK194" s="30">
        <v>0</v>
      </c>
      <c r="AL194" s="30">
        <v>0</v>
      </c>
      <c r="AM194" s="30">
        <v>0</v>
      </c>
      <c r="AN194" s="30">
        <v>0</v>
      </c>
      <c r="AO194" s="30">
        <v>0</v>
      </c>
      <c r="AP194" s="30">
        <v>0</v>
      </c>
      <c r="AQ194" s="30">
        <v>0</v>
      </c>
      <c r="AR194" s="30">
        <v>0</v>
      </c>
      <c r="AS194" s="30">
        <v>0</v>
      </c>
      <c r="AT194" s="30">
        <v>0</v>
      </c>
      <c r="AU194" s="30">
        <v>0</v>
      </c>
      <c r="AV194" s="30">
        <v>0</v>
      </c>
      <c r="AW194" s="30">
        <v>0</v>
      </c>
      <c r="AX194" s="30">
        <v>0</v>
      </c>
      <c r="AY194" s="30">
        <v>0</v>
      </c>
      <c r="AZ194" s="30">
        <v>0</v>
      </c>
      <c r="BA194" s="30">
        <v>0</v>
      </c>
      <c r="BB194" s="30">
        <v>0</v>
      </c>
      <c r="BC194" s="30">
        <v>0</v>
      </c>
      <c r="BD194" s="30">
        <v>0</v>
      </c>
      <c r="BE194" s="202"/>
      <c r="BF194" s="202"/>
      <c r="BG194" s="202"/>
      <c r="BH194" s="202"/>
      <c r="BI194" s="225" t="s">
        <v>474</v>
      </c>
      <c r="BJ194" s="37">
        <v>1</v>
      </c>
      <c r="BK194" s="37">
        <f t="shared" si="148"/>
        <v>1.1000000000000001</v>
      </c>
      <c r="BL194" s="37">
        <f t="shared" si="148"/>
        <v>1.2100000000000002</v>
      </c>
      <c r="BO194" s="202"/>
      <c r="BP194" s="202"/>
    </row>
    <row r="195" spans="1:68" outlineLevel="1" x14ac:dyDescent="0.25">
      <c r="A195" s="213"/>
      <c r="B195" s="204"/>
      <c r="C195" s="202"/>
      <c r="D195" s="202"/>
      <c r="E195" s="202"/>
      <c r="F195" s="202"/>
      <c r="G195" s="202"/>
      <c r="H195" s="202"/>
      <c r="I195" s="202"/>
      <c r="J195" s="202"/>
      <c r="K195" s="202"/>
      <c r="L195" s="202"/>
      <c r="M195" s="202"/>
      <c r="N195" s="202"/>
      <c r="O195" s="202"/>
      <c r="P195" s="202"/>
      <c r="Q195" s="202"/>
      <c r="R195" s="202"/>
      <c r="S195" s="202"/>
      <c r="T195" s="202"/>
      <c r="U195" s="202"/>
      <c r="V195" s="202"/>
      <c r="W195" s="202"/>
      <c r="X195" s="202"/>
      <c r="Y195" s="202"/>
      <c r="Z195" s="202"/>
      <c r="AA195" s="202"/>
      <c r="AB195" s="202"/>
      <c r="AC195" s="202"/>
      <c r="AD195" s="202"/>
      <c r="AE195" s="202"/>
      <c r="AF195" s="202"/>
      <c r="AG195" s="202"/>
      <c r="AH195" s="202"/>
      <c r="AI195" s="202"/>
      <c r="AJ195" s="202"/>
      <c r="AK195" s="202"/>
      <c r="AL195" s="202"/>
      <c r="AM195" s="202"/>
      <c r="AN195" s="202"/>
      <c r="AO195" s="202"/>
      <c r="AP195" s="202"/>
      <c r="AQ195" s="202"/>
      <c r="AR195" s="202"/>
      <c r="AS195" s="202"/>
      <c r="AT195" s="202"/>
      <c r="AU195" s="202"/>
      <c r="AV195" s="202"/>
      <c r="AW195" s="202"/>
      <c r="AX195" s="202"/>
      <c r="AY195" s="202"/>
      <c r="AZ195" s="202"/>
      <c r="BA195" s="202"/>
      <c r="BB195" s="202"/>
      <c r="BC195" s="202"/>
      <c r="BD195" s="202"/>
      <c r="BE195" s="202"/>
      <c r="BF195" s="202"/>
      <c r="BG195" s="202"/>
      <c r="BH195" s="202"/>
      <c r="BI195" s="204"/>
      <c r="BJ195" s="204"/>
      <c r="BK195" s="204"/>
      <c r="BL195" s="204"/>
      <c r="BN195" s="1"/>
      <c r="BO195" s="202"/>
      <c r="BP195" s="202"/>
    </row>
    <row r="196" spans="1:68" outlineLevel="1" x14ac:dyDescent="0.25">
      <c r="A196" s="213">
        <v>46023</v>
      </c>
      <c r="B196" s="81" t="s">
        <v>181</v>
      </c>
      <c r="C196" s="31">
        <f>100000/12</f>
        <v>8333.3333333333339</v>
      </c>
      <c r="D196" s="30">
        <v>0</v>
      </c>
      <c r="E196" s="30">
        <v>1</v>
      </c>
      <c r="F196" s="30">
        <v>0</v>
      </c>
      <c r="G196" s="30">
        <v>0</v>
      </c>
      <c r="H196" s="30">
        <v>0</v>
      </c>
      <c r="I196" s="30">
        <v>0</v>
      </c>
      <c r="J196" s="30">
        <v>0</v>
      </c>
      <c r="K196" s="30">
        <v>0</v>
      </c>
      <c r="L196" s="30">
        <v>0</v>
      </c>
      <c r="M196" s="30">
        <v>0</v>
      </c>
      <c r="N196" s="30">
        <v>0</v>
      </c>
      <c r="O196" s="30">
        <v>0</v>
      </c>
      <c r="P196" s="30">
        <v>0</v>
      </c>
      <c r="Q196" s="30">
        <v>0</v>
      </c>
      <c r="R196" s="30">
        <v>0</v>
      </c>
      <c r="S196" s="30">
        <v>0</v>
      </c>
      <c r="T196" s="30">
        <v>0</v>
      </c>
      <c r="U196" s="30">
        <v>0</v>
      </c>
      <c r="V196" s="30">
        <v>0</v>
      </c>
      <c r="W196" s="30">
        <v>0</v>
      </c>
      <c r="X196" s="30">
        <v>0</v>
      </c>
      <c r="Y196" s="30">
        <v>0</v>
      </c>
      <c r="Z196" s="30">
        <v>0</v>
      </c>
      <c r="AA196" s="30">
        <v>0</v>
      </c>
      <c r="AB196" s="30">
        <v>0</v>
      </c>
      <c r="AC196" s="30">
        <v>0</v>
      </c>
      <c r="AD196" s="30">
        <v>0</v>
      </c>
      <c r="AE196" s="30">
        <v>0</v>
      </c>
      <c r="AF196" s="30">
        <v>0</v>
      </c>
      <c r="AG196" s="30">
        <v>0</v>
      </c>
      <c r="AH196" s="30">
        <v>0</v>
      </c>
      <c r="AI196" s="30">
        <v>0</v>
      </c>
      <c r="AJ196" s="30">
        <v>0</v>
      </c>
      <c r="AK196" s="30">
        <v>0</v>
      </c>
      <c r="AL196" s="30">
        <v>0</v>
      </c>
      <c r="AM196" s="30">
        <v>0</v>
      </c>
      <c r="AN196" s="30">
        <v>0</v>
      </c>
      <c r="AO196" s="30">
        <v>0</v>
      </c>
      <c r="AP196" s="30">
        <v>0</v>
      </c>
      <c r="AQ196" s="30">
        <v>0</v>
      </c>
      <c r="AR196" s="30">
        <v>0</v>
      </c>
      <c r="AS196" s="30">
        <v>0</v>
      </c>
      <c r="AT196" s="30">
        <v>0</v>
      </c>
      <c r="AU196" s="30">
        <v>0</v>
      </c>
      <c r="AV196" s="30">
        <v>0</v>
      </c>
      <c r="AW196" s="30">
        <v>0</v>
      </c>
      <c r="AX196" s="30">
        <v>0</v>
      </c>
      <c r="AY196" s="30">
        <v>0</v>
      </c>
      <c r="AZ196" s="30">
        <v>0</v>
      </c>
      <c r="BA196" s="30">
        <v>0</v>
      </c>
      <c r="BB196" s="30">
        <v>0</v>
      </c>
      <c r="BC196" s="30">
        <v>0</v>
      </c>
      <c r="BD196" s="30">
        <v>0</v>
      </c>
      <c r="BE196" s="202"/>
      <c r="BF196" s="202"/>
      <c r="BG196" s="202"/>
      <c r="BH196" s="202"/>
      <c r="BI196" s="81" t="s">
        <v>181</v>
      </c>
      <c r="BJ196" s="37">
        <v>1</v>
      </c>
      <c r="BK196" s="37">
        <f t="shared" ref="BK196:BL198" si="149">BJ196*1.1</f>
        <v>1.1000000000000001</v>
      </c>
      <c r="BL196" s="37">
        <f t="shared" si="149"/>
        <v>1.2100000000000002</v>
      </c>
      <c r="BN196" s="1"/>
      <c r="BO196" s="202"/>
      <c r="BP196" s="202"/>
    </row>
    <row r="197" spans="1:68" outlineLevel="1" x14ac:dyDescent="0.25">
      <c r="A197" s="213">
        <v>46388</v>
      </c>
      <c r="B197" s="81" t="s">
        <v>181</v>
      </c>
      <c r="C197" s="31">
        <f t="shared" ref="C197:C198" si="150">100000/12</f>
        <v>8333.3333333333339</v>
      </c>
      <c r="D197" s="30">
        <v>0</v>
      </c>
      <c r="E197" s="30">
        <v>0</v>
      </c>
      <c r="F197" s="30">
        <v>0</v>
      </c>
      <c r="G197" s="30">
        <v>1</v>
      </c>
      <c r="H197" s="30">
        <v>0</v>
      </c>
      <c r="I197" s="30">
        <v>0</v>
      </c>
      <c r="J197" s="30">
        <v>0</v>
      </c>
      <c r="K197" s="30">
        <v>0</v>
      </c>
      <c r="L197" s="30">
        <v>0</v>
      </c>
      <c r="M197" s="30">
        <v>0</v>
      </c>
      <c r="N197" s="30">
        <v>0</v>
      </c>
      <c r="O197" s="30">
        <v>0</v>
      </c>
      <c r="P197" s="30">
        <v>0</v>
      </c>
      <c r="Q197" s="30">
        <v>0</v>
      </c>
      <c r="R197" s="30">
        <v>0</v>
      </c>
      <c r="S197" s="30">
        <v>0</v>
      </c>
      <c r="T197" s="30">
        <v>0</v>
      </c>
      <c r="U197" s="30">
        <v>0</v>
      </c>
      <c r="V197" s="30">
        <v>0</v>
      </c>
      <c r="W197" s="30">
        <v>0</v>
      </c>
      <c r="X197" s="30">
        <v>0</v>
      </c>
      <c r="Y197" s="30">
        <v>0</v>
      </c>
      <c r="Z197" s="30">
        <v>0</v>
      </c>
      <c r="AA197" s="30">
        <v>0</v>
      </c>
      <c r="AB197" s="30">
        <v>0</v>
      </c>
      <c r="AC197" s="30">
        <v>0</v>
      </c>
      <c r="AD197" s="30">
        <v>0</v>
      </c>
      <c r="AE197" s="30">
        <v>0</v>
      </c>
      <c r="AF197" s="30">
        <v>0</v>
      </c>
      <c r="AG197" s="30">
        <v>0</v>
      </c>
      <c r="AH197" s="30">
        <v>0</v>
      </c>
      <c r="AI197" s="30">
        <v>0</v>
      </c>
      <c r="AJ197" s="30">
        <v>0</v>
      </c>
      <c r="AK197" s="30">
        <v>0</v>
      </c>
      <c r="AL197" s="30">
        <v>0</v>
      </c>
      <c r="AM197" s="30">
        <v>0</v>
      </c>
      <c r="AN197" s="30">
        <v>0</v>
      </c>
      <c r="AO197" s="30">
        <v>0</v>
      </c>
      <c r="AP197" s="30">
        <v>0</v>
      </c>
      <c r="AQ197" s="30">
        <v>0</v>
      </c>
      <c r="AR197" s="30">
        <v>0</v>
      </c>
      <c r="AS197" s="30">
        <v>0</v>
      </c>
      <c r="AT197" s="30">
        <v>0</v>
      </c>
      <c r="AU197" s="30">
        <v>0</v>
      </c>
      <c r="AV197" s="30">
        <v>0</v>
      </c>
      <c r="AW197" s="30">
        <v>0</v>
      </c>
      <c r="AX197" s="30">
        <v>0</v>
      </c>
      <c r="AY197" s="30">
        <v>0</v>
      </c>
      <c r="AZ197" s="30">
        <v>0</v>
      </c>
      <c r="BA197" s="30">
        <v>0</v>
      </c>
      <c r="BB197" s="30">
        <v>0</v>
      </c>
      <c r="BC197" s="30">
        <v>0</v>
      </c>
      <c r="BD197" s="30">
        <v>0</v>
      </c>
      <c r="BE197" s="202"/>
      <c r="BF197" s="202"/>
      <c r="BG197" s="202"/>
      <c r="BH197" s="202"/>
      <c r="BI197" s="81" t="s">
        <v>181</v>
      </c>
      <c r="BJ197" s="37">
        <v>1</v>
      </c>
      <c r="BK197" s="37">
        <f t="shared" si="149"/>
        <v>1.1000000000000001</v>
      </c>
      <c r="BL197" s="37">
        <f t="shared" si="149"/>
        <v>1.2100000000000002</v>
      </c>
      <c r="BN197" s="1"/>
      <c r="BO197" s="202"/>
      <c r="BP197" s="202"/>
    </row>
    <row r="198" spans="1:68" outlineLevel="1" x14ac:dyDescent="0.25">
      <c r="A198" s="213">
        <v>46753</v>
      </c>
      <c r="B198" s="81" t="s">
        <v>181</v>
      </c>
      <c r="C198" s="31">
        <f t="shared" si="150"/>
        <v>8333.3333333333339</v>
      </c>
      <c r="D198" s="30">
        <v>0</v>
      </c>
      <c r="E198" s="30">
        <v>0</v>
      </c>
      <c r="F198" s="30">
        <v>0</v>
      </c>
      <c r="G198" s="30">
        <v>0</v>
      </c>
      <c r="H198" s="30">
        <v>1</v>
      </c>
      <c r="I198" s="30">
        <v>0</v>
      </c>
      <c r="J198" s="30">
        <v>0</v>
      </c>
      <c r="K198" s="30">
        <v>0</v>
      </c>
      <c r="L198" s="30">
        <v>0</v>
      </c>
      <c r="M198" s="30">
        <v>0</v>
      </c>
      <c r="N198" s="30">
        <v>0</v>
      </c>
      <c r="O198" s="30">
        <v>0</v>
      </c>
      <c r="P198" s="30">
        <v>0</v>
      </c>
      <c r="Q198" s="30">
        <v>0</v>
      </c>
      <c r="R198" s="30">
        <v>0</v>
      </c>
      <c r="S198" s="30">
        <v>0</v>
      </c>
      <c r="T198" s="30">
        <v>0</v>
      </c>
      <c r="U198" s="30">
        <v>0</v>
      </c>
      <c r="V198" s="30">
        <v>0</v>
      </c>
      <c r="W198" s="30">
        <v>0</v>
      </c>
      <c r="X198" s="30">
        <v>0</v>
      </c>
      <c r="Y198" s="30">
        <v>0</v>
      </c>
      <c r="Z198" s="30">
        <v>0</v>
      </c>
      <c r="AA198" s="30">
        <v>0</v>
      </c>
      <c r="AB198" s="30">
        <v>0</v>
      </c>
      <c r="AC198" s="30">
        <v>0</v>
      </c>
      <c r="AD198" s="30">
        <v>0</v>
      </c>
      <c r="AE198" s="30">
        <v>0</v>
      </c>
      <c r="AF198" s="30">
        <v>0</v>
      </c>
      <c r="AG198" s="30">
        <v>0</v>
      </c>
      <c r="AH198" s="30">
        <v>0</v>
      </c>
      <c r="AI198" s="30">
        <v>0</v>
      </c>
      <c r="AJ198" s="30">
        <v>0</v>
      </c>
      <c r="AK198" s="30">
        <v>0</v>
      </c>
      <c r="AL198" s="30">
        <v>0</v>
      </c>
      <c r="AM198" s="30">
        <v>0</v>
      </c>
      <c r="AN198" s="30">
        <v>0</v>
      </c>
      <c r="AO198" s="30">
        <v>0</v>
      </c>
      <c r="AP198" s="30">
        <v>0</v>
      </c>
      <c r="AQ198" s="30">
        <v>0</v>
      </c>
      <c r="AR198" s="30">
        <v>0</v>
      </c>
      <c r="AS198" s="30">
        <v>0</v>
      </c>
      <c r="AT198" s="30">
        <v>0</v>
      </c>
      <c r="AU198" s="30">
        <v>0</v>
      </c>
      <c r="AV198" s="30">
        <v>0</v>
      </c>
      <c r="AW198" s="30">
        <v>0</v>
      </c>
      <c r="AX198" s="30">
        <v>0</v>
      </c>
      <c r="AY198" s="30">
        <v>0</v>
      </c>
      <c r="AZ198" s="30">
        <v>0</v>
      </c>
      <c r="BA198" s="30">
        <v>0</v>
      </c>
      <c r="BB198" s="30">
        <v>0</v>
      </c>
      <c r="BC198" s="30">
        <v>0</v>
      </c>
      <c r="BD198" s="30">
        <v>0</v>
      </c>
      <c r="BE198" s="202"/>
      <c r="BF198" s="202"/>
      <c r="BG198" s="202"/>
      <c r="BH198" s="202"/>
      <c r="BI198" s="81" t="s">
        <v>181</v>
      </c>
      <c r="BJ198" s="37">
        <v>1</v>
      </c>
      <c r="BK198" s="37">
        <f t="shared" si="149"/>
        <v>1.1000000000000001</v>
      </c>
      <c r="BL198" s="37">
        <f t="shared" si="149"/>
        <v>1.2100000000000002</v>
      </c>
      <c r="BN198" s="1"/>
      <c r="BO198" s="202"/>
      <c r="BP198" s="202"/>
    </row>
    <row r="199" spans="1:68" outlineLevel="1" x14ac:dyDescent="0.25">
      <c r="A199" s="213"/>
      <c r="B199" s="204"/>
      <c r="C199" s="202"/>
      <c r="D199" s="202"/>
      <c r="E199" s="202"/>
      <c r="F199" s="202"/>
      <c r="G199" s="202"/>
      <c r="H199" s="202"/>
      <c r="I199" s="202"/>
      <c r="J199" s="202"/>
      <c r="K199" s="202"/>
      <c r="L199" s="202"/>
      <c r="M199" s="202"/>
      <c r="N199" s="202"/>
      <c r="O199" s="202"/>
      <c r="P199" s="202"/>
      <c r="Q199" s="202"/>
      <c r="R199" s="202"/>
      <c r="S199" s="202"/>
      <c r="T199" s="202"/>
      <c r="U199" s="202"/>
      <c r="V199" s="202"/>
      <c r="W199" s="202"/>
      <c r="X199" s="202"/>
      <c r="Y199" s="202"/>
      <c r="Z199" s="202"/>
      <c r="AA199" s="202"/>
      <c r="AB199" s="202"/>
      <c r="AC199" s="202"/>
      <c r="AD199" s="202"/>
      <c r="AE199" s="202"/>
      <c r="AF199" s="202"/>
      <c r="AG199" s="202"/>
      <c r="AH199" s="202"/>
      <c r="AI199" s="202"/>
      <c r="AJ199" s="202"/>
      <c r="AK199" s="202"/>
      <c r="AL199" s="202"/>
      <c r="AM199" s="202"/>
      <c r="AN199" s="202"/>
      <c r="AO199" s="202"/>
      <c r="AP199" s="202"/>
      <c r="AQ199" s="202"/>
      <c r="AR199" s="202"/>
      <c r="AS199" s="202"/>
      <c r="AT199" s="202"/>
      <c r="AU199" s="202"/>
      <c r="AV199" s="202"/>
      <c r="AW199" s="202"/>
      <c r="AX199" s="202"/>
      <c r="AY199" s="202"/>
      <c r="AZ199" s="202"/>
      <c r="BA199" s="202"/>
      <c r="BB199" s="202"/>
      <c r="BC199" s="202"/>
      <c r="BD199" s="202"/>
      <c r="BE199" s="202"/>
      <c r="BF199" s="202"/>
      <c r="BG199" s="202"/>
      <c r="BH199" s="202"/>
      <c r="BI199" s="204"/>
      <c r="BJ199" s="204"/>
      <c r="BK199" s="204"/>
      <c r="BL199" s="204"/>
      <c r="BN199" s="1"/>
      <c r="BO199" s="202"/>
      <c r="BP199" s="202"/>
    </row>
    <row r="200" spans="1:68" outlineLevel="1" x14ac:dyDescent="0.25">
      <c r="A200" s="213">
        <v>45566</v>
      </c>
      <c r="B200" s="204" t="s">
        <v>182</v>
      </c>
      <c r="C200" s="31">
        <v>11666.666666666666</v>
      </c>
      <c r="D200" s="30">
        <v>1</v>
      </c>
      <c r="E200" s="30">
        <v>0</v>
      </c>
      <c r="F200" s="30">
        <v>0</v>
      </c>
      <c r="G200" s="30">
        <v>0</v>
      </c>
      <c r="H200" s="30">
        <v>0</v>
      </c>
      <c r="I200" s="30">
        <v>0</v>
      </c>
      <c r="J200" s="30">
        <v>0</v>
      </c>
      <c r="K200" s="30">
        <v>0</v>
      </c>
      <c r="L200" s="30">
        <v>0</v>
      </c>
      <c r="M200" s="30">
        <v>0</v>
      </c>
      <c r="N200" s="30">
        <v>0</v>
      </c>
      <c r="O200" s="30">
        <v>0</v>
      </c>
      <c r="P200" s="30">
        <v>0</v>
      </c>
      <c r="Q200" s="30">
        <v>0</v>
      </c>
      <c r="R200" s="30">
        <v>0</v>
      </c>
      <c r="S200" s="30">
        <v>0</v>
      </c>
      <c r="T200" s="30">
        <v>0</v>
      </c>
      <c r="U200" s="30">
        <v>0</v>
      </c>
      <c r="V200" s="30">
        <v>0</v>
      </c>
      <c r="W200" s="30">
        <v>0</v>
      </c>
      <c r="X200" s="30">
        <v>0</v>
      </c>
      <c r="Y200" s="30">
        <v>0</v>
      </c>
      <c r="Z200" s="30">
        <v>0</v>
      </c>
      <c r="AA200" s="30">
        <v>0</v>
      </c>
      <c r="AB200" s="30">
        <v>0</v>
      </c>
      <c r="AC200" s="30">
        <v>0</v>
      </c>
      <c r="AD200" s="30">
        <v>0</v>
      </c>
      <c r="AE200" s="30">
        <v>0</v>
      </c>
      <c r="AF200" s="30">
        <v>0</v>
      </c>
      <c r="AG200" s="30">
        <v>0</v>
      </c>
      <c r="AH200" s="30">
        <v>0</v>
      </c>
      <c r="AI200" s="30">
        <v>0</v>
      </c>
      <c r="AJ200" s="30">
        <v>0</v>
      </c>
      <c r="AK200" s="30">
        <v>0</v>
      </c>
      <c r="AL200" s="30">
        <v>0</v>
      </c>
      <c r="AM200" s="30">
        <v>0</v>
      </c>
      <c r="AN200" s="30">
        <v>0</v>
      </c>
      <c r="AO200" s="30">
        <v>0</v>
      </c>
      <c r="AP200" s="30">
        <v>0</v>
      </c>
      <c r="AQ200" s="30">
        <v>0</v>
      </c>
      <c r="AR200" s="30">
        <v>0</v>
      </c>
      <c r="AS200" s="30">
        <v>0</v>
      </c>
      <c r="AT200" s="30">
        <v>0</v>
      </c>
      <c r="AU200" s="30">
        <v>0</v>
      </c>
      <c r="AV200" s="30">
        <v>0</v>
      </c>
      <c r="AW200" s="30">
        <v>0</v>
      </c>
      <c r="AX200" s="30">
        <v>0</v>
      </c>
      <c r="AY200" s="30">
        <v>0</v>
      </c>
      <c r="AZ200" s="30">
        <v>0</v>
      </c>
      <c r="BA200" s="30">
        <v>0</v>
      </c>
      <c r="BB200" s="30">
        <v>0</v>
      </c>
      <c r="BC200" s="30">
        <v>0</v>
      </c>
      <c r="BD200" s="30">
        <v>0</v>
      </c>
      <c r="BE200" s="202"/>
      <c r="BF200" s="202"/>
      <c r="BG200" s="202"/>
      <c r="BH200" s="202"/>
      <c r="BI200" s="204" t="s">
        <v>182</v>
      </c>
      <c r="BJ200" s="37">
        <v>1</v>
      </c>
      <c r="BK200" s="37">
        <f>BJ200*1.1</f>
        <v>1.1000000000000001</v>
      </c>
      <c r="BL200" s="37">
        <f>BK200*1.1</f>
        <v>1.2100000000000002</v>
      </c>
      <c r="BN200" s="1"/>
      <c r="BO200" s="202"/>
      <c r="BP200" s="202"/>
    </row>
    <row r="201" spans="1:68" outlineLevel="1" x14ac:dyDescent="0.25">
      <c r="A201" s="213">
        <v>46023</v>
      </c>
      <c r="B201" s="81" t="s">
        <v>183</v>
      </c>
      <c r="C201" s="31">
        <f>100000/12</f>
        <v>8333.3333333333339</v>
      </c>
      <c r="D201" s="30">
        <v>1</v>
      </c>
      <c r="E201" s="30">
        <v>0</v>
      </c>
      <c r="F201" s="30">
        <v>0</v>
      </c>
      <c r="G201" s="30">
        <v>0</v>
      </c>
      <c r="H201" s="30">
        <v>0</v>
      </c>
      <c r="I201" s="30">
        <v>0</v>
      </c>
      <c r="J201" s="30">
        <v>0</v>
      </c>
      <c r="K201" s="30">
        <v>0</v>
      </c>
      <c r="L201" s="30">
        <v>0</v>
      </c>
      <c r="M201" s="30">
        <v>0</v>
      </c>
      <c r="N201" s="30">
        <v>0</v>
      </c>
      <c r="O201" s="30">
        <v>0</v>
      </c>
      <c r="P201" s="30">
        <v>0</v>
      </c>
      <c r="Q201" s="30">
        <v>0</v>
      </c>
      <c r="R201" s="30">
        <v>0</v>
      </c>
      <c r="S201" s="30">
        <v>0</v>
      </c>
      <c r="T201" s="30">
        <v>0</v>
      </c>
      <c r="U201" s="30">
        <v>0</v>
      </c>
      <c r="V201" s="30">
        <v>0</v>
      </c>
      <c r="W201" s="30">
        <v>0</v>
      </c>
      <c r="X201" s="30">
        <v>0</v>
      </c>
      <c r="Y201" s="30">
        <v>0</v>
      </c>
      <c r="Z201" s="30">
        <v>0</v>
      </c>
      <c r="AA201" s="30">
        <v>0</v>
      </c>
      <c r="AB201" s="30">
        <v>0</v>
      </c>
      <c r="AC201" s="30">
        <v>0</v>
      </c>
      <c r="AD201" s="30">
        <v>0</v>
      </c>
      <c r="AE201" s="30">
        <v>0</v>
      </c>
      <c r="AF201" s="30">
        <v>0</v>
      </c>
      <c r="AG201" s="30">
        <v>0</v>
      </c>
      <c r="AH201" s="30">
        <v>0</v>
      </c>
      <c r="AI201" s="30">
        <v>0</v>
      </c>
      <c r="AJ201" s="30">
        <v>0</v>
      </c>
      <c r="AK201" s="30">
        <v>0</v>
      </c>
      <c r="AL201" s="30">
        <v>0</v>
      </c>
      <c r="AM201" s="30">
        <v>0</v>
      </c>
      <c r="AN201" s="30">
        <v>0</v>
      </c>
      <c r="AO201" s="30">
        <v>0</v>
      </c>
      <c r="AP201" s="30">
        <v>0</v>
      </c>
      <c r="AQ201" s="30">
        <v>0</v>
      </c>
      <c r="AR201" s="30">
        <v>0</v>
      </c>
      <c r="AS201" s="30">
        <v>0</v>
      </c>
      <c r="AT201" s="30">
        <v>0</v>
      </c>
      <c r="AU201" s="30">
        <v>0</v>
      </c>
      <c r="AV201" s="30">
        <v>0</v>
      </c>
      <c r="AW201" s="30">
        <v>0</v>
      </c>
      <c r="AX201" s="30">
        <v>0</v>
      </c>
      <c r="AY201" s="30">
        <v>0</v>
      </c>
      <c r="AZ201" s="30">
        <v>0</v>
      </c>
      <c r="BA201" s="30">
        <v>0</v>
      </c>
      <c r="BB201" s="30">
        <v>0</v>
      </c>
      <c r="BC201" s="30">
        <v>0</v>
      </c>
      <c r="BD201" s="30">
        <v>0</v>
      </c>
      <c r="BE201" s="202"/>
      <c r="BF201" s="202"/>
      <c r="BG201" s="202"/>
      <c r="BH201" s="202"/>
      <c r="BI201" s="81" t="s">
        <v>183</v>
      </c>
      <c r="BJ201" s="37">
        <v>1</v>
      </c>
      <c r="BK201" s="37">
        <f>BJ201*1.1</f>
        <v>1.1000000000000001</v>
      </c>
      <c r="BL201" s="37">
        <f>BK201*1.1</f>
        <v>1.2100000000000002</v>
      </c>
      <c r="BN201" s="1"/>
      <c r="BO201" s="202"/>
      <c r="BP201" s="202"/>
    </row>
    <row r="202" spans="1:68" outlineLevel="1" x14ac:dyDescent="0.25">
      <c r="A202" s="213"/>
      <c r="B202" s="204"/>
      <c r="C202" s="202"/>
      <c r="D202" s="202"/>
      <c r="E202" s="202"/>
      <c r="F202" s="202"/>
      <c r="G202" s="202"/>
      <c r="H202" s="202"/>
      <c r="I202" s="202"/>
      <c r="J202" s="202"/>
      <c r="K202" s="202"/>
      <c r="L202" s="202"/>
      <c r="M202" s="202"/>
      <c r="N202" s="202"/>
      <c r="O202" s="202"/>
      <c r="P202" s="202"/>
      <c r="Q202" s="202"/>
      <c r="R202" s="202"/>
      <c r="S202" s="202"/>
      <c r="T202" s="202"/>
      <c r="U202" s="202"/>
      <c r="V202" s="202"/>
      <c r="W202" s="202"/>
      <c r="X202" s="202"/>
      <c r="Y202" s="202"/>
      <c r="Z202" s="202"/>
      <c r="AA202" s="202"/>
      <c r="AB202" s="202"/>
      <c r="AC202" s="202"/>
      <c r="AD202" s="202"/>
      <c r="AE202" s="202"/>
      <c r="AF202" s="202"/>
      <c r="AG202" s="202"/>
      <c r="AH202" s="202"/>
      <c r="AI202" s="202"/>
      <c r="AJ202" s="202"/>
      <c r="AK202" s="202"/>
      <c r="AL202" s="202"/>
      <c r="AM202" s="202"/>
      <c r="AN202" s="202"/>
      <c r="AO202" s="202"/>
      <c r="AP202" s="202"/>
      <c r="AQ202" s="202"/>
      <c r="AR202" s="202"/>
      <c r="AS202" s="202"/>
      <c r="AT202" s="202"/>
      <c r="AU202" s="202"/>
      <c r="AV202" s="202"/>
      <c r="AW202" s="202"/>
      <c r="AX202" s="202"/>
      <c r="AY202" s="202"/>
      <c r="AZ202" s="202"/>
      <c r="BA202" s="202"/>
      <c r="BB202" s="202"/>
      <c r="BC202" s="202"/>
      <c r="BD202" s="202"/>
      <c r="BE202" s="202"/>
      <c r="BF202" s="202"/>
      <c r="BG202" s="202"/>
      <c r="BH202" s="202"/>
      <c r="BI202" s="204"/>
      <c r="BJ202" s="204"/>
      <c r="BK202" s="204"/>
      <c r="BL202" s="204"/>
      <c r="BO202" s="202"/>
      <c r="BP202" s="202"/>
    </row>
    <row r="203" spans="1:68" outlineLevel="1" x14ac:dyDescent="0.25">
      <c r="A203" s="213">
        <v>45658</v>
      </c>
      <c r="B203" s="204" t="s">
        <v>184</v>
      </c>
      <c r="C203" s="31">
        <f>125000/12</f>
        <v>10416.666666666666</v>
      </c>
      <c r="D203" s="30">
        <v>1</v>
      </c>
      <c r="E203" s="30">
        <v>0</v>
      </c>
      <c r="F203" s="30">
        <v>0</v>
      </c>
      <c r="G203" s="30">
        <v>0</v>
      </c>
      <c r="H203" s="30">
        <v>0</v>
      </c>
      <c r="I203" s="30">
        <v>0</v>
      </c>
      <c r="J203" s="30">
        <v>0</v>
      </c>
      <c r="K203" s="30">
        <v>0</v>
      </c>
      <c r="L203" s="30">
        <v>0</v>
      </c>
      <c r="M203" s="30">
        <v>0</v>
      </c>
      <c r="N203" s="30">
        <v>0</v>
      </c>
      <c r="O203" s="30">
        <v>0</v>
      </c>
      <c r="P203" s="30">
        <v>0</v>
      </c>
      <c r="Q203" s="30">
        <v>0</v>
      </c>
      <c r="R203" s="30">
        <v>0</v>
      </c>
      <c r="S203" s="30">
        <v>0</v>
      </c>
      <c r="T203" s="30">
        <v>0</v>
      </c>
      <c r="U203" s="30">
        <v>0</v>
      </c>
      <c r="V203" s="30">
        <v>0</v>
      </c>
      <c r="W203" s="30">
        <v>0</v>
      </c>
      <c r="X203" s="30">
        <v>0</v>
      </c>
      <c r="Y203" s="30">
        <v>0</v>
      </c>
      <c r="Z203" s="30">
        <v>0</v>
      </c>
      <c r="AA203" s="30">
        <v>0</v>
      </c>
      <c r="AB203" s="30">
        <v>0</v>
      </c>
      <c r="AC203" s="30">
        <v>0</v>
      </c>
      <c r="AD203" s="30">
        <v>0</v>
      </c>
      <c r="AE203" s="30">
        <v>0</v>
      </c>
      <c r="AF203" s="30">
        <v>0</v>
      </c>
      <c r="AG203" s="30">
        <v>0</v>
      </c>
      <c r="AH203" s="30">
        <v>0</v>
      </c>
      <c r="AI203" s="30">
        <v>0</v>
      </c>
      <c r="AJ203" s="30">
        <v>0</v>
      </c>
      <c r="AK203" s="30">
        <v>0</v>
      </c>
      <c r="AL203" s="30">
        <v>0</v>
      </c>
      <c r="AM203" s="30">
        <v>0</v>
      </c>
      <c r="AN203" s="30">
        <v>0</v>
      </c>
      <c r="AO203" s="30">
        <v>0</v>
      </c>
      <c r="AP203" s="30">
        <v>0</v>
      </c>
      <c r="AQ203" s="30">
        <v>0</v>
      </c>
      <c r="AR203" s="30">
        <v>0</v>
      </c>
      <c r="AS203" s="30">
        <v>0</v>
      </c>
      <c r="AT203" s="30">
        <v>0</v>
      </c>
      <c r="AU203" s="30">
        <v>0</v>
      </c>
      <c r="AV203" s="30">
        <v>0</v>
      </c>
      <c r="AW203" s="30">
        <v>0</v>
      </c>
      <c r="AX203" s="30">
        <v>0</v>
      </c>
      <c r="AY203" s="30">
        <v>0</v>
      </c>
      <c r="AZ203" s="30">
        <v>0</v>
      </c>
      <c r="BA203" s="30">
        <v>0</v>
      </c>
      <c r="BB203" s="30">
        <v>0</v>
      </c>
      <c r="BC203" s="30">
        <v>0</v>
      </c>
      <c r="BD203" s="30">
        <v>0</v>
      </c>
      <c r="BE203" s="202"/>
      <c r="BF203" s="202"/>
      <c r="BG203" s="202"/>
      <c r="BH203" s="202"/>
      <c r="BI203" s="204" t="s">
        <v>184</v>
      </c>
      <c r="BJ203" s="37">
        <v>1</v>
      </c>
      <c r="BK203" s="37">
        <f t="shared" ref="BK203:BL211" si="151">BJ203*1.1</f>
        <v>1.1000000000000001</v>
      </c>
      <c r="BL203" s="37">
        <f t="shared" si="151"/>
        <v>1.2100000000000002</v>
      </c>
      <c r="BO203" s="202"/>
      <c r="BP203" s="202"/>
    </row>
    <row r="204" spans="1:68" outlineLevel="1" x14ac:dyDescent="0.25">
      <c r="A204" s="213">
        <v>45962</v>
      </c>
      <c r="B204" s="204" t="s">
        <v>185</v>
      </c>
      <c r="C204" s="31">
        <v>6250</v>
      </c>
      <c r="D204" s="30">
        <v>1</v>
      </c>
      <c r="E204" s="30">
        <v>0</v>
      </c>
      <c r="F204" s="30">
        <v>0</v>
      </c>
      <c r="G204" s="30">
        <v>0</v>
      </c>
      <c r="H204" s="30">
        <v>0</v>
      </c>
      <c r="I204" s="30">
        <v>0</v>
      </c>
      <c r="J204" s="30">
        <v>0</v>
      </c>
      <c r="K204" s="30">
        <v>0</v>
      </c>
      <c r="L204" s="30">
        <v>0</v>
      </c>
      <c r="M204" s="30">
        <v>0</v>
      </c>
      <c r="N204" s="30">
        <v>0</v>
      </c>
      <c r="O204" s="30">
        <v>0</v>
      </c>
      <c r="P204" s="30">
        <v>0</v>
      </c>
      <c r="Q204" s="30">
        <v>0</v>
      </c>
      <c r="R204" s="30">
        <v>0</v>
      </c>
      <c r="S204" s="30">
        <v>0</v>
      </c>
      <c r="T204" s="30">
        <v>0</v>
      </c>
      <c r="U204" s="30">
        <v>0</v>
      </c>
      <c r="V204" s="30">
        <v>0</v>
      </c>
      <c r="W204" s="30">
        <v>0</v>
      </c>
      <c r="X204" s="30">
        <v>0</v>
      </c>
      <c r="Y204" s="30">
        <v>0</v>
      </c>
      <c r="Z204" s="30">
        <v>0</v>
      </c>
      <c r="AA204" s="30">
        <v>0</v>
      </c>
      <c r="AB204" s="30">
        <v>0</v>
      </c>
      <c r="AC204" s="30">
        <v>0</v>
      </c>
      <c r="AD204" s="30">
        <v>0</v>
      </c>
      <c r="AE204" s="30">
        <v>0</v>
      </c>
      <c r="AF204" s="30">
        <v>0</v>
      </c>
      <c r="AG204" s="30">
        <v>0</v>
      </c>
      <c r="AH204" s="30">
        <v>0</v>
      </c>
      <c r="AI204" s="30">
        <v>0</v>
      </c>
      <c r="AJ204" s="30">
        <v>0</v>
      </c>
      <c r="AK204" s="30">
        <v>0</v>
      </c>
      <c r="AL204" s="30">
        <v>0</v>
      </c>
      <c r="AM204" s="30">
        <v>0</v>
      </c>
      <c r="AN204" s="30">
        <v>0</v>
      </c>
      <c r="AO204" s="30">
        <v>0</v>
      </c>
      <c r="AP204" s="30">
        <v>0</v>
      </c>
      <c r="AQ204" s="30">
        <v>0</v>
      </c>
      <c r="AR204" s="30">
        <v>0</v>
      </c>
      <c r="AS204" s="30">
        <v>0</v>
      </c>
      <c r="AT204" s="30">
        <v>0</v>
      </c>
      <c r="AU204" s="30">
        <v>0</v>
      </c>
      <c r="AV204" s="30">
        <v>0</v>
      </c>
      <c r="AW204" s="30">
        <v>0</v>
      </c>
      <c r="AX204" s="30">
        <v>0</v>
      </c>
      <c r="AY204" s="30">
        <v>0</v>
      </c>
      <c r="AZ204" s="30">
        <v>0</v>
      </c>
      <c r="BA204" s="30">
        <v>0</v>
      </c>
      <c r="BB204" s="30">
        <v>0</v>
      </c>
      <c r="BC204" s="30">
        <v>0</v>
      </c>
      <c r="BD204" s="30">
        <v>0</v>
      </c>
      <c r="BE204" s="202"/>
      <c r="BF204" s="202"/>
      <c r="BG204" s="202"/>
      <c r="BH204" s="202"/>
      <c r="BI204" s="204" t="s">
        <v>185</v>
      </c>
      <c r="BJ204" s="37">
        <v>1</v>
      </c>
      <c r="BK204" s="37">
        <f t="shared" si="151"/>
        <v>1.1000000000000001</v>
      </c>
      <c r="BL204" s="37">
        <f t="shared" si="151"/>
        <v>1.2100000000000002</v>
      </c>
      <c r="BO204" s="202"/>
      <c r="BP204" s="202"/>
    </row>
    <row r="205" spans="1:68" outlineLevel="1" x14ac:dyDescent="0.25">
      <c r="A205" s="213">
        <v>45658</v>
      </c>
      <c r="B205" s="204" t="s">
        <v>186</v>
      </c>
      <c r="C205" s="31">
        <f>100000/12</f>
        <v>8333.3333333333339</v>
      </c>
      <c r="D205" s="30">
        <v>1</v>
      </c>
      <c r="E205" s="30">
        <v>0</v>
      </c>
      <c r="F205" s="30">
        <v>0</v>
      </c>
      <c r="G205" s="30">
        <v>0</v>
      </c>
      <c r="H205" s="30">
        <v>0</v>
      </c>
      <c r="I205" s="30">
        <v>0</v>
      </c>
      <c r="J205" s="30">
        <v>0</v>
      </c>
      <c r="K205" s="30">
        <v>0</v>
      </c>
      <c r="L205" s="30">
        <v>0</v>
      </c>
      <c r="M205" s="30">
        <v>0</v>
      </c>
      <c r="N205" s="30">
        <v>0</v>
      </c>
      <c r="O205" s="30">
        <v>0</v>
      </c>
      <c r="P205" s="30">
        <v>0</v>
      </c>
      <c r="Q205" s="30">
        <v>1</v>
      </c>
      <c r="R205" s="30">
        <v>0</v>
      </c>
      <c r="S205" s="30">
        <v>0</v>
      </c>
      <c r="T205" s="30">
        <v>0</v>
      </c>
      <c r="U205" s="30">
        <v>0</v>
      </c>
      <c r="V205" s="30">
        <v>0</v>
      </c>
      <c r="W205" s="30">
        <v>0</v>
      </c>
      <c r="X205" s="30">
        <v>0</v>
      </c>
      <c r="Y205" s="30">
        <v>0</v>
      </c>
      <c r="Z205" s="30">
        <v>0</v>
      </c>
      <c r="AA205" s="30">
        <v>0</v>
      </c>
      <c r="AB205" s="30">
        <v>0</v>
      </c>
      <c r="AC205" s="30">
        <v>0</v>
      </c>
      <c r="AD205" s="30">
        <v>0</v>
      </c>
      <c r="AE205" s="30">
        <v>0</v>
      </c>
      <c r="AF205" s="30">
        <v>0</v>
      </c>
      <c r="AG205" s="30">
        <v>0</v>
      </c>
      <c r="AH205" s="30">
        <v>0</v>
      </c>
      <c r="AI205" s="30">
        <v>0</v>
      </c>
      <c r="AJ205" s="30">
        <v>0</v>
      </c>
      <c r="AK205" s="30">
        <v>0</v>
      </c>
      <c r="AL205" s="30">
        <v>0</v>
      </c>
      <c r="AM205" s="30">
        <v>0</v>
      </c>
      <c r="AN205" s="30">
        <v>0</v>
      </c>
      <c r="AO205" s="30">
        <v>0</v>
      </c>
      <c r="AP205" s="30">
        <v>0</v>
      </c>
      <c r="AQ205" s="30">
        <v>0</v>
      </c>
      <c r="AR205" s="30">
        <v>0</v>
      </c>
      <c r="AS205" s="30">
        <v>0</v>
      </c>
      <c r="AT205" s="30">
        <v>0</v>
      </c>
      <c r="AU205" s="30">
        <v>0</v>
      </c>
      <c r="AV205" s="30">
        <v>0</v>
      </c>
      <c r="AW205" s="30">
        <v>0</v>
      </c>
      <c r="AX205" s="30">
        <v>0</v>
      </c>
      <c r="AY205" s="30">
        <v>1</v>
      </c>
      <c r="AZ205" s="30">
        <v>0</v>
      </c>
      <c r="BA205" s="30">
        <v>0</v>
      </c>
      <c r="BB205" s="30">
        <v>1</v>
      </c>
      <c r="BC205" s="30">
        <v>0</v>
      </c>
      <c r="BD205" s="30">
        <v>0</v>
      </c>
      <c r="BE205" s="202"/>
      <c r="BF205" s="202"/>
      <c r="BG205" s="202"/>
      <c r="BH205" s="202"/>
      <c r="BI205" s="204" t="s">
        <v>186</v>
      </c>
      <c r="BJ205" s="37">
        <v>1</v>
      </c>
      <c r="BK205" s="37">
        <f t="shared" si="151"/>
        <v>1.1000000000000001</v>
      </c>
      <c r="BL205" s="37">
        <f t="shared" si="151"/>
        <v>1.2100000000000002</v>
      </c>
      <c r="BO205" s="202"/>
      <c r="BP205" s="202"/>
    </row>
    <row r="206" spans="1:68" outlineLevel="1" x14ac:dyDescent="0.25">
      <c r="A206" s="213">
        <v>45658</v>
      </c>
      <c r="B206" s="204" t="s">
        <v>187</v>
      </c>
      <c r="C206" s="31">
        <v>9166.6666666666661</v>
      </c>
      <c r="D206" s="30">
        <v>1</v>
      </c>
      <c r="E206" s="30">
        <v>0</v>
      </c>
      <c r="F206" s="30">
        <v>0</v>
      </c>
      <c r="G206" s="30">
        <v>0</v>
      </c>
      <c r="H206" s="30">
        <v>0</v>
      </c>
      <c r="I206" s="30">
        <v>0</v>
      </c>
      <c r="J206" s="30">
        <v>0</v>
      </c>
      <c r="K206" s="30">
        <v>0</v>
      </c>
      <c r="L206" s="30">
        <v>0</v>
      </c>
      <c r="M206" s="30">
        <v>0</v>
      </c>
      <c r="N206" s="30">
        <v>0</v>
      </c>
      <c r="O206" s="30">
        <v>0</v>
      </c>
      <c r="P206" s="30">
        <v>0</v>
      </c>
      <c r="Q206" s="30">
        <v>0</v>
      </c>
      <c r="R206" s="30">
        <v>0</v>
      </c>
      <c r="S206" s="30">
        <v>0</v>
      </c>
      <c r="T206" s="30">
        <v>0</v>
      </c>
      <c r="U206" s="30">
        <v>0</v>
      </c>
      <c r="V206" s="30">
        <v>0</v>
      </c>
      <c r="W206" s="30">
        <v>0</v>
      </c>
      <c r="X206" s="30">
        <v>0</v>
      </c>
      <c r="Y206" s="30">
        <v>0</v>
      </c>
      <c r="Z206" s="30">
        <v>0</v>
      </c>
      <c r="AA206" s="30">
        <v>0</v>
      </c>
      <c r="AB206" s="30">
        <v>0</v>
      </c>
      <c r="AC206" s="30">
        <v>0</v>
      </c>
      <c r="AD206" s="30">
        <v>0</v>
      </c>
      <c r="AE206" s="30">
        <v>0</v>
      </c>
      <c r="AF206" s="30">
        <v>0</v>
      </c>
      <c r="AG206" s="30">
        <v>0</v>
      </c>
      <c r="AH206" s="30">
        <v>0</v>
      </c>
      <c r="AI206" s="30">
        <v>0</v>
      </c>
      <c r="AJ206" s="30">
        <v>0</v>
      </c>
      <c r="AK206" s="30">
        <v>0</v>
      </c>
      <c r="AL206" s="30">
        <v>0</v>
      </c>
      <c r="AM206" s="30">
        <v>0</v>
      </c>
      <c r="AN206" s="30">
        <v>0</v>
      </c>
      <c r="AO206" s="30">
        <v>0</v>
      </c>
      <c r="AP206" s="30">
        <v>0</v>
      </c>
      <c r="AQ206" s="30">
        <v>0</v>
      </c>
      <c r="AR206" s="30">
        <v>0</v>
      </c>
      <c r="AS206" s="30">
        <v>0</v>
      </c>
      <c r="AT206" s="30">
        <v>0</v>
      </c>
      <c r="AU206" s="30">
        <v>0</v>
      </c>
      <c r="AV206" s="30">
        <v>0</v>
      </c>
      <c r="AW206" s="30">
        <v>0</v>
      </c>
      <c r="AX206" s="30">
        <v>0</v>
      </c>
      <c r="AY206" s="30">
        <v>0</v>
      </c>
      <c r="AZ206" s="30">
        <v>0</v>
      </c>
      <c r="BA206" s="30">
        <v>0</v>
      </c>
      <c r="BB206" s="30">
        <v>0</v>
      </c>
      <c r="BC206" s="30">
        <v>0</v>
      </c>
      <c r="BD206" s="30">
        <v>0</v>
      </c>
      <c r="BE206" s="202"/>
      <c r="BF206" s="202"/>
      <c r="BG206" s="202"/>
      <c r="BH206" s="202"/>
      <c r="BI206" s="204" t="s">
        <v>187</v>
      </c>
      <c r="BJ206" s="37">
        <v>1</v>
      </c>
      <c r="BK206" s="37">
        <f t="shared" si="151"/>
        <v>1.1000000000000001</v>
      </c>
      <c r="BL206" s="37">
        <f t="shared" si="151"/>
        <v>1.2100000000000002</v>
      </c>
      <c r="BO206" s="202"/>
      <c r="BP206" s="202"/>
    </row>
    <row r="207" spans="1:68" outlineLevel="1" x14ac:dyDescent="0.25">
      <c r="A207" s="213">
        <v>45658</v>
      </c>
      <c r="B207" s="204" t="s">
        <v>188</v>
      </c>
      <c r="C207" s="31">
        <v>6250</v>
      </c>
      <c r="D207" s="30">
        <v>1</v>
      </c>
      <c r="E207" s="30">
        <v>0</v>
      </c>
      <c r="F207" s="30">
        <v>0</v>
      </c>
      <c r="G207" s="30">
        <v>0</v>
      </c>
      <c r="H207" s="30">
        <v>0</v>
      </c>
      <c r="I207" s="30">
        <v>0</v>
      </c>
      <c r="J207" s="30">
        <v>0</v>
      </c>
      <c r="K207" s="30">
        <v>0</v>
      </c>
      <c r="L207" s="30">
        <v>0</v>
      </c>
      <c r="M207" s="30">
        <v>0</v>
      </c>
      <c r="N207" s="30">
        <v>0</v>
      </c>
      <c r="O207" s="30">
        <v>0</v>
      </c>
      <c r="P207" s="30">
        <v>0</v>
      </c>
      <c r="Q207" s="30">
        <v>0</v>
      </c>
      <c r="R207" s="30">
        <v>0</v>
      </c>
      <c r="S207" s="30">
        <v>0</v>
      </c>
      <c r="T207" s="30">
        <v>0</v>
      </c>
      <c r="U207" s="30">
        <v>0</v>
      </c>
      <c r="V207" s="30">
        <v>0</v>
      </c>
      <c r="W207" s="30">
        <v>0</v>
      </c>
      <c r="X207" s="30">
        <v>0</v>
      </c>
      <c r="Y207" s="30">
        <v>0</v>
      </c>
      <c r="Z207" s="30">
        <v>0</v>
      </c>
      <c r="AA207" s="30">
        <v>0</v>
      </c>
      <c r="AB207" s="30">
        <v>0</v>
      </c>
      <c r="AC207" s="30">
        <v>0</v>
      </c>
      <c r="AD207" s="30">
        <v>0</v>
      </c>
      <c r="AE207" s="30">
        <v>0</v>
      </c>
      <c r="AF207" s="30">
        <v>0</v>
      </c>
      <c r="AG207" s="30">
        <v>0</v>
      </c>
      <c r="AH207" s="30">
        <v>0</v>
      </c>
      <c r="AI207" s="30">
        <v>0</v>
      </c>
      <c r="AJ207" s="30">
        <v>0</v>
      </c>
      <c r="AK207" s="30">
        <v>0</v>
      </c>
      <c r="AL207" s="30">
        <v>0</v>
      </c>
      <c r="AM207" s="30">
        <v>0</v>
      </c>
      <c r="AN207" s="30">
        <v>0</v>
      </c>
      <c r="AO207" s="30">
        <v>0</v>
      </c>
      <c r="AP207" s="30">
        <v>0</v>
      </c>
      <c r="AQ207" s="30">
        <v>0</v>
      </c>
      <c r="AR207" s="30">
        <v>0</v>
      </c>
      <c r="AS207" s="30">
        <v>0</v>
      </c>
      <c r="AT207" s="30">
        <v>0</v>
      </c>
      <c r="AU207" s="30">
        <v>0</v>
      </c>
      <c r="AV207" s="30">
        <v>0</v>
      </c>
      <c r="AW207" s="30">
        <v>0</v>
      </c>
      <c r="AX207" s="30">
        <v>0</v>
      </c>
      <c r="AY207" s="30">
        <v>0</v>
      </c>
      <c r="AZ207" s="30">
        <v>0</v>
      </c>
      <c r="BA207" s="30">
        <v>0</v>
      </c>
      <c r="BB207" s="30">
        <v>0</v>
      </c>
      <c r="BC207" s="30">
        <v>0</v>
      </c>
      <c r="BD207" s="30">
        <v>0</v>
      </c>
      <c r="BE207" s="202"/>
      <c r="BF207" s="202"/>
      <c r="BG207" s="202"/>
      <c r="BH207" s="202"/>
      <c r="BI207" s="204" t="s">
        <v>188</v>
      </c>
      <c r="BJ207" s="37">
        <v>1</v>
      </c>
      <c r="BK207" s="37">
        <f t="shared" si="151"/>
        <v>1.1000000000000001</v>
      </c>
      <c r="BL207" s="37">
        <f t="shared" si="151"/>
        <v>1.2100000000000002</v>
      </c>
      <c r="BO207" s="202"/>
      <c r="BP207" s="202"/>
    </row>
    <row r="208" spans="1:68" outlineLevel="1" x14ac:dyDescent="0.25">
      <c r="A208" s="213">
        <v>46023</v>
      </c>
      <c r="B208" s="81" t="s">
        <v>189</v>
      </c>
      <c r="C208" s="31">
        <f>100000/12</f>
        <v>8333.3333333333339</v>
      </c>
      <c r="D208" s="30">
        <v>0</v>
      </c>
      <c r="E208" s="30">
        <v>0</v>
      </c>
      <c r="F208" s="30">
        <v>0</v>
      </c>
      <c r="G208" s="30">
        <v>0</v>
      </c>
      <c r="H208" s="30">
        <v>0</v>
      </c>
      <c r="I208" s="30">
        <v>0</v>
      </c>
      <c r="J208" s="30">
        <v>0</v>
      </c>
      <c r="K208" s="30">
        <v>0</v>
      </c>
      <c r="L208" s="30">
        <v>0</v>
      </c>
      <c r="M208" s="30">
        <v>0</v>
      </c>
      <c r="N208" s="30">
        <v>0</v>
      </c>
      <c r="O208" s="30">
        <v>0</v>
      </c>
      <c r="P208" s="30">
        <v>0</v>
      </c>
      <c r="Q208" s="30">
        <v>1</v>
      </c>
      <c r="R208" s="30">
        <v>0</v>
      </c>
      <c r="S208" s="30">
        <v>0</v>
      </c>
      <c r="T208" s="30">
        <v>0</v>
      </c>
      <c r="U208" s="30">
        <v>0</v>
      </c>
      <c r="V208" s="30">
        <v>0</v>
      </c>
      <c r="W208" s="30">
        <v>0</v>
      </c>
      <c r="X208" s="30">
        <v>0</v>
      </c>
      <c r="Y208" s="30">
        <v>0</v>
      </c>
      <c r="Z208" s="30">
        <v>0</v>
      </c>
      <c r="AA208" s="30">
        <v>0</v>
      </c>
      <c r="AB208" s="30">
        <v>0</v>
      </c>
      <c r="AC208" s="30">
        <v>0</v>
      </c>
      <c r="AD208" s="30">
        <v>0</v>
      </c>
      <c r="AE208" s="30">
        <v>0</v>
      </c>
      <c r="AF208" s="30">
        <v>0</v>
      </c>
      <c r="AG208" s="30">
        <v>0</v>
      </c>
      <c r="AH208" s="30">
        <v>0</v>
      </c>
      <c r="AI208" s="30">
        <v>0</v>
      </c>
      <c r="AJ208" s="30">
        <v>0</v>
      </c>
      <c r="AK208" s="30">
        <v>0</v>
      </c>
      <c r="AL208" s="30">
        <v>0</v>
      </c>
      <c r="AM208" s="30">
        <v>0</v>
      </c>
      <c r="AN208" s="30">
        <v>0</v>
      </c>
      <c r="AO208" s="30">
        <v>0</v>
      </c>
      <c r="AP208" s="30">
        <v>0</v>
      </c>
      <c r="AQ208" s="30">
        <v>0</v>
      </c>
      <c r="AR208" s="30">
        <v>0</v>
      </c>
      <c r="AS208" s="30">
        <v>0</v>
      </c>
      <c r="AT208" s="30">
        <v>0</v>
      </c>
      <c r="AU208" s="30">
        <v>0</v>
      </c>
      <c r="AV208" s="30">
        <v>0</v>
      </c>
      <c r="AW208" s="30">
        <v>0</v>
      </c>
      <c r="AX208" s="30">
        <v>0</v>
      </c>
      <c r="AY208" s="30">
        <v>0</v>
      </c>
      <c r="AZ208" s="30">
        <v>0</v>
      </c>
      <c r="BA208" s="30">
        <v>0</v>
      </c>
      <c r="BB208" s="30">
        <v>0</v>
      </c>
      <c r="BC208" s="30">
        <v>0</v>
      </c>
      <c r="BD208" s="30">
        <v>0</v>
      </c>
      <c r="BE208" s="202"/>
      <c r="BF208" s="202"/>
      <c r="BG208" s="202"/>
      <c r="BH208" s="202"/>
      <c r="BI208" s="81" t="s">
        <v>189</v>
      </c>
      <c r="BJ208" s="37">
        <v>1</v>
      </c>
      <c r="BK208" s="37">
        <f t="shared" si="151"/>
        <v>1.1000000000000001</v>
      </c>
      <c r="BL208" s="37">
        <f t="shared" si="151"/>
        <v>1.2100000000000002</v>
      </c>
      <c r="BO208" s="202"/>
      <c r="BP208" s="202"/>
    </row>
    <row r="209" spans="1:68" outlineLevel="1" x14ac:dyDescent="0.25">
      <c r="A209" s="213">
        <v>46388</v>
      </c>
      <c r="B209" s="81" t="s">
        <v>189</v>
      </c>
      <c r="C209" s="31">
        <f t="shared" ref="C209:C210" si="152">100000/12</f>
        <v>8333.3333333333339</v>
      </c>
      <c r="D209" s="30">
        <v>0</v>
      </c>
      <c r="E209" s="30">
        <v>0</v>
      </c>
      <c r="F209" s="30">
        <v>0</v>
      </c>
      <c r="G209" s="30">
        <v>0</v>
      </c>
      <c r="H209" s="30">
        <v>0</v>
      </c>
      <c r="I209" s="30">
        <v>0</v>
      </c>
      <c r="J209" s="30">
        <v>0</v>
      </c>
      <c r="K209" s="30">
        <v>0</v>
      </c>
      <c r="L209" s="30">
        <v>0</v>
      </c>
      <c r="M209" s="30">
        <v>0</v>
      </c>
      <c r="N209" s="30">
        <v>0</v>
      </c>
      <c r="O209" s="30">
        <v>0</v>
      </c>
      <c r="P209" s="30">
        <v>0</v>
      </c>
      <c r="Q209" s="30">
        <v>0</v>
      </c>
      <c r="R209" s="30">
        <v>0</v>
      </c>
      <c r="S209" s="30">
        <v>0</v>
      </c>
      <c r="T209" s="30">
        <v>0</v>
      </c>
      <c r="U209" s="30">
        <v>0</v>
      </c>
      <c r="V209" s="30">
        <v>1</v>
      </c>
      <c r="W209" s="30">
        <v>0</v>
      </c>
      <c r="X209" s="30">
        <v>0</v>
      </c>
      <c r="Y209" s="30">
        <v>0</v>
      </c>
      <c r="Z209" s="30">
        <v>0</v>
      </c>
      <c r="AA209" s="30">
        <v>0</v>
      </c>
      <c r="AB209" s="30">
        <v>0</v>
      </c>
      <c r="AC209" s="30">
        <v>0</v>
      </c>
      <c r="AD209" s="30">
        <v>0</v>
      </c>
      <c r="AE209" s="30">
        <v>0</v>
      </c>
      <c r="AF209" s="30">
        <v>0</v>
      </c>
      <c r="AG209" s="30">
        <v>0</v>
      </c>
      <c r="AH209" s="30">
        <v>0</v>
      </c>
      <c r="AI209" s="30">
        <v>0</v>
      </c>
      <c r="AJ209" s="30">
        <v>0</v>
      </c>
      <c r="AK209" s="30">
        <v>0</v>
      </c>
      <c r="AL209" s="30">
        <v>0</v>
      </c>
      <c r="AM209" s="30">
        <v>0</v>
      </c>
      <c r="AN209" s="30">
        <v>0</v>
      </c>
      <c r="AO209" s="30">
        <v>0</v>
      </c>
      <c r="AP209" s="30">
        <v>0</v>
      </c>
      <c r="AQ209" s="30">
        <v>0</v>
      </c>
      <c r="AR209" s="30">
        <v>0</v>
      </c>
      <c r="AS209" s="30">
        <v>0</v>
      </c>
      <c r="AT209" s="30">
        <v>0</v>
      </c>
      <c r="AU209" s="30">
        <v>0</v>
      </c>
      <c r="AV209" s="30">
        <v>0</v>
      </c>
      <c r="AW209" s="30">
        <v>0</v>
      </c>
      <c r="AX209" s="30">
        <v>0</v>
      </c>
      <c r="AY209" s="30">
        <v>0</v>
      </c>
      <c r="AZ209" s="30">
        <v>0</v>
      </c>
      <c r="BA209" s="30">
        <v>0</v>
      </c>
      <c r="BB209" s="30">
        <v>0</v>
      </c>
      <c r="BC209" s="30">
        <v>0</v>
      </c>
      <c r="BD209" s="30">
        <v>0</v>
      </c>
      <c r="BE209" s="202"/>
      <c r="BF209" s="202"/>
      <c r="BG209" s="202"/>
      <c r="BH209" s="202"/>
      <c r="BI209" s="81" t="s">
        <v>189</v>
      </c>
      <c r="BJ209" s="37">
        <v>1</v>
      </c>
      <c r="BK209" s="37">
        <f t="shared" si="151"/>
        <v>1.1000000000000001</v>
      </c>
      <c r="BL209" s="37">
        <f t="shared" si="151"/>
        <v>1.2100000000000002</v>
      </c>
      <c r="BO209" s="202"/>
      <c r="BP209" s="202"/>
    </row>
    <row r="210" spans="1:68" outlineLevel="1" x14ac:dyDescent="0.25">
      <c r="A210" s="213">
        <v>46753</v>
      </c>
      <c r="B210" s="81" t="s">
        <v>189</v>
      </c>
      <c r="C210" s="31">
        <f t="shared" si="152"/>
        <v>8333.3333333333339</v>
      </c>
      <c r="D210" s="30">
        <v>1</v>
      </c>
      <c r="E210" s="30">
        <v>0</v>
      </c>
      <c r="F210" s="30">
        <v>0</v>
      </c>
      <c r="G210" s="30">
        <v>0</v>
      </c>
      <c r="H210" s="30">
        <v>0</v>
      </c>
      <c r="I210" s="30">
        <v>0</v>
      </c>
      <c r="J210" s="30">
        <v>0</v>
      </c>
      <c r="K210" s="30">
        <v>0</v>
      </c>
      <c r="L210" s="30">
        <v>0</v>
      </c>
      <c r="M210" s="30">
        <v>0</v>
      </c>
      <c r="N210" s="30">
        <v>0</v>
      </c>
      <c r="O210" s="30">
        <v>0</v>
      </c>
      <c r="P210" s="30">
        <v>0</v>
      </c>
      <c r="Q210" s="30">
        <v>0</v>
      </c>
      <c r="R210" s="30">
        <v>0</v>
      </c>
      <c r="S210" s="30">
        <v>0</v>
      </c>
      <c r="T210" s="30">
        <v>0</v>
      </c>
      <c r="U210" s="30">
        <v>0</v>
      </c>
      <c r="V210" s="30">
        <v>0</v>
      </c>
      <c r="W210" s="30">
        <v>0</v>
      </c>
      <c r="X210" s="30">
        <v>0</v>
      </c>
      <c r="Y210" s="30">
        <v>0</v>
      </c>
      <c r="Z210" s="30">
        <v>0</v>
      </c>
      <c r="AA210" s="30">
        <v>0</v>
      </c>
      <c r="AB210" s="30">
        <v>0</v>
      </c>
      <c r="AC210" s="30">
        <v>0</v>
      </c>
      <c r="AD210" s="30">
        <v>0</v>
      </c>
      <c r="AE210" s="30">
        <v>0</v>
      </c>
      <c r="AF210" s="30">
        <v>0</v>
      </c>
      <c r="AG210" s="30">
        <v>0</v>
      </c>
      <c r="AH210" s="30">
        <v>0</v>
      </c>
      <c r="AI210" s="30">
        <v>0</v>
      </c>
      <c r="AJ210" s="30">
        <v>1</v>
      </c>
      <c r="AK210" s="30">
        <v>0</v>
      </c>
      <c r="AL210" s="30">
        <v>0</v>
      </c>
      <c r="AM210" s="30">
        <v>0</v>
      </c>
      <c r="AN210" s="30">
        <v>0</v>
      </c>
      <c r="AO210" s="30">
        <v>0</v>
      </c>
      <c r="AP210" s="30">
        <v>0</v>
      </c>
      <c r="AQ210" s="30">
        <v>0</v>
      </c>
      <c r="AR210" s="30">
        <v>0</v>
      </c>
      <c r="AS210" s="30">
        <v>0</v>
      </c>
      <c r="AT210" s="30">
        <v>0</v>
      </c>
      <c r="AU210" s="30">
        <v>0</v>
      </c>
      <c r="AV210" s="30">
        <v>0</v>
      </c>
      <c r="AW210" s="30">
        <v>0</v>
      </c>
      <c r="AX210" s="30">
        <v>0</v>
      </c>
      <c r="AY210" s="30">
        <v>0</v>
      </c>
      <c r="AZ210" s="30">
        <v>0</v>
      </c>
      <c r="BA210" s="30">
        <v>0</v>
      </c>
      <c r="BB210" s="30">
        <v>0</v>
      </c>
      <c r="BC210" s="30">
        <v>0</v>
      </c>
      <c r="BD210" s="30">
        <v>0</v>
      </c>
      <c r="BE210" s="202"/>
      <c r="BF210" s="202"/>
      <c r="BG210" s="202"/>
      <c r="BH210" s="202"/>
      <c r="BI210" s="81" t="s">
        <v>189</v>
      </c>
      <c r="BJ210" s="37">
        <v>1</v>
      </c>
      <c r="BK210" s="37">
        <f t="shared" si="151"/>
        <v>1.1000000000000001</v>
      </c>
      <c r="BL210" s="37">
        <f t="shared" si="151"/>
        <v>1.2100000000000002</v>
      </c>
      <c r="BO210" s="202"/>
      <c r="BP210" s="202"/>
    </row>
    <row r="211" spans="1:68" outlineLevel="1" x14ac:dyDescent="0.25">
      <c r="A211" s="213">
        <v>45870</v>
      </c>
      <c r="B211" s="204" t="s">
        <v>190</v>
      </c>
      <c r="C211" s="31">
        <v>6250</v>
      </c>
      <c r="D211" s="30">
        <v>1</v>
      </c>
      <c r="E211" s="30">
        <v>0</v>
      </c>
      <c r="F211" s="30">
        <v>0</v>
      </c>
      <c r="G211" s="30">
        <v>0</v>
      </c>
      <c r="H211" s="30">
        <v>0</v>
      </c>
      <c r="I211" s="30">
        <v>0</v>
      </c>
      <c r="J211" s="30">
        <v>0</v>
      </c>
      <c r="K211" s="30">
        <v>0</v>
      </c>
      <c r="L211" s="30">
        <v>0</v>
      </c>
      <c r="M211" s="30">
        <v>0</v>
      </c>
      <c r="N211" s="30">
        <v>0</v>
      </c>
      <c r="O211" s="30">
        <v>0</v>
      </c>
      <c r="P211" s="30">
        <v>0</v>
      </c>
      <c r="Q211" s="30">
        <v>0</v>
      </c>
      <c r="R211" s="30">
        <v>0</v>
      </c>
      <c r="S211" s="30">
        <v>0</v>
      </c>
      <c r="T211" s="30">
        <v>0</v>
      </c>
      <c r="U211" s="30">
        <v>0</v>
      </c>
      <c r="V211" s="30">
        <v>0</v>
      </c>
      <c r="W211" s="30">
        <v>0</v>
      </c>
      <c r="X211" s="30">
        <v>0</v>
      </c>
      <c r="Y211" s="30">
        <v>0</v>
      </c>
      <c r="Z211" s="30">
        <v>0</v>
      </c>
      <c r="AA211" s="30">
        <v>0</v>
      </c>
      <c r="AB211" s="30">
        <v>0</v>
      </c>
      <c r="AC211" s="30">
        <v>0</v>
      </c>
      <c r="AD211" s="30">
        <v>0</v>
      </c>
      <c r="AE211" s="30">
        <v>0</v>
      </c>
      <c r="AF211" s="30">
        <v>0</v>
      </c>
      <c r="AG211" s="30">
        <v>0</v>
      </c>
      <c r="AH211" s="30">
        <v>0</v>
      </c>
      <c r="AI211" s="30">
        <v>0</v>
      </c>
      <c r="AJ211" s="30">
        <v>0</v>
      </c>
      <c r="AK211" s="30">
        <v>0</v>
      </c>
      <c r="AL211" s="30">
        <v>0</v>
      </c>
      <c r="AM211" s="30">
        <v>0</v>
      </c>
      <c r="AN211" s="30">
        <v>0</v>
      </c>
      <c r="AO211" s="30">
        <v>0</v>
      </c>
      <c r="AP211" s="30">
        <v>0</v>
      </c>
      <c r="AQ211" s="30">
        <v>0</v>
      </c>
      <c r="AR211" s="30">
        <v>0</v>
      </c>
      <c r="AS211" s="30">
        <v>0</v>
      </c>
      <c r="AT211" s="30">
        <v>0</v>
      </c>
      <c r="AU211" s="30">
        <v>0</v>
      </c>
      <c r="AV211" s="30">
        <v>0</v>
      </c>
      <c r="AW211" s="30">
        <v>0</v>
      </c>
      <c r="AX211" s="30">
        <v>0</v>
      </c>
      <c r="AY211" s="30">
        <v>0</v>
      </c>
      <c r="AZ211" s="30">
        <v>0</v>
      </c>
      <c r="BA211" s="30">
        <v>0</v>
      </c>
      <c r="BB211" s="30">
        <v>0</v>
      </c>
      <c r="BC211" s="30">
        <v>0</v>
      </c>
      <c r="BD211" s="30">
        <v>0</v>
      </c>
      <c r="BE211" s="202"/>
      <c r="BF211" s="202"/>
      <c r="BG211" s="202"/>
      <c r="BH211" s="202"/>
      <c r="BI211" s="204" t="s">
        <v>190</v>
      </c>
      <c r="BJ211" s="37">
        <v>1</v>
      </c>
      <c r="BK211" s="37">
        <f t="shared" si="151"/>
        <v>1.1000000000000001</v>
      </c>
      <c r="BL211" s="37">
        <f t="shared" si="151"/>
        <v>1.2100000000000002</v>
      </c>
      <c r="BO211" s="202"/>
      <c r="BP211" s="202"/>
    </row>
    <row r="212" spans="1:68" outlineLevel="1" x14ac:dyDescent="0.25">
      <c r="A212" s="213"/>
      <c r="B212" s="81"/>
      <c r="C212" s="202"/>
      <c r="D212" s="202"/>
      <c r="E212" s="202"/>
      <c r="F212" s="202"/>
      <c r="G212" s="202"/>
      <c r="H212" s="202"/>
      <c r="I212" s="202"/>
      <c r="J212" s="202"/>
      <c r="K212" s="202"/>
      <c r="L212" s="202"/>
      <c r="M212" s="202"/>
      <c r="N212" s="202"/>
      <c r="O212" s="202"/>
      <c r="P212" s="202"/>
      <c r="Q212" s="202"/>
      <c r="R212" s="202"/>
      <c r="S212" s="202"/>
      <c r="T212" s="202"/>
      <c r="U212" s="202"/>
      <c r="V212" s="202"/>
      <c r="W212" s="202"/>
      <c r="X212" s="202"/>
      <c r="Y212" s="202"/>
      <c r="Z212" s="202"/>
      <c r="AA212" s="202"/>
      <c r="AB212" s="202"/>
      <c r="AC212" s="202"/>
      <c r="AD212" s="202"/>
      <c r="AE212" s="202"/>
      <c r="AF212" s="202"/>
      <c r="AG212" s="202"/>
      <c r="AH212" s="202"/>
      <c r="AI212" s="202"/>
      <c r="AJ212" s="202"/>
      <c r="AK212" s="202"/>
      <c r="AL212" s="202"/>
      <c r="AM212" s="202"/>
      <c r="AN212" s="202"/>
      <c r="AO212" s="202"/>
      <c r="AP212" s="202"/>
      <c r="AQ212" s="202"/>
      <c r="AR212" s="202"/>
      <c r="AS212" s="202"/>
      <c r="AT212" s="202"/>
      <c r="AU212" s="202"/>
      <c r="AV212" s="202"/>
      <c r="AW212" s="202"/>
      <c r="AX212" s="202"/>
      <c r="AY212" s="202"/>
      <c r="AZ212" s="202"/>
      <c r="BA212" s="202"/>
      <c r="BB212" s="202"/>
      <c r="BC212" s="202"/>
      <c r="BD212" s="202"/>
      <c r="BE212" s="202"/>
      <c r="BF212" s="202"/>
      <c r="BG212" s="202"/>
      <c r="BH212" s="202"/>
      <c r="BI212" s="81"/>
      <c r="BJ212" s="204"/>
      <c r="BK212" s="204"/>
      <c r="BL212" s="204"/>
      <c r="BO212" s="202"/>
      <c r="BP212" s="202"/>
    </row>
    <row r="213" spans="1:68" outlineLevel="1" x14ac:dyDescent="0.25">
      <c r="A213" s="213">
        <v>45658</v>
      </c>
      <c r="B213" s="204" t="s">
        <v>191</v>
      </c>
      <c r="C213" s="31">
        <v>11666.666666666666</v>
      </c>
      <c r="D213" s="30">
        <v>1</v>
      </c>
      <c r="E213" s="30">
        <v>0</v>
      </c>
      <c r="F213" s="30">
        <v>0</v>
      </c>
      <c r="G213" s="30">
        <v>0</v>
      </c>
      <c r="H213" s="30">
        <v>0</v>
      </c>
      <c r="I213" s="30">
        <v>0</v>
      </c>
      <c r="J213" s="30">
        <v>0</v>
      </c>
      <c r="K213" s="30">
        <v>0</v>
      </c>
      <c r="L213" s="30">
        <v>0</v>
      </c>
      <c r="M213" s="30">
        <v>0</v>
      </c>
      <c r="N213" s="30">
        <v>0</v>
      </c>
      <c r="O213" s="30">
        <v>0</v>
      </c>
      <c r="P213" s="30">
        <v>0</v>
      </c>
      <c r="Q213" s="30">
        <v>0</v>
      </c>
      <c r="R213" s="30">
        <v>0</v>
      </c>
      <c r="S213" s="30">
        <v>0</v>
      </c>
      <c r="T213" s="30">
        <v>0</v>
      </c>
      <c r="U213" s="30">
        <v>0</v>
      </c>
      <c r="V213" s="30">
        <v>0</v>
      </c>
      <c r="W213" s="30">
        <v>0</v>
      </c>
      <c r="X213" s="30">
        <v>0</v>
      </c>
      <c r="Y213" s="30">
        <v>0</v>
      </c>
      <c r="Z213" s="30">
        <v>0</v>
      </c>
      <c r="AA213" s="30">
        <v>0</v>
      </c>
      <c r="AB213" s="30">
        <v>0</v>
      </c>
      <c r="AC213" s="30">
        <v>0</v>
      </c>
      <c r="AD213" s="30">
        <v>0</v>
      </c>
      <c r="AE213" s="30">
        <v>0</v>
      </c>
      <c r="AF213" s="30">
        <v>0</v>
      </c>
      <c r="AG213" s="30">
        <v>0</v>
      </c>
      <c r="AH213" s="30">
        <v>0</v>
      </c>
      <c r="AI213" s="30">
        <v>0</v>
      </c>
      <c r="AJ213" s="30">
        <v>0</v>
      </c>
      <c r="AK213" s="30">
        <v>0</v>
      </c>
      <c r="AL213" s="30">
        <v>0</v>
      </c>
      <c r="AM213" s="30">
        <v>0</v>
      </c>
      <c r="AN213" s="30">
        <v>0</v>
      </c>
      <c r="AO213" s="30">
        <v>0</v>
      </c>
      <c r="AP213" s="30">
        <v>0</v>
      </c>
      <c r="AQ213" s="30">
        <v>0</v>
      </c>
      <c r="AR213" s="30">
        <v>0</v>
      </c>
      <c r="AS213" s="30">
        <v>0</v>
      </c>
      <c r="AT213" s="30">
        <v>0</v>
      </c>
      <c r="AU213" s="30">
        <v>0</v>
      </c>
      <c r="AV213" s="30">
        <v>0</v>
      </c>
      <c r="AW213" s="30">
        <v>0</v>
      </c>
      <c r="AX213" s="30">
        <v>0</v>
      </c>
      <c r="AY213" s="30">
        <v>0</v>
      </c>
      <c r="AZ213" s="30">
        <v>0</v>
      </c>
      <c r="BA213" s="30">
        <v>0</v>
      </c>
      <c r="BB213" s="30">
        <v>0</v>
      </c>
      <c r="BC213" s="30">
        <v>0</v>
      </c>
      <c r="BD213" s="30">
        <v>0</v>
      </c>
      <c r="BE213" s="202"/>
      <c r="BF213" s="202"/>
      <c r="BG213" s="202"/>
      <c r="BH213" s="202"/>
      <c r="BI213" s="204" t="s">
        <v>191</v>
      </c>
      <c r="BJ213" s="37">
        <v>1</v>
      </c>
      <c r="BK213" s="37">
        <f t="shared" ref="BK213:BL215" si="153">BJ213*1.1</f>
        <v>1.1000000000000001</v>
      </c>
      <c r="BL213" s="37">
        <f t="shared" si="153"/>
        <v>1.2100000000000002</v>
      </c>
      <c r="BO213" s="202"/>
      <c r="BP213" s="202"/>
    </row>
    <row r="214" spans="1:68" outlineLevel="1" x14ac:dyDescent="0.25">
      <c r="A214" s="213">
        <v>45658</v>
      </c>
      <c r="B214" s="204" t="s">
        <v>192</v>
      </c>
      <c r="C214" s="31">
        <v>10416.666666666666</v>
      </c>
      <c r="D214" s="30">
        <v>1</v>
      </c>
      <c r="E214" s="30">
        <v>0</v>
      </c>
      <c r="F214" s="30">
        <v>0</v>
      </c>
      <c r="G214" s="30">
        <v>0</v>
      </c>
      <c r="H214" s="30">
        <v>0</v>
      </c>
      <c r="I214" s="30">
        <v>0</v>
      </c>
      <c r="J214" s="30">
        <v>0</v>
      </c>
      <c r="K214" s="30">
        <v>0</v>
      </c>
      <c r="L214" s="30">
        <v>0</v>
      </c>
      <c r="M214" s="30">
        <v>0</v>
      </c>
      <c r="N214" s="30">
        <v>0</v>
      </c>
      <c r="O214" s="30">
        <v>0</v>
      </c>
      <c r="P214" s="30">
        <v>0</v>
      </c>
      <c r="Q214" s="30">
        <v>0</v>
      </c>
      <c r="R214" s="30">
        <v>0</v>
      </c>
      <c r="S214" s="30">
        <v>0</v>
      </c>
      <c r="T214" s="30">
        <v>0</v>
      </c>
      <c r="U214" s="30">
        <v>0</v>
      </c>
      <c r="V214" s="30">
        <v>0</v>
      </c>
      <c r="W214" s="30">
        <v>0</v>
      </c>
      <c r="X214" s="30">
        <v>0</v>
      </c>
      <c r="Y214" s="30">
        <v>0</v>
      </c>
      <c r="Z214" s="30">
        <v>0</v>
      </c>
      <c r="AA214" s="30">
        <v>0</v>
      </c>
      <c r="AB214" s="30">
        <v>0</v>
      </c>
      <c r="AC214" s="30">
        <v>0</v>
      </c>
      <c r="AD214" s="30">
        <v>0</v>
      </c>
      <c r="AE214" s="30">
        <v>0</v>
      </c>
      <c r="AF214" s="30">
        <v>0</v>
      </c>
      <c r="AG214" s="30">
        <v>0</v>
      </c>
      <c r="AH214" s="30">
        <v>0</v>
      </c>
      <c r="AI214" s="30">
        <v>0</v>
      </c>
      <c r="AJ214" s="30">
        <v>0</v>
      </c>
      <c r="AK214" s="30">
        <v>0</v>
      </c>
      <c r="AL214" s="30">
        <v>0</v>
      </c>
      <c r="AM214" s="30">
        <v>0</v>
      </c>
      <c r="AN214" s="30">
        <v>0</v>
      </c>
      <c r="AO214" s="30">
        <v>0</v>
      </c>
      <c r="AP214" s="30">
        <v>0</v>
      </c>
      <c r="AQ214" s="30">
        <v>0</v>
      </c>
      <c r="AR214" s="30">
        <v>0</v>
      </c>
      <c r="AS214" s="30">
        <v>0</v>
      </c>
      <c r="AT214" s="30">
        <v>0</v>
      </c>
      <c r="AU214" s="30">
        <v>0</v>
      </c>
      <c r="AV214" s="30">
        <v>0</v>
      </c>
      <c r="AW214" s="30">
        <v>0</v>
      </c>
      <c r="AX214" s="30">
        <v>0</v>
      </c>
      <c r="AY214" s="30">
        <v>0</v>
      </c>
      <c r="AZ214" s="30">
        <v>0</v>
      </c>
      <c r="BA214" s="30">
        <v>0</v>
      </c>
      <c r="BB214" s="30">
        <v>0</v>
      </c>
      <c r="BC214" s="30">
        <v>0</v>
      </c>
      <c r="BD214" s="30">
        <v>0</v>
      </c>
      <c r="BE214" s="202"/>
      <c r="BF214" s="202"/>
      <c r="BG214" s="202"/>
      <c r="BH214" s="202"/>
      <c r="BI214" s="204" t="s">
        <v>192</v>
      </c>
      <c r="BJ214" s="37">
        <v>1</v>
      </c>
      <c r="BK214" s="37">
        <f t="shared" si="153"/>
        <v>1.1000000000000001</v>
      </c>
      <c r="BL214" s="37">
        <f t="shared" si="153"/>
        <v>1.2100000000000002</v>
      </c>
      <c r="BO214" s="202"/>
      <c r="BP214" s="202"/>
    </row>
    <row r="215" spans="1:68" outlineLevel="1" x14ac:dyDescent="0.25">
      <c r="A215" s="213">
        <v>45658</v>
      </c>
      <c r="B215" s="204" t="s">
        <v>193</v>
      </c>
      <c r="C215" s="31">
        <v>7500</v>
      </c>
      <c r="D215" s="30">
        <v>1</v>
      </c>
      <c r="E215" s="30">
        <v>0</v>
      </c>
      <c r="F215" s="30">
        <v>0</v>
      </c>
      <c r="G215" s="30">
        <v>0</v>
      </c>
      <c r="H215" s="30">
        <v>0</v>
      </c>
      <c r="I215" s="30">
        <v>0</v>
      </c>
      <c r="J215" s="30">
        <v>0</v>
      </c>
      <c r="K215" s="30">
        <v>0</v>
      </c>
      <c r="L215" s="30">
        <v>0</v>
      </c>
      <c r="M215" s="30">
        <v>0</v>
      </c>
      <c r="N215" s="30">
        <v>0</v>
      </c>
      <c r="O215" s="30">
        <v>0</v>
      </c>
      <c r="P215" s="30">
        <v>0</v>
      </c>
      <c r="Q215" s="30">
        <v>0</v>
      </c>
      <c r="R215" s="30">
        <v>0</v>
      </c>
      <c r="S215" s="30">
        <v>0</v>
      </c>
      <c r="T215" s="30">
        <v>0</v>
      </c>
      <c r="U215" s="30">
        <v>0</v>
      </c>
      <c r="V215" s="30">
        <v>0</v>
      </c>
      <c r="W215" s="30">
        <v>0</v>
      </c>
      <c r="X215" s="30">
        <v>0</v>
      </c>
      <c r="Y215" s="30">
        <v>0</v>
      </c>
      <c r="Z215" s="30">
        <v>0</v>
      </c>
      <c r="AA215" s="30">
        <v>0</v>
      </c>
      <c r="AB215" s="30">
        <v>0</v>
      </c>
      <c r="AC215" s="30">
        <v>0</v>
      </c>
      <c r="AD215" s="30">
        <v>0</v>
      </c>
      <c r="AE215" s="30">
        <v>0</v>
      </c>
      <c r="AF215" s="30">
        <v>0</v>
      </c>
      <c r="AG215" s="30">
        <v>0</v>
      </c>
      <c r="AH215" s="30">
        <v>0</v>
      </c>
      <c r="AI215" s="30">
        <v>0</v>
      </c>
      <c r="AJ215" s="30">
        <v>0</v>
      </c>
      <c r="AK215" s="30">
        <v>0</v>
      </c>
      <c r="AL215" s="30">
        <v>0</v>
      </c>
      <c r="AM215" s="30">
        <v>0</v>
      </c>
      <c r="AN215" s="30">
        <v>0</v>
      </c>
      <c r="AO215" s="30">
        <v>0</v>
      </c>
      <c r="AP215" s="30">
        <v>0</v>
      </c>
      <c r="AQ215" s="30">
        <v>0</v>
      </c>
      <c r="AR215" s="30">
        <v>0</v>
      </c>
      <c r="AS215" s="30">
        <v>0</v>
      </c>
      <c r="AT215" s="30">
        <v>0</v>
      </c>
      <c r="AU215" s="30">
        <v>0</v>
      </c>
      <c r="AV215" s="30">
        <v>0</v>
      </c>
      <c r="AW215" s="30">
        <v>0</v>
      </c>
      <c r="AX215" s="30">
        <v>0</v>
      </c>
      <c r="AY215" s="30">
        <v>0</v>
      </c>
      <c r="AZ215" s="30">
        <v>0</v>
      </c>
      <c r="BA215" s="30">
        <v>0</v>
      </c>
      <c r="BB215" s="30">
        <v>0</v>
      </c>
      <c r="BC215" s="30">
        <v>0</v>
      </c>
      <c r="BD215" s="30">
        <v>0</v>
      </c>
      <c r="BE215" s="202"/>
      <c r="BF215" s="202"/>
      <c r="BG215" s="202"/>
      <c r="BH215" s="202"/>
      <c r="BI215" s="204" t="s">
        <v>193</v>
      </c>
      <c r="BJ215" s="37">
        <v>1</v>
      </c>
      <c r="BK215" s="37">
        <f t="shared" si="153"/>
        <v>1.1000000000000001</v>
      </c>
      <c r="BL215" s="37">
        <f t="shared" si="153"/>
        <v>1.2100000000000002</v>
      </c>
      <c r="BN215" s="1"/>
      <c r="BO215" s="202"/>
      <c r="BP215" s="202"/>
    </row>
    <row r="216" spans="1:68" x14ac:dyDescent="0.25">
      <c r="A216" s="202"/>
      <c r="B216" s="202"/>
      <c r="C216" s="202"/>
      <c r="D216" s="202"/>
      <c r="E216" s="202"/>
      <c r="F216" s="202"/>
      <c r="G216" s="202"/>
      <c r="H216" s="202"/>
      <c r="I216" s="202"/>
      <c r="J216" s="202"/>
      <c r="K216" s="202"/>
      <c r="L216" s="202"/>
      <c r="M216" s="202"/>
      <c r="N216" s="202"/>
      <c r="O216" s="202"/>
      <c r="P216" s="202"/>
      <c r="Q216" s="202"/>
      <c r="R216" s="202"/>
      <c r="S216" s="202"/>
      <c r="T216" s="202"/>
      <c r="U216" s="202"/>
      <c r="V216" s="202"/>
      <c r="W216" s="202"/>
      <c r="X216" s="202"/>
      <c r="Y216" s="202"/>
      <c r="Z216" s="202"/>
      <c r="AA216" s="202"/>
      <c r="AB216" s="202"/>
      <c r="AC216" s="202"/>
      <c r="AD216" s="202"/>
      <c r="AE216" s="202"/>
      <c r="AF216" s="202"/>
      <c r="AG216" s="202"/>
      <c r="AH216" s="202"/>
      <c r="AI216" s="202"/>
      <c r="AJ216" s="202"/>
      <c r="AK216" s="202"/>
      <c r="AL216" s="202"/>
      <c r="AM216" s="202"/>
      <c r="AN216" s="202"/>
      <c r="AO216" s="202"/>
      <c r="AP216" s="202"/>
      <c r="AQ216" s="202"/>
      <c r="AR216" s="202"/>
      <c r="AS216" s="202"/>
      <c r="AT216" s="202"/>
      <c r="AU216" s="202"/>
      <c r="AV216" s="202"/>
      <c r="AW216" s="202"/>
      <c r="AX216" s="202"/>
      <c r="AY216" s="202"/>
      <c r="AZ216" s="202"/>
      <c r="BA216" s="202"/>
      <c r="BB216" s="202"/>
      <c r="BC216" s="202"/>
      <c r="BD216" s="202"/>
      <c r="BE216" s="202"/>
      <c r="BF216" s="202"/>
      <c r="BG216" s="202"/>
      <c r="BH216" s="202"/>
      <c r="BI216" s="202"/>
      <c r="BJ216" s="204"/>
      <c r="BK216" s="204"/>
      <c r="BL216" s="204"/>
      <c r="BO216" s="202"/>
      <c r="BP216" s="202"/>
    </row>
    <row r="217" spans="1:68" outlineLevel="1" x14ac:dyDescent="0.25">
      <c r="A217" s="213">
        <v>45566</v>
      </c>
      <c r="B217" s="204" t="s">
        <v>476</v>
      </c>
      <c r="C217" s="31">
        <v>11666.666666666666</v>
      </c>
      <c r="D217" s="30">
        <v>1</v>
      </c>
      <c r="E217" s="30">
        <v>0</v>
      </c>
      <c r="F217" s="30">
        <v>0</v>
      </c>
      <c r="G217" s="30">
        <v>0</v>
      </c>
      <c r="H217" s="30">
        <v>0</v>
      </c>
      <c r="I217" s="30">
        <v>0</v>
      </c>
      <c r="J217" s="30">
        <v>0</v>
      </c>
      <c r="K217" s="30">
        <v>0</v>
      </c>
      <c r="L217" s="30">
        <v>0</v>
      </c>
      <c r="M217" s="30">
        <v>0</v>
      </c>
      <c r="N217" s="30">
        <v>0</v>
      </c>
      <c r="O217" s="30">
        <v>0</v>
      </c>
      <c r="P217" s="30">
        <v>0</v>
      </c>
      <c r="Q217" s="30">
        <v>0</v>
      </c>
      <c r="R217" s="30">
        <v>0</v>
      </c>
      <c r="S217" s="30">
        <v>0</v>
      </c>
      <c r="T217" s="30">
        <v>0</v>
      </c>
      <c r="U217" s="30">
        <v>0</v>
      </c>
      <c r="V217" s="30">
        <v>0</v>
      </c>
      <c r="W217" s="30">
        <v>0</v>
      </c>
      <c r="X217" s="30">
        <v>0</v>
      </c>
      <c r="Y217" s="30">
        <v>0</v>
      </c>
      <c r="Z217" s="30">
        <v>0</v>
      </c>
      <c r="AA217" s="30">
        <v>0</v>
      </c>
      <c r="AB217" s="30">
        <v>0</v>
      </c>
      <c r="AC217" s="30">
        <v>0</v>
      </c>
      <c r="AD217" s="30">
        <v>0</v>
      </c>
      <c r="AE217" s="30">
        <v>0</v>
      </c>
      <c r="AF217" s="30">
        <v>0</v>
      </c>
      <c r="AG217" s="30">
        <v>0</v>
      </c>
      <c r="AH217" s="30">
        <v>0</v>
      </c>
      <c r="AI217" s="30">
        <v>0</v>
      </c>
      <c r="AJ217" s="30">
        <v>0</v>
      </c>
      <c r="AK217" s="30">
        <v>0</v>
      </c>
      <c r="AL217" s="30">
        <v>0</v>
      </c>
      <c r="AM217" s="30">
        <v>0</v>
      </c>
      <c r="AN217" s="30">
        <v>0</v>
      </c>
      <c r="AO217" s="30">
        <v>0</v>
      </c>
      <c r="AP217" s="30">
        <v>0</v>
      </c>
      <c r="AQ217" s="30">
        <v>0</v>
      </c>
      <c r="AR217" s="30">
        <v>0</v>
      </c>
      <c r="AS217" s="30">
        <v>0</v>
      </c>
      <c r="AT217" s="30">
        <v>0</v>
      </c>
      <c r="AU217" s="30">
        <v>0</v>
      </c>
      <c r="AV217" s="30">
        <v>0</v>
      </c>
      <c r="AW217" s="30">
        <v>0</v>
      </c>
      <c r="AX217" s="30">
        <v>0</v>
      </c>
      <c r="AY217" s="30">
        <v>0</v>
      </c>
      <c r="AZ217" s="30">
        <v>0</v>
      </c>
      <c r="BA217" s="30">
        <v>0</v>
      </c>
      <c r="BB217" s="30">
        <v>0</v>
      </c>
      <c r="BC217" s="30">
        <v>0</v>
      </c>
      <c r="BD217" s="30">
        <v>0</v>
      </c>
      <c r="BE217" s="202"/>
      <c r="BF217" s="202"/>
      <c r="BG217" s="202"/>
      <c r="BH217" s="202"/>
      <c r="BI217" s="204" t="s">
        <v>476</v>
      </c>
      <c r="BJ217" s="37">
        <v>1</v>
      </c>
      <c r="BK217" s="37">
        <f t="shared" ref="BK217:BL223" si="154">BJ217*1.1</f>
        <v>1.1000000000000001</v>
      </c>
      <c r="BL217" s="37">
        <f t="shared" si="154"/>
        <v>1.2100000000000002</v>
      </c>
      <c r="BO217" s="202"/>
      <c r="BP217" s="202"/>
    </row>
    <row r="218" spans="1:68" outlineLevel="1" x14ac:dyDescent="0.25">
      <c r="A218" s="213">
        <v>45839</v>
      </c>
      <c r="B218" s="225" t="s">
        <v>478</v>
      </c>
      <c r="C218" s="31">
        <v>11250</v>
      </c>
      <c r="D218" s="30">
        <v>4</v>
      </c>
      <c r="E218" s="30">
        <v>0</v>
      </c>
      <c r="F218" s="30">
        <v>0</v>
      </c>
      <c r="G218" s="30">
        <v>0</v>
      </c>
      <c r="H218" s="30">
        <v>0</v>
      </c>
      <c r="I218" s="30">
        <v>0</v>
      </c>
      <c r="J218" s="30">
        <v>0</v>
      </c>
      <c r="K218" s="30">
        <v>0</v>
      </c>
      <c r="L218" s="30">
        <v>0</v>
      </c>
      <c r="M218" s="30">
        <v>0</v>
      </c>
      <c r="N218" s="30">
        <v>0</v>
      </c>
      <c r="O218" s="30">
        <v>0</v>
      </c>
      <c r="P218" s="30">
        <v>0</v>
      </c>
      <c r="Q218" s="30">
        <v>0</v>
      </c>
      <c r="R218" s="30">
        <v>0</v>
      </c>
      <c r="S218" s="30">
        <v>0</v>
      </c>
      <c r="T218" s="30">
        <v>0</v>
      </c>
      <c r="U218" s="30">
        <v>0</v>
      </c>
      <c r="V218" s="30">
        <v>0</v>
      </c>
      <c r="W218" s="30">
        <v>0</v>
      </c>
      <c r="X218" s="30">
        <v>0</v>
      </c>
      <c r="Y218" s="30">
        <v>0</v>
      </c>
      <c r="Z218" s="30">
        <v>0</v>
      </c>
      <c r="AA218" s="30">
        <v>0</v>
      </c>
      <c r="AB218" s="30">
        <v>0</v>
      </c>
      <c r="AC218" s="30">
        <v>0</v>
      </c>
      <c r="AD218" s="30">
        <v>0</v>
      </c>
      <c r="AE218" s="30">
        <v>0</v>
      </c>
      <c r="AF218" s="30">
        <v>0</v>
      </c>
      <c r="AG218" s="30">
        <v>0</v>
      </c>
      <c r="AH218" s="30">
        <v>0</v>
      </c>
      <c r="AI218" s="30">
        <v>0</v>
      </c>
      <c r="AJ218" s="30">
        <v>0</v>
      </c>
      <c r="AK218" s="30">
        <v>0</v>
      </c>
      <c r="AL218" s="30">
        <v>0</v>
      </c>
      <c r="AM218" s="30">
        <v>0</v>
      </c>
      <c r="AN218" s="30">
        <v>0</v>
      </c>
      <c r="AO218" s="30">
        <v>0</v>
      </c>
      <c r="AP218" s="30">
        <v>0</v>
      </c>
      <c r="AQ218" s="30">
        <v>0</v>
      </c>
      <c r="AR218" s="30">
        <v>0</v>
      </c>
      <c r="AS218" s="30">
        <v>0</v>
      </c>
      <c r="AT218" s="30">
        <v>0</v>
      </c>
      <c r="AU218" s="30">
        <v>0</v>
      </c>
      <c r="AV218" s="30">
        <v>0</v>
      </c>
      <c r="AW218" s="30">
        <v>0</v>
      </c>
      <c r="AX218" s="30">
        <v>0</v>
      </c>
      <c r="AY218" s="30">
        <v>0</v>
      </c>
      <c r="AZ218" s="30">
        <v>0</v>
      </c>
      <c r="BA218" s="30">
        <v>0</v>
      </c>
      <c r="BB218" s="30">
        <v>0</v>
      </c>
      <c r="BC218" s="30">
        <v>0</v>
      </c>
      <c r="BD218" s="30">
        <v>0</v>
      </c>
      <c r="BE218" s="202"/>
      <c r="BF218" s="202"/>
      <c r="BG218" s="202"/>
      <c r="BH218" s="202"/>
      <c r="BI218" s="225" t="s">
        <v>478</v>
      </c>
      <c r="BJ218" s="37">
        <v>1</v>
      </c>
      <c r="BK218" s="37">
        <f t="shared" si="154"/>
        <v>1.1000000000000001</v>
      </c>
      <c r="BL218" s="37">
        <f t="shared" si="154"/>
        <v>1.2100000000000002</v>
      </c>
      <c r="BO218" s="202"/>
      <c r="BP218" s="202"/>
    </row>
    <row r="219" spans="1:68" outlineLevel="1" x14ac:dyDescent="0.25">
      <c r="A219" s="213">
        <v>45778</v>
      </c>
      <c r="B219" s="204" t="s">
        <v>477</v>
      </c>
      <c r="C219" s="31">
        <v>7500</v>
      </c>
      <c r="D219" s="30">
        <v>1</v>
      </c>
      <c r="E219" s="30">
        <v>0</v>
      </c>
      <c r="F219" s="30">
        <v>0</v>
      </c>
      <c r="G219" s="30">
        <v>0</v>
      </c>
      <c r="H219" s="30">
        <v>0</v>
      </c>
      <c r="I219" s="30">
        <v>0</v>
      </c>
      <c r="J219" s="30">
        <v>0</v>
      </c>
      <c r="K219" s="30">
        <v>0</v>
      </c>
      <c r="L219" s="30">
        <v>0</v>
      </c>
      <c r="M219" s="30">
        <v>0</v>
      </c>
      <c r="N219" s="30">
        <v>0</v>
      </c>
      <c r="O219" s="30">
        <v>0</v>
      </c>
      <c r="P219" s="30">
        <v>0</v>
      </c>
      <c r="Q219" s="30">
        <v>0</v>
      </c>
      <c r="R219" s="30">
        <v>0</v>
      </c>
      <c r="S219" s="30">
        <v>0</v>
      </c>
      <c r="T219" s="30">
        <v>0</v>
      </c>
      <c r="U219" s="30">
        <v>0</v>
      </c>
      <c r="V219" s="30">
        <v>0</v>
      </c>
      <c r="W219" s="30">
        <v>0</v>
      </c>
      <c r="X219" s="30">
        <v>0</v>
      </c>
      <c r="Y219" s="30">
        <v>0</v>
      </c>
      <c r="Z219" s="30">
        <v>0</v>
      </c>
      <c r="AA219" s="30">
        <v>0</v>
      </c>
      <c r="AB219" s="30">
        <v>0</v>
      </c>
      <c r="AC219" s="30">
        <v>0</v>
      </c>
      <c r="AD219" s="30">
        <v>0</v>
      </c>
      <c r="AE219" s="30">
        <v>0</v>
      </c>
      <c r="AF219" s="30">
        <v>0</v>
      </c>
      <c r="AG219" s="30">
        <v>0</v>
      </c>
      <c r="AH219" s="30">
        <v>0</v>
      </c>
      <c r="AI219" s="30">
        <v>0</v>
      </c>
      <c r="AJ219" s="30">
        <v>0</v>
      </c>
      <c r="AK219" s="30">
        <v>0</v>
      </c>
      <c r="AL219" s="30">
        <v>0</v>
      </c>
      <c r="AM219" s="30">
        <v>0</v>
      </c>
      <c r="AN219" s="30">
        <v>0</v>
      </c>
      <c r="AO219" s="30">
        <v>0</v>
      </c>
      <c r="AP219" s="30">
        <v>0</v>
      </c>
      <c r="AQ219" s="30">
        <v>0</v>
      </c>
      <c r="AR219" s="30">
        <v>0</v>
      </c>
      <c r="AS219" s="30">
        <v>0</v>
      </c>
      <c r="AT219" s="30">
        <v>0</v>
      </c>
      <c r="AU219" s="30">
        <v>0</v>
      </c>
      <c r="AV219" s="30">
        <v>0</v>
      </c>
      <c r="AW219" s="30">
        <v>0</v>
      </c>
      <c r="AX219" s="30">
        <v>0</v>
      </c>
      <c r="AY219" s="30">
        <v>0</v>
      </c>
      <c r="AZ219" s="30">
        <v>0</v>
      </c>
      <c r="BA219" s="30">
        <v>0</v>
      </c>
      <c r="BB219" s="30">
        <v>0</v>
      </c>
      <c r="BC219" s="30">
        <v>0</v>
      </c>
      <c r="BD219" s="30">
        <v>0</v>
      </c>
      <c r="BE219" s="202"/>
      <c r="BF219" s="202"/>
      <c r="BG219" s="202"/>
      <c r="BH219" s="202"/>
      <c r="BI219" s="204" t="s">
        <v>477</v>
      </c>
      <c r="BJ219" s="37">
        <v>1</v>
      </c>
      <c r="BK219" s="37">
        <f t="shared" si="154"/>
        <v>1.1000000000000001</v>
      </c>
      <c r="BL219" s="37">
        <f t="shared" si="154"/>
        <v>1.2100000000000002</v>
      </c>
      <c r="BO219" s="202"/>
      <c r="BP219" s="202"/>
    </row>
    <row r="220" spans="1:68" outlineLevel="1" x14ac:dyDescent="0.25">
      <c r="A220" s="213">
        <v>45658</v>
      </c>
      <c r="B220" s="204" t="s">
        <v>194</v>
      </c>
      <c r="C220" s="31">
        <v>10000</v>
      </c>
      <c r="D220" s="30">
        <v>1</v>
      </c>
      <c r="E220" s="30">
        <v>0</v>
      </c>
      <c r="F220" s="30">
        <v>0</v>
      </c>
      <c r="G220" s="30">
        <v>0</v>
      </c>
      <c r="H220" s="30">
        <v>0</v>
      </c>
      <c r="I220" s="30">
        <v>0</v>
      </c>
      <c r="J220" s="30">
        <v>0</v>
      </c>
      <c r="K220" s="30">
        <v>0</v>
      </c>
      <c r="L220" s="30">
        <v>0</v>
      </c>
      <c r="M220" s="30">
        <v>0</v>
      </c>
      <c r="N220" s="30">
        <v>0</v>
      </c>
      <c r="O220" s="30">
        <v>0</v>
      </c>
      <c r="P220" s="30">
        <v>0</v>
      </c>
      <c r="Q220" s="30">
        <v>0</v>
      </c>
      <c r="R220" s="30">
        <v>0</v>
      </c>
      <c r="S220" s="30">
        <v>0</v>
      </c>
      <c r="T220" s="30">
        <v>0</v>
      </c>
      <c r="U220" s="30">
        <v>0</v>
      </c>
      <c r="V220" s="30">
        <v>0</v>
      </c>
      <c r="W220" s="30">
        <v>0</v>
      </c>
      <c r="X220" s="30">
        <v>0</v>
      </c>
      <c r="Y220" s="30">
        <v>0</v>
      </c>
      <c r="Z220" s="30">
        <v>0</v>
      </c>
      <c r="AA220" s="30">
        <v>0</v>
      </c>
      <c r="AB220" s="30">
        <v>0</v>
      </c>
      <c r="AC220" s="30">
        <v>0</v>
      </c>
      <c r="AD220" s="30">
        <v>0</v>
      </c>
      <c r="AE220" s="30">
        <v>0</v>
      </c>
      <c r="AF220" s="30">
        <v>0</v>
      </c>
      <c r="AG220" s="30">
        <v>0</v>
      </c>
      <c r="AH220" s="30">
        <v>0</v>
      </c>
      <c r="AI220" s="30">
        <v>0</v>
      </c>
      <c r="AJ220" s="30">
        <v>0</v>
      </c>
      <c r="AK220" s="30">
        <v>0</v>
      </c>
      <c r="AL220" s="30">
        <v>0</v>
      </c>
      <c r="AM220" s="30">
        <v>0</v>
      </c>
      <c r="AN220" s="30">
        <v>0</v>
      </c>
      <c r="AO220" s="30">
        <v>0</v>
      </c>
      <c r="AP220" s="30">
        <v>0</v>
      </c>
      <c r="AQ220" s="30">
        <v>0</v>
      </c>
      <c r="AR220" s="30">
        <v>0</v>
      </c>
      <c r="AS220" s="30">
        <v>0</v>
      </c>
      <c r="AT220" s="30">
        <v>0</v>
      </c>
      <c r="AU220" s="30">
        <v>0</v>
      </c>
      <c r="AV220" s="30">
        <v>0</v>
      </c>
      <c r="AW220" s="30">
        <v>0</v>
      </c>
      <c r="AX220" s="30">
        <v>0</v>
      </c>
      <c r="AY220" s="30">
        <v>0</v>
      </c>
      <c r="AZ220" s="30">
        <v>0</v>
      </c>
      <c r="BA220" s="30">
        <v>0</v>
      </c>
      <c r="BB220" s="30">
        <v>0</v>
      </c>
      <c r="BC220" s="30">
        <v>0</v>
      </c>
      <c r="BD220" s="30">
        <v>0</v>
      </c>
      <c r="BE220" s="202"/>
      <c r="BF220" s="202"/>
      <c r="BG220" s="202"/>
      <c r="BH220" s="202"/>
      <c r="BI220" s="204" t="s">
        <v>194</v>
      </c>
      <c r="BJ220" s="37">
        <v>1</v>
      </c>
      <c r="BK220" s="37">
        <f t="shared" si="154"/>
        <v>1.1000000000000001</v>
      </c>
      <c r="BL220" s="37">
        <f t="shared" si="154"/>
        <v>1.2100000000000002</v>
      </c>
      <c r="BO220" s="202"/>
      <c r="BP220" s="202"/>
    </row>
    <row r="221" spans="1:68" outlineLevel="1" x14ac:dyDescent="0.25">
      <c r="A221" s="213">
        <v>46023</v>
      </c>
      <c r="B221" s="81" t="s">
        <v>475</v>
      </c>
      <c r="C221" s="31">
        <v>10000</v>
      </c>
      <c r="D221" s="30">
        <v>0</v>
      </c>
      <c r="E221" s="30">
        <v>0</v>
      </c>
      <c r="F221" s="30">
        <v>0</v>
      </c>
      <c r="G221" s="30">
        <v>0</v>
      </c>
      <c r="H221" s="30">
        <v>0</v>
      </c>
      <c r="I221" s="30">
        <v>0</v>
      </c>
      <c r="J221" s="30">
        <v>0</v>
      </c>
      <c r="K221" s="30">
        <v>0</v>
      </c>
      <c r="L221" s="30">
        <v>0</v>
      </c>
      <c r="M221" s="30">
        <v>0</v>
      </c>
      <c r="N221" s="30">
        <v>0</v>
      </c>
      <c r="O221" s="30">
        <v>0</v>
      </c>
      <c r="P221" s="30">
        <v>0</v>
      </c>
      <c r="Q221" s="30">
        <v>1</v>
      </c>
      <c r="R221" s="30">
        <v>0</v>
      </c>
      <c r="S221" s="30">
        <v>0</v>
      </c>
      <c r="T221" s="30">
        <v>0</v>
      </c>
      <c r="U221" s="30">
        <v>0</v>
      </c>
      <c r="V221" s="30">
        <v>0</v>
      </c>
      <c r="W221" s="30">
        <v>0</v>
      </c>
      <c r="X221" s="30">
        <v>0</v>
      </c>
      <c r="Y221" s="30">
        <v>0</v>
      </c>
      <c r="Z221" s="30">
        <v>0</v>
      </c>
      <c r="AA221" s="30">
        <v>0</v>
      </c>
      <c r="AB221" s="30">
        <v>0</v>
      </c>
      <c r="AC221" s="30">
        <v>0</v>
      </c>
      <c r="AD221" s="30">
        <v>0</v>
      </c>
      <c r="AE221" s="30">
        <v>0</v>
      </c>
      <c r="AF221" s="30">
        <v>0</v>
      </c>
      <c r="AG221" s="30">
        <v>0</v>
      </c>
      <c r="AH221" s="30">
        <v>0</v>
      </c>
      <c r="AI221" s="30">
        <v>0</v>
      </c>
      <c r="AJ221" s="30">
        <v>0</v>
      </c>
      <c r="AK221" s="30">
        <v>0</v>
      </c>
      <c r="AL221" s="30">
        <v>0</v>
      </c>
      <c r="AM221" s="30">
        <v>0</v>
      </c>
      <c r="AN221" s="30">
        <v>0</v>
      </c>
      <c r="AO221" s="30">
        <v>0</v>
      </c>
      <c r="AP221" s="30">
        <v>0</v>
      </c>
      <c r="AQ221" s="30">
        <v>0</v>
      </c>
      <c r="AR221" s="30">
        <v>0</v>
      </c>
      <c r="AS221" s="30">
        <v>0</v>
      </c>
      <c r="AT221" s="30">
        <v>0</v>
      </c>
      <c r="AU221" s="30">
        <v>0</v>
      </c>
      <c r="AV221" s="30">
        <v>0</v>
      </c>
      <c r="AW221" s="30">
        <v>0</v>
      </c>
      <c r="AX221" s="30">
        <v>0</v>
      </c>
      <c r="AY221" s="30">
        <v>0</v>
      </c>
      <c r="AZ221" s="30">
        <v>0</v>
      </c>
      <c r="BA221" s="30">
        <v>0</v>
      </c>
      <c r="BB221" s="30">
        <v>0</v>
      </c>
      <c r="BC221" s="30">
        <v>0</v>
      </c>
      <c r="BD221" s="30">
        <v>0</v>
      </c>
      <c r="BE221" s="202"/>
      <c r="BF221" s="202"/>
      <c r="BG221" s="202"/>
      <c r="BH221" s="202"/>
      <c r="BI221" s="81" t="s">
        <v>475</v>
      </c>
      <c r="BJ221" s="37">
        <v>1</v>
      </c>
      <c r="BK221" s="37">
        <f t="shared" si="154"/>
        <v>1.1000000000000001</v>
      </c>
      <c r="BL221" s="37">
        <f t="shared" si="154"/>
        <v>1.2100000000000002</v>
      </c>
      <c r="BO221" s="202"/>
      <c r="BP221" s="202"/>
    </row>
    <row r="222" spans="1:68" outlineLevel="1" x14ac:dyDescent="0.25">
      <c r="A222" s="213">
        <v>45962</v>
      </c>
      <c r="B222" s="225" t="s">
        <v>479</v>
      </c>
      <c r="C222" s="31">
        <v>6250</v>
      </c>
      <c r="D222" s="30">
        <v>1</v>
      </c>
      <c r="E222" s="30">
        <v>0</v>
      </c>
      <c r="F222" s="30">
        <v>0</v>
      </c>
      <c r="G222" s="30">
        <v>0</v>
      </c>
      <c r="H222" s="30">
        <v>0</v>
      </c>
      <c r="I222" s="30">
        <v>0</v>
      </c>
      <c r="J222" s="30">
        <v>0</v>
      </c>
      <c r="K222" s="30">
        <v>0</v>
      </c>
      <c r="L222" s="30">
        <v>0</v>
      </c>
      <c r="M222" s="30">
        <v>0</v>
      </c>
      <c r="N222" s="30">
        <v>0</v>
      </c>
      <c r="O222" s="30">
        <v>0</v>
      </c>
      <c r="P222" s="30">
        <v>0</v>
      </c>
      <c r="Q222" s="30">
        <v>0</v>
      </c>
      <c r="R222" s="30">
        <v>0</v>
      </c>
      <c r="S222" s="30">
        <v>0</v>
      </c>
      <c r="T222" s="30">
        <v>0</v>
      </c>
      <c r="U222" s="30">
        <v>0</v>
      </c>
      <c r="V222" s="30">
        <v>0</v>
      </c>
      <c r="W222" s="30">
        <v>0</v>
      </c>
      <c r="X222" s="30">
        <v>0</v>
      </c>
      <c r="Y222" s="30">
        <v>0</v>
      </c>
      <c r="Z222" s="30">
        <v>0</v>
      </c>
      <c r="AA222" s="30">
        <v>0</v>
      </c>
      <c r="AB222" s="30">
        <v>0</v>
      </c>
      <c r="AC222" s="30">
        <v>0</v>
      </c>
      <c r="AD222" s="30">
        <v>0</v>
      </c>
      <c r="AE222" s="30">
        <v>0</v>
      </c>
      <c r="AF222" s="30">
        <v>0</v>
      </c>
      <c r="AG222" s="30">
        <v>0</v>
      </c>
      <c r="AH222" s="30">
        <v>0</v>
      </c>
      <c r="AI222" s="30">
        <v>0</v>
      </c>
      <c r="AJ222" s="30">
        <v>0</v>
      </c>
      <c r="AK222" s="30">
        <v>0</v>
      </c>
      <c r="AL222" s="30">
        <v>0</v>
      </c>
      <c r="AM222" s="30">
        <v>0</v>
      </c>
      <c r="AN222" s="30">
        <v>0</v>
      </c>
      <c r="AO222" s="30">
        <v>0</v>
      </c>
      <c r="AP222" s="30">
        <v>0</v>
      </c>
      <c r="AQ222" s="30">
        <v>0</v>
      </c>
      <c r="AR222" s="30">
        <v>0</v>
      </c>
      <c r="AS222" s="30">
        <v>0</v>
      </c>
      <c r="AT222" s="30">
        <v>0</v>
      </c>
      <c r="AU222" s="30">
        <v>0</v>
      </c>
      <c r="AV222" s="30">
        <v>0</v>
      </c>
      <c r="AW222" s="30">
        <v>0</v>
      </c>
      <c r="AX222" s="30">
        <v>0</v>
      </c>
      <c r="AY222" s="30">
        <v>0</v>
      </c>
      <c r="AZ222" s="30">
        <v>0</v>
      </c>
      <c r="BA222" s="30">
        <v>0</v>
      </c>
      <c r="BB222" s="30">
        <v>0</v>
      </c>
      <c r="BC222" s="30">
        <v>0</v>
      </c>
      <c r="BD222" s="30">
        <v>0</v>
      </c>
      <c r="BE222" s="202"/>
      <c r="BF222" s="202"/>
      <c r="BG222" s="202"/>
      <c r="BH222" s="202"/>
      <c r="BI222" s="225" t="s">
        <v>479</v>
      </c>
      <c r="BJ222" s="37">
        <v>1</v>
      </c>
      <c r="BK222" s="37">
        <f t="shared" si="154"/>
        <v>1.1000000000000001</v>
      </c>
      <c r="BL222" s="37">
        <f t="shared" si="154"/>
        <v>1.2100000000000002</v>
      </c>
      <c r="BO222" s="202"/>
      <c r="BP222" s="202"/>
    </row>
    <row r="223" spans="1:68" outlineLevel="1" x14ac:dyDescent="0.25">
      <c r="A223" s="213">
        <v>46235</v>
      </c>
      <c r="B223" s="204" t="s">
        <v>195</v>
      </c>
      <c r="C223" s="31">
        <v>8333.3333333333339</v>
      </c>
      <c r="D223" s="30">
        <v>1</v>
      </c>
      <c r="E223" s="30">
        <v>0</v>
      </c>
      <c r="F223" s="30">
        <v>0</v>
      </c>
      <c r="G223" s="30">
        <v>0</v>
      </c>
      <c r="H223" s="30">
        <v>0</v>
      </c>
      <c r="I223" s="30">
        <v>0</v>
      </c>
      <c r="J223" s="30">
        <v>0</v>
      </c>
      <c r="K223" s="30">
        <v>0</v>
      </c>
      <c r="L223" s="30">
        <v>0</v>
      </c>
      <c r="M223" s="30">
        <v>0</v>
      </c>
      <c r="N223" s="30">
        <v>0</v>
      </c>
      <c r="O223" s="30">
        <v>0</v>
      </c>
      <c r="P223" s="30">
        <v>0</v>
      </c>
      <c r="Q223" s="30">
        <v>0</v>
      </c>
      <c r="R223" s="30">
        <v>0</v>
      </c>
      <c r="S223" s="30">
        <v>0</v>
      </c>
      <c r="T223" s="30">
        <v>0</v>
      </c>
      <c r="U223" s="30">
        <v>0</v>
      </c>
      <c r="V223" s="30">
        <v>0</v>
      </c>
      <c r="W223" s="30">
        <v>0</v>
      </c>
      <c r="X223" s="30">
        <v>0</v>
      </c>
      <c r="Y223" s="30">
        <v>0</v>
      </c>
      <c r="Z223" s="30">
        <v>0</v>
      </c>
      <c r="AA223" s="30">
        <v>0</v>
      </c>
      <c r="AB223" s="30">
        <v>0</v>
      </c>
      <c r="AC223" s="30">
        <v>0</v>
      </c>
      <c r="AD223" s="30">
        <v>0</v>
      </c>
      <c r="AE223" s="30">
        <v>0</v>
      </c>
      <c r="AF223" s="30">
        <v>0</v>
      </c>
      <c r="AG223" s="30">
        <v>0</v>
      </c>
      <c r="AH223" s="30">
        <v>0</v>
      </c>
      <c r="AI223" s="30">
        <v>0</v>
      </c>
      <c r="AJ223" s="30">
        <v>0</v>
      </c>
      <c r="AK223" s="30">
        <v>0</v>
      </c>
      <c r="AL223" s="30">
        <v>0</v>
      </c>
      <c r="AM223" s="30">
        <v>0</v>
      </c>
      <c r="AN223" s="30">
        <v>0</v>
      </c>
      <c r="AO223" s="30">
        <v>0</v>
      </c>
      <c r="AP223" s="30">
        <v>0</v>
      </c>
      <c r="AQ223" s="30">
        <v>0</v>
      </c>
      <c r="AR223" s="30">
        <v>0</v>
      </c>
      <c r="AS223" s="30">
        <v>0</v>
      </c>
      <c r="AT223" s="30">
        <v>0</v>
      </c>
      <c r="AU223" s="30">
        <v>0</v>
      </c>
      <c r="AV223" s="30">
        <v>0</v>
      </c>
      <c r="AW223" s="30">
        <v>0</v>
      </c>
      <c r="AX223" s="30">
        <v>0</v>
      </c>
      <c r="AY223" s="30">
        <v>0</v>
      </c>
      <c r="AZ223" s="30">
        <v>0</v>
      </c>
      <c r="BA223" s="30">
        <v>0</v>
      </c>
      <c r="BB223" s="30">
        <v>0</v>
      </c>
      <c r="BC223" s="30">
        <v>0</v>
      </c>
      <c r="BD223" s="30">
        <v>0</v>
      </c>
      <c r="BE223" s="202"/>
      <c r="BF223" s="202"/>
      <c r="BG223" s="202"/>
      <c r="BH223" s="202"/>
      <c r="BI223" s="204" t="s">
        <v>195</v>
      </c>
      <c r="BJ223" s="37">
        <v>1</v>
      </c>
      <c r="BK223" s="37">
        <f t="shared" si="154"/>
        <v>1.1000000000000001</v>
      </c>
      <c r="BL223" s="37">
        <f t="shared" si="154"/>
        <v>1.2100000000000002</v>
      </c>
      <c r="BO223" s="202"/>
      <c r="BP223" s="202"/>
    </row>
    <row r="224" spans="1:68" outlineLevel="1" x14ac:dyDescent="0.25">
      <c r="A224" s="213"/>
      <c r="B224" s="204"/>
      <c r="C224" s="202"/>
      <c r="D224" s="202"/>
      <c r="E224" s="202"/>
      <c r="F224" s="202"/>
      <c r="G224" s="202"/>
      <c r="H224" s="202"/>
      <c r="I224" s="202"/>
      <c r="J224" s="202"/>
      <c r="K224" s="202"/>
      <c r="L224" s="202"/>
      <c r="M224" s="202"/>
      <c r="N224" s="202"/>
      <c r="O224" s="202"/>
      <c r="P224" s="202"/>
      <c r="Q224" s="202"/>
      <c r="R224" s="202"/>
      <c r="S224" s="202"/>
      <c r="T224" s="202"/>
      <c r="U224" s="202"/>
      <c r="V224" s="202"/>
      <c r="W224" s="202"/>
      <c r="X224" s="202"/>
      <c r="Y224" s="202"/>
      <c r="Z224" s="202"/>
      <c r="AA224" s="202"/>
      <c r="AB224" s="202"/>
      <c r="AC224" s="202"/>
      <c r="AD224" s="202"/>
      <c r="AE224" s="202"/>
      <c r="AF224" s="202"/>
      <c r="AG224" s="202"/>
      <c r="AH224" s="202"/>
      <c r="AI224" s="202"/>
      <c r="AJ224" s="202"/>
      <c r="AK224" s="202"/>
      <c r="AL224" s="202"/>
      <c r="AM224" s="202"/>
      <c r="AN224" s="202"/>
      <c r="AO224" s="202"/>
      <c r="AP224" s="202"/>
      <c r="AQ224" s="202"/>
      <c r="AR224" s="202"/>
      <c r="AS224" s="202"/>
      <c r="AT224" s="202"/>
      <c r="AU224" s="202"/>
      <c r="AV224" s="202"/>
      <c r="AW224" s="202"/>
      <c r="AX224" s="202"/>
      <c r="AY224" s="202"/>
      <c r="AZ224" s="202"/>
      <c r="BA224" s="202"/>
      <c r="BB224" s="202"/>
      <c r="BC224" s="202"/>
      <c r="BD224" s="202"/>
      <c r="BE224" s="202"/>
      <c r="BF224" s="202"/>
      <c r="BG224" s="202"/>
      <c r="BH224" s="202"/>
      <c r="BI224" s="204"/>
      <c r="BJ224" s="204"/>
      <c r="BK224" s="204"/>
      <c r="BL224" s="204"/>
      <c r="BO224" s="202"/>
      <c r="BP224" s="202"/>
    </row>
    <row r="225" spans="1:68" outlineLevel="1" x14ac:dyDescent="0.25">
      <c r="A225" s="213">
        <v>45658</v>
      </c>
      <c r="B225" s="225" t="s">
        <v>480</v>
      </c>
      <c r="C225" s="31">
        <v>8333.3333333333339</v>
      </c>
      <c r="D225" s="30">
        <v>1</v>
      </c>
      <c r="E225" s="30">
        <v>0</v>
      </c>
      <c r="F225" s="30">
        <v>0</v>
      </c>
      <c r="G225" s="30">
        <v>0</v>
      </c>
      <c r="H225" s="30">
        <v>0</v>
      </c>
      <c r="I225" s="30">
        <v>0</v>
      </c>
      <c r="J225" s="30">
        <v>0</v>
      </c>
      <c r="K225" s="30">
        <v>0</v>
      </c>
      <c r="L225" s="30">
        <v>0</v>
      </c>
      <c r="M225" s="30">
        <v>0</v>
      </c>
      <c r="N225" s="30">
        <v>0</v>
      </c>
      <c r="O225" s="30">
        <v>0</v>
      </c>
      <c r="P225" s="30">
        <v>0</v>
      </c>
      <c r="Q225" s="30">
        <v>0</v>
      </c>
      <c r="R225" s="30">
        <v>0</v>
      </c>
      <c r="S225" s="30">
        <v>0</v>
      </c>
      <c r="T225" s="30">
        <v>0</v>
      </c>
      <c r="U225" s="30">
        <v>0</v>
      </c>
      <c r="V225" s="30">
        <v>0</v>
      </c>
      <c r="W225" s="30">
        <v>0</v>
      </c>
      <c r="X225" s="30">
        <v>0</v>
      </c>
      <c r="Y225" s="30">
        <v>0</v>
      </c>
      <c r="Z225" s="30">
        <v>0</v>
      </c>
      <c r="AA225" s="30">
        <v>0</v>
      </c>
      <c r="AB225" s="30">
        <v>0</v>
      </c>
      <c r="AC225" s="30">
        <v>0</v>
      </c>
      <c r="AD225" s="30">
        <v>0</v>
      </c>
      <c r="AE225" s="30">
        <v>0</v>
      </c>
      <c r="AF225" s="30">
        <v>0</v>
      </c>
      <c r="AG225" s="30">
        <v>0</v>
      </c>
      <c r="AH225" s="30">
        <v>0</v>
      </c>
      <c r="AI225" s="30">
        <v>0</v>
      </c>
      <c r="AJ225" s="30">
        <v>0</v>
      </c>
      <c r="AK225" s="30">
        <v>0</v>
      </c>
      <c r="AL225" s="30">
        <v>0</v>
      </c>
      <c r="AM225" s="30">
        <v>0</v>
      </c>
      <c r="AN225" s="30">
        <v>0</v>
      </c>
      <c r="AO225" s="30">
        <v>0</v>
      </c>
      <c r="AP225" s="30">
        <v>0</v>
      </c>
      <c r="AQ225" s="30">
        <v>0</v>
      </c>
      <c r="AR225" s="30">
        <v>0</v>
      </c>
      <c r="AS225" s="30">
        <v>0</v>
      </c>
      <c r="AT225" s="30">
        <v>0</v>
      </c>
      <c r="AU225" s="30">
        <v>0</v>
      </c>
      <c r="AV225" s="30">
        <v>0</v>
      </c>
      <c r="AW225" s="30">
        <v>0</v>
      </c>
      <c r="AX225" s="30">
        <v>0</v>
      </c>
      <c r="AY225" s="30">
        <v>0</v>
      </c>
      <c r="AZ225" s="30">
        <v>0</v>
      </c>
      <c r="BA225" s="30">
        <v>0</v>
      </c>
      <c r="BB225" s="30">
        <v>0</v>
      </c>
      <c r="BC225" s="30">
        <v>0</v>
      </c>
      <c r="BD225" s="30">
        <v>0</v>
      </c>
      <c r="BE225" s="202"/>
      <c r="BF225" s="202"/>
      <c r="BG225" s="202"/>
      <c r="BH225" s="202"/>
      <c r="BI225" s="225" t="s">
        <v>480</v>
      </c>
      <c r="BJ225" s="37">
        <v>1</v>
      </c>
      <c r="BK225" s="37">
        <f t="shared" ref="BK225:BL229" si="155">BJ225*1.1</f>
        <v>1.1000000000000001</v>
      </c>
      <c r="BL225" s="37">
        <f t="shared" si="155"/>
        <v>1.2100000000000002</v>
      </c>
      <c r="BO225" s="202"/>
      <c r="BP225" s="202"/>
    </row>
    <row r="226" spans="1:68" outlineLevel="1" x14ac:dyDescent="0.25">
      <c r="A226" s="213">
        <v>46023</v>
      </c>
      <c r="B226" s="225" t="s">
        <v>481</v>
      </c>
      <c r="C226" s="31">
        <v>8333.3333333333339</v>
      </c>
      <c r="D226" s="30">
        <v>1</v>
      </c>
      <c r="E226" s="30">
        <v>0</v>
      </c>
      <c r="F226" s="30">
        <v>0</v>
      </c>
      <c r="G226" s="30">
        <v>0</v>
      </c>
      <c r="H226" s="30">
        <v>0</v>
      </c>
      <c r="I226" s="30">
        <v>0</v>
      </c>
      <c r="J226" s="30">
        <v>0</v>
      </c>
      <c r="K226" s="30">
        <v>0</v>
      </c>
      <c r="L226" s="30">
        <v>0</v>
      </c>
      <c r="M226" s="30">
        <v>0</v>
      </c>
      <c r="N226" s="30">
        <v>0</v>
      </c>
      <c r="O226" s="30">
        <v>0</v>
      </c>
      <c r="P226" s="30">
        <v>0</v>
      </c>
      <c r="Q226" s="30">
        <v>0</v>
      </c>
      <c r="R226" s="30">
        <v>0</v>
      </c>
      <c r="S226" s="30">
        <v>0</v>
      </c>
      <c r="T226" s="30">
        <v>0</v>
      </c>
      <c r="U226" s="30">
        <v>0</v>
      </c>
      <c r="V226" s="30">
        <v>0</v>
      </c>
      <c r="W226" s="30">
        <v>0</v>
      </c>
      <c r="X226" s="30">
        <v>0</v>
      </c>
      <c r="Y226" s="30">
        <v>0</v>
      </c>
      <c r="Z226" s="30">
        <v>0</v>
      </c>
      <c r="AA226" s="30">
        <v>0</v>
      </c>
      <c r="AB226" s="30">
        <v>0</v>
      </c>
      <c r="AC226" s="30">
        <v>0</v>
      </c>
      <c r="AD226" s="30">
        <v>0</v>
      </c>
      <c r="AE226" s="30">
        <v>0</v>
      </c>
      <c r="AF226" s="30">
        <v>0</v>
      </c>
      <c r="AG226" s="30">
        <v>0</v>
      </c>
      <c r="AH226" s="30">
        <v>0</v>
      </c>
      <c r="AI226" s="30">
        <v>0</v>
      </c>
      <c r="AJ226" s="30">
        <v>0</v>
      </c>
      <c r="AK226" s="30">
        <v>0</v>
      </c>
      <c r="AL226" s="30">
        <v>0</v>
      </c>
      <c r="AM226" s="30">
        <v>0</v>
      </c>
      <c r="AN226" s="30">
        <v>0</v>
      </c>
      <c r="AO226" s="30">
        <v>0</v>
      </c>
      <c r="AP226" s="30">
        <v>0</v>
      </c>
      <c r="AQ226" s="30">
        <v>0</v>
      </c>
      <c r="AR226" s="30">
        <v>0</v>
      </c>
      <c r="AS226" s="30">
        <v>0</v>
      </c>
      <c r="AT226" s="30">
        <v>0</v>
      </c>
      <c r="AU226" s="30">
        <v>0</v>
      </c>
      <c r="AV226" s="30">
        <v>0</v>
      </c>
      <c r="AW226" s="30">
        <v>0</v>
      </c>
      <c r="AX226" s="30">
        <v>0</v>
      </c>
      <c r="AY226" s="30">
        <v>0</v>
      </c>
      <c r="AZ226" s="30">
        <v>0</v>
      </c>
      <c r="BA226" s="30">
        <v>0</v>
      </c>
      <c r="BB226" s="30">
        <v>0</v>
      </c>
      <c r="BC226" s="30">
        <v>0</v>
      </c>
      <c r="BD226" s="30">
        <v>0</v>
      </c>
      <c r="BE226" s="202"/>
      <c r="BF226" s="202"/>
      <c r="BG226" s="202"/>
      <c r="BH226" s="202"/>
      <c r="BI226" s="225" t="s">
        <v>481</v>
      </c>
      <c r="BJ226" s="37">
        <v>1</v>
      </c>
      <c r="BK226" s="37">
        <f t="shared" si="155"/>
        <v>1.1000000000000001</v>
      </c>
      <c r="BL226" s="37">
        <f t="shared" si="155"/>
        <v>1.2100000000000002</v>
      </c>
      <c r="BO226" s="202"/>
      <c r="BP226" s="202"/>
    </row>
    <row r="227" spans="1:68" outlineLevel="1" x14ac:dyDescent="0.25">
      <c r="A227" s="213">
        <v>46023</v>
      </c>
      <c r="B227" s="225" t="s">
        <v>483</v>
      </c>
      <c r="C227" s="31">
        <v>8333.3333333333339</v>
      </c>
      <c r="D227" s="30">
        <v>1</v>
      </c>
      <c r="E227" s="30">
        <v>0</v>
      </c>
      <c r="F227" s="30">
        <v>0</v>
      </c>
      <c r="G227" s="30">
        <v>0</v>
      </c>
      <c r="H227" s="30">
        <v>0</v>
      </c>
      <c r="I227" s="30">
        <v>0</v>
      </c>
      <c r="J227" s="30">
        <v>0</v>
      </c>
      <c r="K227" s="30">
        <v>0</v>
      </c>
      <c r="L227" s="30">
        <v>0</v>
      </c>
      <c r="M227" s="30">
        <v>0</v>
      </c>
      <c r="N227" s="30">
        <v>0</v>
      </c>
      <c r="O227" s="30">
        <v>0</v>
      </c>
      <c r="P227" s="30">
        <v>0</v>
      </c>
      <c r="Q227" s="30">
        <v>0</v>
      </c>
      <c r="R227" s="30">
        <v>0</v>
      </c>
      <c r="S227" s="30">
        <v>0</v>
      </c>
      <c r="T227" s="30">
        <v>0</v>
      </c>
      <c r="U227" s="30">
        <v>0</v>
      </c>
      <c r="V227" s="30">
        <v>0</v>
      </c>
      <c r="W227" s="30">
        <v>0</v>
      </c>
      <c r="X227" s="30">
        <v>0</v>
      </c>
      <c r="Y227" s="30">
        <v>0</v>
      </c>
      <c r="Z227" s="30">
        <v>0</v>
      </c>
      <c r="AA227" s="30">
        <v>0</v>
      </c>
      <c r="AB227" s="30">
        <v>0</v>
      </c>
      <c r="AC227" s="30">
        <v>0</v>
      </c>
      <c r="AD227" s="30">
        <v>0</v>
      </c>
      <c r="AE227" s="30">
        <v>0</v>
      </c>
      <c r="AF227" s="30">
        <v>0</v>
      </c>
      <c r="AG227" s="30">
        <v>0</v>
      </c>
      <c r="AH227" s="30">
        <v>0</v>
      </c>
      <c r="AI227" s="30">
        <v>0</v>
      </c>
      <c r="AJ227" s="30">
        <v>0</v>
      </c>
      <c r="AK227" s="30">
        <v>0</v>
      </c>
      <c r="AL227" s="30">
        <v>0</v>
      </c>
      <c r="AM227" s="30">
        <v>0</v>
      </c>
      <c r="AN227" s="30">
        <v>0</v>
      </c>
      <c r="AO227" s="30">
        <v>0</v>
      </c>
      <c r="AP227" s="30">
        <v>0</v>
      </c>
      <c r="AQ227" s="30">
        <v>0</v>
      </c>
      <c r="AR227" s="30">
        <v>0</v>
      </c>
      <c r="AS227" s="30">
        <v>0</v>
      </c>
      <c r="AT227" s="30">
        <v>0</v>
      </c>
      <c r="AU227" s="30">
        <v>0</v>
      </c>
      <c r="AV227" s="30">
        <v>0</v>
      </c>
      <c r="AW227" s="30">
        <v>0</v>
      </c>
      <c r="AX227" s="30">
        <v>0</v>
      </c>
      <c r="AY227" s="30">
        <v>0</v>
      </c>
      <c r="AZ227" s="30">
        <v>0</v>
      </c>
      <c r="BA227" s="30">
        <v>0</v>
      </c>
      <c r="BB227" s="30">
        <v>0</v>
      </c>
      <c r="BC227" s="30">
        <v>0</v>
      </c>
      <c r="BD227" s="30">
        <v>0</v>
      </c>
      <c r="BE227" s="202"/>
      <c r="BF227" s="202"/>
      <c r="BG227" s="202"/>
      <c r="BH227" s="202"/>
      <c r="BI227" s="225" t="s">
        <v>483</v>
      </c>
      <c r="BJ227" s="37">
        <v>1</v>
      </c>
      <c r="BK227" s="37">
        <f t="shared" si="155"/>
        <v>1.1000000000000001</v>
      </c>
      <c r="BL227" s="37">
        <f t="shared" si="155"/>
        <v>1.2100000000000002</v>
      </c>
      <c r="BO227" s="202"/>
      <c r="BP227" s="202"/>
    </row>
    <row r="228" spans="1:68" outlineLevel="1" x14ac:dyDescent="0.25">
      <c r="A228" s="213">
        <v>46023</v>
      </c>
      <c r="B228" s="225" t="s">
        <v>482</v>
      </c>
      <c r="C228" s="31">
        <v>8333.3333333333339</v>
      </c>
      <c r="D228" s="30">
        <v>1</v>
      </c>
      <c r="E228" s="30">
        <v>0</v>
      </c>
      <c r="F228" s="30">
        <v>0</v>
      </c>
      <c r="G228" s="30">
        <v>0</v>
      </c>
      <c r="H228" s="30">
        <v>0</v>
      </c>
      <c r="I228" s="30">
        <v>0</v>
      </c>
      <c r="J228" s="30">
        <v>0</v>
      </c>
      <c r="K228" s="30">
        <v>0</v>
      </c>
      <c r="L228" s="30">
        <v>0</v>
      </c>
      <c r="M228" s="30">
        <v>0</v>
      </c>
      <c r="N228" s="30">
        <v>0</v>
      </c>
      <c r="O228" s="30">
        <v>0</v>
      </c>
      <c r="P228" s="30">
        <v>0</v>
      </c>
      <c r="Q228" s="30">
        <v>0</v>
      </c>
      <c r="R228" s="30">
        <v>0</v>
      </c>
      <c r="S228" s="30">
        <v>0</v>
      </c>
      <c r="T228" s="30">
        <v>0</v>
      </c>
      <c r="U228" s="30">
        <v>0</v>
      </c>
      <c r="V228" s="30">
        <v>0</v>
      </c>
      <c r="W228" s="30">
        <v>0</v>
      </c>
      <c r="X228" s="30">
        <v>0</v>
      </c>
      <c r="Y228" s="30">
        <v>0</v>
      </c>
      <c r="Z228" s="30">
        <v>0</v>
      </c>
      <c r="AA228" s="30">
        <v>0</v>
      </c>
      <c r="AB228" s="30">
        <v>0</v>
      </c>
      <c r="AC228" s="30">
        <v>0</v>
      </c>
      <c r="AD228" s="30">
        <v>0</v>
      </c>
      <c r="AE228" s="30">
        <v>0</v>
      </c>
      <c r="AF228" s="30">
        <v>0</v>
      </c>
      <c r="AG228" s="30">
        <v>0</v>
      </c>
      <c r="AH228" s="30">
        <v>0</v>
      </c>
      <c r="AI228" s="30">
        <v>0</v>
      </c>
      <c r="AJ228" s="30">
        <v>0</v>
      </c>
      <c r="AK228" s="30">
        <v>0</v>
      </c>
      <c r="AL228" s="30">
        <v>0</v>
      </c>
      <c r="AM228" s="30">
        <v>0</v>
      </c>
      <c r="AN228" s="30">
        <v>0</v>
      </c>
      <c r="AO228" s="30">
        <v>0</v>
      </c>
      <c r="AP228" s="30">
        <v>0</v>
      </c>
      <c r="AQ228" s="30">
        <v>0</v>
      </c>
      <c r="AR228" s="30">
        <v>0</v>
      </c>
      <c r="AS228" s="30">
        <v>0</v>
      </c>
      <c r="AT228" s="30">
        <v>0</v>
      </c>
      <c r="AU228" s="30">
        <v>0</v>
      </c>
      <c r="AV228" s="30">
        <v>0</v>
      </c>
      <c r="AW228" s="30">
        <v>0</v>
      </c>
      <c r="AX228" s="30">
        <v>0</v>
      </c>
      <c r="AY228" s="30">
        <v>0</v>
      </c>
      <c r="AZ228" s="30">
        <v>0</v>
      </c>
      <c r="BA228" s="30">
        <v>0</v>
      </c>
      <c r="BB228" s="30">
        <v>0</v>
      </c>
      <c r="BC228" s="30">
        <v>0</v>
      </c>
      <c r="BD228" s="30">
        <v>0</v>
      </c>
      <c r="BE228" s="202"/>
      <c r="BF228" s="202"/>
      <c r="BG228" s="202"/>
      <c r="BH228" s="202"/>
      <c r="BI228" s="225" t="s">
        <v>482</v>
      </c>
      <c r="BJ228" s="37">
        <v>1</v>
      </c>
      <c r="BK228" s="37">
        <f t="shared" si="155"/>
        <v>1.1000000000000001</v>
      </c>
      <c r="BL228" s="37">
        <f t="shared" si="155"/>
        <v>1.2100000000000002</v>
      </c>
      <c r="BO228" s="202"/>
      <c r="BP228" s="202"/>
    </row>
    <row r="229" spans="1:68" outlineLevel="1" x14ac:dyDescent="0.25">
      <c r="A229" s="213">
        <v>46082</v>
      </c>
      <c r="B229" s="225" t="s">
        <v>484</v>
      </c>
      <c r="C229" s="31">
        <v>9583.3333333333339</v>
      </c>
      <c r="D229" s="30">
        <v>1</v>
      </c>
      <c r="E229" s="30">
        <v>0</v>
      </c>
      <c r="F229" s="30">
        <v>0</v>
      </c>
      <c r="G229" s="30">
        <v>0</v>
      </c>
      <c r="H229" s="30">
        <v>0</v>
      </c>
      <c r="I229" s="30">
        <v>0</v>
      </c>
      <c r="J229" s="30">
        <v>0</v>
      </c>
      <c r="K229" s="30">
        <v>0</v>
      </c>
      <c r="L229" s="30">
        <v>0</v>
      </c>
      <c r="M229" s="30">
        <v>0</v>
      </c>
      <c r="N229" s="30">
        <v>0</v>
      </c>
      <c r="O229" s="30">
        <v>0</v>
      </c>
      <c r="P229" s="30">
        <v>0</v>
      </c>
      <c r="Q229" s="30">
        <v>0</v>
      </c>
      <c r="R229" s="30">
        <v>0</v>
      </c>
      <c r="S229" s="30">
        <v>0</v>
      </c>
      <c r="T229" s="30">
        <v>0</v>
      </c>
      <c r="U229" s="30">
        <v>0</v>
      </c>
      <c r="V229" s="30">
        <v>0</v>
      </c>
      <c r="W229" s="30">
        <v>0</v>
      </c>
      <c r="X229" s="30">
        <v>0</v>
      </c>
      <c r="Y229" s="30">
        <v>0</v>
      </c>
      <c r="Z229" s="30">
        <v>0</v>
      </c>
      <c r="AA229" s="30">
        <v>0</v>
      </c>
      <c r="AB229" s="30">
        <v>0</v>
      </c>
      <c r="AC229" s="30">
        <v>0</v>
      </c>
      <c r="AD229" s="30">
        <v>0</v>
      </c>
      <c r="AE229" s="30">
        <v>0</v>
      </c>
      <c r="AF229" s="30">
        <v>0</v>
      </c>
      <c r="AG229" s="30">
        <v>0</v>
      </c>
      <c r="AH229" s="30">
        <v>0</v>
      </c>
      <c r="AI229" s="30">
        <v>0</v>
      </c>
      <c r="AJ229" s="30">
        <v>0</v>
      </c>
      <c r="AK229" s="30">
        <v>0</v>
      </c>
      <c r="AL229" s="30">
        <v>0</v>
      </c>
      <c r="AM229" s="30">
        <v>0</v>
      </c>
      <c r="AN229" s="30">
        <v>0</v>
      </c>
      <c r="AO229" s="30">
        <v>0</v>
      </c>
      <c r="AP229" s="30">
        <v>0</v>
      </c>
      <c r="AQ229" s="30">
        <v>0</v>
      </c>
      <c r="AR229" s="30">
        <v>0</v>
      </c>
      <c r="AS229" s="30">
        <v>0</v>
      </c>
      <c r="AT229" s="30">
        <v>0</v>
      </c>
      <c r="AU229" s="30">
        <v>0</v>
      </c>
      <c r="AV229" s="30">
        <v>0</v>
      </c>
      <c r="AW229" s="30">
        <v>0</v>
      </c>
      <c r="AX229" s="30">
        <v>0</v>
      </c>
      <c r="AY229" s="30">
        <v>0</v>
      </c>
      <c r="AZ229" s="30">
        <v>0</v>
      </c>
      <c r="BA229" s="30">
        <v>0</v>
      </c>
      <c r="BB229" s="30">
        <v>0</v>
      </c>
      <c r="BC229" s="30">
        <v>0</v>
      </c>
      <c r="BD229" s="30">
        <v>0</v>
      </c>
      <c r="BE229" s="202"/>
      <c r="BF229" s="202"/>
      <c r="BG229" s="202"/>
      <c r="BH229" s="202"/>
      <c r="BI229" s="225" t="s">
        <v>484</v>
      </c>
      <c r="BJ229" s="37">
        <v>1</v>
      </c>
      <c r="BK229" s="37">
        <f t="shared" si="155"/>
        <v>1.1000000000000001</v>
      </c>
      <c r="BL229" s="37">
        <f t="shared" si="155"/>
        <v>1.2100000000000002</v>
      </c>
      <c r="BO229" s="202"/>
      <c r="BP229" s="202"/>
    </row>
    <row r="230" spans="1:68" x14ac:dyDescent="0.25">
      <c r="A230" s="202"/>
      <c r="B230" s="202"/>
      <c r="C230" s="202"/>
      <c r="D230" s="202"/>
      <c r="E230" s="202"/>
      <c r="F230" s="202"/>
      <c r="G230" s="202"/>
      <c r="H230" s="202"/>
      <c r="I230" s="202"/>
      <c r="J230" s="202"/>
      <c r="K230" s="202"/>
      <c r="L230" s="202"/>
      <c r="M230" s="202"/>
      <c r="N230" s="202"/>
      <c r="O230" s="202"/>
      <c r="P230" s="202"/>
      <c r="Q230" s="202"/>
      <c r="R230" s="202"/>
      <c r="S230" s="202"/>
      <c r="T230" s="202"/>
      <c r="U230" s="202"/>
      <c r="V230" s="202"/>
      <c r="W230" s="202"/>
      <c r="X230" s="202"/>
      <c r="Y230" s="202"/>
      <c r="Z230" s="202"/>
      <c r="AA230" s="202"/>
      <c r="AB230" s="202"/>
      <c r="AC230" s="202"/>
      <c r="AD230" s="202"/>
      <c r="AE230" s="202"/>
      <c r="AF230" s="202"/>
      <c r="AG230" s="202"/>
      <c r="AH230" s="202"/>
      <c r="AI230" s="202"/>
      <c r="AJ230" s="202"/>
      <c r="AK230" s="202"/>
      <c r="AL230" s="202"/>
      <c r="AM230" s="202"/>
      <c r="AN230" s="202"/>
      <c r="AO230" s="202"/>
      <c r="AP230" s="202"/>
      <c r="AQ230" s="202"/>
      <c r="AR230" s="202"/>
      <c r="AS230" s="202"/>
      <c r="AT230" s="202"/>
      <c r="AU230" s="202"/>
      <c r="AV230" s="202"/>
      <c r="AW230" s="202"/>
      <c r="AX230" s="202"/>
      <c r="AY230" s="202"/>
      <c r="AZ230" s="202"/>
      <c r="BA230" s="202"/>
      <c r="BB230" s="202"/>
      <c r="BC230" s="202"/>
      <c r="BD230" s="202"/>
      <c r="BE230" s="202"/>
      <c r="BF230" s="202"/>
      <c r="BG230" s="202"/>
      <c r="BH230" s="202"/>
      <c r="BI230" s="202"/>
      <c r="BJ230" s="204"/>
      <c r="BK230" s="204"/>
      <c r="BL230" s="204"/>
      <c r="BO230" s="202"/>
      <c r="BP230" s="202"/>
    </row>
    <row r="231" spans="1:68" outlineLevel="1" x14ac:dyDescent="0.25">
      <c r="A231" s="213">
        <v>45901</v>
      </c>
      <c r="B231" s="225" t="s">
        <v>485</v>
      </c>
      <c r="C231" s="31">
        <v>15416.666666666666</v>
      </c>
      <c r="D231" s="30">
        <v>1</v>
      </c>
      <c r="E231" s="30">
        <v>0</v>
      </c>
      <c r="F231" s="30">
        <v>0</v>
      </c>
      <c r="G231" s="30">
        <v>0</v>
      </c>
      <c r="H231" s="30">
        <v>0</v>
      </c>
      <c r="I231" s="30">
        <v>0</v>
      </c>
      <c r="J231" s="30">
        <v>0</v>
      </c>
      <c r="K231" s="30">
        <v>0</v>
      </c>
      <c r="L231" s="30">
        <v>0</v>
      </c>
      <c r="M231" s="30">
        <v>0</v>
      </c>
      <c r="N231" s="30">
        <v>0</v>
      </c>
      <c r="O231" s="30">
        <v>0</v>
      </c>
      <c r="P231" s="30">
        <v>0</v>
      </c>
      <c r="Q231" s="30">
        <v>0</v>
      </c>
      <c r="R231" s="30">
        <v>0</v>
      </c>
      <c r="S231" s="30">
        <v>0</v>
      </c>
      <c r="T231" s="30">
        <v>0</v>
      </c>
      <c r="U231" s="30">
        <v>0</v>
      </c>
      <c r="V231" s="30">
        <v>0</v>
      </c>
      <c r="W231" s="30">
        <v>0</v>
      </c>
      <c r="X231" s="30">
        <v>0</v>
      </c>
      <c r="Y231" s="30">
        <v>0</v>
      </c>
      <c r="Z231" s="30">
        <v>0</v>
      </c>
      <c r="AA231" s="30">
        <v>0</v>
      </c>
      <c r="AB231" s="30">
        <v>0</v>
      </c>
      <c r="AC231" s="30">
        <v>0</v>
      </c>
      <c r="AD231" s="30">
        <v>0</v>
      </c>
      <c r="AE231" s="30">
        <v>0</v>
      </c>
      <c r="AF231" s="30">
        <v>0</v>
      </c>
      <c r="AG231" s="30">
        <v>0</v>
      </c>
      <c r="AH231" s="30">
        <v>0</v>
      </c>
      <c r="AI231" s="30">
        <v>0</v>
      </c>
      <c r="AJ231" s="30">
        <v>0</v>
      </c>
      <c r="AK231" s="30">
        <v>0</v>
      </c>
      <c r="AL231" s="30">
        <v>0</v>
      </c>
      <c r="AM231" s="30">
        <v>0</v>
      </c>
      <c r="AN231" s="30">
        <v>0</v>
      </c>
      <c r="AO231" s="30">
        <v>0</v>
      </c>
      <c r="AP231" s="30">
        <v>0</v>
      </c>
      <c r="AQ231" s="30">
        <v>0</v>
      </c>
      <c r="AR231" s="30">
        <v>0</v>
      </c>
      <c r="AS231" s="30">
        <v>0</v>
      </c>
      <c r="AT231" s="30">
        <v>0</v>
      </c>
      <c r="AU231" s="30">
        <v>0</v>
      </c>
      <c r="AV231" s="30">
        <v>0</v>
      </c>
      <c r="AW231" s="30">
        <v>0</v>
      </c>
      <c r="AX231" s="30">
        <v>0</v>
      </c>
      <c r="AY231" s="30">
        <v>0</v>
      </c>
      <c r="AZ231" s="30">
        <v>0</v>
      </c>
      <c r="BA231" s="30">
        <v>0</v>
      </c>
      <c r="BB231" s="30">
        <v>0</v>
      </c>
      <c r="BC231" s="30">
        <v>0</v>
      </c>
      <c r="BD231" s="30">
        <v>0</v>
      </c>
      <c r="BE231" s="202"/>
      <c r="BF231" s="202"/>
      <c r="BG231" s="202"/>
      <c r="BH231" s="202"/>
      <c r="BI231" s="225" t="s">
        <v>485</v>
      </c>
      <c r="BJ231" s="37">
        <v>1</v>
      </c>
      <c r="BK231" s="37">
        <f t="shared" ref="BK231:BL241" si="156">BJ231*1.1</f>
        <v>1.1000000000000001</v>
      </c>
      <c r="BL231" s="37">
        <f t="shared" si="156"/>
        <v>1.2100000000000002</v>
      </c>
      <c r="BO231" s="202"/>
      <c r="BP231" s="202"/>
    </row>
    <row r="232" spans="1:68" outlineLevel="1" x14ac:dyDescent="0.25">
      <c r="A232" s="213">
        <v>46023</v>
      </c>
      <c r="B232" s="225" t="s">
        <v>486</v>
      </c>
      <c r="C232" s="31">
        <v>5416.666666666667</v>
      </c>
      <c r="D232" s="30">
        <v>1</v>
      </c>
      <c r="E232" s="30">
        <v>0</v>
      </c>
      <c r="F232" s="30">
        <v>0</v>
      </c>
      <c r="G232" s="30">
        <v>0</v>
      </c>
      <c r="H232" s="30">
        <v>0</v>
      </c>
      <c r="I232" s="30">
        <v>0</v>
      </c>
      <c r="J232" s="30">
        <v>0</v>
      </c>
      <c r="K232" s="30">
        <v>0</v>
      </c>
      <c r="L232" s="30">
        <v>0</v>
      </c>
      <c r="M232" s="30">
        <v>0</v>
      </c>
      <c r="N232" s="30">
        <v>0</v>
      </c>
      <c r="O232" s="30">
        <v>0</v>
      </c>
      <c r="P232" s="30">
        <v>0</v>
      </c>
      <c r="Q232" s="30">
        <v>0</v>
      </c>
      <c r="R232" s="30">
        <v>0</v>
      </c>
      <c r="S232" s="30">
        <v>0</v>
      </c>
      <c r="T232" s="30">
        <v>0</v>
      </c>
      <c r="U232" s="30">
        <v>0</v>
      </c>
      <c r="V232" s="30">
        <v>0</v>
      </c>
      <c r="W232" s="30">
        <v>0</v>
      </c>
      <c r="X232" s="30">
        <v>0</v>
      </c>
      <c r="Y232" s="30">
        <v>0</v>
      </c>
      <c r="Z232" s="30">
        <v>0</v>
      </c>
      <c r="AA232" s="30">
        <v>0</v>
      </c>
      <c r="AB232" s="30">
        <v>0</v>
      </c>
      <c r="AC232" s="30">
        <v>0</v>
      </c>
      <c r="AD232" s="30">
        <v>0</v>
      </c>
      <c r="AE232" s="30">
        <v>0</v>
      </c>
      <c r="AF232" s="30">
        <v>0</v>
      </c>
      <c r="AG232" s="30">
        <v>0</v>
      </c>
      <c r="AH232" s="30">
        <v>0</v>
      </c>
      <c r="AI232" s="30">
        <v>0</v>
      </c>
      <c r="AJ232" s="30">
        <v>0</v>
      </c>
      <c r="AK232" s="30">
        <v>0</v>
      </c>
      <c r="AL232" s="30">
        <v>0</v>
      </c>
      <c r="AM232" s="30">
        <v>0</v>
      </c>
      <c r="AN232" s="30">
        <v>0</v>
      </c>
      <c r="AO232" s="30">
        <v>0</v>
      </c>
      <c r="AP232" s="30">
        <v>0</v>
      </c>
      <c r="AQ232" s="30">
        <v>0</v>
      </c>
      <c r="AR232" s="30">
        <v>0</v>
      </c>
      <c r="AS232" s="30">
        <v>0</v>
      </c>
      <c r="AT232" s="30">
        <v>0</v>
      </c>
      <c r="AU232" s="30">
        <v>0</v>
      </c>
      <c r="AV232" s="30">
        <v>0</v>
      </c>
      <c r="AW232" s="30">
        <v>0</v>
      </c>
      <c r="AX232" s="30">
        <v>0</v>
      </c>
      <c r="AY232" s="30">
        <v>0</v>
      </c>
      <c r="AZ232" s="30">
        <v>0</v>
      </c>
      <c r="BA232" s="30">
        <v>0</v>
      </c>
      <c r="BB232" s="30">
        <v>0</v>
      </c>
      <c r="BC232" s="30">
        <v>0</v>
      </c>
      <c r="BD232" s="30">
        <v>0</v>
      </c>
      <c r="BE232" s="202"/>
      <c r="BF232" s="202"/>
      <c r="BG232" s="202"/>
      <c r="BH232" s="202"/>
      <c r="BI232" s="225" t="s">
        <v>486</v>
      </c>
      <c r="BJ232" s="37">
        <v>1</v>
      </c>
      <c r="BK232" s="37">
        <f t="shared" si="156"/>
        <v>1.1000000000000001</v>
      </c>
      <c r="BL232" s="37">
        <f t="shared" si="156"/>
        <v>1.2100000000000002</v>
      </c>
      <c r="BO232" s="202"/>
      <c r="BP232" s="202"/>
    </row>
    <row r="233" spans="1:68" outlineLevel="1" x14ac:dyDescent="0.25">
      <c r="A233" s="213">
        <v>45658</v>
      </c>
      <c r="B233" s="204" t="s">
        <v>196</v>
      </c>
      <c r="C233" s="31">
        <v>6666.666666666667</v>
      </c>
      <c r="D233" s="30">
        <v>1</v>
      </c>
      <c r="E233" s="30">
        <v>0</v>
      </c>
      <c r="F233" s="30">
        <v>0</v>
      </c>
      <c r="G233" s="30">
        <v>0</v>
      </c>
      <c r="H233" s="30">
        <v>0</v>
      </c>
      <c r="I233" s="30">
        <v>0</v>
      </c>
      <c r="J233" s="30">
        <v>0</v>
      </c>
      <c r="K233" s="30">
        <v>0</v>
      </c>
      <c r="L233" s="30">
        <v>0</v>
      </c>
      <c r="M233" s="30">
        <v>0</v>
      </c>
      <c r="N233" s="30">
        <v>0</v>
      </c>
      <c r="O233" s="30">
        <v>0</v>
      </c>
      <c r="P233" s="30">
        <v>0</v>
      </c>
      <c r="Q233" s="30">
        <v>0</v>
      </c>
      <c r="R233" s="30">
        <v>0</v>
      </c>
      <c r="S233" s="30">
        <v>0</v>
      </c>
      <c r="T233" s="30">
        <v>0</v>
      </c>
      <c r="U233" s="30">
        <v>0</v>
      </c>
      <c r="V233" s="30">
        <v>0</v>
      </c>
      <c r="W233" s="30">
        <v>0</v>
      </c>
      <c r="X233" s="30">
        <v>0</v>
      </c>
      <c r="Y233" s="30">
        <v>0</v>
      </c>
      <c r="Z233" s="30">
        <v>0</v>
      </c>
      <c r="AA233" s="30">
        <v>0</v>
      </c>
      <c r="AB233" s="30">
        <v>0</v>
      </c>
      <c r="AC233" s="30">
        <v>0</v>
      </c>
      <c r="AD233" s="30">
        <v>0</v>
      </c>
      <c r="AE233" s="30">
        <v>0</v>
      </c>
      <c r="AF233" s="30">
        <v>0</v>
      </c>
      <c r="AG233" s="30">
        <v>0</v>
      </c>
      <c r="AH233" s="30">
        <v>0</v>
      </c>
      <c r="AI233" s="30">
        <v>0</v>
      </c>
      <c r="AJ233" s="30">
        <v>0</v>
      </c>
      <c r="AK233" s="30">
        <v>0</v>
      </c>
      <c r="AL233" s="30">
        <v>0</v>
      </c>
      <c r="AM233" s="30">
        <v>0</v>
      </c>
      <c r="AN233" s="30">
        <v>0</v>
      </c>
      <c r="AO233" s="30">
        <v>0</v>
      </c>
      <c r="AP233" s="30">
        <v>0</v>
      </c>
      <c r="AQ233" s="30">
        <v>0</v>
      </c>
      <c r="AR233" s="30">
        <v>0</v>
      </c>
      <c r="AS233" s="30">
        <v>0</v>
      </c>
      <c r="AT233" s="30">
        <v>0</v>
      </c>
      <c r="AU233" s="30">
        <v>0</v>
      </c>
      <c r="AV233" s="30">
        <v>0</v>
      </c>
      <c r="AW233" s="30">
        <v>0</v>
      </c>
      <c r="AX233" s="30">
        <v>0</v>
      </c>
      <c r="AY233" s="30">
        <v>0</v>
      </c>
      <c r="AZ233" s="30">
        <v>0</v>
      </c>
      <c r="BA233" s="30">
        <v>0</v>
      </c>
      <c r="BB233" s="30">
        <v>0</v>
      </c>
      <c r="BC233" s="30">
        <v>0</v>
      </c>
      <c r="BD233" s="30">
        <v>0</v>
      </c>
      <c r="BE233" s="202"/>
      <c r="BF233" s="202"/>
      <c r="BG233" s="202"/>
      <c r="BH233" s="202"/>
      <c r="BI233" s="204" t="s">
        <v>196</v>
      </c>
      <c r="BJ233" s="37">
        <v>1</v>
      </c>
      <c r="BK233" s="37">
        <f t="shared" si="156"/>
        <v>1.1000000000000001</v>
      </c>
      <c r="BL233" s="37">
        <f t="shared" si="156"/>
        <v>1.2100000000000002</v>
      </c>
      <c r="BO233" s="202"/>
      <c r="BP233" s="202"/>
    </row>
    <row r="234" spans="1:68" outlineLevel="1" x14ac:dyDescent="0.25">
      <c r="A234" s="213">
        <v>45658</v>
      </c>
      <c r="B234" s="225" t="s">
        <v>487</v>
      </c>
      <c r="C234" s="31">
        <v>10000</v>
      </c>
      <c r="D234" s="30">
        <v>1</v>
      </c>
      <c r="E234" s="30">
        <v>0</v>
      </c>
      <c r="F234" s="30">
        <v>0</v>
      </c>
      <c r="G234" s="30">
        <v>0</v>
      </c>
      <c r="H234" s="30">
        <v>0</v>
      </c>
      <c r="I234" s="30">
        <v>0</v>
      </c>
      <c r="J234" s="30">
        <v>0</v>
      </c>
      <c r="K234" s="30">
        <v>0</v>
      </c>
      <c r="L234" s="30">
        <v>0</v>
      </c>
      <c r="M234" s="30">
        <v>0</v>
      </c>
      <c r="N234" s="30">
        <v>0</v>
      </c>
      <c r="O234" s="30">
        <v>0</v>
      </c>
      <c r="P234" s="30">
        <v>0</v>
      </c>
      <c r="Q234" s="30">
        <v>0</v>
      </c>
      <c r="R234" s="30">
        <v>0</v>
      </c>
      <c r="S234" s="30">
        <v>0</v>
      </c>
      <c r="T234" s="30">
        <v>0</v>
      </c>
      <c r="U234" s="30">
        <v>0</v>
      </c>
      <c r="V234" s="30">
        <v>0</v>
      </c>
      <c r="W234" s="30">
        <v>0</v>
      </c>
      <c r="X234" s="30">
        <v>0</v>
      </c>
      <c r="Y234" s="30">
        <v>0</v>
      </c>
      <c r="Z234" s="30">
        <v>0</v>
      </c>
      <c r="AA234" s="30">
        <v>0</v>
      </c>
      <c r="AB234" s="30">
        <v>0</v>
      </c>
      <c r="AC234" s="30">
        <v>0</v>
      </c>
      <c r="AD234" s="30">
        <v>0</v>
      </c>
      <c r="AE234" s="30">
        <v>0</v>
      </c>
      <c r="AF234" s="30">
        <v>0</v>
      </c>
      <c r="AG234" s="30">
        <v>0</v>
      </c>
      <c r="AH234" s="30">
        <v>0</v>
      </c>
      <c r="AI234" s="30">
        <v>0</v>
      </c>
      <c r="AJ234" s="30">
        <v>0</v>
      </c>
      <c r="AK234" s="30">
        <v>0</v>
      </c>
      <c r="AL234" s="30">
        <v>0</v>
      </c>
      <c r="AM234" s="30">
        <v>0</v>
      </c>
      <c r="AN234" s="30">
        <v>0</v>
      </c>
      <c r="AO234" s="30">
        <v>0</v>
      </c>
      <c r="AP234" s="30">
        <v>0</v>
      </c>
      <c r="AQ234" s="30">
        <v>0</v>
      </c>
      <c r="AR234" s="30">
        <v>0</v>
      </c>
      <c r="AS234" s="30">
        <v>0</v>
      </c>
      <c r="AT234" s="30">
        <v>0</v>
      </c>
      <c r="AU234" s="30">
        <v>0</v>
      </c>
      <c r="AV234" s="30">
        <v>0</v>
      </c>
      <c r="AW234" s="30">
        <v>0</v>
      </c>
      <c r="AX234" s="30">
        <v>0</v>
      </c>
      <c r="AY234" s="30">
        <v>0</v>
      </c>
      <c r="AZ234" s="30">
        <v>0</v>
      </c>
      <c r="BA234" s="30">
        <v>0</v>
      </c>
      <c r="BB234" s="30">
        <v>0</v>
      </c>
      <c r="BC234" s="30">
        <v>0</v>
      </c>
      <c r="BD234" s="30">
        <v>0</v>
      </c>
      <c r="BE234" s="202"/>
      <c r="BF234" s="202"/>
      <c r="BG234" s="202"/>
      <c r="BH234" s="202"/>
      <c r="BI234" s="225" t="s">
        <v>487</v>
      </c>
      <c r="BJ234" s="37">
        <v>1</v>
      </c>
      <c r="BK234" s="37">
        <f t="shared" si="156"/>
        <v>1.1000000000000001</v>
      </c>
      <c r="BL234" s="37">
        <f t="shared" si="156"/>
        <v>1.2100000000000002</v>
      </c>
      <c r="BO234" s="202"/>
      <c r="BP234" s="202"/>
    </row>
    <row r="235" spans="1:68" outlineLevel="1" x14ac:dyDescent="0.25">
      <c r="A235" s="213">
        <v>45627</v>
      </c>
      <c r="B235" s="204" t="s">
        <v>197</v>
      </c>
      <c r="C235" s="31">
        <v>9583.3333333333339</v>
      </c>
      <c r="D235" s="30">
        <v>1</v>
      </c>
      <c r="E235" s="30">
        <v>0</v>
      </c>
      <c r="F235" s="30">
        <v>0</v>
      </c>
      <c r="G235" s="30">
        <v>0</v>
      </c>
      <c r="H235" s="30">
        <v>0</v>
      </c>
      <c r="I235" s="30">
        <v>0</v>
      </c>
      <c r="J235" s="30">
        <v>0</v>
      </c>
      <c r="K235" s="30">
        <v>0</v>
      </c>
      <c r="L235" s="30">
        <v>0</v>
      </c>
      <c r="M235" s="30">
        <v>0</v>
      </c>
      <c r="N235" s="30">
        <v>0</v>
      </c>
      <c r="O235" s="30">
        <v>0</v>
      </c>
      <c r="P235" s="30">
        <v>0</v>
      </c>
      <c r="Q235" s="30">
        <v>0</v>
      </c>
      <c r="R235" s="30">
        <v>0</v>
      </c>
      <c r="S235" s="30">
        <v>0</v>
      </c>
      <c r="T235" s="30">
        <v>0</v>
      </c>
      <c r="U235" s="30">
        <v>0</v>
      </c>
      <c r="V235" s="30">
        <v>0</v>
      </c>
      <c r="W235" s="30">
        <v>0</v>
      </c>
      <c r="X235" s="30">
        <v>0</v>
      </c>
      <c r="Y235" s="30">
        <v>0</v>
      </c>
      <c r="Z235" s="30">
        <v>0</v>
      </c>
      <c r="AA235" s="30">
        <v>0</v>
      </c>
      <c r="AB235" s="30">
        <v>0</v>
      </c>
      <c r="AC235" s="30">
        <v>0</v>
      </c>
      <c r="AD235" s="30">
        <v>0</v>
      </c>
      <c r="AE235" s="30">
        <v>0</v>
      </c>
      <c r="AF235" s="30">
        <v>0</v>
      </c>
      <c r="AG235" s="30">
        <v>0</v>
      </c>
      <c r="AH235" s="30">
        <v>0</v>
      </c>
      <c r="AI235" s="30">
        <v>0</v>
      </c>
      <c r="AJ235" s="30">
        <v>0</v>
      </c>
      <c r="AK235" s="30">
        <v>0</v>
      </c>
      <c r="AL235" s="30">
        <v>0</v>
      </c>
      <c r="AM235" s="30">
        <v>0</v>
      </c>
      <c r="AN235" s="30">
        <v>0</v>
      </c>
      <c r="AO235" s="30">
        <v>0</v>
      </c>
      <c r="AP235" s="30">
        <v>0</v>
      </c>
      <c r="AQ235" s="30">
        <v>0</v>
      </c>
      <c r="AR235" s="30">
        <v>0</v>
      </c>
      <c r="AS235" s="30">
        <v>0</v>
      </c>
      <c r="AT235" s="30">
        <v>0</v>
      </c>
      <c r="AU235" s="30">
        <v>0</v>
      </c>
      <c r="AV235" s="30">
        <v>0</v>
      </c>
      <c r="AW235" s="30">
        <v>0</v>
      </c>
      <c r="AX235" s="30">
        <v>0</v>
      </c>
      <c r="AY235" s="30">
        <v>0</v>
      </c>
      <c r="AZ235" s="30">
        <v>0</v>
      </c>
      <c r="BA235" s="30">
        <v>0</v>
      </c>
      <c r="BB235" s="30">
        <v>0</v>
      </c>
      <c r="BC235" s="30">
        <v>0</v>
      </c>
      <c r="BD235" s="30">
        <v>0</v>
      </c>
      <c r="BE235" s="202"/>
      <c r="BF235" s="202"/>
      <c r="BG235" s="202"/>
      <c r="BH235" s="202"/>
      <c r="BI235" s="204" t="s">
        <v>197</v>
      </c>
      <c r="BJ235" s="37">
        <v>1</v>
      </c>
      <c r="BK235" s="37">
        <f t="shared" si="156"/>
        <v>1.1000000000000001</v>
      </c>
      <c r="BL235" s="37">
        <f t="shared" si="156"/>
        <v>1.2100000000000002</v>
      </c>
      <c r="BO235" s="202"/>
      <c r="BP235" s="202"/>
    </row>
    <row r="236" spans="1:68" outlineLevel="1" x14ac:dyDescent="0.25">
      <c r="A236" s="213">
        <v>45931</v>
      </c>
      <c r="B236" s="225" t="s">
        <v>488</v>
      </c>
      <c r="C236" s="31">
        <v>10416.666666666666</v>
      </c>
      <c r="D236" s="30">
        <v>1</v>
      </c>
      <c r="E236" s="30">
        <v>0</v>
      </c>
      <c r="F236" s="30">
        <v>0</v>
      </c>
      <c r="G236" s="30">
        <v>0</v>
      </c>
      <c r="H236" s="30">
        <v>0</v>
      </c>
      <c r="I236" s="30">
        <v>0</v>
      </c>
      <c r="J236" s="30">
        <v>0</v>
      </c>
      <c r="K236" s="30">
        <v>0</v>
      </c>
      <c r="L236" s="30">
        <v>0</v>
      </c>
      <c r="M236" s="30">
        <v>0</v>
      </c>
      <c r="N236" s="30">
        <v>0</v>
      </c>
      <c r="O236" s="30">
        <v>0</v>
      </c>
      <c r="P236" s="30">
        <v>0</v>
      </c>
      <c r="Q236" s="30">
        <v>0</v>
      </c>
      <c r="R236" s="30">
        <v>0</v>
      </c>
      <c r="S236" s="30">
        <v>0</v>
      </c>
      <c r="T236" s="30">
        <v>0</v>
      </c>
      <c r="U236" s="30">
        <v>0</v>
      </c>
      <c r="V236" s="30">
        <v>0</v>
      </c>
      <c r="W236" s="30">
        <v>0</v>
      </c>
      <c r="X236" s="30">
        <v>0</v>
      </c>
      <c r="Y236" s="30">
        <v>0</v>
      </c>
      <c r="Z236" s="30">
        <v>0</v>
      </c>
      <c r="AA236" s="30">
        <v>0</v>
      </c>
      <c r="AB236" s="30">
        <v>0</v>
      </c>
      <c r="AC236" s="30">
        <v>0</v>
      </c>
      <c r="AD236" s="30">
        <v>0</v>
      </c>
      <c r="AE236" s="30">
        <v>0</v>
      </c>
      <c r="AF236" s="30">
        <v>0</v>
      </c>
      <c r="AG236" s="30">
        <v>0</v>
      </c>
      <c r="AH236" s="30">
        <v>0</v>
      </c>
      <c r="AI236" s="30">
        <v>0</v>
      </c>
      <c r="AJ236" s="30">
        <v>0</v>
      </c>
      <c r="AK236" s="30">
        <v>0</v>
      </c>
      <c r="AL236" s="30">
        <v>0</v>
      </c>
      <c r="AM236" s="30">
        <v>0</v>
      </c>
      <c r="AN236" s="30">
        <v>0</v>
      </c>
      <c r="AO236" s="30">
        <v>0</v>
      </c>
      <c r="AP236" s="30">
        <v>0</v>
      </c>
      <c r="AQ236" s="30">
        <v>0</v>
      </c>
      <c r="AR236" s="30">
        <v>0</v>
      </c>
      <c r="AS236" s="30">
        <v>0</v>
      </c>
      <c r="AT236" s="30">
        <v>0</v>
      </c>
      <c r="AU236" s="30">
        <v>0</v>
      </c>
      <c r="AV236" s="30">
        <v>0</v>
      </c>
      <c r="AW236" s="30">
        <v>0</v>
      </c>
      <c r="AX236" s="30">
        <v>0</v>
      </c>
      <c r="AY236" s="30">
        <v>0</v>
      </c>
      <c r="AZ236" s="30">
        <v>0</v>
      </c>
      <c r="BA236" s="30">
        <v>0</v>
      </c>
      <c r="BB236" s="30">
        <v>0</v>
      </c>
      <c r="BC236" s="30">
        <v>0</v>
      </c>
      <c r="BD236" s="30">
        <v>0</v>
      </c>
      <c r="BE236" s="202"/>
      <c r="BF236" s="202"/>
      <c r="BG236" s="202"/>
      <c r="BH236" s="202"/>
      <c r="BI236" s="225" t="s">
        <v>488</v>
      </c>
      <c r="BJ236" s="37">
        <v>1</v>
      </c>
      <c r="BK236" s="37">
        <f t="shared" si="156"/>
        <v>1.1000000000000001</v>
      </c>
      <c r="BL236" s="37">
        <f t="shared" si="156"/>
        <v>1.2100000000000002</v>
      </c>
      <c r="BO236" s="202"/>
      <c r="BP236" s="202"/>
    </row>
    <row r="237" spans="1:68" outlineLevel="1" x14ac:dyDescent="0.25">
      <c r="A237" s="213">
        <v>45839</v>
      </c>
      <c r="B237" s="204" t="s">
        <v>198</v>
      </c>
      <c r="C237" s="31">
        <v>10833.333333333334</v>
      </c>
      <c r="D237" s="30">
        <v>1</v>
      </c>
      <c r="E237" s="30">
        <v>0</v>
      </c>
      <c r="F237" s="30">
        <v>0</v>
      </c>
      <c r="G237" s="30">
        <v>0</v>
      </c>
      <c r="H237" s="30">
        <v>0</v>
      </c>
      <c r="I237" s="30">
        <v>0</v>
      </c>
      <c r="J237" s="30">
        <v>0</v>
      </c>
      <c r="K237" s="30">
        <v>0</v>
      </c>
      <c r="L237" s="30">
        <v>0</v>
      </c>
      <c r="M237" s="30">
        <v>0</v>
      </c>
      <c r="N237" s="30">
        <v>0</v>
      </c>
      <c r="O237" s="30">
        <v>0</v>
      </c>
      <c r="P237" s="30">
        <v>0</v>
      </c>
      <c r="Q237" s="30">
        <v>0</v>
      </c>
      <c r="R237" s="30">
        <v>0</v>
      </c>
      <c r="S237" s="30">
        <v>0</v>
      </c>
      <c r="T237" s="30">
        <v>0</v>
      </c>
      <c r="U237" s="30">
        <v>0</v>
      </c>
      <c r="V237" s="30">
        <v>0</v>
      </c>
      <c r="W237" s="30">
        <v>0</v>
      </c>
      <c r="X237" s="30">
        <v>0</v>
      </c>
      <c r="Y237" s="30">
        <v>0</v>
      </c>
      <c r="Z237" s="30">
        <v>0</v>
      </c>
      <c r="AA237" s="30">
        <v>0</v>
      </c>
      <c r="AB237" s="30">
        <v>0</v>
      </c>
      <c r="AC237" s="30">
        <v>0</v>
      </c>
      <c r="AD237" s="30">
        <v>0</v>
      </c>
      <c r="AE237" s="30">
        <v>0</v>
      </c>
      <c r="AF237" s="30">
        <v>0</v>
      </c>
      <c r="AG237" s="30">
        <v>0</v>
      </c>
      <c r="AH237" s="30">
        <v>0</v>
      </c>
      <c r="AI237" s="30">
        <v>0</v>
      </c>
      <c r="AJ237" s="30">
        <v>0</v>
      </c>
      <c r="AK237" s="30">
        <v>0</v>
      </c>
      <c r="AL237" s="30">
        <v>0</v>
      </c>
      <c r="AM237" s="30">
        <v>0</v>
      </c>
      <c r="AN237" s="30">
        <v>0</v>
      </c>
      <c r="AO237" s="30">
        <v>0</v>
      </c>
      <c r="AP237" s="30">
        <v>0</v>
      </c>
      <c r="AQ237" s="30">
        <v>0</v>
      </c>
      <c r="AR237" s="30">
        <v>0</v>
      </c>
      <c r="AS237" s="30">
        <v>0</v>
      </c>
      <c r="AT237" s="30">
        <v>0</v>
      </c>
      <c r="AU237" s="30">
        <v>0</v>
      </c>
      <c r="AV237" s="30">
        <v>0</v>
      </c>
      <c r="AW237" s="30">
        <v>0</v>
      </c>
      <c r="AX237" s="30">
        <v>0</v>
      </c>
      <c r="AY237" s="30">
        <v>0</v>
      </c>
      <c r="AZ237" s="30">
        <v>0</v>
      </c>
      <c r="BA237" s="30">
        <v>0</v>
      </c>
      <c r="BB237" s="30">
        <v>0</v>
      </c>
      <c r="BC237" s="30">
        <v>0</v>
      </c>
      <c r="BD237" s="30">
        <v>0</v>
      </c>
      <c r="BE237" s="202"/>
      <c r="BF237" s="202"/>
      <c r="BG237" s="202"/>
      <c r="BH237" s="202"/>
      <c r="BI237" s="204" t="s">
        <v>198</v>
      </c>
      <c r="BJ237" s="37">
        <v>1</v>
      </c>
      <c r="BK237" s="37">
        <f t="shared" si="156"/>
        <v>1.1000000000000001</v>
      </c>
      <c r="BL237" s="37">
        <f t="shared" si="156"/>
        <v>1.2100000000000002</v>
      </c>
      <c r="BO237" s="202"/>
      <c r="BP237" s="202"/>
    </row>
    <row r="238" spans="1:68" outlineLevel="1" x14ac:dyDescent="0.25">
      <c r="A238" s="213">
        <v>46023</v>
      </c>
      <c r="B238" s="81" t="s">
        <v>489</v>
      </c>
      <c r="C238" s="31">
        <v>10833.333333333334</v>
      </c>
      <c r="D238" s="30">
        <v>0</v>
      </c>
      <c r="E238" s="30">
        <v>0</v>
      </c>
      <c r="F238" s="30">
        <v>0</v>
      </c>
      <c r="G238" s="30">
        <v>0</v>
      </c>
      <c r="H238" s="30">
        <v>0</v>
      </c>
      <c r="I238" s="30">
        <v>0</v>
      </c>
      <c r="J238" s="30">
        <v>0</v>
      </c>
      <c r="K238" s="30">
        <v>0</v>
      </c>
      <c r="L238" s="30">
        <v>0</v>
      </c>
      <c r="M238" s="30">
        <v>0</v>
      </c>
      <c r="N238" s="30">
        <v>0</v>
      </c>
      <c r="O238" s="30">
        <v>0</v>
      </c>
      <c r="P238" s="30">
        <v>0</v>
      </c>
      <c r="Q238" s="30">
        <v>1</v>
      </c>
      <c r="R238" s="30">
        <v>0</v>
      </c>
      <c r="S238" s="30">
        <v>0</v>
      </c>
      <c r="T238" s="30">
        <v>0</v>
      </c>
      <c r="U238" s="30">
        <v>0</v>
      </c>
      <c r="V238" s="30">
        <v>0</v>
      </c>
      <c r="W238" s="30">
        <v>0</v>
      </c>
      <c r="X238" s="30">
        <v>0</v>
      </c>
      <c r="Y238" s="30">
        <v>0</v>
      </c>
      <c r="Z238" s="30">
        <v>0</v>
      </c>
      <c r="AA238" s="30">
        <v>0</v>
      </c>
      <c r="AB238" s="30">
        <v>0</v>
      </c>
      <c r="AC238" s="30">
        <v>0</v>
      </c>
      <c r="AD238" s="30">
        <v>0</v>
      </c>
      <c r="AE238" s="30">
        <v>0</v>
      </c>
      <c r="AF238" s="30">
        <v>0</v>
      </c>
      <c r="AG238" s="30">
        <v>0</v>
      </c>
      <c r="AH238" s="30">
        <v>0</v>
      </c>
      <c r="AI238" s="30">
        <v>0</v>
      </c>
      <c r="AJ238" s="30">
        <v>0</v>
      </c>
      <c r="AK238" s="30">
        <v>0</v>
      </c>
      <c r="AL238" s="30">
        <v>0</v>
      </c>
      <c r="AM238" s="30">
        <v>0</v>
      </c>
      <c r="AN238" s="30">
        <v>0</v>
      </c>
      <c r="AO238" s="30">
        <v>0</v>
      </c>
      <c r="AP238" s="30">
        <v>0</v>
      </c>
      <c r="AQ238" s="30">
        <v>0</v>
      </c>
      <c r="AR238" s="30">
        <v>0</v>
      </c>
      <c r="AS238" s="30">
        <v>0</v>
      </c>
      <c r="AT238" s="30">
        <v>0</v>
      </c>
      <c r="AU238" s="30">
        <v>0</v>
      </c>
      <c r="AV238" s="30">
        <v>0</v>
      </c>
      <c r="AW238" s="30">
        <v>0</v>
      </c>
      <c r="AX238" s="30">
        <v>0</v>
      </c>
      <c r="AY238" s="30">
        <v>0</v>
      </c>
      <c r="AZ238" s="30">
        <v>0</v>
      </c>
      <c r="BA238" s="30">
        <v>0</v>
      </c>
      <c r="BB238" s="30">
        <v>0</v>
      </c>
      <c r="BC238" s="30">
        <v>0</v>
      </c>
      <c r="BD238" s="30">
        <v>0</v>
      </c>
      <c r="BE238" s="202"/>
      <c r="BF238" s="202"/>
      <c r="BG238" s="202"/>
      <c r="BH238" s="202"/>
      <c r="BI238" s="81" t="s">
        <v>489</v>
      </c>
      <c r="BJ238" s="37">
        <v>1</v>
      </c>
      <c r="BK238" s="37">
        <f t="shared" si="156"/>
        <v>1.1000000000000001</v>
      </c>
      <c r="BL238" s="37">
        <f t="shared" si="156"/>
        <v>1.2100000000000002</v>
      </c>
      <c r="BO238" s="202"/>
      <c r="BP238" s="202"/>
    </row>
    <row r="239" spans="1:68" outlineLevel="1" x14ac:dyDescent="0.25">
      <c r="A239" s="213">
        <v>45778</v>
      </c>
      <c r="B239" s="225" t="s">
        <v>490</v>
      </c>
      <c r="C239" s="31">
        <v>7500</v>
      </c>
      <c r="D239" s="30">
        <v>1</v>
      </c>
      <c r="E239" s="30">
        <v>0</v>
      </c>
      <c r="F239" s="30">
        <v>0</v>
      </c>
      <c r="G239" s="30">
        <v>0</v>
      </c>
      <c r="H239" s="30">
        <v>0</v>
      </c>
      <c r="I239" s="30">
        <v>0</v>
      </c>
      <c r="J239" s="30">
        <v>0</v>
      </c>
      <c r="K239" s="30">
        <v>0</v>
      </c>
      <c r="L239" s="30">
        <v>0</v>
      </c>
      <c r="M239" s="30">
        <v>0</v>
      </c>
      <c r="N239" s="30">
        <v>0</v>
      </c>
      <c r="O239" s="30">
        <v>0</v>
      </c>
      <c r="P239" s="30">
        <v>0</v>
      </c>
      <c r="Q239" s="30">
        <v>0</v>
      </c>
      <c r="R239" s="30">
        <v>0</v>
      </c>
      <c r="S239" s="30">
        <v>0</v>
      </c>
      <c r="T239" s="30">
        <v>0</v>
      </c>
      <c r="U239" s="30">
        <v>0</v>
      </c>
      <c r="V239" s="30">
        <v>0</v>
      </c>
      <c r="W239" s="30">
        <v>0</v>
      </c>
      <c r="X239" s="30">
        <v>0</v>
      </c>
      <c r="Y239" s="30">
        <v>0</v>
      </c>
      <c r="Z239" s="30">
        <v>0</v>
      </c>
      <c r="AA239" s="30">
        <v>0</v>
      </c>
      <c r="AB239" s="30">
        <v>0</v>
      </c>
      <c r="AC239" s="30">
        <v>0</v>
      </c>
      <c r="AD239" s="30">
        <v>0</v>
      </c>
      <c r="AE239" s="30">
        <v>0</v>
      </c>
      <c r="AF239" s="30">
        <v>0</v>
      </c>
      <c r="AG239" s="30">
        <v>0</v>
      </c>
      <c r="AH239" s="30">
        <v>0</v>
      </c>
      <c r="AI239" s="30">
        <v>0</v>
      </c>
      <c r="AJ239" s="30">
        <v>0</v>
      </c>
      <c r="AK239" s="30">
        <v>0</v>
      </c>
      <c r="AL239" s="30">
        <v>0</v>
      </c>
      <c r="AM239" s="30">
        <v>0</v>
      </c>
      <c r="AN239" s="30">
        <v>0</v>
      </c>
      <c r="AO239" s="30">
        <v>0</v>
      </c>
      <c r="AP239" s="30">
        <v>0</v>
      </c>
      <c r="AQ239" s="30">
        <v>0</v>
      </c>
      <c r="AR239" s="30">
        <v>0</v>
      </c>
      <c r="AS239" s="30">
        <v>0</v>
      </c>
      <c r="AT239" s="30">
        <v>0</v>
      </c>
      <c r="AU239" s="30">
        <v>0</v>
      </c>
      <c r="AV239" s="30">
        <v>0</v>
      </c>
      <c r="AW239" s="30">
        <v>0</v>
      </c>
      <c r="AX239" s="30">
        <v>0</v>
      </c>
      <c r="AY239" s="30">
        <v>0</v>
      </c>
      <c r="AZ239" s="30">
        <v>0</v>
      </c>
      <c r="BA239" s="30">
        <v>0</v>
      </c>
      <c r="BB239" s="30">
        <v>0</v>
      </c>
      <c r="BC239" s="30">
        <v>0</v>
      </c>
      <c r="BD239" s="30">
        <v>0</v>
      </c>
      <c r="BE239" s="202"/>
      <c r="BF239" s="202"/>
      <c r="BG239" s="202"/>
      <c r="BH239" s="202"/>
      <c r="BI239" s="225" t="s">
        <v>490</v>
      </c>
      <c r="BJ239" s="37">
        <v>1</v>
      </c>
      <c r="BK239" s="37">
        <f t="shared" si="156"/>
        <v>1.1000000000000001</v>
      </c>
      <c r="BL239" s="37">
        <f t="shared" si="156"/>
        <v>1.2100000000000002</v>
      </c>
      <c r="BO239" s="202"/>
      <c r="BP239" s="202"/>
    </row>
    <row r="240" spans="1:68" outlineLevel="1" x14ac:dyDescent="0.25">
      <c r="A240" s="213">
        <v>46023</v>
      </c>
      <c r="B240" s="81" t="s">
        <v>494</v>
      </c>
      <c r="C240" s="31">
        <f>80000/12</f>
        <v>6666.666666666667</v>
      </c>
      <c r="D240" s="30">
        <v>1</v>
      </c>
      <c r="E240" s="30">
        <v>0</v>
      </c>
      <c r="F240" s="30">
        <v>0</v>
      </c>
      <c r="G240" s="30">
        <v>0</v>
      </c>
      <c r="H240" s="30">
        <v>0</v>
      </c>
      <c r="I240" s="30">
        <v>0</v>
      </c>
      <c r="J240" s="30">
        <v>0</v>
      </c>
      <c r="K240" s="30">
        <v>0</v>
      </c>
      <c r="L240" s="30">
        <v>0</v>
      </c>
      <c r="M240" s="30">
        <v>0</v>
      </c>
      <c r="N240" s="30">
        <v>0</v>
      </c>
      <c r="O240" s="30">
        <v>0</v>
      </c>
      <c r="P240" s="30">
        <v>0</v>
      </c>
      <c r="Q240" s="30">
        <v>1</v>
      </c>
      <c r="R240" s="30">
        <v>0</v>
      </c>
      <c r="S240" s="30">
        <v>0</v>
      </c>
      <c r="T240" s="30">
        <v>0</v>
      </c>
      <c r="U240" s="30">
        <v>0</v>
      </c>
      <c r="V240" s="30">
        <v>0</v>
      </c>
      <c r="W240" s="30">
        <v>0</v>
      </c>
      <c r="X240" s="30">
        <v>0</v>
      </c>
      <c r="Y240" s="30">
        <v>0</v>
      </c>
      <c r="Z240" s="30">
        <v>0</v>
      </c>
      <c r="AA240" s="30">
        <v>0</v>
      </c>
      <c r="AB240" s="30">
        <v>0</v>
      </c>
      <c r="AC240" s="30">
        <v>0</v>
      </c>
      <c r="AD240" s="30">
        <v>0</v>
      </c>
      <c r="AE240" s="30">
        <v>0</v>
      </c>
      <c r="AF240" s="30">
        <v>0</v>
      </c>
      <c r="AG240" s="30">
        <v>0</v>
      </c>
      <c r="AH240" s="30">
        <v>0</v>
      </c>
      <c r="AI240" s="30">
        <v>0</v>
      </c>
      <c r="AJ240" s="30">
        <v>0</v>
      </c>
      <c r="AK240" s="30">
        <v>0</v>
      </c>
      <c r="AL240" s="30">
        <v>0</v>
      </c>
      <c r="AM240" s="30">
        <v>0</v>
      </c>
      <c r="AN240" s="30">
        <v>0</v>
      </c>
      <c r="AO240" s="30">
        <v>0</v>
      </c>
      <c r="AP240" s="30">
        <v>0</v>
      </c>
      <c r="AQ240" s="30">
        <v>0</v>
      </c>
      <c r="AR240" s="30">
        <v>0</v>
      </c>
      <c r="AS240" s="30">
        <v>0</v>
      </c>
      <c r="AT240" s="30">
        <v>0</v>
      </c>
      <c r="AU240" s="30">
        <v>0</v>
      </c>
      <c r="AV240" s="30">
        <v>0</v>
      </c>
      <c r="AW240" s="30">
        <v>0</v>
      </c>
      <c r="AX240" s="30">
        <v>0</v>
      </c>
      <c r="AY240" s="30">
        <v>0</v>
      </c>
      <c r="AZ240" s="30">
        <v>0</v>
      </c>
      <c r="BA240" s="30">
        <v>0</v>
      </c>
      <c r="BB240" s="30">
        <v>0</v>
      </c>
      <c r="BC240" s="30">
        <v>0</v>
      </c>
      <c r="BD240" s="30">
        <v>0</v>
      </c>
      <c r="BE240" s="202"/>
      <c r="BF240" s="202"/>
      <c r="BG240" s="202"/>
      <c r="BH240" s="202"/>
      <c r="BI240" s="81" t="s">
        <v>494</v>
      </c>
      <c r="BJ240" s="37">
        <v>1</v>
      </c>
      <c r="BK240" s="37">
        <f t="shared" si="156"/>
        <v>1.1000000000000001</v>
      </c>
      <c r="BL240" s="37">
        <f t="shared" si="156"/>
        <v>1.2100000000000002</v>
      </c>
      <c r="BO240" s="202"/>
      <c r="BP240" s="202"/>
    </row>
    <row r="241" spans="1:68" outlineLevel="1" x14ac:dyDescent="0.25">
      <c r="A241" s="213">
        <v>45658</v>
      </c>
      <c r="B241" s="225" t="s">
        <v>492</v>
      </c>
      <c r="C241" s="31">
        <v>4166.666666666667</v>
      </c>
      <c r="D241" s="30">
        <v>1</v>
      </c>
      <c r="E241" s="30">
        <v>0</v>
      </c>
      <c r="F241" s="30">
        <v>0</v>
      </c>
      <c r="G241" s="30">
        <v>0</v>
      </c>
      <c r="H241" s="30">
        <v>0</v>
      </c>
      <c r="I241" s="30">
        <v>0</v>
      </c>
      <c r="J241" s="30">
        <v>0</v>
      </c>
      <c r="K241" s="30">
        <v>0</v>
      </c>
      <c r="L241" s="30">
        <v>0</v>
      </c>
      <c r="M241" s="30">
        <v>0</v>
      </c>
      <c r="N241" s="30">
        <v>0</v>
      </c>
      <c r="O241" s="30">
        <v>0</v>
      </c>
      <c r="P241" s="30">
        <v>0</v>
      </c>
      <c r="Q241" s="30">
        <v>0</v>
      </c>
      <c r="R241" s="30">
        <v>0</v>
      </c>
      <c r="S241" s="30">
        <v>0</v>
      </c>
      <c r="T241" s="30">
        <v>0</v>
      </c>
      <c r="U241" s="30">
        <v>0</v>
      </c>
      <c r="V241" s="30">
        <v>0</v>
      </c>
      <c r="W241" s="30">
        <v>0</v>
      </c>
      <c r="X241" s="30">
        <v>0</v>
      </c>
      <c r="Y241" s="30">
        <v>0</v>
      </c>
      <c r="Z241" s="30">
        <v>0</v>
      </c>
      <c r="AA241" s="30">
        <v>0</v>
      </c>
      <c r="AB241" s="30">
        <v>0</v>
      </c>
      <c r="AC241" s="30">
        <v>0</v>
      </c>
      <c r="AD241" s="30">
        <v>0</v>
      </c>
      <c r="AE241" s="30">
        <v>0</v>
      </c>
      <c r="AF241" s="30">
        <v>0</v>
      </c>
      <c r="AG241" s="30">
        <v>0</v>
      </c>
      <c r="AH241" s="30">
        <v>0</v>
      </c>
      <c r="AI241" s="30">
        <v>0</v>
      </c>
      <c r="AJ241" s="30">
        <v>0</v>
      </c>
      <c r="AK241" s="30">
        <v>0</v>
      </c>
      <c r="AL241" s="30">
        <v>0</v>
      </c>
      <c r="AM241" s="30">
        <v>0</v>
      </c>
      <c r="AN241" s="30">
        <v>0</v>
      </c>
      <c r="AO241" s="30">
        <v>0</v>
      </c>
      <c r="AP241" s="30">
        <v>0</v>
      </c>
      <c r="AQ241" s="30">
        <v>0</v>
      </c>
      <c r="AR241" s="30">
        <v>0</v>
      </c>
      <c r="AS241" s="30">
        <v>0</v>
      </c>
      <c r="AT241" s="30">
        <v>0</v>
      </c>
      <c r="AU241" s="30">
        <v>0</v>
      </c>
      <c r="AV241" s="30">
        <v>0</v>
      </c>
      <c r="AW241" s="30">
        <v>0</v>
      </c>
      <c r="AX241" s="30">
        <v>0</v>
      </c>
      <c r="AY241" s="30">
        <v>0</v>
      </c>
      <c r="AZ241" s="30">
        <v>0</v>
      </c>
      <c r="BA241" s="30">
        <v>0</v>
      </c>
      <c r="BB241" s="30">
        <v>0</v>
      </c>
      <c r="BC241" s="30">
        <v>0</v>
      </c>
      <c r="BD241" s="30">
        <v>0</v>
      </c>
      <c r="BE241" s="202"/>
      <c r="BF241" s="202"/>
      <c r="BG241" s="202"/>
      <c r="BH241" s="202"/>
      <c r="BI241" s="225" t="s">
        <v>492</v>
      </c>
      <c r="BJ241" s="37">
        <v>1</v>
      </c>
      <c r="BK241" s="37">
        <f t="shared" si="156"/>
        <v>1.1000000000000001</v>
      </c>
      <c r="BL241" s="37">
        <f t="shared" si="156"/>
        <v>1.2100000000000002</v>
      </c>
      <c r="BO241" s="202"/>
      <c r="BP241" s="202"/>
    </row>
    <row r="242" spans="1:68" x14ac:dyDescent="0.25">
      <c r="A242" s="202"/>
      <c r="B242" s="202"/>
      <c r="C242" s="202"/>
      <c r="D242" s="202"/>
      <c r="E242" s="202"/>
      <c r="F242" s="202"/>
      <c r="G242" s="202"/>
      <c r="H242" s="202"/>
      <c r="I242" s="202"/>
      <c r="J242" s="202"/>
      <c r="K242" s="202"/>
      <c r="L242" s="202"/>
      <c r="M242" s="202"/>
      <c r="N242" s="202"/>
      <c r="O242" s="202"/>
      <c r="P242" s="202"/>
      <c r="Q242" s="202"/>
      <c r="R242" s="202"/>
      <c r="S242" s="202"/>
      <c r="T242" s="202"/>
      <c r="U242" s="202"/>
      <c r="V242" s="202"/>
      <c r="W242" s="202"/>
      <c r="X242" s="202"/>
      <c r="Y242" s="202"/>
      <c r="Z242" s="202"/>
      <c r="AA242" s="202"/>
      <c r="AB242" s="202"/>
      <c r="AC242" s="202"/>
      <c r="AD242" s="202"/>
      <c r="AE242" s="202"/>
      <c r="AF242" s="202"/>
      <c r="AG242" s="202"/>
      <c r="AH242" s="202"/>
      <c r="AI242" s="202"/>
      <c r="AJ242" s="202"/>
      <c r="AK242" s="202"/>
      <c r="AL242" s="202"/>
      <c r="AM242" s="202"/>
      <c r="AN242" s="202"/>
      <c r="AO242" s="202"/>
      <c r="AP242" s="202"/>
      <c r="AQ242" s="202"/>
      <c r="AR242" s="202"/>
      <c r="AS242" s="202"/>
      <c r="AT242" s="202"/>
      <c r="AU242" s="202"/>
      <c r="AV242" s="202"/>
      <c r="AW242" s="202"/>
      <c r="AX242" s="202"/>
      <c r="AY242" s="202"/>
      <c r="AZ242" s="202"/>
      <c r="BA242" s="202"/>
      <c r="BB242" s="202"/>
      <c r="BC242" s="202"/>
      <c r="BD242" s="202"/>
      <c r="BE242" s="202"/>
      <c r="BF242" s="202"/>
      <c r="BG242" s="202"/>
      <c r="BH242" s="202"/>
      <c r="BI242" s="202"/>
      <c r="BO242" s="202"/>
      <c r="BP242" s="202"/>
    </row>
    <row r="243" spans="1:68" outlineLevel="1" x14ac:dyDescent="0.25">
      <c r="A243" s="213">
        <v>45658</v>
      </c>
      <c r="B243" s="225" t="s">
        <v>491</v>
      </c>
      <c r="C243" s="31">
        <v>10000</v>
      </c>
      <c r="D243" s="30">
        <v>1</v>
      </c>
      <c r="E243" s="30">
        <v>0</v>
      </c>
      <c r="F243" s="30">
        <v>0</v>
      </c>
      <c r="G243" s="30">
        <v>0</v>
      </c>
      <c r="H243" s="30">
        <v>0</v>
      </c>
      <c r="I243" s="30">
        <v>0</v>
      </c>
      <c r="J243" s="30">
        <v>0</v>
      </c>
      <c r="K243" s="30">
        <v>0</v>
      </c>
      <c r="L243" s="30">
        <v>0</v>
      </c>
      <c r="M243" s="30">
        <v>0</v>
      </c>
      <c r="N243" s="30">
        <v>0</v>
      </c>
      <c r="O243" s="30">
        <v>0</v>
      </c>
      <c r="P243" s="30">
        <v>0</v>
      </c>
      <c r="Q243" s="30">
        <v>0</v>
      </c>
      <c r="R243" s="30">
        <v>0</v>
      </c>
      <c r="S243" s="30">
        <v>0</v>
      </c>
      <c r="T243" s="30">
        <v>0</v>
      </c>
      <c r="U243" s="30">
        <v>0</v>
      </c>
      <c r="V243" s="30">
        <v>0</v>
      </c>
      <c r="W243" s="30">
        <v>0</v>
      </c>
      <c r="X243" s="30">
        <v>0</v>
      </c>
      <c r="Y243" s="30">
        <v>0</v>
      </c>
      <c r="Z243" s="30">
        <v>0</v>
      </c>
      <c r="AA243" s="30">
        <v>0</v>
      </c>
      <c r="AB243" s="30">
        <v>0</v>
      </c>
      <c r="AC243" s="30">
        <v>0</v>
      </c>
      <c r="AD243" s="30">
        <v>0</v>
      </c>
      <c r="AE243" s="30">
        <v>0</v>
      </c>
      <c r="AF243" s="30">
        <v>0</v>
      </c>
      <c r="AG243" s="30">
        <v>0</v>
      </c>
      <c r="AH243" s="30">
        <v>0</v>
      </c>
      <c r="AI243" s="30">
        <v>0</v>
      </c>
      <c r="AJ243" s="30">
        <v>0</v>
      </c>
      <c r="AK243" s="30">
        <v>0</v>
      </c>
      <c r="AL243" s="30">
        <v>0</v>
      </c>
      <c r="AM243" s="30">
        <v>0</v>
      </c>
      <c r="AN243" s="30">
        <v>0</v>
      </c>
      <c r="AO243" s="30">
        <v>0</v>
      </c>
      <c r="AP243" s="30">
        <v>0</v>
      </c>
      <c r="AQ243" s="30">
        <v>0</v>
      </c>
      <c r="AR243" s="30">
        <v>0</v>
      </c>
      <c r="AS243" s="30">
        <v>0</v>
      </c>
      <c r="AT243" s="30">
        <v>0</v>
      </c>
      <c r="AU243" s="30">
        <v>0</v>
      </c>
      <c r="AV243" s="30">
        <v>0</v>
      </c>
      <c r="AW243" s="30">
        <v>0</v>
      </c>
      <c r="AX243" s="30">
        <v>0</v>
      </c>
      <c r="AY243" s="30">
        <v>0</v>
      </c>
      <c r="AZ243" s="30">
        <v>0</v>
      </c>
      <c r="BA243" s="30">
        <v>0</v>
      </c>
      <c r="BB243" s="30">
        <v>0</v>
      </c>
      <c r="BC243" s="30">
        <v>0</v>
      </c>
      <c r="BD243" s="30">
        <v>0</v>
      </c>
      <c r="BE243" s="202"/>
      <c r="BF243" s="202"/>
      <c r="BG243" s="202"/>
      <c r="BH243" s="202"/>
      <c r="BI243" s="225" t="s">
        <v>491</v>
      </c>
      <c r="BJ243" s="37">
        <v>1</v>
      </c>
      <c r="BK243" s="37">
        <f>BJ243*1.1</f>
        <v>1.1000000000000001</v>
      </c>
      <c r="BL243" s="37">
        <f>BK243*1.1</f>
        <v>1.2100000000000002</v>
      </c>
      <c r="BO243" s="202"/>
      <c r="BP243" s="202"/>
    </row>
    <row r="244" spans="1:68" outlineLevel="1" x14ac:dyDescent="0.25">
      <c r="A244" s="213">
        <v>45658</v>
      </c>
      <c r="B244" s="225" t="s">
        <v>493</v>
      </c>
      <c r="C244" s="31">
        <v>9583.3333333333339</v>
      </c>
      <c r="D244" s="30">
        <v>1</v>
      </c>
      <c r="E244" s="30">
        <v>0</v>
      </c>
      <c r="F244" s="30">
        <v>0</v>
      </c>
      <c r="G244" s="30">
        <v>0</v>
      </c>
      <c r="H244" s="30">
        <v>0</v>
      </c>
      <c r="I244" s="30">
        <v>0</v>
      </c>
      <c r="J244" s="30">
        <v>0</v>
      </c>
      <c r="K244" s="30">
        <v>0</v>
      </c>
      <c r="L244" s="30">
        <v>0</v>
      </c>
      <c r="M244" s="30">
        <v>0</v>
      </c>
      <c r="N244" s="30">
        <v>0</v>
      </c>
      <c r="O244" s="30">
        <v>0</v>
      </c>
      <c r="P244" s="30">
        <v>0</v>
      </c>
      <c r="Q244" s="30">
        <v>0</v>
      </c>
      <c r="R244" s="30">
        <v>0</v>
      </c>
      <c r="S244" s="30">
        <v>0</v>
      </c>
      <c r="T244" s="30">
        <v>0</v>
      </c>
      <c r="U244" s="30">
        <v>0</v>
      </c>
      <c r="V244" s="30">
        <v>0</v>
      </c>
      <c r="W244" s="30">
        <v>0</v>
      </c>
      <c r="X244" s="30">
        <v>0</v>
      </c>
      <c r="Y244" s="30">
        <v>0</v>
      </c>
      <c r="Z244" s="30">
        <v>0</v>
      </c>
      <c r="AA244" s="30">
        <v>0</v>
      </c>
      <c r="AB244" s="30">
        <v>0</v>
      </c>
      <c r="AC244" s="30">
        <v>0</v>
      </c>
      <c r="AD244" s="30">
        <v>0</v>
      </c>
      <c r="AE244" s="30">
        <v>0</v>
      </c>
      <c r="AF244" s="30">
        <v>0</v>
      </c>
      <c r="AG244" s="30">
        <v>0</v>
      </c>
      <c r="AH244" s="30">
        <v>0</v>
      </c>
      <c r="AI244" s="30">
        <v>0</v>
      </c>
      <c r="AJ244" s="30">
        <v>0</v>
      </c>
      <c r="AK244" s="30">
        <v>0</v>
      </c>
      <c r="AL244" s="30">
        <v>0</v>
      </c>
      <c r="AM244" s="30">
        <v>0</v>
      </c>
      <c r="AN244" s="30">
        <v>0</v>
      </c>
      <c r="AO244" s="30">
        <v>0</v>
      </c>
      <c r="AP244" s="30">
        <v>0</v>
      </c>
      <c r="AQ244" s="30">
        <v>0</v>
      </c>
      <c r="AR244" s="30">
        <v>0</v>
      </c>
      <c r="AS244" s="30">
        <v>0</v>
      </c>
      <c r="AT244" s="30">
        <v>0</v>
      </c>
      <c r="AU244" s="30">
        <v>0</v>
      </c>
      <c r="AV244" s="30">
        <v>0</v>
      </c>
      <c r="AW244" s="30">
        <v>0</v>
      </c>
      <c r="AX244" s="30">
        <v>0</v>
      </c>
      <c r="AY244" s="30">
        <v>0</v>
      </c>
      <c r="AZ244" s="30">
        <v>0</v>
      </c>
      <c r="BA244" s="30">
        <v>0</v>
      </c>
      <c r="BB244" s="30">
        <v>0</v>
      </c>
      <c r="BC244" s="30">
        <v>0</v>
      </c>
      <c r="BD244" s="30">
        <v>0</v>
      </c>
      <c r="BE244" s="202"/>
      <c r="BF244" s="202"/>
      <c r="BG244" s="202"/>
      <c r="BH244" s="202"/>
      <c r="BI244" s="225" t="s">
        <v>493</v>
      </c>
      <c r="BJ244" s="37">
        <v>1</v>
      </c>
      <c r="BK244" s="37">
        <f>BJ244*1.1</f>
        <v>1.1000000000000001</v>
      </c>
      <c r="BL244" s="37">
        <f>BK244*1.1</f>
        <v>1.2100000000000002</v>
      </c>
      <c r="BO244" s="202"/>
      <c r="BP244" s="202"/>
    </row>
    <row r="245" spans="1:68" x14ac:dyDescent="0.25">
      <c r="A245" s="202"/>
      <c r="B245" s="202"/>
      <c r="C245" s="202"/>
      <c r="D245" s="202"/>
      <c r="E245" s="202"/>
      <c r="F245" s="202"/>
      <c r="G245" s="202"/>
      <c r="H245" s="202"/>
      <c r="I245" s="202"/>
      <c r="J245" s="202"/>
      <c r="K245" s="202"/>
      <c r="L245" s="202"/>
      <c r="M245" s="202"/>
      <c r="N245" s="202"/>
      <c r="O245" s="202"/>
      <c r="P245" s="202"/>
      <c r="Q245" s="202"/>
      <c r="R245" s="202"/>
      <c r="S245" s="202"/>
      <c r="T245" s="202"/>
      <c r="U245" s="202"/>
      <c r="V245" s="202"/>
      <c r="W245" s="202"/>
      <c r="X245" s="202"/>
      <c r="Y245" s="202"/>
      <c r="Z245" s="202"/>
      <c r="AA245" s="202"/>
      <c r="AB245" s="202"/>
      <c r="AC245" s="202"/>
      <c r="AD245" s="202"/>
      <c r="AE245" s="202"/>
      <c r="AF245" s="202"/>
      <c r="AG245" s="202"/>
      <c r="AH245" s="202"/>
      <c r="AI245" s="202"/>
      <c r="AJ245" s="202"/>
      <c r="AK245" s="202"/>
      <c r="AL245" s="202"/>
      <c r="AM245" s="202"/>
      <c r="AN245" s="202"/>
      <c r="AO245" s="202"/>
      <c r="AP245" s="202"/>
      <c r="AQ245" s="202"/>
      <c r="AR245" s="202"/>
      <c r="AS245" s="202"/>
      <c r="AT245" s="202"/>
      <c r="AU245" s="202"/>
      <c r="AV245" s="202"/>
      <c r="AW245" s="202"/>
      <c r="AX245" s="202"/>
      <c r="AY245" s="202"/>
      <c r="AZ245" s="202"/>
      <c r="BA245" s="202"/>
      <c r="BB245" s="202"/>
      <c r="BC245" s="202"/>
      <c r="BD245" s="202"/>
      <c r="BE245" s="202"/>
      <c r="BF245" s="202"/>
      <c r="BG245" s="202"/>
      <c r="BH245" s="202"/>
      <c r="BI245" s="202"/>
      <c r="BJ245" s="204"/>
      <c r="BK245" s="204"/>
      <c r="BL245" s="204"/>
      <c r="BO245" s="202"/>
      <c r="BP245" s="202"/>
    </row>
    <row r="246" spans="1:68" outlineLevel="1" x14ac:dyDescent="0.25">
      <c r="A246" s="213">
        <v>45748</v>
      </c>
      <c r="B246" s="204" t="s">
        <v>199</v>
      </c>
      <c r="C246" s="31">
        <v>12500</v>
      </c>
      <c r="D246" s="30">
        <v>1</v>
      </c>
      <c r="E246" s="30">
        <v>0</v>
      </c>
      <c r="F246" s="30">
        <v>0</v>
      </c>
      <c r="G246" s="30">
        <v>0</v>
      </c>
      <c r="H246" s="30">
        <v>0</v>
      </c>
      <c r="I246" s="30">
        <v>0</v>
      </c>
      <c r="J246" s="30">
        <v>0</v>
      </c>
      <c r="K246" s="30">
        <v>0</v>
      </c>
      <c r="L246" s="30">
        <v>0</v>
      </c>
      <c r="M246" s="30">
        <v>0</v>
      </c>
      <c r="N246" s="30">
        <v>0</v>
      </c>
      <c r="O246" s="30">
        <v>0</v>
      </c>
      <c r="P246" s="30">
        <v>0</v>
      </c>
      <c r="Q246" s="30">
        <v>0</v>
      </c>
      <c r="R246" s="30">
        <v>0</v>
      </c>
      <c r="S246" s="30">
        <v>0</v>
      </c>
      <c r="T246" s="30">
        <v>0</v>
      </c>
      <c r="U246" s="30">
        <v>0</v>
      </c>
      <c r="V246" s="30">
        <v>0</v>
      </c>
      <c r="W246" s="30">
        <v>0</v>
      </c>
      <c r="X246" s="30">
        <v>0</v>
      </c>
      <c r="Y246" s="30">
        <v>0</v>
      </c>
      <c r="Z246" s="30">
        <v>0</v>
      </c>
      <c r="AA246" s="30">
        <v>0</v>
      </c>
      <c r="AB246" s="30">
        <v>0</v>
      </c>
      <c r="AC246" s="30">
        <v>0</v>
      </c>
      <c r="AD246" s="30">
        <v>0</v>
      </c>
      <c r="AE246" s="30">
        <v>0</v>
      </c>
      <c r="AF246" s="30">
        <v>0</v>
      </c>
      <c r="AG246" s="30">
        <v>0</v>
      </c>
      <c r="AH246" s="30">
        <v>0</v>
      </c>
      <c r="AI246" s="30">
        <v>0</v>
      </c>
      <c r="AJ246" s="30">
        <v>0</v>
      </c>
      <c r="AK246" s="30">
        <v>0</v>
      </c>
      <c r="AL246" s="30">
        <v>0</v>
      </c>
      <c r="AM246" s="30">
        <v>0</v>
      </c>
      <c r="AN246" s="30">
        <v>0</v>
      </c>
      <c r="AO246" s="30">
        <v>0</v>
      </c>
      <c r="AP246" s="30">
        <v>0</v>
      </c>
      <c r="AQ246" s="30">
        <v>0</v>
      </c>
      <c r="AR246" s="30">
        <v>0</v>
      </c>
      <c r="AS246" s="30">
        <v>0</v>
      </c>
      <c r="AT246" s="30">
        <v>0</v>
      </c>
      <c r="AU246" s="30">
        <v>0</v>
      </c>
      <c r="AV246" s="30">
        <v>0</v>
      </c>
      <c r="AW246" s="30">
        <v>0</v>
      </c>
      <c r="AX246" s="30">
        <v>0</v>
      </c>
      <c r="AY246" s="30">
        <v>0</v>
      </c>
      <c r="AZ246" s="30">
        <v>0</v>
      </c>
      <c r="BA246" s="30">
        <v>0</v>
      </c>
      <c r="BB246" s="30">
        <v>0</v>
      </c>
      <c r="BC246" s="30">
        <v>0</v>
      </c>
      <c r="BD246" s="30">
        <v>0</v>
      </c>
      <c r="BE246" s="202"/>
      <c r="BF246" s="202"/>
      <c r="BG246" s="202"/>
      <c r="BH246" s="202"/>
      <c r="BI246" s="204" t="s">
        <v>199</v>
      </c>
      <c r="BJ246" s="37">
        <v>1</v>
      </c>
      <c r="BK246" s="37">
        <f t="shared" ref="BK246:BL248" si="157">BJ246*1.1</f>
        <v>1.1000000000000001</v>
      </c>
      <c r="BL246" s="37">
        <f t="shared" si="157"/>
        <v>1.2100000000000002</v>
      </c>
      <c r="BO246" s="202"/>
      <c r="BP246" s="202"/>
    </row>
    <row r="247" spans="1:68" outlineLevel="1" x14ac:dyDescent="0.25">
      <c r="A247" s="213">
        <v>45658</v>
      </c>
      <c r="B247" s="225" t="s">
        <v>495</v>
      </c>
      <c r="C247" s="31">
        <v>5416.666666666667</v>
      </c>
      <c r="D247" s="30">
        <v>0</v>
      </c>
      <c r="E247" s="30">
        <v>0</v>
      </c>
      <c r="F247" s="30">
        <v>0</v>
      </c>
      <c r="G247" s="30">
        <v>0</v>
      </c>
      <c r="H247" s="30">
        <v>0</v>
      </c>
      <c r="I247" s="30">
        <v>0</v>
      </c>
      <c r="J247" s="30">
        <v>0</v>
      </c>
      <c r="K247" s="30">
        <v>0</v>
      </c>
      <c r="L247" s="30">
        <v>0</v>
      </c>
      <c r="M247" s="30">
        <v>0</v>
      </c>
      <c r="N247" s="30">
        <v>0</v>
      </c>
      <c r="O247" s="30">
        <v>0</v>
      </c>
      <c r="P247" s="30">
        <v>0</v>
      </c>
      <c r="Q247" s="30">
        <v>2</v>
      </c>
      <c r="R247" s="30">
        <v>0</v>
      </c>
      <c r="S247" s="30">
        <v>0</v>
      </c>
      <c r="T247" s="30">
        <v>0</v>
      </c>
      <c r="U247" s="30">
        <v>0</v>
      </c>
      <c r="V247" s="30">
        <v>0</v>
      </c>
      <c r="W247" s="30">
        <v>0</v>
      </c>
      <c r="X247" s="30">
        <v>0</v>
      </c>
      <c r="Y247" s="30">
        <v>0</v>
      </c>
      <c r="Z247" s="30">
        <v>0</v>
      </c>
      <c r="AA247" s="30">
        <v>0</v>
      </c>
      <c r="AB247" s="30">
        <v>0</v>
      </c>
      <c r="AC247" s="30">
        <v>0</v>
      </c>
      <c r="AD247" s="30">
        <v>0</v>
      </c>
      <c r="AE247" s="30">
        <v>0</v>
      </c>
      <c r="AF247" s="30">
        <v>0</v>
      </c>
      <c r="AG247" s="30">
        <v>0</v>
      </c>
      <c r="AH247" s="30">
        <v>0</v>
      </c>
      <c r="AI247" s="30">
        <v>0</v>
      </c>
      <c r="AJ247" s="30">
        <v>0</v>
      </c>
      <c r="AK247" s="30">
        <v>0</v>
      </c>
      <c r="AL247" s="30">
        <v>0</v>
      </c>
      <c r="AM247" s="30">
        <v>0</v>
      </c>
      <c r="AN247" s="30">
        <v>0</v>
      </c>
      <c r="AO247" s="30">
        <v>0</v>
      </c>
      <c r="AP247" s="30">
        <v>0</v>
      </c>
      <c r="AQ247" s="30">
        <v>0</v>
      </c>
      <c r="AR247" s="30">
        <v>0</v>
      </c>
      <c r="AS247" s="30">
        <v>0</v>
      </c>
      <c r="AT247" s="30">
        <v>0</v>
      </c>
      <c r="AU247" s="30">
        <v>0</v>
      </c>
      <c r="AV247" s="30">
        <v>0</v>
      </c>
      <c r="AW247" s="30">
        <v>0</v>
      </c>
      <c r="AX247" s="30">
        <v>0</v>
      </c>
      <c r="AY247" s="30">
        <v>0</v>
      </c>
      <c r="AZ247" s="30">
        <v>0</v>
      </c>
      <c r="BA247" s="30">
        <v>0</v>
      </c>
      <c r="BB247" s="30">
        <v>0</v>
      </c>
      <c r="BC247" s="30">
        <v>0</v>
      </c>
      <c r="BD247" s="30">
        <v>0</v>
      </c>
      <c r="BE247" s="202"/>
      <c r="BF247" s="202"/>
      <c r="BG247" s="202"/>
      <c r="BH247" s="202"/>
      <c r="BI247" s="225" t="s">
        <v>495</v>
      </c>
      <c r="BJ247" s="37">
        <v>1</v>
      </c>
      <c r="BK247" s="37">
        <f t="shared" si="157"/>
        <v>1.1000000000000001</v>
      </c>
      <c r="BL247" s="37">
        <f t="shared" si="157"/>
        <v>1.2100000000000002</v>
      </c>
      <c r="BO247" s="202"/>
      <c r="BP247" s="202"/>
    </row>
    <row r="248" spans="1:68" outlineLevel="1" x14ac:dyDescent="0.25">
      <c r="A248" s="213">
        <v>46023</v>
      </c>
      <c r="B248" s="81" t="s">
        <v>496</v>
      </c>
      <c r="C248" s="31">
        <f>100000/12</f>
        <v>8333.3333333333339</v>
      </c>
      <c r="D248" s="30">
        <v>0</v>
      </c>
      <c r="E248" s="30">
        <v>0</v>
      </c>
      <c r="F248" s="30">
        <v>0</v>
      </c>
      <c r="G248" s="30">
        <v>0</v>
      </c>
      <c r="H248" s="30">
        <v>0</v>
      </c>
      <c r="I248" s="30">
        <v>0</v>
      </c>
      <c r="J248" s="30">
        <v>0</v>
      </c>
      <c r="K248" s="30">
        <v>0</v>
      </c>
      <c r="L248" s="30">
        <v>0</v>
      </c>
      <c r="M248" s="30">
        <v>0</v>
      </c>
      <c r="N248" s="30">
        <v>0</v>
      </c>
      <c r="O248" s="30">
        <v>0</v>
      </c>
      <c r="P248" s="30">
        <v>0</v>
      </c>
      <c r="Q248" s="30">
        <v>1</v>
      </c>
      <c r="R248" s="30">
        <v>0</v>
      </c>
      <c r="S248" s="30">
        <v>0</v>
      </c>
      <c r="T248" s="30">
        <v>0</v>
      </c>
      <c r="U248" s="30">
        <v>0</v>
      </c>
      <c r="V248" s="30">
        <v>0</v>
      </c>
      <c r="W248" s="30">
        <v>0</v>
      </c>
      <c r="X248" s="30">
        <v>0</v>
      </c>
      <c r="Y248" s="30">
        <v>0</v>
      </c>
      <c r="Z248" s="30">
        <v>0</v>
      </c>
      <c r="AA248" s="30">
        <v>0</v>
      </c>
      <c r="AB248" s="30">
        <v>0</v>
      </c>
      <c r="AC248" s="30">
        <v>0</v>
      </c>
      <c r="AD248" s="30">
        <v>0</v>
      </c>
      <c r="AE248" s="30">
        <v>0</v>
      </c>
      <c r="AF248" s="30">
        <v>0</v>
      </c>
      <c r="AG248" s="30">
        <v>0</v>
      </c>
      <c r="AH248" s="30">
        <v>0</v>
      </c>
      <c r="AI248" s="30">
        <v>0</v>
      </c>
      <c r="AJ248" s="30">
        <v>0</v>
      </c>
      <c r="AK248" s="30">
        <v>0</v>
      </c>
      <c r="AL248" s="30">
        <v>0</v>
      </c>
      <c r="AM248" s="30">
        <v>0</v>
      </c>
      <c r="AN248" s="30">
        <v>0</v>
      </c>
      <c r="AO248" s="30">
        <v>0</v>
      </c>
      <c r="AP248" s="30">
        <v>0</v>
      </c>
      <c r="AQ248" s="30">
        <v>0</v>
      </c>
      <c r="AR248" s="30">
        <v>0</v>
      </c>
      <c r="AS248" s="30">
        <v>0</v>
      </c>
      <c r="AT248" s="30">
        <v>0</v>
      </c>
      <c r="AU248" s="30">
        <v>0</v>
      </c>
      <c r="AV248" s="30">
        <v>0</v>
      </c>
      <c r="AW248" s="30">
        <v>0</v>
      </c>
      <c r="AX248" s="30">
        <v>0</v>
      </c>
      <c r="AY248" s="30">
        <v>0</v>
      </c>
      <c r="AZ248" s="30">
        <v>0</v>
      </c>
      <c r="BA248" s="30">
        <v>0</v>
      </c>
      <c r="BB248" s="30">
        <v>0</v>
      </c>
      <c r="BC248" s="30">
        <v>0</v>
      </c>
      <c r="BD248" s="30">
        <v>0</v>
      </c>
      <c r="BE248" s="202"/>
      <c r="BF248" s="202"/>
      <c r="BG248" s="202"/>
      <c r="BH248" s="202"/>
      <c r="BI248" s="81" t="s">
        <v>496</v>
      </c>
      <c r="BJ248" s="37">
        <v>1</v>
      </c>
      <c r="BK248" s="37">
        <f t="shared" si="157"/>
        <v>1.1000000000000001</v>
      </c>
      <c r="BL248" s="37">
        <f t="shared" si="157"/>
        <v>1.2100000000000002</v>
      </c>
      <c r="BO248" s="202"/>
      <c r="BP248" s="202"/>
    </row>
    <row r="249" spans="1:68" x14ac:dyDescent="0.25">
      <c r="A249" s="202"/>
      <c r="B249" s="202"/>
      <c r="C249" s="202"/>
      <c r="D249" s="202"/>
      <c r="E249" s="202"/>
      <c r="F249" s="202"/>
      <c r="G249" s="202"/>
      <c r="H249" s="202"/>
      <c r="I249" s="202"/>
      <c r="J249" s="202"/>
      <c r="K249" s="202"/>
      <c r="L249" s="202"/>
      <c r="M249" s="202"/>
      <c r="N249" s="202"/>
      <c r="O249" s="202"/>
      <c r="P249" s="202"/>
      <c r="Q249" s="202"/>
      <c r="R249" s="202"/>
      <c r="S249" s="202"/>
      <c r="T249" s="202"/>
      <c r="U249" s="202"/>
      <c r="V249" s="202"/>
      <c r="W249" s="202"/>
      <c r="X249" s="202"/>
      <c r="Y249" s="202"/>
      <c r="Z249" s="202"/>
      <c r="AA249" s="202"/>
      <c r="AB249" s="202"/>
      <c r="AC249" s="202"/>
      <c r="AD249" s="202"/>
      <c r="AE249" s="202"/>
      <c r="AF249" s="202"/>
      <c r="AG249" s="202"/>
      <c r="AH249" s="202"/>
      <c r="AI249" s="202"/>
      <c r="AJ249" s="202"/>
      <c r="AK249" s="202"/>
      <c r="AL249" s="202"/>
      <c r="AM249" s="202"/>
      <c r="AN249" s="202"/>
      <c r="AO249" s="202"/>
      <c r="AP249" s="202"/>
      <c r="AQ249" s="202"/>
      <c r="AR249" s="202"/>
      <c r="AS249" s="202"/>
      <c r="AT249" s="202"/>
      <c r="AU249" s="202"/>
      <c r="AV249" s="202"/>
      <c r="AW249" s="202"/>
      <c r="AX249" s="202"/>
      <c r="AY249" s="202"/>
      <c r="AZ249" s="202"/>
      <c r="BA249" s="202"/>
      <c r="BB249" s="202"/>
      <c r="BC249" s="202"/>
      <c r="BD249" s="202"/>
      <c r="BE249" s="202"/>
      <c r="BF249" s="202"/>
      <c r="BG249" s="202"/>
      <c r="BH249" s="202"/>
      <c r="BI249" s="202"/>
      <c r="BJ249" s="204"/>
      <c r="BK249" s="204"/>
      <c r="BL249" s="204"/>
      <c r="BO249" s="202"/>
      <c r="BP249" s="202"/>
    </row>
    <row r="250" spans="1:68" outlineLevel="1" x14ac:dyDescent="0.25">
      <c r="A250" s="213">
        <v>45658</v>
      </c>
      <c r="B250" s="204" t="s">
        <v>200</v>
      </c>
      <c r="C250" s="31">
        <v>9166.6666666666661</v>
      </c>
      <c r="D250" s="30">
        <v>1</v>
      </c>
      <c r="E250" s="30">
        <v>0</v>
      </c>
      <c r="F250" s="30">
        <v>0</v>
      </c>
      <c r="G250" s="30">
        <v>0</v>
      </c>
      <c r="H250" s="30">
        <v>0</v>
      </c>
      <c r="I250" s="30">
        <v>0</v>
      </c>
      <c r="J250" s="30">
        <v>0</v>
      </c>
      <c r="K250" s="30">
        <v>0</v>
      </c>
      <c r="L250" s="30">
        <v>0</v>
      </c>
      <c r="M250" s="30">
        <v>0</v>
      </c>
      <c r="N250" s="30">
        <v>0</v>
      </c>
      <c r="O250" s="30">
        <v>0</v>
      </c>
      <c r="P250" s="30">
        <v>0</v>
      </c>
      <c r="Q250" s="30">
        <v>0</v>
      </c>
      <c r="R250" s="30">
        <v>0</v>
      </c>
      <c r="S250" s="30">
        <v>0</v>
      </c>
      <c r="T250" s="30">
        <v>0</v>
      </c>
      <c r="U250" s="30">
        <v>0</v>
      </c>
      <c r="V250" s="30">
        <v>0</v>
      </c>
      <c r="W250" s="30">
        <v>0</v>
      </c>
      <c r="X250" s="30">
        <v>0</v>
      </c>
      <c r="Y250" s="30">
        <v>0</v>
      </c>
      <c r="Z250" s="30">
        <v>0</v>
      </c>
      <c r="AA250" s="30">
        <v>0</v>
      </c>
      <c r="AB250" s="30">
        <v>0</v>
      </c>
      <c r="AC250" s="30">
        <v>0</v>
      </c>
      <c r="AD250" s="30">
        <v>0</v>
      </c>
      <c r="AE250" s="30">
        <v>0</v>
      </c>
      <c r="AF250" s="30">
        <v>0</v>
      </c>
      <c r="AG250" s="30">
        <v>0</v>
      </c>
      <c r="AH250" s="30">
        <v>0</v>
      </c>
      <c r="AI250" s="30">
        <v>0</v>
      </c>
      <c r="AJ250" s="30">
        <v>0</v>
      </c>
      <c r="AK250" s="30">
        <v>0</v>
      </c>
      <c r="AL250" s="30">
        <v>0</v>
      </c>
      <c r="AM250" s="30">
        <v>0</v>
      </c>
      <c r="AN250" s="30">
        <v>0</v>
      </c>
      <c r="AO250" s="30">
        <v>0</v>
      </c>
      <c r="AP250" s="30">
        <v>0</v>
      </c>
      <c r="AQ250" s="30">
        <v>0</v>
      </c>
      <c r="AR250" s="30">
        <v>0</v>
      </c>
      <c r="AS250" s="30">
        <v>0</v>
      </c>
      <c r="AT250" s="30">
        <v>0</v>
      </c>
      <c r="AU250" s="30">
        <v>0</v>
      </c>
      <c r="AV250" s="30">
        <v>0</v>
      </c>
      <c r="AW250" s="30">
        <v>0</v>
      </c>
      <c r="AX250" s="30">
        <v>0</v>
      </c>
      <c r="AY250" s="30">
        <v>0</v>
      </c>
      <c r="AZ250" s="30">
        <v>0</v>
      </c>
      <c r="BA250" s="30">
        <v>0</v>
      </c>
      <c r="BB250" s="30">
        <v>0</v>
      </c>
      <c r="BC250" s="30">
        <v>0</v>
      </c>
      <c r="BD250" s="30">
        <v>0</v>
      </c>
      <c r="BE250" s="202"/>
      <c r="BF250" s="202"/>
      <c r="BG250" s="202"/>
      <c r="BH250" s="202"/>
      <c r="BI250" s="204" t="s">
        <v>200</v>
      </c>
      <c r="BJ250" s="37">
        <v>1</v>
      </c>
      <c r="BK250" s="37">
        <f t="shared" ref="BK250:BL254" si="158">BJ250*1.1</f>
        <v>1.1000000000000001</v>
      </c>
      <c r="BL250" s="37">
        <f t="shared" si="158"/>
        <v>1.2100000000000002</v>
      </c>
      <c r="BO250" s="202"/>
      <c r="BP250" s="202"/>
    </row>
    <row r="251" spans="1:68" outlineLevel="1" x14ac:dyDescent="0.25">
      <c r="A251" s="213">
        <v>45839</v>
      </c>
      <c r="B251" s="225" t="s">
        <v>498</v>
      </c>
      <c r="C251" s="31">
        <v>10000</v>
      </c>
      <c r="D251" s="30">
        <v>1</v>
      </c>
      <c r="E251" s="30">
        <v>0</v>
      </c>
      <c r="F251" s="30">
        <v>0</v>
      </c>
      <c r="G251" s="30">
        <v>0</v>
      </c>
      <c r="H251" s="30">
        <v>0</v>
      </c>
      <c r="I251" s="30">
        <v>0</v>
      </c>
      <c r="J251" s="30">
        <v>0</v>
      </c>
      <c r="K251" s="30">
        <v>0</v>
      </c>
      <c r="L251" s="30">
        <v>0</v>
      </c>
      <c r="M251" s="30">
        <v>0</v>
      </c>
      <c r="N251" s="30">
        <v>0</v>
      </c>
      <c r="O251" s="30">
        <v>0</v>
      </c>
      <c r="P251" s="30">
        <v>0</v>
      </c>
      <c r="Q251" s="30">
        <v>0</v>
      </c>
      <c r="R251" s="30">
        <v>0</v>
      </c>
      <c r="S251" s="30">
        <v>0</v>
      </c>
      <c r="T251" s="30">
        <v>0</v>
      </c>
      <c r="U251" s="30">
        <v>0</v>
      </c>
      <c r="V251" s="30">
        <v>0</v>
      </c>
      <c r="W251" s="30">
        <v>0</v>
      </c>
      <c r="X251" s="30">
        <v>0</v>
      </c>
      <c r="Y251" s="30">
        <v>0</v>
      </c>
      <c r="Z251" s="30">
        <v>0</v>
      </c>
      <c r="AA251" s="30">
        <v>0</v>
      </c>
      <c r="AB251" s="30">
        <v>0</v>
      </c>
      <c r="AC251" s="30">
        <v>0</v>
      </c>
      <c r="AD251" s="30">
        <v>0</v>
      </c>
      <c r="AE251" s="30">
        <v>0</v>
      </c>
      <c r="AF251" s="30">
        <v>0</v>
      </c>
      <c r="AG251" s="30">
        <v>0</v>
      </c>
      <c r="AH251" s="30">
        <v>0</v>
      </c>
      <c r="AI251" s="30">
        <v>0</v>
      </c>
      <c r="AJ251" s="30">
        <v>0</v>
      </c>
      <c r="AK251" s="30">
        <v>0</v>
      </c>
      <c r="AL251" s="30">
        <v>0</v>
      </c>
      <c r="AM251" s="30">
        <v>0</v>
      </c>
      <c r="AN251" s="30">
        <v>0</v>
      </c>
      <c r="AO251" s="30">
        <v>0</v>
      </c>
      <c r="AP251" s="30">
        <v>0</v>
      </c>
      <c r="AQ251" s="30">
        <v>0</v>
      </c>
      <c r="AR251" s="30">
        <v>0</v>
      </c>
      <c r="AS251" s="30">
        <v>0</v>
      </c>
      <c r="AT251" s="30">
        <v>0</v>
      </c>
      <c r="AU251" s="30">
        <v>0</v>
      </c>
      <c r="AV251" s="30">
        <v>0</v>
      </c>
      <c r="AW251" s="30">
        <v>0</v>
      </c>
      <c r="AX251" s="30">
        <v>0</v>
      </c>
      <c r="AY251" s="30">
        <v>0</v>
      </c>
      <c r="AZ251" s="30">
        <v>0</v>
      </c>
      <c r="BA251" s="30">
        <v>0</v>
      </c>
      <c r="BB251" s="30">
        <v>0</v>
      </c>
      <c r="BC251" s="30">
        <v>0</v>
      </c>
      <c r="BD251" s="30">
        <v>0</v>
      </c>
      <c r="BE251" s="202"/>
      <c r="BF251" s="202"/>
      <c r="BG251" s="202"/>
      <c r="BH251" s="202"/>
      <c r="BI251" s="225" t="s">
        <v>498</v>
      </c>
      <c r="BJ251" s="37">
        <v>1</v>
      </c>
      <c r="BK251" s="37">
        <f t="shared" si="158"/>
        <v>1.1000000000000001</v>
      </c>
      <c r="BL251" s="37">
        <f t="shared" si="158"/>
        <v>1.2100000000000002</v>
      </c>
      <c r="BO251" s="202"/>
      <c r="BP251" s="202"/>
    </row>
    <row r="252" spans="1:68" outlineLevel="1" x14ac:dyDescent="0.25">
      <c r="A252" s="213">
        <v>45778</v>
      </c>
      <c r="B252" s="225" t="s">
        <v>497</v>
      </c>
      <c r="C252" s="31">
        <v>10000</v>
      </c>
      <c r="D252" s="30">
        <v>1</v>
      </c>
      <c r="E252" s="30">
        <v>0</v>
      </c>
      <c r="F252" s="30">
        <v>0</v>
      </c>
      <c r="G252" s="30">
        <v>0</v>
      </c>
      <c r="H252" s="30">
        <v>0</v>
      </c>
      <c r="I252" s="30">
        <v>0</v>
      </c>
      <c r="J252" s="30">
        <v>0</v>
      </c>
      <c r="K252" s="30">
        <v>0</v>
      </c>
      <c r="L252" s="30">
        <v>0</v>
      </c>
      <c r="M252" s="30">
        <v>0</v>
      </c>
      <c r="N252" s="30">
        <v>0</v>
      </c>
      <c r="O252" s="30">
        <v>0</v>
      </c>
      <c r="P252" s="30">
        <v>0</v>
      </c>
      <c r="Q252" s="30">
        <v>0</v>
      </c>
      <c r="R252" s="30">
        <v>0</v>
      </c>
      <c r="S252" s="30">
        <v>0</v>
      </c>
      <c r="T252" s="30">
        <v>0</v>
      </c>
      <c r="U252" s="30">
        <v>0</v>
      </c>
      <c r="V252" s="30">
        <v>0</v>
      </c>
      <c r="W252" s="30">
        <v>0</v>
      </c>
      <c r="X252" s="30">
        <v>0</v>
      </c>
      <c r="Y252" s="30">
        <v>0</v>
      </c>
      <c r="Z252" s="30">
        <v>0</v>
      </c>
      <c r="AA252" s="30">
        <v>0</v>
      </c>
      <c r="AB252" s="30">
        <v>0</v>
      </c>
      <c r="AC252" s="30">
        <v>0</v>
      </c>
      <c r="AD252" s="30">
        <v>0</v>
      </c>
      <c r="AE252" s="30">
        <v>0</v>
      </c>
      <c r="AF252" s="30">
        <v>0</v>
      </c>
      <c r="AG252" s="30">
        <v>0</v>
      </c>
      <c r="AH252" s="30">
        <v>0</v>
      </c>
      <c r="AI252" s="30">
        <v>0</v>
      </c>
      <c r="AJ252" s="30">
        <v>0</v>
      </c>
      <c r="AK252" s="30">
        <v>0</v>
      </c>
      <c r="AL252" s="30">
        <v>0</v>
      </c>
      <c r="AM252" s="30">
        <v>0</v>
      </c>
      <c r="AN252" s="30">
        <v>0</v>
      </c>
      <c r="AO252" s="30">
        <v>0</v>
      </c>
      <c r="AP252" s="30">
        <v>0</v>
      </c>
      <c r="AQ252" s="30">
        <v>0</v>
      </c>
      <c r="AR252" s="30">
        <v>0</v>
      </c>
      <c r="AS252" s="30">
        <v>0</v>
      </c>
      <c r="AT252" s="30">
        <v>0</v>
      </c>
      <c r="AU252" s="30">
        <v>0</v>
      </c>
      <c r="AV252" s="30">
        <v>0</v>
      </c>
      <c r="AW252" s="30">
        <v>0</v>
      </c>
      <c r="AX252" s="30">
        <v>0</v>
      </c>
      <c r="AY252" s="30">
        <v>0</v>
      </c>
      <c r="AZ252" s="30">
        <v>0</v>
      </c>
      <c r="BA252" s="30">
        <v>0</v>
      </c>
      <c r="BB252" s="30">
        <v>0</v>
      </c>
      <c r="BC252" s="30">
        <v>0</v>
      </c>
      <c r="BD252" s="30">
        <v>0</v>
      </c>
      <c r="BE252" s="202"/>
      <c r="BF252" s="202"/>
      <c r="BG252" s="202"/>
      <c r="BH252" s="202"/>
      <c r="BI252" s="225" t="s">
        <v>497</v>
      </c>
      <c r="BJ252" s="37">
        <v>1</v>
      </c>
      <c r="BK252" s="37">
        <f t="shared" si="158"/>
        <v>1.1000000000000001</v>
      </c>
      <c r="BL252" s="37">
        <f t="shared" si="158"/>
        <v>1.2100000000000002</v>
      </c>
      <c r="BO252" s="202"/>
      <c r="BP252" s="202"/>
    </row>
    <row r="253" spans="1:68" outlineLevel="1" x14ac:dyDescent="0.25">
      <c r="A253" s="213">
        <v>45901</v>
      </c>
      <c r="B253" s="204" t="s">
        <v>201</v>
      </c>
      <c r="C253" s="31">
        <v>6250</v>
      </c>
      <c r="D253" s="30">
        <v>2</v>
      </c>
      <c r="E253" s="30">
        <v>0</v>
      </c>
      <c r="F253" s="30">
        <v>0</v>
      </c>
      <c r="G253" s="30">
        <v>0</v>
      </c>
      <c r="H253" s="30">
        <v>0</v>
      </c>
      <c r="I253" s="30">
        <v>0</v>
      </c>
      <c r="J253" s="30">
        <v>0</v>
      </c>
      <c r="K253" s="30">
        <v>0</v>
      </c>
      <c r="L253" s="30">
        <v>0</v>
      </c>
      <c r="M253" s="30">
        <v>0</v>
      </c>
      <c r="N253" s="30">
        <v>0</v>
      </c>
      <c r="O253" s="30">
        <v>0</v>
      </c>
      <c r="P253" s="30">
        <v>0</v>
      </c>
      <c r="Q253" s="30">
        <v>0</v>
      </c>
      <c r="R253" s="30">
        <v>0</v>
      </c>
      <c r="S253" s="30">
        <v>0</v>
      </c>
      <c r="T253" s="30">
        <v>0</v>
      </c>
      <c r="U253" s="30">
        <v>0</v>
      </c>
      <c r="V253" s="30">
        <v>0</v>
      </c>
      <c r="W253" s="30">
        <v>0</v>
      </c>
      <c r="X253" s="30">
        <v>0</v>
      </c>
      <c r="Y253" s="30">
        <v>0</v>
      </c>
      <c r="Z253" s="30">
        <v>0</v>
      </c>
      <c r="AA253" s="30">
        <v>0</v>
      </c>
      <c r="AB253" s="30">
        <v>0</v>
      </c>
      <c r="AC253" s="30">
        <v>0</v>
      </c>
      <c r="AD253" s="30">
        <v>0</v>
      </c>
      <c r="AE253" s="30">
        <v>0</v>
      </c>
      <c r="AF253" s="30">
        <v>0</v>
      </c>
      <c r="AG253" s="30">
        <v>0</v>
      </c>
      <c r="AH253" s="30">
        <v>0</v>
      </c>
      <c r="AI253" s="30">
        <v>0</v>
      </c>
      <c r="AJ253" s="30">
        <v>0</v>
      </c>
      <c r="AK253" s="30">
        <v>0</v>
      </c>
      <c r="AL253" s="30">
        <v>0</v>
      </c>
      <c r="AM253" s="30">
        <v>0</v>
      </c>
      <c r="AN253" s="30">
        <v>0</v>
      </c>
      <c r="AO253" s="30">
        <v>0</v>
      </c>
      <c r="AP253" s="30">
        <v>0</v>
      </c>
      <c r="AQ253" s="30">
        <v>0</v>
      </c>
      <c r="AR253" s="30">
        <v>0</v>
      </c>
      <c r="AS253" s="30">
        <v>0</v>
      </c>
      <c r="AT253" s="30">
        <v>0</v>
      </c>
      <c r="AU253" s="30">
        <v>0</v>
      </c>
      <c r="AV253" s="30">
        <v>0</v>
      </c>
      <c r="AW253" s="30">
        <v>0</v>
      </c>
      <c r="AX253" s="30">
        <v>0</v>
      </c>
      <c r="AY253" s="30">
        <v>0</v>
      </c>
      <c r="AZ253" s="30">
        <v>0</v>
      </c>
      <c r="BA253" s="30">
        <v>0</v>
      </c>
      <c r="BB253" s="30">
        <v>0</v>
      </c>
      <c r="BC253" s="30">
        <v>0</v>
      </c>
      <c r="BD253" s="30">
        <v>0</v>
      </c>
      <c r="BE253" s="202"/>
      <c r="BF253" s="202"/>
      <c r="BG253" s="202"/>
      <c r="BH253" s="202"/>
      <c r="BI253" s="204" t="s">
        <v>201</v>
      </c>
      <c r="BJ253" s="37">
        <v>1</v>
      </c>
      <c r="BK253" s="37">
        <f t="shared" si="158"/>
        <v>1.1000000000000001</v>
      </c>
      <c r="BL253" s="37">
        <f t="shared" si="158"/>
        <v>1.2100000000000002</v>
      </c>
      <c r="BN253" s="1"/>
      <c r="BO253" s="202"/>
      <c r="BP253" s="202"/>
    </row>
    <row r="254" spans="1:68" outlineLevel="1" x14ac:dyDescent="0.25">
      <c r="A254" s="213">
        <v>45658</v>
      </c>
      <c r="B254" s="113" t="s">
        <v>202</v>
      </c>
      <c r="C254" s="42">
        <v>0</v>
      </c>
      <c r="D254" s="93">
        <v>0</v>
      </c>
      <c r="E254" s="93">
        <v>0</v>
      </c>
      <c r="F254" s="93">
        <v>0</v>
      </c>
      <c r="G254" s="93">
        <v>0</v>
      </c>
      <c r="H254" s="93">
        <v>0</v>
      </c>
      <c r="I254" s="93">
        <v>0</v>
      </c>
      <c r="J254" s="93">
        <v>0</v>
      </c>
      <c r="K254" s="93">
        <v>0</v>
      </c>
      <c r="L254" s="93">
        <v>0</v>
      </c>
      <c r="M254" s="93">
        <v>0</v>
      </c>
      <c r="N254" s="93">
        <v>0</v>
      </c>
      <c r="O254" s="93">
        <v>0</v>
      </c>
      <c r="P254" s="93">
        <v>0</v>
      </c>
      <c r="Q254" s="93">
        <v>0</v>
      </c>
      <c r="R254" s="93">
        <v>0</v>
      </c>
      <c r="S254" s="93">
        <v>0</v>
      </c>
      <c r="T254" s="93">
        <v>0</v>
      </c>
      <c r="U254" s="93">
        <v>0</v>
      </c>
      <c r="V254" s="93">
        <v>0</v>
      </c>
      <c r="W254" s="93">
        <v>0</v>
      </c>
      <c r="X254" s="93">
        <v>0</v>
      </c>
      <c r="Y254" s="93">
        <v>0</v>
      </c>
      <c r="Z254" s="93">
        <v>0</v>
      </c>
      <c r="AA254" s="93">
        <v>0</v>
      </c>
      <c r="AB254" s="93">
        <v>0</v>
      </c>
      <c r="AC254" s="93">
        <v>0</v>
      </c>
      <c r="AD254" s="93">
        <v>0</v>
      </c>
      <c r="AE254" s="93">
        <v>0</v>
      </c>
      <c r="AF254" s="93">
        <v>0</v>
      </c>
      <c r="AG254" s="93">
        <v>0</v>
      </c>
      <c r="AH254" s="93">
        <v>0</v>
      </c>
      <c r="AI254" s="93">
        <v>0</v>
      </c>
      <c r="AJ254" s="93">
        <v>0</v>
      </c>
      <c r="AK254" s="93">
        <v>0</v>
      </c>
      <c r="AL254" s="93">
        <v>0</v>
      </c>
      <c r="AM254" s="93">
        <v>0</v>
      </c>
      <c r="AN254" s="93">
        <v>0</v>
      </c>
      <c r="AO254" s="93">
        <v>0</v>
      </c>
      <c r="AP254" s="93">
        <v>0</v>
      </c>
      <c r="AQ254" s="93">
        <v>0</v>
      </c>
      <c r="AR254" s="93">
        <v>0</v>
      </c>
      <c r="AS254" s="93">
        <v>0</v>
      </c>
      <c r="AT254" s="93">
        <v>0</v>
      </c>
      <c r="AU254" s="93">
        <v>0</v>
      </c>
      <c r="AV254" s="93">
        <v>0</v>
      </c>
      <c r="AW254" s="93">
        <v>0</v>
      </c>
      <c r="AX254" s="93">
        <v>0</v>
      </c>
      <c r="AY254" s="93">
        <v>0</v>
      </c>
      <c r="AZ254" s="93">
        <v>0</v>
      </c>
      <c r="BA254" s="93">
        <v>0</v>
      </c>
      <c r="BB254" s="93">
        <v>0</v>
      </c>
      <c r="BC254" s="93">
        <v>0</v>
      </c>
      <c r="BD254" s="93">
        <v>0</v>
      </c>
      <c r="BE254" s="202"/>
      <c r="BF254" s="202"/>
      <c r="BG254" s="202"/>
      <c r="BH254" s="202"/>
      <c r="BI254" s="113" t="s">
        <v>202</v>
      </c>
      <c r="BJ254" s="37">
        <v>1</v>
      </c>
      <c r="BK254" s="37">
        <f t="shared" si="158"/>
        <v>1.1000000000000001</v>
      </c>
      <c r="BL254" s="37">
        <f t="shared" si="158"/>
        <v>1.2100000000000002</v>
      </c>
      <c r="BO254" s="202"/>
      <c r="BP254" s="202"/>
    </row>
    <row r="255" spans="1:68" x14ac:dyDescent="0.25">
      <c r="A255" s="202"/>
      <c r="B255" s="202"/>
      <c r="C255" s="202"/>
      <c r="D255" s="202"/>
      <c r="E255" s="202"/>
      <c r="F255" s="202"/>
      <c r="G255" s="202"/>
      <c r="H255" s="202"/>
      <c r="I255" s="202"/>
      <c r="J255" s="202"/>
      <c r="K255" s="202"/>
      <c r="L255" s="202"/>
      <c r="M255" s="202"/>
      <c r="N255" s="202"/>
      <c r="O255" s="202"/>
      <c r="P255" s="202"/>
      <c r="Q255" s="202"/>
      <c r="R255" s="202"/>
      <c r="S255" s="202"/>
      <c r="T255" s="202"/>
      <c r="U255" s="202"/>
      <c r="V255" s="202"/>
      <c r="W255" s="202"/>
      <c r="X255" s="202"/>
      <c r="Y255" s="202"/>
      <c r="Z255" s="202"/>
      <c r="AA255" s="202"/>
      <c r="AB255" s="202"/>
      <c r="AC255" s="202"/>
      <c r="AD255" s="202"/>
      <c r="AE255" s="202"/>
      <c r="AF255" s="202"/>
      <c r="AG255" s="202"/>
      <c r="AH255" s="202"/>
      <c r="AI255" s="202"/>
      <c r="AJ255" s="202"/>
      <c r="AK255" s="202"/>
      <c r="AL255" s="202"/>
      <c r="AM255" s="202"/>
      <c r="AN255" s="202"/>
      <c r="AO255" s="202"/>
      <c r="AP255" s="202"/>
      <c r="AQ255" s="202"/>
      <c r="AR255" s="202"/>
      <c r="AS255" s="202"/>
      <c r="AT255" s="202"/>
      <c r="AU255" s="202"/>
      <c r="AV255" s="202"/>
      <c r="AW255" s="202"/>
      <c r="AX255" s="202"/>
      <c r="AY255" s="202"/>
      <c r="AZ255" s="202"/>
      <c r="BA255" s="202"/>
      <c r="BB255" s="202"/>
      <c r="BC255" s="202"/>
      <c r="BD255" s="202"/>
      <c r="BE255" s="202"/>
      <c r="BF255" s="202"/>
      <c r="BG255" s="202"/>
      <c r="BH255" s="202"/>
      <c r="BI255" s="204"/>
      <c r="BJ255" s="204"/>
      <c r="BK255" s="204"/>
      <c r="BL255" s="204"/>
      <c r="BO255" s="202"/>
      <c r="BP255" s="202"/>
    </row>
    <row r="256" spans="1:68" x14ac:dyDescent="0.25">
      <c r="A256" s="86"/>
      <c r="B256" s="91" t="s">
        <v>509</v>
      </c>
      <c r="C256" s="34" t="s">
        <v>499</v>
      </c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  <c r="Z256" s="34"/>
      <c r="AA256" s="34"/>
      <c r="AB256" s="34"/>
      <c r="AC256" s="34"/>
      <c r="AD256" s="34"/>
      <c r="AE256" s="34"/>
      <c r="AF256" s="34"/>
      <c r="AG256" s="34"/>
      <c r="AH256" s="34"/>
      <c r="AI256" s="34"/>
      <c r="AJ256" s="34"/>
      <c r="AK256" s="34"/>
      <c r="AL256" s="34"/>
      <c r="AM256" s="34"/>
      <c r="AN256" s="34"/>
      <c r="AO256" s="34"/>
      <c r="AP256" s="34"/>
      <c r="AQ256" s="34"/>
      <c r="AR256" s="34"/>
      <c r="AS256" s="34"/>
      <c r="AT256" s="34"/>
      <c r="AU256" s="34"/>
      <c r="AV256" s="34"/>
      <c r="AW256" s="34"/>
      <c r="AX256" s="34"/>
      <c r="AY256" s="34"/>
      <c r="AZ256" s="34"/>
      <c r="BA256" s="34"/>
      <c r="BB256" s="34"/>
      <c r="BC256" s="34"/>
      <c r="BD256" s="34"/>
      <c r="BE256" s="202"/>
      <c r="BF256" s="202"/>
      <c r="BG256" s="202"/>
      <c r="BH256" s="202"/>
      <c r="BI256" s="226" t="s">
        <v>509</v>
      </c>
      <c r="BJ256" s="204"/>
      <c r="BK256" s="204"/>
      <c r="BL256" s="204"/>
      <c r="BO256" s="202"/>
      <c r="BP256" s="202"/>
    </row>
    <row r="257" spans="1:68" outlineLevel="1" x14ac:dyDescent="0.25">
      <c r="A257" s="213">
        <v>45931</v>
      </c>
      <c r="B257" s="92" t="s">
        <v>500</v>
      </c>
      <c r="C257" s="31">
        <v>5000</v>
      </c>
      <c r="D257" s="30">
        <v>100</v>
      </c>
      <c r="E257" s="30">
        <v>99999999</v>
      </c>
      <c r="F257" s="30">
        <v>99999999</v>
      </c>
      <c r="G257" s="30">
        <v>99999999</v>
      </c>
      <c r="H257" s="30">
        <v>99999999</v>
      </c>
      <c r="I257" s="30">
        <v>99999999</v>
      </c>
      <c r="J257" s="30">
        <v>99999999</v>
      </c>
      <c r="K257" s="30">
        <v>99999999</v>
      </c>
      <c r="L257" s="30">
        <v>99999999</v>
      </c>
      <c r="M257" s="30">
        <v>99999999</v>
      </c>
      <c r="N257" s="30">
        <v>99999999</v>
      </c>
      <c r="O257" s="30">
        <v>99999999</v>
      </c>
      <c r="P257" s="30">
        <v>99999999</v>
      </c>
      <c r="Q257" s="30">
        <v>99999999</v>
      </c>
      <c r="R257" s="30">
        <v>99999999</v>
      </c>
      <c r="S257" s="30">
        <v>99999999</v>
      </c>
      <c r="T257" s="30">
        <v>99999999</v>
      </c>
      <c r="U257" s="30">
        <v>99999999</v>
      </c>
      <c r="V257" s="30">
        <v>99999999</v>
      </c>
      <c r="W257" s="30">
        <v>99999999</v>
      </c>
      <c r="X257" s="30">
        <v>99999999</v>
      </c>
      <c r="Y257" s="30">
        <v>99999999</v>
      </c>
      <c r="Z257" s="30">
        <v>99999999</v>
      </c>
      <c r="AA257" s="30">
        <v>99999999</v>
      </c>
      <c r="AB257" s="30">
        <v>99999999</v>
      </c>
      <c r="AC257" s="30">
        <v>99999999</v>
      </c>
      <c r="AD257" s="30">
        <v>99999999</v>
      </c>
      <c r="AE257" s="30">
        <v>99999999</v>
      </c>
      <c r="AF257" s="30">
        <v>99999999</v>
      </c>
      <c r="AG257" s="30">
        <v>99999999</v>
      </c>
      <c r="AH257" s="30">
        <v>99999999</v>
      </c>
      <c r="AI257" s="30">
        <v>99999999</v>
      </c>
      <c r="AJ257" s="30">
        <v>99999999</v>
      </c>
      <c r="AK257" s="30">
        <v>99999999</v>
      </c>
      <c r="AL257" s="30">
        <v>99999999</v>
      </c>
      <c r="AM257" s="30">
        <v>99999999</v>
      </c>
      <c r="AN257" s="30">
        <v>99999999</v>
      </c>
      <c r="AO257" s="30">
        <v>99999999</v>
      </c>
      <c r="AP257" s="30">
        <v>99999999</v>
      </c>
      <c r="AQ257" s="30">
        <v>99999999</v>
      </c>
      <c r="AR257" s="30">
        <v>99999999</v>
      </c>
      <c r="AS257" s="30">
        <v>99999999</v>
      </c>
      <c r="AT257" s="30">
        <v>99999999</v>
      </c>
      <c r="AU257" s="30">
        <v>99999999</v>
      </c>
      <c r="AV257" s="30">
        <v>99999999</v>
      </c>
      <c r="AW257" s="30">
        <v>99999999</v>
      </c>
      <c r="AX257" s="30">
        <v>99999999</v>
      </c>
      <c r="AY257" s="30">
        <v>99999999</v>
      </c>
      <c r="AZ257" s="30">
        <v>99999999</v>
      </c>
      <c r="BA257" s="30">
        <v>99999999</v>
      </c>
      <c r="BB257" s="30">
        <v>99999999</v>
      </c>
      <c r="BC257" s="30">
        <v>99999999</v>
      </c>
      <c r="BD257" s="30">
        <v>99999999</v>
      </c>
      <c r="BE257" s="202"/>
      <c r="BF257" s="202"/>
      <c r="BG257" s="202"/>
      <c r="BH257" s="202"/>
      <c r="BI257" s="92" t="s">
        <v>500</v>
      </c>
      <c r="BJ257" s="37">
        <v>1</v>
      </c>
      <c r="BK257" s="37">
        <f t="shared" ref="BK257:BL271" si="159">BJ257*1.1</f>
        <v>1.1000000000000001</v>
      </c>
      <c r="BL257" s="37">
        <f t="shared" si="159"/>
        <v>1.2100000000000002</v>
      </c>
      <c r="BO257" s="202"/>
      <c r="BP257" s="202"/>
    </row>
    <row r="258" spans="1:68" outlineLevel="1" x14ac:dyDescent="0.25">
      <c r="A258" s="213">
        <v>45839</v>
      </c>
      <c r="B258" s="92" t="s">
        <v>504</v>
      </c>
      <c r="C258" s="31">
        <v>5416.666666666667</v>
      </c>
      <c r="D258" s="30">
        <f>100/1.05</f>
        <v>95.238095238095241</v>
      </c>
      <c r="E258" s="30">
        <v>99999999</v>
      </c>
      <c r="F258" s="30">
        <v>99999999</v>
      </c>
      <c r="G258" s="30">
        <v>99999999</v>
      </c>
      <c r="H258" s="30">
        <v>99999999</v>
      </c>
      <c r="I258" s="30">
        <v>99999999</v>
      </c>
      <c r="J258" s="30">
        <v>99999999</v>
      </c>
      <c r="K258" s="30">
        <v>99999999</v>
      </c>
      <c r="L258" s="30">
        <v>99999999</v>
      </c>
      <c r="M258" s="30">
        <v>99999999</v>
      </c>
      <c r="N258" s="30">
        <v>99999999</v>
      </c>
      <c r="O258" s="30">
        <v>99999999</v>
      </c>
      <c r="P258" s="30">
        <v>99999999</v>
      </c>
      <c r="Q258" s="30">
        <v>99999999</v>
      </c>
      <c r="R258" s="30">
        <v>99999999</v>
      </c>
      <c r="S258" s="30">
        <v>99999999</v>
      </c>
      <c r="T258" s="30">
        <v>99999999</v>
      </c>
      <c r="U258" s="30">
        <v>99999999</v>
      </c>
      <c r="V258" s="30">
        <v>99999999</v>
      </c>
      <c r="W258" s="30">
        <v>99999999</v>
      </c>
      <c r="X258" s="30">
        <v>99999999</v>
      </c>
      <c r="Y258" s="30">
        <v>99999999</v>
      </c>
      <c r="Z258" s="30">
        <v>99999999</v>
      </c>
      <c r="AA258" s="30">
        <v>99999999</v>
      </c>
      <c r="AB258" s="30">
        <v>99999999</v>
      </c>
      <c r="AC258" s="30">
        <v>99999999</v>
      </c>
      <c r="AD258" s="30">
        <v>99999999</v>
      </c>
      <c r="AE258" s="30">
        <v>99999999</v>
      </c>
      <c r="AF258" s="30">
        <v>99999999</v>
      </c>
      <c r="AG258" s="30">
        <v>99999999</v>
      </c>
      <c r="AH258" s="30">
        <v>99999999</v>
      </c>
      <c r="AI258" s="30">
        <v>99999999</v>
      </c>
      <c r="AJ258" s="30">
        <v>99999999</v>
      </c>
      <c r="AK258" s="30">
        <v>99999999</v>
      </c>
      <c r="AL258" s="30">
        <v>99999999</v>
      </c>
      <c r="AM258" s="30">
        <v>99999999</v>
      </c>
      <c r="AN258" s="30">
        <v>99999999</v>
      </c>
      <c r="AO258" s="30">
        <v>99999999</v>
      </c>
      <c r="AP258" s="30">
        <v>99999999</v>
      </c>
      <c r="AQ258" s="30">
        <v>99999999</v>
      </c>
      <c r="AR258" s="30">
        <v>99999999</v>
      </c>
      <c r="AS258" s="30">
        <v>99999999</v>
      </c>
      <c r="AT258" s="30">
        <v>99999999</v>
      </c>
      <c r="AU258" s="30">
        <v>99999999</v>
      </c>
      <c r="AV258" s="30">
        <v>99999999</v>
      </c>
      <c r="AW258" s="30">
        <v>99999999</v>
      </c>
      <c r="AX258" s="30">
        <v>99999999</v>
      </c>
      <c r="AY258" s="30">
        <v>99999999</v>
      </c>
      <c r="AZ258" s="30">
        <v>99999999</v>
      </c>
      <c r="BA258" s="30">
        <v>99999999</v>
      </c>
      <c r="BB258" s="30">
        <v>99999999</v>
      </c>
      <c r="BC258" s="30">
        <v>99999999</v>
      </c>
      <c r="BD258" s="30">
        <v>99999999</v>
      </c>
      <c r="BE258" s="202"/>
      <c r="BF258" s="202"/>
      <c r="BG258" s="202"/>
      <c r="BH258" s="202"/>
      <c r="BI258" s="92" t="s">
        <v>504</v>
      </c>
      <c r="BJ258" s="37">
        <v>1</v>
      </c>
      <c r="BK258" s="37">
        <f t="shared" si="159"/>
        <v>1.1000000000000001</v>
      </c>
      <c r="BL258" s="37">
        <f t="shared" si="159"/>
        <v>1.2100000000000002</v>
      </c>
      <c r="BO258" s="202"/>
      <c r="BP258" s="202"/>
    </row>
    <row r="259" spans="1:68" outlineLevel="1" x14ac:dyDescent="0.25">
      <c r="A259" s="213">
        <v>45839</v>
      </c>
      <c r="B259" s="92" t="s">
        <v>501</v>
      </c>
      <c r="C259" s="31">
        <v>6250</v>
      </c>
      <c r="D259" s="30">
        <v>100</v>
      </c>
      <c r="E259" s="30">
        <v>99999999</v>
      </c>
      <c r="F259" s="30">
        <v>99999999</v>
      </c>
      <c r="G259" s="30">
        <v>99999999</v>
      </c>
      <c r="H259" s="30">
        <v>99999999</v>
      </c>
      <c r="I259" s="30">
        <v>99999999</v>
      </c>
      <c r="J259" s="30">
        <v>99999999</v>
      </c>
      <c r="K259" s="30">
        <v>99999999</v>
      </c>
      <c r="L259" s="30">
        <v>99999999</v>
      </c>
      <c r="M259" s="30">
        <v>99999999</v>
      </c>
      <c r="N259" s="30">
        <v>99999999</v>
      </c>
      <c r="O259" s="30">
        <v>99999999</v>
      </c>
      <c r="P259" s="30">
        <v>99999999</v>
      </c>
      <c r="Q259" s="30">
        <v>99999999</v>
      </c>
      <c r="R259" s="30">
        <v>99999999</v>
      </c>
      <c r="S259" s="30">
        <v>99999999</v>
      </c>
      <c r="T259" s="30">
        <v>99999999</v>
      </c>
      <c r="U259" s="30">
        <v>99999999</v>
      </c>
      <c r="V259" s="30">
        <v>99999999</v>
      </c>
      <c r="W259" s="30">
        <v>99999999</v>
      </c>
      <c r="X259" s="30">
        <v>99999999</v>
      </c>
      <c r="Y259" s="30">
        <v>99999999</v>
      </c>
      <c r="Z259" s="30">
        <v>99999999</v>
      </c>
      <c r="AA259" s="30">
        <v>99999999</v>
      </c>
      <c r="AB259" s="30">
        <v>99999999</v>
      </c>
      <c r="AC259" s="30">
        <v>99999999</v>
      </c>
      <c r="AD259" s="30">
        <v>99999999</v>
      </c>
      <c r="AE259" s="30">
        <v>99999999</v>
      </c>
      <c r="AF259" s="30">
        <v>99999999</v>
      </c>
      <c r="AG259" s="30">
        <v>99999999</v>
      </c>
      <c r="AH259" s="30">
        <v>99999999</v>
      </c>
      <c r="AI259" s="30">
        <v>99999999</v>
      </c>
      <c r="AJ259" s="30">
        <v>99999999</v>
      </c>
      <c r="AK259" s="30">
        <v>99999999</v>
      </c>
      <c r="AL259" s="30">
        <v>99999999</v>
      </c>
      <c r="AM259" s="30">
        <v>99999999</v>
      </c>
      <c r="AN259" s="30">
        <v>99999999</v>
      </c>
      <c r="AO259" s="30">
        <v>99999999</v>
      </c>
      <c r="AP259" s="30">
        <v>99999999</v>
      </c>
      <c r="AQ259" s="30">
        <v>99999999</v>
      </c>
      <c r="AR259" s="30">
        <v>99999999</v>
      </c>
      <c r="AS259" s="30">
        <v>99999999</v>
      </c>
      <c r="AT259" s="30">
        <v>99999999</v>
      </c>
      <c r="AU259" s="30">
        <v>99999999</v>
      </c>
      <c r="AV259" s="30">
        <v>99999999</v>
      </c>
      <c r="AW259" s="30">
        <v>99999999</v>
      </c>
      <c r="AX259" s="30">
        <v>99999999</v>
      </c>
      <c r="AY259" s="30">
        <v>99999999</v>
      </c>
      <c r="AZ259" s="30">
        <v>99999999</v>
      </c>
      <c r="BA259" s="30">
        <v>99999999</v>
      </c>
      <c r="BB259" s="30">
        <v>99999999</v>
      </c>
      <c r="BC259" s="30">
        <v>99999999</v>
      </c>
      <c r="BD259" s="30">
        <v>99999999</v>
      </c>
      <c r="BE259" s="202"/>
      <c r="BF259" s="202"/>
      <c r="BG259" s="202"/>
      <c r="BH259" s="202"/>
      <c r="BI259" s="92" t="s">
        <v>501</v>
      </c>
      <c r="BJ259" s="37">
        <v>1</v>
      </c>
      <c r="BK259" s="37">
        <f t="shared" si="159"/>
        <v>1.1000000000000001</v>
      </c>
      <c r="BL259" s="37">
        <f t="shared" si="159"/>
        <v>1.2100000000000002</v>
      </c>
      <c r="BO259" s="202"/>
      <c r="BP259" s="202"/>
    </row>
    <row r="260" spans="1:68" outlineLevel="1" x14ac:dyDescent="0.25">
      <c r="A260" s="213">
        <v>45658</v>
      </c>
      <c r="B260" s="92" t="s">
        <v>505</v>
      </c>
      <c r="C260" s="31">
        <v>7083.333333333333</v>
      </c>
      <c r="D260" s="30">
        <v>99999999</v>
      </c>
      <c r="E260" s="30">
        <v>99999999</v>
      </c>
      <c r="F260" s="30">
        <v>99999999</v>
      </c>
      <c r="G260" s="30">
        <v>99999999</v>
      </c>
      <c r="H260" s="30">
        <v>99999999</v>
      </c>
      <c r="I260" s="30">
        <v>53.333333333333336</v>
      </c>
      <c r="J260" s="30">
        <v>99999999</v>
      </c>
      <c r="K260" s="30">
        <v>53.333333333333336</v>
      </c>
      <c r="L260" s="30">
        <v>99999999</v>
      </c>
      <c r="M260" s="30">
        <v>53.333333333333336</v>
      </c>
      <c r="N260" s="30">
        <v>53.333333333333336</v>
      </c>
      <c r="O260" s="30">
        <v>53.333333333333336</v>
      </c>
      <c r="P260" s="30">
        <v>99999999</v>
      </c>
      <c r="Q260" s="30">
        <v>53.333333333333336</v>
      </c>
      <c r="R260" s="30">
        <v>99999999</v>
      </c>
      <c r="S260" s="30">
        <v>53.333333333333336</v>
      </c>
      <c r="T260" s="30">
        <v>99999999</v>
      </c>
      <c r="U260" s="30">
        <v>53.333333333333336</v>
      </c>
      <c r="V260" s="30">
        <v>53.333333333333336</v>
      </c>
      <c r="W260" s="30">
        <v>99999999</v>
      </c>
      <c r="X260" s="30">
        <v>53.333333333333336</v>
      </c>
      <c r="Y260" s="30">
        <v>99999999</v>
      </c>
      <c r="Z260" s="30">
        <v>53.333333333333336</v>
      </c>
      <c r="AA260" s="30">
        <v>99999999</v>
      </c>
      <c r="AB260" s="30">
        <v>53.333333333333336</v>
      </c>
      <c r="AC260" s="30">
        <v>99999999</v>
      </c>
      <c r="AD260" s="30">
        <v>53.333333333333336</v>
      </c>
      <c r="AE260" s="30">
        <v>99999999</v>
      </c>
      <c r="AF260" s="30">
        <v>53.333333333333336</v>
      </c>
      <c r="AG260" s="30">
        <v>53.333333333333336</v>
      </c>
      <c r="AH260" s="30">
        <v>99999999</v>
      </c>
      <c r="AI260" s="30">
        <v>53.333333333333336</v>
      </c>
      <c r="AJ260" s="30">
        <v>53.333333333333336</v>
      </c>
      <c r="AK260" s="30">
        <v>99999999</v>
      </c>
      <c r="AL260" s="30">
        <v>53.333333333333336</v>
      </c>
      <c r="AM260" s="30">
        <v>99999999</v>
      </c>
      <c r="AN260" s="30">
        <v>53.333333333333336</v>
      </c>
      <c r="AO260" s="30">
        <v>53.333333333333336</v>
      </c>
      <c r="AP260" s="30">
        <v>53.333333333333336</v>
      </c>
      <c r="AQ260" s="30">
        <v>99999999</v>
      </c>
      <c r="AR260" s="30">
        <v>53.333333333333336</v>
      </c>
      <c r="AS260" s="30">
        <v>99999999</v>
      </c>
      <c r="AT260" s="30">
        <v>53.333333333333336</v>
      </c>
      <c r="AU260" s="30">
        <v>53.333333333333336</v>
      </c>
      <c r="AV260" s="30">
        <v>53.333333333333336</v>
      </c>
      <c r="AW260" s="30">
        <v>53.333333333333336</v>
      </c>
      <c r="AX260" s="30">
        <v>53.333333333333336</v>
      </c>
      <c r="AY260" s="30">
        <v>53.333333333333336</v>
      </c>
      <c r="AZ260" s="30">
        <v>99999999</v>
      </c>
      <c r="BA260" s="30">
        <v>53.333333333333336</v>
      </c>
      <c r="BB260" s="30">
        <v>99999999</v>
      </c>
      <c r="BC260" s="30">
        <v>99999999</v>
      </c>
      <c r="BD260" s="30">
        <v>99999999</v>
      </c>
      <c r="BE260" s="202"/>
      <c r="BF260" s="202"/>
      <c r="BG260" s="202"/>
      <c r="BH260" s="202"/>
      <c r="BI260" s="92" t="s">
        <v>505</v>
      </c>
      <c r="BJ260" s="37">
        <v>1</v>
      </c>
      <c r="BK260" s="37">
        <f t="shared" si="159"/>
        <v>1.1000000000000001</v>
      </c>
      <c r="BL260" s="37">
        <f t="shared" si="159"/>
        <v>1.2100000000000002</v>
      </c>
      <c r="BO260" s="202"/>
      <c r="BP260" s="202"/>
    </row>
    <row r="261" spans="1:68" outlineLevel="1" x14ac:dyDescent="0.25">
      <c r="A261" s="213">
        <v>45901</v>
      </c>
      <c r="B261" s="92" t="s">
        <v>203</v>
      </c>
      <c r="C261" s="31">
        <v>7083.333333333333</v>
      </c>
      <c r="D261" s="30">
        <v>200</v>
      </c>
      <c r="E261" s="30">
        <v>99999999</v>
      </c>
      <c r="F261" s="30">
        <v>99999999</v>
      </c>
      <c r="G261" s="30">
        <v>99999999</v>
      </c>
      <c r="H261" s="30">
        <v>99999999</v>
      </c>
      <c r="I261" s="30">
        <v>99999999</v>
      </c>
      <c r="J261" s="30">
        <v>99999999</v>
      </c>
      <c r="K261" s="30">
        <v>99999999</v>
      </c>
      <c r="L261" s="30">
        <v>99999999</v>
      </c>
      <c r="M261" s="30">
        <v>99999999</v>
      </c>
      <c r="N261" s="30">
        <v>99999999</v>
      </c>
      <c r="O261" s="30">
        <v>99999999</v>
      </c>
      <c r="P261" s="30">
        <v>99999999</v>
      </c>
      <c r="Q261" s="30">
        <v>99999999</v>
      </c>
      <c r="R261" s="30">
        <v>99999999</v>
      </c>
      <c r="S261" s="30">
        <v>99999999</v>
      </c>
      <c r="T261" s="30">
        <v>99999999</v>
      </c>
      <c r="U261" s="30">
        <v>99999999</v>
      </c>
      <c r="V261" s="30">
        <v>99999999</v>
      </c>
      <c r="W261" s="30">
        <v>99999999</v>
      </c>
      <c r="X261" s="30">
        <v>99999999</v>
      </c>
      <c r="Y261" s="30">
        <v>99999999</v>
      </c>
      <c r="Z261" s="30">
        <v>99999999</v>
      </c>
      <c r="AA261" s="30">
        <v>99999999</v>
      </c>
      <c r="AB261" s="30">
        <v>99999999</v>
      </c>
      <c r="AC261" s="30">
        <v>99999999</v>
      </c>
      <c r="AD261" s="30">
        <v>99999999</v>
      </c>
      <c r="AE261" s="30">
        <v>99999999</v>
      </c>
      <c r="AF261" s="30">
        <v>99999999</v>
      </c>
      <c r="AG261" s="30">
        <v>99999999</v>
      </c>
      <c r="AH261" s="30">
        <v>99999999</v>
      </c>
      <c r="AI261" s="30">
        <v>99999999</v>
      </c>
      <c r="AJ261" s="30">
        <v>99999999</v>
      </c>
      <c r="AK261" s="30">
        <v>99999999</v>
      </c>
      <c r="AL261" s="30">
        <v>99999999</v>
      </c>
      <c r="AM261" s="30">
        <v>99999999</v>
      </c>
      <c r="AN261" s="30">
        <v>99999999</v>
      </c>
      <c r="AO261" s="30">
        <v>99999999</v>
      </c>
      <c r="AP261" s="30">
        <v>99999999</v>
      </c>
      <c r="AQ261" s="30">
        <v>99999999</v>
      </c>
      <c r="AR261" s="30">
        <v>99999999</v>
      </c>
      <c r="AS261" s="30">
        <v>99999999</v>
      </c>
      <c r="AT261" s="30">
        <v>99999999</v>
      </c>
      <c r="AU261" s="30">
        <v>99999999</v>
      </c>
      <c r="AV261" s="30">
        <v>99999999</v>
      </c>
      <c r="AW261" s="30">
        <v>99999999</v>
      </c>
      <c r="AX261" s="30">
        <v>99999999</v>
      </c>
      <c r="AY261" s="30">
        <v>99999999</v>
      </c>
      <c r="AZ261" s="30">
        <v>99999999</v>
      </c>
      <c r="BA261" s="30">
        <v>99999999</v>
      </c>
      <c r="BB261" s="30">
        <v>99999999</v>
      </c>
      <c r="BC261" s="30">
        <v>99999999</v>
      </c>
      <c r="BD261" s="30">
        <v>99999999</v>
      </c>
      <c r="BE261" s="202"/>
      <c r="BF261" s="202"/>
      <c r="BG261" s="202"/>
      <c r="BH261" s="202"/>
      <c r="BI261" s="92" t="s">
        <v>203</v>
      </c>
      <c r="BJ261" s="37">
        <v>1</v>
      </c>
      <c r="BK261" s="37">
        <f t="shared" si="159"/>
        <v>1.1000000000000001</v>
      </c>
      <c r="BL261" s="37">
        <f t="shared" si="159"/>
        <v>1.2100000000000002</v>
      </c>
      <c r="BO261" s="202"/>
      <c r="BP261" s="202"/>
    </row>
    <row r="262" spans="1:68" outlineLevel="1" x14ac:dyDescent="0.25">
      <c r="A262" s="213">
        <v>45658</v>
      </c>
      <c r="B262" s="92" t="s">
        <v>502</v>
      </c>
      <c r="C262" s="31">
        <f>65000/12</f>
        <v>5416.666666666667</v>
      </c>
      <c r="D262" s="30">
        <v>99999999</v>
      </c>
      <c r="E262" s="30">
        <v>99999999</v>
      </c>
      <c r="F262" s="30">
        <v>99999999</v>
      </c>
      <c r="G262" s="30">
        <v>99999999</v>
      </c>
      <c r="H262" s="30">
        <v>99999999</v>
      </c>
      <c r="I262" s="30">
        <v>288</v>
      </c>
      <c r="J262" s="30">
        <v>99999999</v>
      </c>
      <c r="K262" s="30">
        <v>288</v>
      </c>
      <c r="L262" s="30">
        <v>99999999</v>
      </c>
      <c r="M262" s="30">
        <v>288</v>
      </c>
      <c r="N262" s="30">
        <v>288</v>
      </c>
      <c r="O262" s="30">
        <v>288</v>
      </c>
      <c r="P262" s="30">
        <v>99999999</v>
      </c>
      <c r="Q262" s="30">
        <v>288</v>
      </c>
      <c r="R262" s="30">
        <v>99999999</v>
      </c>
      <c r="S262" s="30">
        <v>288</v>
      </c>
      <c r="T262" s="30">
        <v>99999999</v>
      </c>
      <c r="U262" s="30">
        <v>288</v>
      </c>
      <c r="V262" s="30">
        <v>288</v>
      </c>
      <c r="W262" s="30">
        <v>99999999</v>
      </c>
      <c r="X262" s="30">
        <v>288</v>
      </c>
      <c r="Y262" s="30">
        <v>99999999</v>
      </c>
      <c r="Z262" s="30">
        <v>288</v>
      </c>
      <c r="AA262" s="30">
        <v>99999999</v>
      </c>
      <c r="AB262" s="30">
        <v>288</v>
      </c>
      <c r="AC262" s="30">
        <v>99999999</v>
      </c>
      <c r="AD262" s="30">
        <v>288</v>
      </c>
      <c r="AE262" s="30">
        <v>99999999</v>
      </c>
      <c r="AF262" s="30">
        <v>288</v>
      </c>
      <c r="AG262" s="30">
        <v>288</v>
      </c>
      <c r="AH262" s="30">
        <v>99999999</v>
      </c>
      <c r="AI262" s="30">
        <v>288</v>
      </c>
      <c r="AJ262" s="30">
        <v>288</v>
      </c>
      <c r="AK262" s="30">
        <v>99999999</v>
      </c>
      <c r="AL262" s="30">
        <v>288</v>
      </c>
      <c r="AM262" s="30">
        <v>99999999</v>
      </c>
      <c r="AN262" s="30">
        <v>288</v>
      </c>
      <c r="AO262" s="30">
        <v>288</v>
      </c>
      <c r="AP262" s="30">
        <v>288</v>
      </c>
      <c r="AQ262" s="30">
        <v>99999999</v>
      </c>
      <c r="AR262" s="30">
        <v>288</v>
      </c>
      <c r="AS262" s="30">
        <v>99999999</v>
      </c>
      <c r="AT262" s="30">
        <v>288</v>
      </c>
      <c r="AU262" s="30">
        <v>288</v>
      </c>
      <c r="AV262" s="30">
        <v>288</v>
      </c>
      <c r="AW262" s="30">
        <v>288</v>
      </c>
      <c r="AX262" s="30">
        <v>288</v>
      </c>
      <c r="AY262" s="30">
        <v>288</v>
      </c>
      <c r="AZ262" s="30">
        <v>99999999</v>
      </c>
      <c r="BA262" s="30">
        <v>288</v>
      </c>
      <c r="BB262" s="30">
        <v>99999999</v>
      </c>
      <c r="BC262" s="30">
        <v>99999999</v>
      </c>
      <c r="BD262" s="30">
        <v>99999999</v>
      </c>
      <c r="BE262" s="202"/>
      <c r="BF262" s="202"/>
      <c r="BG262" s="202"/>
      <c r="BH262" s="202"/>
      <c r="BI262" s="92" t="s">
        <v>502</v>
      </c>
      <c r="BJ262" s="37">
        <v>1</v>
      </c>
      <c r="BK262" s="37">
        <f t="shared" si="159"/>
        <v>1.1000000000000001</v>
      </c>
      <c r="BL262" s="37">
        <f t="shared" si="159"/>
        <v>1.2100000000000002</v>
      </c>
      <c r="BO262" s="202"/>
      <c r="BP262" s="202"/>
    </row>
    <row r="263" spans="1:68" outlineLevel="1" x14ac:dyDescent="0.25">
      <c r="A263" s="213">
        <v>45962</v>
      </c>
      <c r="B263" s="92" t="s">
        <v>503</v>
      </c>
      <c r="C263" s="31">
        <f>55000/12</f>
        <v>4583.333333333333</v>
      </c>
      <c r="D263" s="30">
        <v>99999999</v>
      </c>
      <c r="E263" s="30">
        <v>99999999</v>
      </c>
      <c r="F263" s="30">
        <v>99999999</v>
      </c>
      <c r="G263" s="30">
        <v>99999999</v>
      </c>
      <c r="H263" s="30">
        <v>99999999</v>
      </c>
      <c r="I263" s="30">
        <v>576</v>
      </c>
      <c r="J263" s="30">
        <v>99999999</v>
      </c>
      <c r="K263" s="30">
        <v>576</v>
      </c>
      <c r="L263" s="30">
        <v>99999999</v>
      </c>
      <c r="M263" s="30">
        <v>576</v>
      </c>
      <c r="N263" s="30">
        <v>576</v>
      </c>
      <c r="O263" s="30">
        <v>576</v>
      </c>
      <c r="P263" s="30">
        <v>99999999</v>
      </c>
      <c r="Q263" s="30">
        <v>576</v>
      </c>
      <c r="R263" s="30">
        <v>99999999</v>
      </c>
      <c r="S263" s="30">
        <v>576</v>
      </c>
      <c r="T263" s="30">
        <v>99999999</v>
      </c>
      <c r="U263" s="30">
        <v>576</v>
      </c>
      <c r="V263" s="30">
        <v>576</v>
      </c>
      <c r="W263" s="30">
        <v>99999999</v>
      </c>
      <c r="X263" s="30">
        <v>576</v>
      </c>
      <c r="Y263" s="30">
        <v>99999999</v>
      </c>
      <c r="Z263" s="30">
        <v>576</v>
      </c>
      <c r="AA263" s="30">
        <v>99999999</v>
      </c>
      <c r="AB263" s="30">
        <v>576</v>
      </c>
      <c r="AC263" s="30">
        <v>99999999</v>
      </c>
      <c r="AD263" s="30">
        <v>576</v>
      </c>
      <c r="AE263" s="30">
        <v>99999999</v>
      </c>
      <c r="AF263" s="30">
        <v>576</v>
      </c>
      <c r="AG263" s="30">
        <v>576</v>
      </c>
      <c r="AH263" s="30">
        <v>99999999</v>
      </c>
      <c r="AI263" s="30">
        <v>576</v>
      </c>
      <c r="AJ263" s="30">
        <v>576</v>
      </c>
      <c r="AK263" s="30">
        <v>99999999</v>
      </c>
      <c r="AL263" s="30">
        <v>576</v>
      </c>
      <c r="AM263" s="30">
        <v>99999999</v>
      </c>
      <c r="AN263" s="30">
        <v>576</v>
      </c>
      <c r="AO263" s="30">
        <v>576</v>
      </c>
      <c r="AP263" s="30">
        <v>576</v>
      </c>
      <c r="AQ263" s="30">
        <v>99999999</v>
      </c>
      <c r="AR263" s="30">
        <v>576</v>
      </c>
      <c r="AS263" s="30">
        <v>99999999</v>
      </c>
      <c r="AT263" s="30">
        <v>576</v>
      </c>
      <c r="AU263" s="30">
        <v>576</v>
      </c>
      <c r="AV263" s="30">
        <v>576</v>
      </c>
      <c r="AW263" s="30">
        <v>576</v>
      </c>
      <c r="AX263" s="30">
        <v>576</v>
      </c>
      <c r="AY263" s="30">
        <v>576</v>
      </c>
      <c r="AZ263" s="30">
        <v>99999999</v>
      </c>
      <c r="BA263" s="30">
        <v>576</v>
      </c>
      <c r="BB263" s="30">
        <v>99999999</v>
      </c>
      <c r="BC263" s="30">
        <v>99999999</v>
      </c>
      <c r="BD263" s="30">
        <v>99999999</v>
      </c>
      <c r="BE263" s="202"/>
      <c r="BF263" s="202"/>
      <c r="BG263" s="202"/>
      <c r="BH263" s="202"/>
      <c r="BI263" s="92" t="s">
        <v>503</v>
      </c>
      <c r="BJ263" s="37">
        <v>1</v>
      </c>
      <c r="BK263" s="37">
        <f t="shared" si="159"/>
        <v>1.1000000000000001</v>
      </c>
      <c r="BL263" s="37">
        <f t="shared" si="159"/>
        <v>1.2100000000000002</v>
      </c>
      <c r="BO263" s="202"/>
      <c r="BP263" s="202"/>
    </row>
    <row r="264" spans="1:68" outlineLevel="1" x14ac:dyDescent="0.25">
      <c r="A264" s="213">
        <v>45658</v>
      </c>
      <c r="B264" s="92" t="s">
        <v>506</v>
      </c>
      <c r="C264" s="31">
        <v>7083.333333333333</v>
      </c>
      <c r="D264" s="30">
        <v>99999999</v>
      </c>
      <c r="E264" s="30">
        <v>99999999</v>
      </c>
      <c r="F264" s="30">
        <v>99999999</v>
      </c>
      <c r="G264" s="30">
        <v>99999999</v>
      </c>
      <c r="H264" s="30">
        <v>99999999</v>
      </c>
      <c r="I264" s="30">
        <v>333</v>
      </c>
      <c r="J264" s="30">
        <v>99999999</v>
      </c>
      <c r="K264" s="30">
        <v>333</v>
      </c>
      <c r="L264" s="30">
        <v>99999999</v>
      </c>
      <c r="M264" s="30">
        <v>333</v>
      </c>
      <c r="N264" s="30">
        <v>333</v>
      </c>
      <c r="O264" s="30">
        <v>333</v>
      </c>
      <c r="P264" s="30">
        <v>99999999</v>
      </c>
      <c r="Q264" s="30">
        <v>333</v>
      </c>
      <c r="R264" s="30">
        <v>99999999</v>
      </c>
      <c r="S264" s="30">
        <v>333</v>
      </c>
      <c r="T264" s="30">
        <v>99999999</v>
      </c>
      <c r="U264" s="30">
        <v>333</v>
      </c>
      <c r="V264" s="30">
        <v>333</v>
      </c>
      <c r="W264" s="30">
        <v>99999999</v>
      </c>
      <c r="X264" s="30">
        <v>333</v>
      </c>
      <c r="Y264" s="30">
        <v>99999999</v>
      </c>
      <c r="Z264" s="30">
        <v>333</v>
      </c>
      <c r="AA264" s="30">
        <v>99999999</v>
      </c>
      <c r="AB264" s="30">
        <v>333</v>
      </c>
      <c r="AC264" s="30">
        <v>99999999</v>
      </c>
      <c r="AD264" s="30">
        <v>333</v>
      </c>
      <c r="AE264" s="30">
        <v>99999999</v>
      </c>
      <c r="AF264" s="30">
        <v>333</v>
      </c>
      <c r="AG264" s="30">
        <v>333</v>
      </c>
      <c r="AH264" s="30">
        <v>99999999</v>
      </c>
      <c r="AI264" s="30">
        <v>333</v>
      </c>
      <c r="AJ264" s="30">
        <v>333</v>
      </c>
      <c r="AK264" s="30">
        <v>99999999</v>
      </c>
      <c r="AL264" s="30">
        <v>333</v>
      </c>
      <c r="AM264" s="30">
        <v>99999999</v>
      </c>
      <c r="AN264" s="30">
        <v>333</v>
      </c>
      <c r="AO264" s="30">
        <v>333</v>
      </c>
      <c r="AP264" s="30">
        <v>333</v>
      </c>
      <c r="AQ264" s="30">
        <v>99999999</v>
      </c>
      <c r="AR264" s="30">
        <v>333</v>
      </c>
      <c r="AS264" s="30">
        <v>99999999</v>
      </c>
      <c r="AT264" s="30">
        <v>333</v>
      </c>
      <c r="AU264" s="30">
        <v>333</v>
      </c>
      <c r="AV264" s="30">
        <v>333</v>
      </c>
      <c r="AW264" s="30">
        <v>333</v>
      </c>
      <c r="AX264" s="30">
        <v>333</v>
      </c>
      <c r="AY264" s="30">
        <v>333</v>
      </c>
      <c r="AZ264" s="30">
        <v>99999999</v>
      </c>
      <c r="BA264" s="30">
        <v>333</v>
      </c>
      <c r="BB264" s="30">
        <v>99999999</v>
      </c>
      <c r="BC264" s="30">
        <v>99999999</v>
      </c>
      <c r="BD264" s="30">
        <v>99999999</v>
      </c>
      <c r="BE264" s="202"/>
      <c r="BF264" s="202"/>
      <c r="BG264" s="202"/>
      <c r="BH264" s="202"/>
      <c r="BI264" s="92" t="s">
        <v>506</v>
      </c>
      <c r="BJ264" s="37">
        <v>1</v>
      </c>
      <c r="BK264" s="37">
        <f t="shared" si="159"/>
        <v>1.1000000000000001</v>
      </c>
      <c r="BL264" s="37">
        <f t="shared" si="159"/>
        <v>1.2100000000000002</v>
      </c>
      <c r="BO264" s="202"/>
      <c r="BP264" s="202"/>
    </row>
    <row r="265" spans="1:68" outlineLevel="1" x14ac:dyDescent="0.25">
      <c r="A265" s="213">
        <v>45901</v>
      </c>
      <c r="B265" s="92" t="s">
        <v>508</v>
      </c>
      <c r="C265" s="31">
        <v>7500</v>
      </c>
      <c r="D265" s="30">
        <v>1000</v>
      </c>
      <c r="E265" s="30">
        <v>99999999</v>
      </c>
      <c r="F265" s="30">
        <v>99999999</v>
      </c>
      <c r="G265" s="30">
        <v>99999999</v>
      </c>
      <c r="H265" s="30">
        <v>99999999</v>
      </c>
      <c r="I265" s="30">
        <v>99999999</v>
      </c>
      <c r="J265" s="30">
        <v>99999999</v>
      </c>
      <c r="K265" s="30">
        <v>99999999</v>
      </c>
      <c r="L265" s="30">
        <v>99999999</v>
      </c>
      <c r="M265" s="30">
        <v>99999999</v>
      </c>
      <c r="N265" s="30">
        <v>99999999</v>
      </c>
      <c r="O265" s="30">
        <v>99999999</v>
      </c>
      <c r="P265" s="30">
        <v>99999999</v>
      </c>
      <c r="Q265" s="30">
        <v>99999999</v>
      </c>
      <c r="R265" s="30">
        <v>99999999</v>
      </c>
      <c r="S265" s="30">
        <v>99999999</v>
      </c>
      <c r="T265" s="30">
        <v>99999999</v>
      </c>
      <c r="U265" s="30">
        <v>99999999</v>
      </c>
      <c r="V265" s="30">
        <v>99999999</v>
      </c>
      <c r="W265" s="30">
        <v>99999999</v>
      </c>
      <c r="X265" s="30">
        <v>99999999</v>
      </c>
      <c r="Y265" s="30">
        <v>99999999</v>
      </c>
      <c r="Z265" s="30">
        <v>99999999</v>
      </c>
      <c r="AA265" s="30">
        <v>99999999</v>
      </c>
      <c r="AB265" s="30">
        <v>99999999</v>
      </c>
      <c r="AC265" s="30">
        <v>99999999</v>
      </c>
      <c r="AD265" s="30">
        <v>99999999</v>
      </c>
      <c r="AE265" s="30">
        <v>99999999</v>
      </c>
      <c r="AF265" s="30">
        <v>99999999</v>
      </c>
      <c r="AG265" s="30">
        <v>99999999</v>
      </c>
      <c r="AH265" s="30">
        <v>99999999</v>
      </c>
      <c r="AI265" s="30">
        <v>99999999</v>
      </c>
      <c r="AJ265" s="30">
        <v>99999999</v>
      </c>
      <c r="AK265" s="30">
        <v>99999999</v>
      </c>
      <c r="AL265" s="30">
        <v>99999999</v>
      </c>
      <c r="AM265" s="30">
        <v>99999999</v>
      </c>
      <c r="AN265" s="30">
        <v>99999999</v>
      </c>
      <c r="AO265" s="30">
        <v>99999999</v>
      </c>
      <c r="AP265" s="30">
        <v>99999999</v>
      </c>
      <c r="AQ265" s="30">
        <v>99999999</v>
      </c>
      <c r="AR265" s="30">
        <v>99999999</v>
      </c>
      <c r="AS265" s="30">
        <v>99999999</v>
      </c>
      <c r="AT265" s="30">
        <v>99999999</v>
      </c>
      <c r="AU265" s="30">
        <v>99999999</v>
      </c>
      <c r="AV265" s="30">
        <v>99999999</v>
      </c>
      <c r="AW265" s="30">
        <v>99999999</v>
      </c>
      <c r="AX265" s="30">
        <v>99999999</v>
      </c>
      <c r="AY265" s="30">
        <v>99999999</v>
      </c>
      <c r="AZ265" s="30">
        <v>99999999</v>
      </c>
      <c r="BA265" s="30">
        <v>99999999</v>
      </c>
      <c r="BB265" s="30">
        <v>99999999</v>
      </c>
      <c r="BC265" s="30">
        <v>99999999</v>
      </c>
      <c r="BD265" s="30">
        <v>99999999</v>
      </c>
      <c r="BE265" s="202"/>
      <c r="BF265" s="202"/>
      <c r="BG265" s="202"/>
      <c r="BH265" s="202"/>
      <c r="BI265" s="92" t="s">
        <v>508</v>
      </c>
      <c r="BJ265" s="37">
        <v>1</v>
      </c>
      <c r="BK265" s="37">
        <f t="shared" si="159"/>
        <v>1.1000000000000001</v>
      </c>
      <c r="BL265" s="37">
        <f t="shared" si="159"/>
        <v>1.2100000000000002</v>
      </c>
      <c r="BO265" s="202"/>
      <c r="BP265" s="202"/>
    </row>
    <row r="266" spans="1:68" outlineLevel="1" x14ac:dyDescent="0.25">
      <c r="A266" s="213">
        <v>45658</v>
      </c>
      <c r="B266" s="92" t="s">
        <v>507</v>
      </c>
      <c r="C266" s="31">
        <v>5000</v>
      </c>
      <c r="D266" s="30">
        <v>70</v>
      </c>
      <c r="E266" s="30">
        <v>99999999</v>
      </c>
      <c r="F266" s="30">
        <v>99999999</v>
      </c>
      <c r="G266" s="30">
        <v>99999999</v>
      </c>
      <c r="H266" s="30">
        <v>99999999</v>
      </c>
      <c r="I266" s="30">
        <v>99999999</v>
      </c>
      <c r="J266" s="30">
        <v>99999999</v>
      </c>
      <c r="K266" s="30">
        <v>99999999</v>
      </c>
      <c r="L266" s="30">
        <v>99999999</v>
      </c>
      <c r="M266" s="30">
        <v>99999999</v>
      </c>
      <c r="N266" s="30">
        <v>99999999</v>
      </c>
      <c r="O266" s="30">
        <v>99999999</v>
      </c>
      <c r="P266" s="30">
        <v>99999999</v>
      </c>
      <c r="Q266" s="30">
        <v>99999999</v>
      </c>
      <c r="R266" s="30">
        <v>99999999</v>
      </c>
      <c r="S266" s="30">
        <v>99999999</v>
      </c>
      <c r="T266" s="30">
        <v>99999999</v>
      </c>
      <c r="U266" s="30">
        <v>99999999</v>
      </c>
      <c r="V266" s="30">
        <v>99999999</v>
      </c>
      <c r="W266" s="30">
        <v>99999999</v>
      </c>
      <c r="X266" s="30">
        <v>99999999</v>
      </c>
      <c r="Y266" s="30">
        <v>99999999</v>
      </c>
      <c r="Z266" s="30">
        <v>99999999</v>
      </c>
      <c r="AA266" s="30">
        <v>99999999</v>
      </c>
      <c r="AB266" s="30">
        <v>99999999</v>
      </c>
      <c r="AC266" s="30">
        <v>99999999</v>
      </c>
      <c r="AD266" s="30">
        <v>99999999</v>
      </c>
      <c r="AE266" s="30">
        <v>99999999</v>
      </c>
      <c r="AF266" s="30">
        <v>99999999</v>
      </c>
      <c r="AG266" s="30">
        <v>99999999</v>
      </c>
      <c r="AH266" s="30">
        <v>99999999</v>
      </c>
      <c r="AI266" s="30">
        <v>99999999</v>
      </c>
      <c r="AJ266" s="30">
        <v>99999999</v>
      </c>
      <c r="AK266" s="30">
        <v>99999999</v>
      </c>
      <c r="AL266" s="30">
        <v>99999999</v>
      </c>
      <c r="AM266" s="30">
        <v>99999999</v>
      </c>
      <c r="AN266" s="30">
        <v>99999999</v>
      </c>
      <c r="AO266" s="30">
        <v>99999999</v>
      </c>
      <c r="AP266" s="30">
        <v>99999999</v>
      </c>
      <c r="AQ266" s="30">
        <v>99999999</v>
      </c>
      <c r="AR266" s="30">
        <v>99999999</v>
      </c>
      <c r="AS266" s="30">
        <v>99999999</v>
      </c>
      <c r="AT266" s="30">
        <v>99999999</v>
      </c>
      <c r="AU266" s="30">
        <v>99999999</v>
      </c>
      <c r="AV266" s="30">
        <v>99999999</v>
      </c>
      <c r="AW266" s="30">
        <v>99999999</v>
      </c>
      <c r="AX266" s="30">
        <v>99999999</v>
      </c>
      <c r="AY266" s="30">
        <v>99999999</v>
      </c>
      <c r="AZ266" s="30">
        <v>99999999</v>
      </c>
      <c r="BA266" s="30">
        <v>99999999</v>
      </c>
      <c r="BB266" s="30">
        <v>99999999</v>
      </c>
      <c r="BC266" s="30">
        <v>99999999</v>
      </c>
      <c r="BD266" s="30">
        <v>99999999</v>
      </c>
      <c r="BE266" s="202"/>
      <c r="BF266" s="202"/>
      <c r="BG266" s="202"/>
      <c r="BH266" s="202"/>
      <c r="BI266" s="92" t="s">
        <v>507</v>
      </c>
      <c r="BJ266" s="37">
        <v>1</v>
      </c>
      <c r="BK266" s="37">
        <f t="shared" si="159"/>
        <v>1.1000000000000001</v>
      </c>
      <c r="BL266" s="37">
        <f t="shared" si="159"/>
        <v>1.2100000000000002</v>
      </c>
      <c r="BO266" s="202"/>
      <c r="BP266" s="202"/>
    </row>
    <row r="267" spans="1:68" outlineLevel="1" x14ac:dyDescent="0.25">
      <c r="A267" s="213">
        <v>45566</v>
      </c>
      <c r="B267" s="92" t="s">
        <v>204</v>
      </c>
      <c r="C267" s="31">
        <v>5000</v>
      </c>
      <c r="D267" s="30">
        <v>70</v>
      </c>
      <c r="E267" s="30">
        <v>99999999</v>
      </c>
      <c r="F267" s="30">
        <v>99999999</v>
      </c>
      <c r="G267" s="30">
        <v>99999999</v>
      </c>
      <c r="H267" s="30">
        <v>99999999</v>
      </c>
      <c r="I267" s="30">
        <v>99999999</v>
      </c>
      <c r="J267" s="30">
        <v>99999999</v>
      </c>
      <c r="K267" s="30">
        <v>99999999</v>
      </c>
      <c r="L267" s="30">
        <v>99999999</v>
      </c>
      <c r="M267" s="30">
        <v>99999999</v>
      </c>
      <c r="N267" s="30">
        <v>99999999</v>
      </c>
      <c r="O267" s="30">
        <v>99999999</v>
      </c>
      <c r="P267" s="30">
        <v>99999999</v>
      </c>
      <c r="Q267" s="30">
        <v>99999999</v>
      </c>
      <c r="R267" s="30">
        <v>99999999</v>
      </c>
      <c r="S267" s="30">
        <v>99999999</v>
      </c>
      <c r="T267" s="30">
        <v>99999999</v>
      </c>
      <c r="U267" s="30">
        <v>99999999</v>
      </c>
      <c r="V267" s="30">
        <v>99999999</v>
      </c>
      <c r="W267" s="30">
        <v>99999999</v>
      </c>
      <c r="X267" s="30">
        <v>99999999</v>
      </c>
      <c r="Y267" s="30">
        <v>99999999</v>
      </c>
      <c r="Z267" s="30">
        <v>99999999</v>
      </c>
      <c r="AA267" s="30">
        <v>99999999</v>
      </c>
      <c r="AB267" s="30">
        <v>99999999</v>
      </c>
      <c r="AC267" s="30">
        <v>99999999</v>
      </c>
      <c r="AD267" s="30">
        <v>99999999</v>
      </c>
      <c r="AE267" s="30">
        <v>99999999</v>
      </c>
      <c r="AF267" s="30">
        <v>99999999</v>
      </c>
      <c r="AG267" s="30">
        <v>99999999</v>
      </c>
      <c r="AH267" s="30">
        <v>99999999</v>
      </c>
      <c r="AI267" s="30">
        <v>99999999</v>
      </c>
      <c r="AJ267" s="30">
        <v>99999999</v>
      </c>
      <c r="AK267" s="30">
        <v>99999999</v>
      </c>
      <c r="AL267" s="30">
        <v>99999999</v>
      </c>
      <c r="AM267" s="30">
        <v>99999999</v>
      </c>
      <c r="AN267" s="30">
        <v>99999999</v>
      </c>
      <c r="AO267" s="30">
        <v>99999999</v>
      </c>
      <c r="AP267" s="30">
        <v>99999999</v>
      </c>
      <c r="AQ267" s="30">
        <v>99999999</v>
      </c>
      <c r="AR267" s="30">
        <v>99999999</v>
      </c>
      <c r="AS267" s="30">
        <v>99999999</v>
      </c>
      <c r="AT267" s="30">
        <v>99999999</v>
      </c>
      <c r="AU267" s="30">
        <v>99999999</v>
      </c>
      <c r="AV267" s="30">
        <v>99999999</v>
      </c>
      <c r="AW267" s="30">
        <v>99999999</v>
      </c>
      <c r="AX267" s="30">
        <v>99999999</v>
      </c>
      <c r="AY267" s="30">
        <v>99999999</v>
      </c>
      <c r="AZ267" s="30">
        <v>99999999</v>
      </c>
      <c r="BA267" s="30">
        <v>99999999</v>
      </c>
      <c r="BB267" s="30">
        <v>99999999</v>
      </c>
      <c r="BC267" s="30">
        <v>99999999</v>
      </c>
      <c r="BD267" s="30">
        <v>99999999</v>
      </c>
      <c r="BE267" s="202"/>
      <c r="BF267" s="202"/>
      <c r="BG267" s="202"/>
      <c r="BH267" s="202"/>
      <c r="BI267" s="92" t="s">
        <v>204</v>
      </c>
      <c r="BJ267" s="37">
        <v>1</v>
      </c>
      <c r="BK267" s="37">
        <f t="shared" si="159"/>
        <v>1.1000000000000001</v>
      </c>
      <c r="BL267" s="37">
        <f t="shared" si="159"/>
        <v>1.2100000000000002</v>
      </c>
      <c r="BO267" s="202"/>
      <c r="BP267" s="202"/>
    </row>
    <row r="268" spans="1:68" outlineLevel="1" x14ac:dyDescent="0.25">
      <c r="A268" s="213">
        <v>46388</v>
      </c>
      <c r="B268" s="81" t="s">
        <v>205</v>
      </c>
      <c r="C268" s="31">
        <f>100000/12</f>
        <v>8333.3333333333339</v>
      </c>
      <c r="D268" s="30">
        <v>99999999</v>
      </c>
      <c r="E268" s="30">
        <v>99999999</v>
      </c>
      <c r="F268" s="30">
        <v>99999999</v>
      </c>
      <c r="G268" s="30">
        <v>99999999</v>
      </c>
      <c r="H268" s="30">
        <v>99999999</v>
      </c>
      <c r="I268" s="30">
        <v>99999999</v>
      </c>
      <c r="J268" s="30">
        <v>99999999</v>
      </c>
      <c r="K268" s="30">
        <v>99999999</v>
      </c>
      <c r="L268" s="30">
        <v>99999999</v>
      </c>
      <c r="M268" s="30">
        <v>99999999</v>
      </c>
      <c r="N268" s="30">
        <v>99999999</v>
      </c>
      <c r="O268" s="30">
        <v>99999999</v>
      </c>
      <c r="P268" s="30">
        <v>99999999</v>
      </c>
      <c r="Q268" s="30">
        <v>99999999</v>
      </c>
      <c r="R268" s="30">
        <v>99999999</v>
      </c>
      <c r="S268" s="30">
        <v>99999999</v>
      </c>
      <c r="T268" s="30">
        <v>99999999</v>
      </c>
      <c r="U268" s="30">
        <v>99999999</v>
      </c>
      <c r="V268" s="30">
        <v>99999999</v>
      </c>
      <c r="W268" s="30">
        <v>99999999</v>
      </c>
      <c r="X268" s="30">
        <v>99999999</v>
      </c>
      <c r="Y268" s="30">
        <v>99999999</v>
      </c>
      <c r="Z268" s="30">
        <v>40</v>
      </c>
      <c r="AA268" s="30">
        <v>99999999</v>
      </c>
      <c r="AB268" s="30">
        <v>99999999</v>
      </c>
      <c r="AC268" s="30">
        <v>99999999</v>
      </c>
      <c r="AD268" s="30">
        <v>99999999</v>
      </c>
      <c r="AE268" s="30">
        <v>99999999</v>
      </c>
      <c r="AF268" s="30">
        <v>99999999</v>
      </c>
      <c r="AG268" s="30">
        <v>99999999</v>
      </c>
      <c r="AH268" s="30">
        <v>99999999</v>
      </c>
      <c r="AI268" s="30">
        <v>99999999</v>
      </c>
      <c r="AJ268" s="30">
        <v>99999999</v>
      </c>
      <c r="AK268" s="30">
        <v>99999999</v>
      </c>
      <c r="AL268" s="30">
        <v>99999999</v>
      </c>
      <c r="AM268" s="30">
        <v>99999999</v>
      </c>
      <c r="AN268" s="30">
        <v>99999999</v>
      </c>
      <c r="AO268" s="30">
        <v>99999999</v>
      </c>
      <c r="AP268" s="30">
        <v>99999999</v>
      </c>
      <c r="AQ268" s="30">
        <v>99999999</v>
      </c>
      <c r="AR268" s="30">
        <v>99999999</v>
      </c>
      <c r="AS268" s="30">
        <v>99999999</v>
      </c>
      <c r="AT268" s="30">
        <v>99999999</v>
      </c>
      <c r="AU268" s="30">
        <v>99999999</v>
      </c>
      <c r="AV268" s="30">
        <v>99999999</v>
      </c>
      <c r="AW268" s="30">
        <v>99999999</v>
      </c>
      <c r="AX268" s="30">
        <v>99999999</v>
      </c>
      <c r="AY268" s="30">
        <v>99999999</v>
      </c>
      <c r="AZ268" s="30">
        <v>99999999</v>
      </c>
      <c r="BA268" s="30">
        <v>99999999</v>
      </c>
      <c r="BB268" s="30">
        <v>99999999</v>
      </c>
      <c r="BC268" s="30">
        <v>99999999</v>
      </c>
      <c r="BD268" s="30">
        <v>99999999</v>
      </c>
      <c r="BE268" s="202"/>
      <c r="BF268" s="202"/>
      <c r="BG268" s="202"/>
      <c r="BH268" s="202"/>
      <c r="BI268" s="81" t="s">
        <v>205</v>
      </c>
      <c r="BJ268" s="37">
        <v>1</v>
      </c>
      <c r="BK268" s="37">
        <f t="shared" si="159"/>
        <v>1.1000000000000001</v>
      </c>
      <c r="BL268" s="37">
        <f t="shared" si="159"/>
        <v>1.2100000000000002</v>
      </c>
      <c r="BO268" s="202"/>
      <c r="BP268" s="202"/>
    </row>
    <row r="269" spans="1:68" outlineLevel="1" x14ac:dyDescent="0.25">
      <c r="A269" s="213">
        <v>46753</v>
      </c>
      <c r="B269" s="81" t="s">
        <v>205</v>
      </c>
      <c r="C269" s="31">
        <f>100000/12</f>
        <v>8333.3333333333339</v>
      </c>
      <c r="D269" s="30">
        <v>99999999</v>
      </c>
      <c r="E269" s="30">
        <v>99999999</v>
      </c>
      <c r="F269" s="30">
        <v>99999999</v>
      </c>
      <c r="G269" s="30">
        <v>99999999</v>
      </c>
      <c r="H269" s="30">
        <v>99999999</v>
      </c>
      <c r="I269" s="30">
        <v>99999999</v>
      </c>
      <c r="J269" s="30">
        <v>99999999</v>
      </c>
      <c r="K269" s="30">
        <v>99999999</v>
      </c>
      <c r="L269" s="30">
        <v>99999999</v>
      </c>
      <c r="M269" s="30">
        <v>99999999</v>
      </c>
      <c r="N269" s="30">
        <v>99999999</v>
      </c>
      <c r="O269" s="30">
        <v>99999999</v>
      </c>
      <c r="P269" s="30">
        <v>99999999</v>
      </c>
      <c r="Q269" s="30">
        <v>99999999</v>
      </c>
      <c r="R269" s="30">
        <v>99999999</v>
      </c>
      <c r="S269" s="30">
        <v>99999999</v>
      </c>
      <c r="T269" s="30">
        <v>99999999</v>
      </c>
      <c r="U269" s="30">
        <v>99999999</v>
      </c>
      <c r="V269" s="30">
        <v>99999999</v>
      </c>
      <c r="W269" s="30">
        <v>99999999</v>
      </c>
      <c r="X269" s="30">
        <v>99999999</v>
      </c>
      <c r="Y269" s="30">
        <v>99999999</v>
      </c>
      <c r="Z269" s="30">
        <v>99999999</v>
      </c>
      <c r="AA269" s="30">
        <v>99999999</v>
      </c>
      <c r="AB269" s="30">
        <v>99999999</v>
      </c>
      <c r="AC269" s="30">
        <v>99999999</v>
      </c>
      <c r="AD269" s="30">
        <v>40</v>
      </c>
      <c r="AE269" s="30">
        <v>99999999</v>
      </c>
      <c r="AF269" s="30">
        <v>99999999</v>
      </c>
      <c r="AG269" s="30">
        <v>99999999</v>
      </c>
      <c r="AH269" s="30">
        <v>99999999</v>
      </c>
      <c r="AI269" s="30">
        <v>99999999</v>
      </c>
      <c r="AJ269" s="30">
        <v>99999999</v>
      </c>
      <c r="AK269" s="30">
        <v>99999999</v>
      </c>
      <c r="AL269" s="30">
        <v>99999999</v>
      </c>
      <c r="AM269" s="30">
        <v>99999999</v>
      </c>
      <c r="AN269" s="30">
        <v>99999999</v>
      </c>
      <c r="AO269" s="30">
        <v>99999999</v>
      </c>
      <c r="AP269" s="30">
        <v>99999999</v>
      </c>
      <c r="AQ269" s="30">
        <v>99999999</v>
      </c>
      <c r="AR269" s="30">
        <v>99999999</v>
      </c>
      <c r="AS269" s="30">
        <v>99999999</v>
      </c>
      <c r="AT269" s="30">
        <v>99999999</v>
      </c>
      <c r="AU269" s="30">
        <v>99999999</v>
      </c>
      <c r="AV269" s="30">
        <v>99999999</v>
      </c>
      <c r="AW269" s="30">
        <v>99999999</v>
      </c>
      <c r="AX269" s="30">
        <v>99999999</v>
      </c>
      <c r="AY269" s="30">
        <v>99999999</v>
      </c>
      <c r="AZ269" s="30">
        <v>99999999</v>
      </c>
      <c r="BA269" s="30">
        <v>99999999</v>
      </c>
      <c r="BB269" s="30">
        <v>99999999</v>
      </c>
      <c r="BC269" s="30">
        <v>99999999</v>
      </c>
      <c r="BD269" s="30">
        <v>99999999</v>
      </c>
      <c r="BE269" s="202"/>
      <c r="BF269" s="202"/>
      <c r="BG269" s="202"/>
      <c r="BH269" s="202"/>
      <c r="BI269" s="81" t="s">
        <v>205</v>
      </c>
      <c r="BJ269" s="37">
        <v>1</v>
      </c>
      <c r="BK269" s="37">
        <f t="shared" si="159"/>
        <v>1.1000000000000001</v>
      </c>
      <c r="BL269" s="37">
        <f t="shared" si="159"/>
        <v>1.2100000000000002</v>
      </c>
      <c r="BO269" s="202"/>
      <c r="BP269" s="202"/>
    </row>
    <row r="270" spans="1:68" outlineLevel="1" x14ac:dyDescent="0.25">
      <c r="A270" s="213">
        <v>46023</v>
      </c>
      <c r="B270" s="81" t="s">
        <v>189</v>
      </c>
      <c r="C270" s="31">
        <f>100000/12</f>
        <v>8333.3333333333339</v>
      </c>
      <c r="D270" s="30">
        <v>99999999</v>
      </c>
      <c r="E270" s="30">
        <v>99999999</v>
      </c>
      <c r="F270" s="30">
        <v>99999999</v>
      </c>
      <c r="G270" s="30">
        <v>99999999</v>
      </c>
      <c r="H270" s="30">
        <v>99999999</v>
      </c>
      <c r="I270" s="30">
        <v>99999999</v>
      </c>
      <c r="J270" s="30">
        <v>99999999</v>
      </c>
      <c r="K270" s="30">
        <v>99999999</v>
      </c>
      <c r="L270" s="30">
        <v>99999999</v>
      </c>
      <c r="M270" s="30">
        <v>99999999</v>
      </c>
      <c r="N270" s="30">
        <v>99999999</v>
      </c>
      <c r="O270" s="30">
        <v>99999999</v>
      </c>
      <c r="P270" s="30">
        <v>99999999</v>
      </c>
      <c r="Q270" s="30">
        <v>99999999</v>
      </c>
      <c r="R270" s="30">
        <v>99999999</v>
      </c>
      <c r="S270" s="30">
        <v>99999999</v>
      </c>
      <c r="T270" s="30">
        <v>99999999</v>
      </c>
      <c r="U270" s="30">
        <v>99999999</v>
      </c>
      <c r="V270" s="30">
        <v>99999999</v>
      </c>
      <c r="W270" s="30">
        <v>99999999</v>
      </c>
      <c r="X270" s="30">
        <v>40</v>
      </c>
      <c r="Y270" s="30">
        <v>99999999</v>
      </c>
      <c r="Z270" s="30">
        <v>99999999</v>
      </c>
      <c r="AA270" s="30">
        <v>99999999</v>
      </c>
      <c r="AB270" s="30">
        <v>40</v>
      </c>
      <c r="AC270" s="30">
        <v>99999999</v>
      </c>
      <c r="AD270" s="30">
        <v>99999999</v>
      </c>
      <c r="AE270" s="30">
        <v>99999999</v>
      </c>
      <c r="AF270" s="30">
        <v>40</v>
      </c>
      <c r="AG270" s="30">
        <v>99999999</v>
      </c>
      <c r="AH270" s="30">
        <v>99999999</v>
      </c>
      <c r="AI270" s="30">
        <v>99999999</v>
      </c>
      <c r="AJ270" s="30">
        <v>99999999</v>
      </c>
      <c r="AK270" s="30">
        <v>99999999</v>
      </c>
      <c r="AL270" s="30">
        <v>99999999</v>
      </c>
      <c r="AM270" s="30">
        <v>99999999</v>
      </c>
      <c r="AN270" s="30">
        <v>99999999</v>
      </c>
      <c r="AO270" s="30">
        <v>99999999</v>
      </c>
      <c r="AP270" s="30">
        <v>99999999</v>
      </c>
      <c r="AQ270" s="30">
        <v>99999999</v>
      </c>
      <c r="AR270" s="30">
        <v>99999999</v>
      </c>
      <c r="AS270" s="30">
        <v>99999999</v>
      </c>
      <c r="AT270" s="30">
        <v>99999999</v>
      </c>
      <c r="AU270" s="30">
        <v>99999999</v>
      </c>
      <c r="AV270" s="30">
        <v>99999999</v>
      </c>
      <c r="AW270" s="30">
        <v>99999999</v>
      </c>
      <c r="AX270" s="30">
        <v>99999999</v>
      </c>
      <c r="AY270" s="30">
        <v>99999999</v>
      </c>
      <c r="AZ270" s="30">
        <v>99999999</v>
      </c>
      <c r="BA270" s="30">
        <v>99999999</v>
      </c>
      <c r="BB270" s="30">
        <v>99999999</v>
      </c>
      <c r="BC270" s="30">
        <v>99999999</v>
      </c>
      <c r="BD270" s="30">
        <v>99999999</v>
      </c>
      <c r="BE270" s="202"/>
      <c r="BF270" s="202"/>
      <c r="BG270" s="202"/>
      <c r="BH270" s="202"/>
      <c r="BI270" s="81" t="s">
        <v>189</v>
      </c>
      <c r="BJ270" s="37">
        <v>1</v>
      </c>
      <c r="BK270" s="37">
        <f t="shared" si="159"/>
        <v>1.1000000000000001</v>
      </c>
      <c r="BL270" s="37">
        <f t="shared" si="159"/>
        <v>1.2100000000000002</v>
      </c>
      <c r="BO270" s="202"/>
      <c r="BP270" s="202"/>
    </row>
    <row r="271" spans="1:68" outlineLevel="1" x14ac:dyDescent="0.25">
      <c r="A271" s="213">
        <v>45658</v>
      </c>
      <c r="B271" s="113" t="s">
        <v>202</v>
      </c>
      <c r="C271" s="42">
        <v>1</v>
      </c>
      <c r="D271" s="93">
        <v>99999999</v>
      </c>
      <c r="E271" s="93">
        <v>99999999</v>
      </c>
      <c r="F271" s="93">
        <v>99999999</v>
      </c>
      <c r="G271" s="93">
        <v>99999999</v>
      </c>
      <c r="H271" s="93">
        <v>99999999</v>
      </c>
      <c r="I271" s="93">
        <v>99999999</v>
      </c>
      <c r="J271" s="93">
        <v>99999999</v>
      </c>
      <c r="K271" s="93">
        <v>99999999</v>
      </c>
      <c r="L271" s="93">
        <v>99999999</v>
      </c>
      <c r="M271" s="93">
        <v>99999999</v>
      </c>
      <c r="N271" s="93">
        <v>99999999</v>
      </c>
      <c r="O271" s="93">
        <v>99999999</v>
      </c>
      <c r="P271" s="93">
        <v>99999999</v>
      </c>
      <c r="Q271" s="93">
        <v>99999999</v>
      </c>
      <c r="R271" s="93">
        <v>99999999</v>
      </c>
      <c r="S271" s="93">
        <v>99999999</v>
      </c>
      <c r="T271" s="93">
        <v>99999999</v>
      </c>
      <c r="U271" s="93">
        <v>99999999</v>
      </c>
      <c r="V271" s="93">
        <v>99999999</v>
      </c>
      <c r="W271" s="93">
        <v>99999999</v>
      </c>
      <c r="X271" s="93">
        <v>99999999</v>
      </c>
      <c r="Y271" s="93">
        <v>99999999</v>
      </c>
      <c r="Z271" s="93">
        <v>99999999</v>
      </c>
      <c r="AA271" s="93">
        <v>99999999</v>
      </c>
      <c r="AB271" s="93">
        <v>99999999</v>
      </c>
      <c r="AC271" s="93">
        <v>99999999</v>
      </c>
      <c r="AD271" s="93">
        <v>99999999</v>
      </c>
      <c r="AE271" s="93">
        <v>99999999</v>
      </c>
      <c r="AF271" s="93">
        <v>99999999</v>
      </c>
      <c r="AG271" s="93">
        <v>99999999</v>
      </c>
      <c r="AH271" s="93">
        <v>99999999</v>
      </c>
      <c r="AI271" s="93">
        <v>99999999</v>
      </c>
      <c r="AJ271" s="93">
        <v>99999999</v>
      </c>
      <c r="AK271" s="93">
        <v>99999999</v>
      </c>
      <c r="AL271" s="93">
        <v>99999999</v>
      </c>
      <c r="AM271" s="93">
        <v>99999999</v>
      </c>
      <c r="AN271" s="93">
        <v>99999999</v>
      </c>
      <c r="AO271" s="93">
        <v>99999999</v>
      </c>
      <c r="AP271" s="93">
        <v>99999999</v>
      </c>
      <c r="AQ271" s="93">
        <v>99999999</v>
      </c>
      <c r="AR271" s="93">
        <v>99999999</v>
      </c>
      <c r="AS271" s="93">
        <v>99999999</v>
      </c>
      <c r="AT271" s="93">
        <v>99999999</v>
      </c>
      <c r="AU271" s="93">
        <v>99999999</v>
      </c>
      <c r="AV271" s="93">
        <v>99999999</v>
      </c>
      <c r="AW271" s="93">
        <v>99999999</v>
      </c>
      <c r="AX271" s="93">
        <v>99999999</v>
      </c>
      <c r="AY271" s="93">
        <v>99999999</v>
      </c>
      <c r="AZ271" s="93">
        <v>99999999</v>
      </c>
      <c r="BA271" s="93">
        <v>99999999</v>
      </c>
      <c r="BB271" s="93">
        <v>99999999</v>
      </c>
      <c r="BC271" s="93">
        <v>99999999</v>
      </c>
      <c r="BD271" s="93">
        <v>99999999</v>
      </c>
      <c r="BE271" s="202"/>
      <c r="BF271" s="202"/>
      <c r="BG271" s="202"/>
      <c r="BH271" s="202"/>
      <c r="BI271" s="113" t="s">
        <v>202</v>
      </c>
      <c r="BJ271" s="37">
        <v>1</v>
      </c>
      <c r="BK271" s="37">
        <f t="shared" si="159"/>
        <v>1.1000000000000001</v>
      </c>
      <c r="BL271" s="37">
        <f t="shared" si="159"/>
        <v>1.2100000000000002</v>
      </c>
      <c r="BO271" s="202"/>
      <c r="BP271" s="202"/>
    </row>
    <row r="272" spans="1:68" x14ac:dyDescent="0.25">
      <c r="A272" s="202"/>
      <c r="B272" s="202"/>
      <c r="C272" s="202"/>
      <c r="D272" s="202"/>
      <c r="E272" s="202"/>
      <c r="F272" s="202"/>
      <c r="G272" s="202"/>
      <c r="H272" s="202"/>
      <c r="I272" s="202"/>
      <c r="J272" s="202"/>
      <c r="K272" s="202"/>
      <c r="L272" s="202"/>
      <c r="M272" s="202"/>
      <c r="N272" s="202"/>
      <c r="O272" s="202"/>
      <c r="P272" s="202"/>
      <c r="Q272" s="202"/>
      <c r="R272" s="202"/>
      <c r="S272" s="202"/>
      <c r="T272" s="202"/>
      <c r="U272" s="202"/>
      <c r="V272" s="202"/>
      <c r="W272" s="202"/>
      <c r="X272" s="202"/>
      <c r="Y272" s="202"/>
      <c r="Z272" s="202"/>
      <c r="AA272" s="202"/>
      <c r="AB272" s="202"/>
      <c r="AC272" s="202"/>
      <c r="AD272" s="202"/>
      <c r="AE272" s="202"/>
      <c r="AF272" s="202"/>
      <c r="AG272" s="202"/>
      <c r="AH272" s="202"/>
      <c r="AI272" s="202"/>
      <c r="AJ272" s="202"/>
      <c r="AK272" s="202"/>
      <c r="AL272" s="202"/>
      <c r="AM272" s="202"/>
      <c r="AN272" s="202"/>
      <c r="AO272" s="202"/>
      <c r="AP272" s="202"/>
      <c r="AQ272" s="202"/>
      <c r="AR272" s="202"/>
      <c r="AS272" s="202"/>
      <c r="AT272" s="202"/>
      <c r="AU272" s="202"/>
      <c r="AV272" s="202"/>
      <c r="AW272" s="202"/>
      <c r="AX272" s="202"/>
      <c r="AY272" s="202"/>
      <c r="AZ272" s="202"/>
      <c r="BA272" s="202"/>
      <c r="BB272" s="202"/>
      <c r="BC272" s="202"/>
      <c r="BD272" s="202"/>
      <c r="BE272" s="202"/>
      <c r="BF272" s="202"/>
      <c r="BG272" s="202"/>
      <c r="BH272" s="202"/>
      <c r="BO272" s="202"/>
      <c r="BP272" s="202"/>
    </row>
    <row r="273" spans="1:68" x14ac:dyDescent="0.25">
      <c r="A273" s="202"/>
      <c r="B273" s="202"/>
      <c r="C273" s="202"/>
      <c r="D273" s="202"/>
      <c r="E273" s="202"/>
      <c r="F273" s="202"/>
      <c r="G273" s="202"/>
      <c r="H273" s="202"/>
      <c r="I273" s="202"/>
      <c r="J273" s="202"/>
      <c r="K273" s="202"/>
      <c r="L273" s="202"/>
      <c r="M273" s="202"/>
      <c r="N273" s="202"/>
      <c r="O273" s="202"/>
      <c r="P273" s="202"/>
      <c r="Q273" s="202"/>
      <c r="R273" s="202"/>
      <c r="S273" s="202"/>
      <c r="T273" s="202"/>
      <c r="U273" s="202"/>
      <c r="V273" s="202"/>
      <c r="W273" s="202"/>
      <c r="X273" s="202"/>
      <c r="Y273" s="202"/>
      <c r="Z273" s="202"/>
      <c r="AA273" s="202"/>
      <c r="AB273" s="202"/>
      <c r="AC273" s="202"/>
      <c r="AD273" s="202"/>
      <c r="AE273" s="202"/>
      <c r="AF273" s="202"/>
      <c r="AG273" s="202"/>
      <c r="AH273" s="202"/>
      <c r="AI273" s="202"/>
      <c r="AJ273" s="202"/>
      <c r="AK273" s="202"/>
      <c r="AL273" s="202"/>
      <c r="AM273" s="202"/>
      <c r="AN273" s="202"/>
      <c r="AO273" s="202"/>
      <c r="AP273" s="202"/>
      <c r="AQ273" s="202"/>
      <c r="AR273" s="202"/>
      <c r="AS273" s="202"/>
      <c r="AT273" s="202"/>
      <c r="AU273" s="202"/>
      <c r="AV273" s="202"/>
      <c r="AW273" s="202"/>
      <c r="AX273" s="202"/>
      <c r="AY273" s="202"/>
      <c r="AZ273" s="202"/>
      <c r="BA273" s="202"/>
      <c r="BB273" s="202"/>
      <c r="BC273" s="202"/>
      <c r="BD273" s="202"/>
      <c r="BE273" s="202"/>
      <c r="BF273" s="202"/>
      <c r="BG273" s="202"/>
      <c r="BH273" s="202"/>
      <c r="BO273" s="202"/>
      <c r="BP273" s="202"/>
    </row>
    <row r="274" spans="1:68" x14ac:dyDescent="0.25">
      <c r="A274" s="202"/>
      <c r="B274" s="202"/>
      <c r="C274" s="202"/>
      <c r="D274" s="202"/>
      <c r="E274" s="202"/>
      <c r="F274" s="202"/>
      <c r="G274" s="202"/>
      <c r="H274" s="202"/>
      <c r="I274" s="202"/>
      <c r="J274" s="202"/>
      <c r="K274" s="202"/>
      <c r="L274" s="202"/>
      <c r="M274" s="202"/>
      <c r="N274" s="202"/>
      <c r="O274" s="202"/>
      <c r="P274" s="202"/>
      <c r="Q274" s="202"/>
      <c r="R274" s="202"/>
      <c r="S274" s="202"/>
      <c r="T274" s="202"/>
      <c r="U274" s="202"/>
      <c r="V274" s="202"/>
      <c r="W274" s="202"/>
      <c r="X274" s="202"/>
      <c r="Y274" s="202"/>
      <c r="Z274" s="202"/>
      <c r="AA274" s="202"/>
      <c r="AB274" s="202"/>
      <c r="AC274" s="202"/>
      <c r="AD274" s="202"/>
      <c r="AE274" s="202"/>
      <c r="AF274" s="202"/>
      <c r="AG274" s="202"/>
      <c r="AH274" s="202"/>
      <c r="AI274" s="202"/>
      <c r="AJ274" s="202"/>
      <c r="AK274" s="202"/>
      <c r="AL274" s="202"/>
      <c r="AM274" s="202"/>
      <c r="AN274" s="202"/>
      <c r="AO274" s="202"/>
      <c r="AP274" s="202"/>
      <c r="AQ274" s="202"/>
      <c r="AR274" s="202"/>
      <c r="AS274" s="202"/>
      <c r="AT274" s="202"/>
      <c r="AU274" s="202"/>
      <c r="AV274" s="202"/>
      <c r="AW274" s="202"/>
      <c r="AX274" s="202"/>
      <c r="AY274" s="202"/>
      <c r="AZ274" s="202"/>
      <c r="BA274" s="202"/>
      <c r="BB274" s="202"/>
      <c r="BC274" s="202"/>
      <c r="BD274" s="202"/>
      <c r="BE274" s="202"/>
      <c r="BF274" s="202"/>
      <c r="BG274" s="202"/>
      <c r="BH274" s="202"/>
      <c r="BI274" s="34" t="s">
        <v>218</v>
      </c>
      <c r="BO274" s="202"/>
      <c r="BP274" s="202"/>
    </row>
    <row r="275" spans="1:68" x14ac:dyDescent="0.25">
      <c r="A275" s="202"/>
      <c r="B275" s="202"/>
      <c r="C275" s="202"/>
      <c r="D275" s="202"/>
      <c r="E275" s="202"/>
      <c r="F275" s="202"/>
      <c r="G275" s="202"/>
      <c r="H275" s="202"/>
      <c r="I275" s="202"/>
      <c r="J275" s="202"/>
      <c r="K275" s="202"/>
      <c r="L275" s="202"/>
      <c r="M275" s="202"/>
      <c r="N275" s="202"/>
      <c r="O275" s="202"/>
      <c r="P275" s="202"/>
      <c r="Q275" s="202"/>
      <c r="R275" s="202"/>
      <c r="S275" s="202"/>
      <c r="T275" s="202"/>
      <c r="U275" s="202"/>
      <c r="V275" s="202"/>
      <c r="W275" s="202"/>
      <c r="X275" s="202"/>
      <c r="Y275" s="202"/>
      <c r="Z275" s="202"/>
      <c r="AA275" s="202"/>
      <c r="AB275" s="202"/>
      <c r="AC275" s="202"/>
      <c r="AD275" s="202"/>
      <c r="AE275" s="202"/>
      <c r="AF275" s="202"/>
      <c r="AG275" s="202"/>
      <c r="AH275" s="202"/>
      <c r="AI275" s="202"/>
      <c r="AJ275" s="202"/>
      <c r="AK275" s="202"/>
      <c r="AL275" s="202"/>
      <c r="AM275" s="202"/>
      <c r="AN275" s="202"/>
      <c r="AO275" s="202"/>
      <c r="AP275" s="202"/>
      <c r="AQ275" s="202"/>
      <c r="AR275" s="202"/>
      <c r="AS275" s="202"/>
      <c r="AT275" s="202"/>
      <c r="AU275" s="202"/>
      <c r="AV275" s="202"/>
      <c r="AW275" s="202"/>
      <c r="AX275" s="202"/>
      <c r="AY275" s="202"/>
      <c r="AZ275" s="202"/>
      <c r="BA275" s="202"/>
      <c r="BB275" s="202"/>
      <c r="BC275" s="202"/>
      <c r="BD275" s="202"/>
      <c r="BE275" s="202"/>
      <c r="BF275" s="202"/>
      <c r="BG275" s="202"/>
      <c r="BH275" s="202"/>
      <c r="BI275" t="s">
        <v>219</v>
      </c>
      <c r="BO275" s="202"/>
      <c r="BP275" s="202"/>
    </row>
    <row r="276" spans="1:68" x14ac:dyDescent="0.25">
      <c r="A276" s="202"/>
      <c r="B276" s="202"/>
      <c r="C276" s="202"/>
      <c r="D276" s="202"/>
      <c r="E276" s="202"/>
      <c r="F276" s="202"/>
      <c r="G276" s="202"/>
      <c r="H276" s="202"/>
      <c r="I276" s="202"/>
      <c r="J276" s="202"/>
      <c r="K276" s="202"/>
      <c r="L276" s="202"/>
      <c r="M276" s="202"/>
      <c r="N276" s="202"/>
      <c r="O276" s="202"/>
      <c r="P276" s="202"/>
      <c r="Q276" s="202"/>
      <c r="R276" s="202"/>
      <c r="S276" s="202"/>
      <c r="T276" s="202"/>
      <c r="U276" s="202"/>
      <c r="V276" s="202"/>
      <c r="W276" s="202"/>
      <c r="X276" s="202"/>
      <c r="Y276" s="202"/>
      <c r="Z276" s="202"/>
      <c r="AA276" s="202"/>
      <c r="AB276" s="202"/>
      <c r="AC276" s="202"/>
      <c r="AD276" s="202"/>
      <c r="AE276" s="202"/>
      <c r="AF276" s="202"/>
      <c r="AG276" s="202"/>
      <c r="AH276" s="202"/>
      <c r="AI276" s="202"/>
      <c r="AJ276" s="202"/>
      <c r="AK276" s="202"/>
      <c r="AL276" s="202"/>
      <c r="AM276" s="202"/>
      <c r="AN276" s="202"/>
      <c r="AO276" s="202"/>
      <c r="AP276" s="202"/>
      <c r="AQ276" s="202"/>
      <c r="AR276" s="202"/>
      <c r="AS276" s="202"/>
      <c r="AT276" s="202"/>
      <c r="AU276" s="202"/>
      <c r="AV276" s="202"/>
      <c r="AW276" s="202"/>
      <c r="AX276" s="202"/>
      <c r="AY276" s="202"/>
      <c r="AZ276" s="202"/>
      <c r="BA276" s="202"/>
      <c r="BB276" s="202"/>
      <c r="BC276" s="202"/>
      <c r="BD276" s="202"/>
      <c r="BE276" s="202"/>
      <c r="BF276" s="202"/>
      <c r="BG276" s="202"/>
      <c r="BH276" s="202"/>
      <c r="BI276" t="s">
        <v>220</v>
      </c>
      <c r="BJ276" s="152">
        <v>0.09</v>
      </c>
      <c r="BK276" s="152">
        <v>0.09</v>
      </c>
      <c r="BL276" s="152">
        <v>0.09</v>
      </c>
      <c r="BO276" s="202"/>
      <c r="BP276" s="202"/>
    </row>
    <row r="277" spans="1:68" ht="15" customHeight="1" x14ac:dyDescent="0.25">
      <c r="A277" s="202"/>
      <c r="B277" s="202"/>
      <c r="C277" s="202"/>
      <c r="D277" s="202"/>
      <c r="E277" s="202"/>
      <c r="F277" s="202"/>
      <c r="G277" s="202"/>
      <c r="H277" s="202"/>
      <c r="I277" s="202"/>
      <c r="J277" s="202"/>
      <c r="K277" s="202"/>
      <c r="L277" s="202"/>
      <c r="M277" s="202"/>
      <c r="N277" s="202"/>
      <c r="O277" s="202"/>
      <c r="P277" s="202"/>
      <c r="Q277" s="202"/>
      <c r="R277" s="202"/>
      <c r="S277" s="202"/>
      <c r="T277" s="202"/>
      <c r="U277" s="202"/>
      <c r="V277" s="202"/>
      <c r="W277" s="202"/>
      <c r="X277" s="202"/>
      <c r="Y277" s="202"/>
      <c r="Z277" s="202"/>
      <c r="AA277" s="202"/>
      <c r="AB277" s="202"/>
      <c r="AC277" s="202"/>
      <c r="AD277" s="202"/>
      <c r="AE277" s="202"/>
      <c r="AF277" s="202"/>
      <c r="AG277" s="202"/>
      <c r="AH277" s="202"/>
      <c r="AI277" s="202"/>
      <c r="AJ277" s="202"/>
      <c r="AK277" s="202"/>
      <c r="AL277" s="202"/>
      <c r="AM277" s="202"/>
      <c r="AN277" s="202"/>
      <c r="AO277" s="202"/>
      <c r="AP277" s="202"/>
      <c r="AQ277" s="202"/>
      <c r="AR277" s="202"/>
      <c r="AS277" s="202"/>
      <c r="AT277" s="202"/>
      <c r="AU277" s="202"/>
      <c r="AV277" s="202"/>
      <c r="AW277" s="202"/>
      <c r="AX277" s="202"/>
      <c r="AY277" s="202"/>
      <c r="AZ277" s="202"/>
      <c r="BA277" s="202"/>
      <c r="BB277" s="202"/>
      <c r="BC277" s="202"/>
      <c r="BD277" s="202"/>
      <c r="BE277" s="202"/>
      <c r="BF277" s="202"/>
      <c r="BG277" s="202"/>
      <c r="BH277" s="202"/>
      <c r="BO277" s="202"/>
      <c r="BP277" s="202"/>
    </row>
    <row r="278" spans="1:68" ht="15" customHeight="1" x14ac:dyDescent="0.25">
      <c r="A278" s="202"/>
      <c r="B278" s="202"/>
      <c r="C278" s="202"/>
      <c r="D278" s="202"/>
      <c r="E278" s="202"/>
      <c r="F278" s="202"/>
      <c r="G278" s="202"/>
      <c r="H278" s="202"/>
      <c r="I278" s="202"/>
      <c r="J278" s="202"/>
      <c r="K278" s="202"/>
      <c r="L278" s="202"/>
      <c r="M278" s="202"/>
      <c r="N278" s="202"/>
      <c r="O278" s="202"/>
      <c r="P278" s="202"/>
      <c r="Q278" s="202"/>
      <c r="R278" s="202"/>
      <c r="S278" s="202"/>
      <c r="T278" s="202"/>
      <c r="U278" s="202"/>
      <c r="V278" s="202"/>
      <c r="W278" s="202"/>
      <c r="X278" s="202"/>
      <c r="Y278" s="202"/>
      <c r="Z278" s="202"/>
      <c r="AA278" s="202"/>
      <c r="AB278" s="202"/>
      <c r="AC278" s="202"/>
      <c r="AD278" s="202"/>
      <c r="AE278" s="202"/>
      <c r="AF278" s="202"/>
      <c r="AG278" s="202"/>
      <c r="AH278" s="202"/>
      <c r="AI278" s="202"/>
      <c r="AJ278" s="202"/>
      <c r="AK278" s="202"/>
      <c r="AL278" s="202"/>
      <c r="AM278" s="202"/>
      <c r="AN278" s="202"/>
      <c r="AO278" s="202"/>
      <c r="AP278" s="202"/>
      <c r="AQ278" s="202"/>
      <c r="AR278" s="202"/>
      <c r="AS278" s="202"/>
      <c r="AT278" s="202"/>
      <c r="AU278" s="202"/>
      <c r="AV278" s="202"/>
      <c r="AW278" s="202"/>
      <c r="AX278" s="202"/>
      <c r="AY278" s="202"/>
      <c r="AZ278" s="202"/>
      <c r="BA278" s="202"/>
      <c r="BB278" s="202"/>
      <c r="BC278" s="202"/>
      <c r="BD278" s="202"/>
      <c r="BE278" s="202"/>
      <c r="BF278" s="202"/>
      <c r="BG278" s="202"/>
      <c r="BH278" s="202"/>
      <c r="BI278" t="s">
        <v>221</v>
      </c>
      <c r="BO278" s="202"/>
      <c r="BP278" s="202"/>
    </row>
    <row r="279" spans="1:68" ht="15" customHeight="1" x14ac:dyDescent="0.25">
      <c r="A279" s="202"/>
      <c r="B279" s="202"/>
      <c r="C279" s="202"/>
      <c r="D279" s="202"/>
      <c r="E279" s="202"/>
      <c r="F279" s="202"/>
      <c r="G279" s="202"/>
      <c r="H279" s="202"/>
      <c r="I279" s="202"/>
      <c r="J279" s="202"/>
      <c r="K279" s="202"/>
      <c r="L279" s="202"/>
      <c r="M279" s="202"/>
      <c r="N279" s="202"/>
      <c r="O279" s="202"/>
      <c r="P279" s="202"/>
      <c r="Q279" s="202"/>
      <c r="R279" s="202"/>
      <c r="S279" s="202"/>
      <c r="T279" s="202"/>
      <c r="U279" s="202"/>
      <c r="V279" s="202"/>
      <c r="W279" s="202"/>
      <c r="X279" s="202"/>
      <c r="Y279" s="202"/>
      <c r="Z279" s="202"/>
      <c r="AA279" s="202"/>
      <c r="AB279" s="202"/>
      <c r="AC279" s="202"/>
      <c r="AD279" s="202"/>
      <c r="AE279" s="202"/>
      <c r="AF279" s="202"/>
      <c r="AG279" s="202"/>
      <c r="AH279" s="202"/>
      <c r="AI279" s="202"/>
      <c r="AJ279" s="202"/>
      <c r="AK279" s="202"/>
      <c r="AL279" s="202"/>
      <c r="AM279" s="202"/>
      <c r="AN279" s="202"/>
      <c r="AO279" s="202"/>
      <c r="AP279" s="202"/>
      <c r="AQ279" s="202"/>
      <c r="AR279" s="202"/>
      <c r="AS279" s="202"/>
      <c r="AT279" s="202"/>
      <c r="AU279" s="202"/>
      <c r="AV279" s="202"/>
      <c r="AW279" s="202"/>
      <c r="AX279" s="202"/>
      <c r="AY279" s="202"/>
      <c r="AZ279" s="202"/>
      <c r="BA279" s="202"/>
      <c r="BB279" s="202"/>
      <c r="BC279" s="202"/>
      <c r="BD279" s="202"/>
      <c r="BE279" s="202"/>
      <c r="BF279" s="202"/>
      <c r="BG279" s="202"/>
      <c r="BH279" s="202"/>
      <c r="BI279" t="s">
        <v>220</v>
      </c>
      <c r="BJ279" s="152">
        <v>0.01</v>
      </c>
      <c r="BK279" s="152">
        <v>0.01</v>
      </c>
      <c r="BL279" s="152">
        <v>0.01</v>
      </c>
      <c r="BO279" s="202"/>
      <c r="BP279" s="202"/>
    </row>
    <row r="280" spans="1:68" ht="15" customHeight="1" x14ac:dyDescent="0.25">
      <c r="A280" s="202"/>
      <c r="B280" s="202"/>
      <c r="C280" s="202"/>
      <c r="D280" s="202"/>
      <c r="E280" s="202"/>
      <c r="F280" s="202"/>
      <c r="G280" s="202"/>
      <c r="H280" s="202"/>
      <c r="I280" s="202"/>
      <c r="J280" s="202"/>
      <c r="K280" s="202"/>
      <c r="L280" s="202"/>
      <c r="M280" s="202"/>
      <c r="N280" s="202"/>
      <c r="O280" s="202"/>
      <c r="P280" s="202"/>
      <c r="Q280" s="202"/>
      <c r="R280" s="202"/>
      <c r="S280" s="202"/>
      <c r="T280" s="202"/>
      <c r="U280" s="202"/>
      <c r="V280" s="202"/>
      <c r="W280" s="202"/>
      <c r="X280" s="202"/>
      <c r="Y280" s="202"/>
      <c r="Z280" s="202"/>
      <c r="AA280" s="202"/>
      <c r="AB280" s="202"/>
      <c r="AC280" s="202"/>
      <c r="AD280" s="202"/>
      <c r="AE280" s="202"/>
      <c r="AF280" s="202"/>
      <c r="AG280" s="202"/>
      <c r="AH280" s="202"/>
      <c r="AI280" s="202"/>
      <c r="AJ280" s="202"/>
      <c r="AK280" s="202"/>
      <c r="AL280" s="202"/>
      <c r="AM280" s="202"/>
      <c r="AN280" s="202"/>
      <c r="AO280" s="202"/>
      <c r="AP280" s="202"/>
      <c r="AQ280" s="202"/>
      <c r="AR280" s="202"/>
      <c r="AS280" s="202"/>
      <c r="AT280" s="202"/>
      <c r="AU280" s="202"/>
      <c r="AV280" s="202"/>
      <c r="AW280" s="202"/>
      <c r="AX280" s="202"/>
      <c r="AY280" s="202"/>
      <c r="AZ280" s="202"/>
      <c r="BA280" s="202"/>
      <c r="BB280" s="202"/>
      <c r="BC280" s="202"/>
      <c r="BD280" s="202"/>
      <c r="BE280" s="202"/>
      <c r="BF280" s="202"/>
      <c r="BG280" s="202"/>
      <c r="BH280" s="202"/>
      <c r="BO280" s="202"/>
      <c r="BP280" s="202"/>
    </row>
    <row r="281" spans="1:68" ht="15" customHeight="1" x14ac:dyDescent="0.25">
      <c r="A281" s="202"/>
      <c r="B281" s="202"/>
      <c r="C281" s="202"/>
      <c r="D281" s="202"/>
      <c r="E281" s="202"/>
      <c r="F281" s="202"/>
      <c r="G281" s="202"/>
      <c r="H281" s="202"/>
      <c r="I281" s="202"/>
      <c r="J281" s="202"/>
      <c r="K281" s="202"/>
      <c r="L281" s="202"/>
      <c r="M281" s="202"/>
      <c r="N281" s="202"/>
      <c r="O281" s="202"/>
      <c r="P281" s="202"/>
      <c r="Q281" s="202"/>
      <c r="R281" s="202"/>
      <c r="S281" s="202"/>
      <c r="T281" s="202"/>
      <c r="U281" s="202"/>
      <c r="V281" s="202"/>
      <c r="W281" s="202"/>
      <c r="X281" s="202"/>
      <c r="Y281" s="202"/>
      <c r="Z281" s="202"/>
      <c r="AA281" s="202"/>
      <c r="AB281" s="202"/>
      <c r="AC281" s="202"/>
      <c r="AD281" s="202"/>
      <c r="AE281" s="202"/>
      <c r="AF281" s="202"/>
      <c r="AG281" s="202"/>
      <c r="AH281" s="202"/>
      <c r="AI281" s="202"/>
      <c r="AJ281" s="202"/>
      <c r="AK281" s="202"/>
      <c r="AL281" s="202"/>
      <c r="AM281" s="202"/>
      <c r="AN281" s="202"/>
      <c r="AO281" s="202"/>
      <c r="AP281" s="202"/>
      <c r="AQ281" s="202"/>
      <c r="AR281" s="202"/>
      <c r="AS281" s="202"/>
      <c r="AT281" s="202"/>
      <c r="AU281" s="202"/>
      <c r="AV281" s="202"/>
      <c r="AW281" s="202"/>
      <c r="AX281" s="202"/>
      <c r="AY281" s="202"/>
      <c r="AZ281" s="202"/>
      <c r="BA281" s="202"/>
      <c r="BB281" s="202"/>
      <c r="BC281" s="202"/>
      <c r="BD281" s="202"/>
      <c r="BE281" s="202"/>
      <c r="BF281" s="202"/>
      <c r="BG281" s="202"/>
      <c r="BH281" s="202"/>
      <c r="BI281" t="s">
        <v>222</v>
      </c>
      <c r="BJ281" s="151">
        <v>4816282.09</v>
      </c>
      <c r="BO281" s="202"/>
      <c r="BP281" s="202"/>
    </row>
    <row r="282" spans="1:68" ht="15" customHeight="1" x14ac:dyDescent="0.25">
      <c r="A282" s="202"/>
      <c r="B282" s="202"/>
      <c r="C282" s="202"/>
      <c r="D282" s="202"/>
      <c r="E282" s="202"/>
      <c r="F282" s="202"/>
      <c r="G282" s="202"/>
      <c r="H282" s="202"/>
      <c r="I282" s="202"/>
      <c r="J282" s="202"/>
      <c r="K282" s="202"/>
      <c r="L282" s="202"/>
      <c r="M282" s="202"/>
      <c r="N282" s="202"/>
      <c r="O282" s="202"/>
      <c r="P282" s="202"/>
      <c r="Q282" s="202"/>
      <c r="R282" s="202"/>
      <c r="S282" s="202"/>
      <c r="T282" s="202"/>
      <c r="U282" s="202"/>
      <c r="V282" s="202"/>
      <c r="W282" s="202"/>
      <c r="X282" s="202"/>
      <c r="Y282" s="202"/>
      <c r="Z282" s="202"/>
      <c r="AA282" s="202"/>
      <c r="AB282" s="202"/>
      <c r="AC282" s="202"/>
      <c r="AD282" s="202"/>
      <c r="AE282" s="202"/>
      <c r="AF282" s="202"/>
      <c r="AG282" s="202"/>
      <c r="AH282" s="202"/>
      <c r="AI282" s="202"/>
      <c r="AJ282" s="202"/>
      <c r="AK282" s="202"/>
      <c r="AL282" s="202"/>
      <c r="AM282" s="202"/>
      <c r="AN282" s="202"/>
      <c r="AO282" s="202"/>
      <c r="AP282" s="202"/>
      <c r="AQ282" s="202"/>
      <c r="AR282" s="202"/>
      <c r="AS282" s="202"/>
      <c r="AT282" s="202"/>
      <c r="AU282" s="202"/>
      <c r="AV282" s="202"/>
      <c r="AW282" s="202"/>
      <c r="AX282" s="202"/>
      <c r="AY282" s="202"/>
      <c r="AZ282" s="202"/>
      <c r="BA282" s="202"/>
      <c r="BB282" s="202"/>
      <c r="BC282" s="202"/>
      <c r="BD282" s="202"/>
      <c r="BE282" s="202"/>
      <c r="BF282" s="202"/>
      <c r="BG282" s="202"/>
      <c r="BH282" s="202"/>
      <c r="BO282" s="202"/>
      <c r="BP282" s="202"/>
    </row>
    <row r="283" spans="1:68" ht="15" customHeight="1" x14ac:dyDescent="0.25">
      <c r="A283" s="202"/>
      <c r="B283" s="202"/>
      <c r="C283" s="202"/>
      <c r="D283" s="202"/>
      <c r="E283" s="202"/>
      <c r="F283" s="202"/>
      <c r="G283" s="202"/>
      <c r="H283" s="202"/>
      <c r="I283" s="202"/>
      <c r="J283" s="202"/>
      <c r="K283" s="202"/>
      <c r="L283" s="202"/>
      <c r="M283" s="202"/>
      <c r="N283" s="202"/>
      <c r="O283" s="202"/>
      <c r="P283" s="202"/>
      <c r="Q283" s="202"/>
      <c r="R283" s="202"/>
      <c r="S283" s="202"/>
      <c r="T283" s="202"/>
      <c r="U283" s="202"/>
      <c r="V283" s="202"/>
      <c r="W283" s="202"/>
      <c r="X283" s="202"/>
      <c r="Y283" s="202"/>
      <c r="Z283" s="202"/>
      <c r="AA283" s="202"/>
      <c r="AB283" s="202"/>
      <c r="AC283" s="202"/>
      <c r="AD283" s="202"/>
      <c r="AE283" s="202"/>
      <c r="AF283" s="202"/>
      <c r="AG283" s="202"/>
      <c r="AH283" s="202"/>
      <c r="AI283" s="202"/>
      <c r="AJ283" s="202"/>
      <c r="AK283" s="202"/>
      <c r="AL283" s="202"/>
      <c r="AM283" s="202"/>
      <c r="AN283" s="202"/>
      <c r="AO283" s="202"/>
      <c r="AP283" s="202"/>
      <c r="AQ283" s="202"/>
      <c r="AR283" s="202"/>
      <c r="AS283" s="202"/>
      <c r="AT283" s="202"/>
      <c r="AU283" s="202"/>
      <c r="AV283" s="202"/>
      <c r="AW283" s="202"/>
      <c r="AX283" s="202"/>
      <c r="AY283" s="202"/>
      <c r="AZ283" s="202"/>
      <c r="BA283" s="202"/>
      <c r="BB283" s="202"/>
      <c r="BC283" s="202"/>
      <c r="BD283" s="202"/>
      <c r="BE283" s="202"/>
      <c r="BF283" s="202"/>
      <c r="BG283" s="202"/>
      <c r="BH283" s="202"/>
      <c r="BI283" t="s">
        <v>223</v>
      </c>
      <c r="BJ283" s="151">
        <v>3200000</v>
      </c>
      <c r="BO283" s="202"/>
      <c r="BP283" s="202"/>
    </row>
    <row r="284" spans="1:68" ht="15" customHeight="1" x14ac:dyDescent="0.25">
      <c r="A284" s="202"/>
      <c r="B284" s="202"/>
      <c r="C284" s="202"/>
      <c r="D284" s="202"/>
      <c r="E284" s="202"/>
      <c r="F284" s="202"/>
      <c r="G284" s="202"/>
      <c r="H284" s="202"/>
      <c r="I284" s="202"/>
      <c r="J284" s="202"/>
      <c r="K284" s="202"/>
      <c r="L284" s="202"/>
      <c r="M284" s="202"/>
      <c r="N284" s="202"/>
      <c r="O284" s="202"/>
      <c r="P284" s="202"/>
      <c r="Q284" s="202"/>
      <c r="R284" s="202"/>
      <c r="S284" s="202"/>
      <c r="T284" s="202"/>
      <c r="U284" s="202"/>
      <c r="V284" s="202"/>
      <c r="W284" s="202"/>
      <c r="X284" s="202"/>
      <c r="Y284" s="202"/>
      <c r="Z284" s="202"/>
      <c r="AA284" s="202"/>
      <c r="AB284" s="202"/>
      <c r="AC284" s="202"/>
      <c r="AD284" s="202"/>
      <c r="AE284" s="202"/>
      <c r="AF284" s="202"/>
      <c r="AG284" s="202"/>
      <c r="AH284" s="202"/>
      <c r="AI284" s="202"/>
      <c r="AJ284" s="202"/>
      <c r="AK284" s="202"/>
      <c r="AL284" s="202"/>
      <c r="AM284" s="202"/>
      <c r="AN284" s="202"/>
      <c r="AO284" s="202"/>
      <c r="AP284" s="202"/>
      <c r="AQ284" s="202"/>
      <c r="AR284" s="202"/>
      <c r="AS284" s="202"/>
      <c r="AT284" s="202"/>
      <c r="AU284" s="202"/>
      <c r="AV284" s="202"/>
      <c r="AW284" s="202"/>
      <c r="AX284" s="202"/>
      <c r="AY284" s="202"/>
      <c r="AZ284" s="202"/>
      <c r="BA284" s="202"/>
      <c r="BB284" s="202"/>
      <c r="BC284" s="202"/>
      <c r="BD284" s="202"/>
      <c r="BE284" s="202"/>
      <c r="BF284" s="202"/>
      <c r="BG284" s="202"/>
      <c r="BH284" s="202"/>
      <c r="BI284" t="s">
        <v>224</v>
      </c>
      <c r="BJ284" s="6">
        <v>3400000</v>
      </c>
      <c r="BK284" s="6">
        <v>6800000</v>
      </c>
      <c r="BL284" s="6">
        <v>10200000</v>
      </c>
      <c r="BO284" s="202"/>
      <c r="BP284" s="202"/>
    </row>
    <row r="285" spans="1:68" ht="15" customHeight="1" x14ac:dyDescent="0.25">
      <c r="A285" s="202"/>
      <c r="B285" s="202"/>
      <c r="C285" s="202"/>
      <c r="D285" s="202"/>
      <c r="E285" s="202"/>
      <c r="F285" s="202"/>
      <c r="G285" s="202"/>
      <c r="H285" s="202"/>
      <c r="I285" s="202"/>
      <c r="J285" s="202"/>
      <c r="K285" s="202"/>
      <c r="L285" s="202"/>
      <c r="M285" s="202"/>
      <c r="N285" s="202"/>
      <c r="O285" s="202"/>
      <c r="P285" s="202"/>
      <c r="Q285" s="202"/>
      <c r="R285" s="202"/>
      <c r="S285" s="202"/>
      <c r="T285" s="202"/>
      <c r="U285" s="202"/>
      <c r="V285" s="202"/>
      <c r="W285" s="202"/>
      <c r="X285" s="202"/>
      <c r="Y285" s="202"/>
      <c r="Z285" s="202"/>
      <c r="AA285" s="202"/>
      <c r="AB285" s="202"/>
      <c r="AC285" s="202"/>
      <c r="AD285" s="202"/>
      <c r="AE285" s="202"/>
      <c r="AF285" s="202"/>
      <c r="AG285" s="202"/>
      <c r="AH285" s="202"/>
      <c r="AI285" s="202"/>
      <c r="AJ285" s="202"/>
      <c r="AK285" s="202"/>
      <c r="AL285" s="202"/>
      <c r="AM285" s="202"/>
      <c r="AN285" s="202"/>
      <c r="AO285" s="202"/>
      <c r="AP285" s="202"/>
      <c r="AQ285" s="202"/>
      <c r="AR285" s="202"/>
      <c r="AS285" s="202"/>
      <c r="AT285" s="202"/>
      <c r="AU285" s="202"/>
      <c r="AV285" s="202"/>
      <c r="AW285" s="202"/>
      <c r="AX285" s="202"/>
      <c r="AY285" s="202"/>
      <c r="AZ285" s="202"/>
      <c r="BA285" s="202"/>
      <c r="BB285" s="202"/>
      <c r="BC285" s="202"/>
      <c r="BD285" s="202"/>
      <c r="BE285" s="202"/>
      <c r="BF285" s="202"/>
      <c r="BG285" s="202"/>
      <c r="BH285" s="202"/>
      <c r="BO285" s="202"/>
      <c r="BP285" s="202"/>
    </row>
    <row r="286" spans="1:68" ht="15" customHeight="1" x14ac:dyDescent="0.25">
      <c r="A286" s="202"/>
      <c r="B286" s="202"/>
      <c r="C286" s="202"/>
      <c r="D286" s="202"/>
      <c r="E286" s="202"/>
      <c r="F286" s="202"/>
      <c r="G286" s="202"/>
      <c r="H286" s="202"/>
      <c r="I286" s="202"/>
      <c r="J286" s="202"/>
      <c r="K286" s="202"/>
      <c r="L286" s="202"/>
      <c r="M286" s="202"/>
      <c r="N286" s="202"/>
      <c r="O286" s="202"/>
      <c r="P286" s="202"/>
      <c r="Q286" s="202"/>
      <c r="R286" s="202"/>
      <c r="S286" s="202"/>
      <c r="T286" s="202"/>
      <c r="U286" s="202"/>
      <c r="V286" s="202"/>
      <c r="W286" s="202"/>
      <c r="X286" s="202"/>
      <c r="Y286" s="202"/>
      <c r="Z286" s="202"/>
      <c r="AA286" s="202"/>
      <c r="AB286" s="202"/>
      <c r="AC286" s="202"/>
      <c r="AD286" s="202"/>
      <c r="AE286" s="202"/>
      <c r="AF286" s="202"/>
      <c r="AG286" s="202"/>
      <c r="AH286" s="202"/>
      <c r="AI286" s="202"/>
      <c r="AJ286" s="202"/>
      <c r="AK286" s="202"/>
      <c r="AL286" s="202"/>
      <c r="AM286" s="202"/>
      <c r="AN286" s="202"/>
      <c r="AO286" s="202"/>
      <c r="AP286" s="202"/>
      <c r="AQ286" s="202"/>
      <c r="AR286" s="202"/>
      <c r="AS286" s="202"/>
      <c r="AT286" s="202"/>
      <c r="AU286" s="202"/>
      <c r="AV286" s="202"/>
      <c r="AW286" s="202"/>
      <c r="AX286" s="202"/>
      <c r="AY286" s="202"/>
      <c r="AZ286" s="202"/>
      <c r="BA286" s="202"/>
      <c r="BB286" s="202"/>
      <c r="BC286" s="202"/>
      <c r="BD286" s="202"/>
      <c r="BE286" s="202"/>
      <c r="BF286" s="202"/>
      <c r="BG286" s="202"/>
      <c r="BH286" s="202"/>
      <c r="BO286" s="202"/>
      <c r="BP286" s="202"/>
    </row>
    <row r="287" spans="1:68" ht="15" customHeight="1" x14ac:dyDescent="0.25">
      <c r="A287" s="202"/>
      <c r="B287" s="202"/>
      <c r="C287" s="202"/>
      <c r="D287" s="202"/>
      <c r="E287" s="202"/>
      <c r="F287" s="202"/>
      <c r="G287" s="202"/>
      <c r="H287" s="202"/>
      <c r="I287" s="202"/>
      <c r="J287" s="202"/>
      <c r="K287" s="202"/>
      <c r="L287" s="202"/>
      <c r="M287" s="202"/>
      <c r="N287" s="202"/>
      <c r="O287" s="202"/>
      <c r="P287" s="202"/>
      <c r="Q287" s="202"/>
      <c r="R287" s="202"/>
      <c r="S287" s="202"/>
      <c r="T287" s="202"/>
      <c r="U287" s="202"/>
      <c r="V287" s="202"/>
      <c r="W287" s="202"/>
      <c r="X287" s="202"/>
      <c r="Y287" s="202"/>
      <c r="Z287" s="202"/>
      <c r="AA287" s="202"/>
      <c r="AB287" s="202"/>
      <c r="AC287" s="202"/>
      <c r="AD287" s="202"/>
      <c r="AE287" s="202"/>
      <c r="AF287" s="202"/>
      <c r="AG287" s="202"/>
      <c r="AH287" s="202"/>
      <c r="AI287" s="202"/>
      <c r="AJ287" s="202"/>
      <c r="AK287" s="202"/>
      <c r="AL287" s="202"/>
      <c r="AM287" s="202"/>
      <c r="AN287" s="202"/>
      <c r="AO287" s="202"/>
      <c r="AP287" s="202"/>
      <c r="AQ287" s="202"/>
      <c r="AR287" s="202"/>
      <c r="AS287" s="202"/>
      <c r="AT287" s="202"/>
      <c r="AU287" s="202"/>
      <c r="AV287" s="202"/>
      <c r="AW287" s="202"/>
      <c r="AX287" s="202"/>
      <c r="AY287" s="202"/>
      <c r="AZ287" s="202"/>
      <c r="BA287" s="202"/>
      <c r="BB287" s="202"/>
      <c r="BC287" s="202"/>
      <c r="BD287" s="202"/>
      <c r="BE287" s="202"/>
      <c r="BF287" s="202"/>
      <c r="BG287" s="202"/>
      <c r="BH287" s="202"/>
      <c r="BO287" s="202"/>
      <c r="BP287" s="202"/>
    </row>
    <row r="288" spans="1:68" ht="15" customHeight="1" x14ac:dyDescent="0.25">
      <c r="A288" s="202"/>
      <c r="B288" s="202"/>
      <c r="C288" s="202"/>
      <c r="D288" s="202"/>
      <c r="E288" s="202"/>
      <c r="F288" s="202"/>
      <c r="G288" s="202"/>
      <c r="H288" s="202"/>
      <c r="I288" s="202"/>
      <c r="J288" s="202"/>
      <c r="K288" s="202"/>
      <c r="L288" s="202"/>
      <c r="M288" s="202"/>
      <c r="N288" s="202"/>
      <c r="O288" s="202"/>
      <c r="P288" s="202">
        <v>0</v>
      </c>
      <c r="Q288" s="202">
        <v>0.8</v>
      </c>
      <c r="R288" s="202">
        <v>0</v>
      </c>
      <c r="S288" s="202">
        <v>0.8</v>
      </c>
      <c r="T288" s="202">
        <v>0</v>
      </c>
      <c r="U288" s="202">
        <v>0.8</v>
      </c>
      <c r="V288" s="202">
        <v>0.8</v>
      </c>
      <c r="W288" s="202">
        <v>0</v>
      </c>
      <c r="X288" s="202">
        <v>0.8</v>
      </c>
      <c r="Y288" s="202">
        <v>0</v>
      </c>
      <c r="Z288" s="202">
        <v>0.8</v>
      </c>
      <c r="AA288" s="202">
        <v>0</v>
      </c>
      <c r="AB288" s="202">
        <v>0.8</v>
      </c>
      <c r="AC288" s="202">
        <v>0</v>
      </c>
      <c r="AD288" s="202">
        <v>0.8</v>
      </c>
      <c r="AE288" s="202">
        <v>0</v>
      </c>
      <c r="AF288" s="202">
        <v>0.8</v>
      </c>
      <c r="AG288" s="202">
        <v>0.8</v>
      </c>
      <c r="AH288" s="202">
        <v>0</v>
      </c>
      <c r="AI288" s="202">
        <v>0.8</v>
      </c>
      <c r="AJ288" s="202">
        <v>0.8</v>
      </c>
      <c r="AK288" s="202">
        <v>0</v>
      </c>
      <c r="AL288" s="202">
        <v>0.8</v>
      </c>
      <c r="AM288" s="202">
        <v>0</v>
      </c>
      <c r="AN288" s="202">
        <v>0.8</v>
      </c>
      <c r="AO288" s="202">
        <v>0.8</v>
      </c>
      <c r="AP288" s="202">
        <v>0.8</v>
      </c>
      <c r="AQ288" s="202">
        <v>0</v>
      </c>
      <c r="AR288" s="202">
        <v>0.8</v>
      </c>
      <c r="AS288" s="202"/>
      <c r="AT288" s="202"/>
      <c r="AU288" s="202"/>
      <c r="AV288" s="202"/>
      <c r="AW288" s="202"/>
      <c r="AX288" s="202"/>
      <c r="AY288" s="202"/>
      <c r="AZ288" s="202"/>
      <c r="BA288" s="202"/>
      <c r="BB288" s="202"/>
      <c r="BC288" s="202"/>
      <c r="BD288" s="202"/>
      <c r="BE288" s="202"/>
      <c r="BF288" s="202"/>
      <c r="BG288" s="202"/>
      <c r="BH288" s="202"/>
      <c r="BO288" s="202"/>
      <c r="BP288" s="202"/>
    </row>
    <row r="289" spans="1:68" ht="15" customHeight="1" x14ac:dyDescent="0.25">
      <c r="A289" s="202"/>
      <c r="B289" s="202"/>
      <c r="C289" s="202"/>
      <c r="D289" s="202"/>
      <c r="E289" s="202"/>
      <c r="F289" s="202"/>
      <c r="G289" s="202"/>
      <c r="H289" s="202"/>
      <c r="I289" s="202"/>
      <c r="J289" s="202"/>
      <c r="K289" s="202"/>
      <c r="L289" s="202"/>
      <c r="M289" s="202"/>
      <c r="N289" s="202"/>
      <c r="O289" s="202"/>
      <c r="P289" s="202">
        <v>0</v>
      </c>
      <c r="Q289" s="202">
        <v>9.2307692307692327E-2</v>
      </c>
      <c r="R289" s="202">
        <v>0</v>
      </c>
      <c r="S289" s="202">
        <v>9.2307692307692327E-2</v>
      </c>
      <c r="T289" s="202">
        <v>0</v>
      </c>
      <c r="U289" s="202">
        <v>9.2307692307692327E-2</v>
      </c>
      <c r="V289" s="202">
        <v>9.2307692307692327E-2</v>
      </c>
      <c r="W289" s="202">
        <v>0</v>
      </c>
      <c r="X289" s="202">
        <v>9.2307692307692327E-2</v>
      </c>
      <c r="Y289" s="202">
        <v>0</v>
      </c>
      <c r="Z289" s="202">
        <v>9.2307692307692327E-2</v>
      </c>
      <c r="AA289" s="202">
        <v>0</v>
      </c>
      <c r="AB289" s="202">
        <v>9.2307692307692327E-2</v>
      </c>
      <c r="AC289" s="202">
        <v>0</v>
      </c>
      <c r="AD289" s="202">
        <v>9.2307692307692327E-2</v>
      </c>
      <c r="AE289" s="202">
        <v>0</v>
      </c>
      <c r="AF289" s="202">
        <v>9.2307692307692327E-2</v>
      </c>
      <c r="AG289" s="202">
        <v>9.2307692307692327E-2</v>
      </c>
      <c r="AH289" s="202">
        <v>0</v>
      </c>
      <c r="AI289" s="202">
        <v>9.2307692307692327E-2</v>
      </c>
      <c r="AJ289" s="202">
        <v>9.2307692307692327E-2</v>
      </c>
      <c r="AK289" s="202">
        <v>0</v>
      </c>
      <c r="AL289" s="202">
        <v>9.2307692307692327E-2</v>
      </c>
      <c r="AM289" s="202">
        <v>0</v>
      </c>
      <c r="AN289" s="202">
        <v>9.2307692307692327E-2</v>
      </c>
      <c r="AO289" s="202">
        <v>9.2307692307692327E-2</v>
      </c>
      <c r="AP289" s="202">
        <v>9.2307692307692327E-2</v>
      </c>
      <c r="AQ289" s="202">
        <v>0</v>
      </c>
      <c r="AR289" s="202">
        <v>9.2307692307692327E-2</v>
      </c>
      <c r="AS289" s="202"/>
      <c r="AT289" s="202"/>
      <c r="AU289" s="202"/>
      <c r="AV289" s="202"/>
      <c r="AW289" s="202"/>
      <c r="AX289" s="202"/>
      <c r="AY289" s="202"/>
      <c r="AZ289" s="202"/>
      <c r="BA289" s="202"/>
      <c r="BB289" s="202"/>
      <c r="BC289" s="202"/>
      <c r="BD289" s="202"/>
      <c r="BE289" s="202"/>
      <c r="BF289" s="202"/>
      <c r="BG289" s="202"/>
      <c r="BH289" s="202"/>
      <c r="BO289" s="202"/>
      <c r="BP289" s="202"/>
    </row>
    <row r="290" spans="1:68" ht="15" customHeight="1" x14ac:dyDescent="0.25">
      <c r="A290" s="202"/>
      <c r="B290" s="202"/>
      <c r="C290" s="202"/>
      <c r="D290" s="202"/>
      <c r="E290" s="202"/>
      <c r="F290" s="202"/>
      <c r="G290" s="202"/>
      <c r="H290" s="202"/>
      <c r="I290" s="202"/>
      <c r="J290" s="202"/>
      <c r="K290" s="202"/>
      <c r="L290" s="202"/>
      <c r="M290" s="202"/>
      <c r="N290" s="202"/>
      <c r="O290" s="202"/>
      <c r="P290" s="202">
        <v>0</v>
      </c>
      <c r="Q290" s="202">
        <v>2</v>
      </c>
      <c r="R290" s="202">
        <v>0</v>
      </c>
      <c r="S290" s="202">
        <v>2</v>
      </c>
      <c r="T290" s="202">
        <v>0</v>
      </c>
      <c r="U290" s="202">
        <v>2</v>
      </c>
      <c r="V290" s="202">
        <v>2</v>
      </c>
      <c r="W290" s="202">
        <v>0</v>
      </c>
      <c r="X290" s="202">
        <v>2</v>
      </c>
      <c r="Y290" s="202">
        <v>0</v>
      </c>
      <c r="Z290" s="202">
        <v>2</v>
      </c>
      <c r="AA290" s="202">
        <v>0</v>
      </c>
      <c r="AB290" s="202">
        <v>2</v>
      </c>
      <c r="AC290" s="202">
        <v>0</v>
      </c>
      <c r="AD290" s="202">
        <v>2</v>
      </c>
      <c r="AE290" s="202">
        <v>0</v>
      </c>
      <c r="AF290" s="202">
        <v>2</v>
      </c>
      <c r="AG290" s="202">
        <v>2</v>
      </c>
      <c r="AH290" s="202">
        <v>0</v>
      </c>
      <c r="AI290" s="202">
        <v>2</v>
      </c>
      <c r="AJ290" s="202">
        <v>2</v>
      </c>
      <c r="AK290" s="202">
        <v>0</v>
      </c>
      <c r="AL290" s="202">
        <v>2</v>
      </c>
      <c r="AM290" s="202">
        <v>0</v>
      </c>
      <c r="AN290" s="202">
        <v>2</v>
      </c>
      <c r="AO290" s="202">
        <v>2</v>
      </c>
      <c r="AP290" s="202">
        <v>2</v>
      </c>
      <c r="AQ290" s="202">
        <v>0</v>
      </c>
      <c r="AR290" s="202">
        <v>2</v>
      </c>
      <c r="AS290" s="202"/>
      <c r="AT290" s="202"/>
      <c r="AU290" s="202"/>
      <c r="AV290" s="202"/>
      <c r="AW290" s="202"/>
      <c r="AX290" s="202"/>
      <c r="AY290" s="202"/>
      <c r="AZ290" s="202"/>
      <c r="BA290" s="202"/>
      <c r="BB290" s="202"/>
      <c r="BC290" s="202"/>
      <c r="BD290" s="202"/>
      <c r="BE290" s="202"/>
      <c r="BF290" s="202"/>
      <c r="BG290" s="202"/>
      <c r="BH290" s="202"/>
      <c r="BO290" s="202"/>
      <c r="BP290" s="202"/>
    </row>
    <row r="291" spans="1:68" ht="15" customHeight="1" x14ac:dyDescent="0.25">
      <c r="A291" s="202"/>
      <c r="B291" s="202"/>
      <c r="C291" s="202"/>
      <c r="D291" s="202"/>
      <c r="E291" s="202"/>
      <c r="F291" s="202"/>
      <c r="G291" s="202"/>
      <c r="H291" s="202"/>
      <c r="I291" s="202"/>
      <c r="J291" s="202"/>
      <c r="K291" s="202"/>
      <c r="L291" s="202"/>
      <c r="M291" s="202"/>
      <c r="N291" s="202"/>
      <c r="O291" s="202"/>
      <c r="P291" s="202">
        <v>0</v>
      </c>
      <c r="Q291" s="202">
        <v>0.8</v>
      </c>
      <c r="R291" s="202">
        <v>0</v>
      </c>
      <c r="S291" s="202">
        <v>0.8</v>
      </c>
      <c r="T291" s="202">
        <v>0</v>
      </c>
      <c r="U291" s="202">
        <v>0.8</v>
      </c>
      <c r="V291" s="202">
        <v>0.8</v>
      </c>
      <c r="W291" s="202">
        <v>0</v>
      </c>
      <c r="X291" s="202">
        <v>0.8</v>
      </c>
      <c r="Y291" s="202">
        <v>0</v>
      </c>
      <c r="Z291" s="202">
        <v>0.8</v>
      </c>
      <c r="AA291" s="202">
        <v>0</v>
      </c>
      <c r="AB291" s="202">
        <v>0.8</v>
      </c>
      <c r="AC291" s="202">
        <v>0</v>
      </c>
      <c r="AD291" s="202">
        <v>0.8</v>
      </c>
      <c r="AE291" s="202">
        <v>0</v>
      </c>
      <c r="AF291" s="202">
        <v>0.8</v>
      </c>
      <c r="AG291" s="202">
        <v>0.8</v>
      </c>
      <c r="AH291" s="202">
        <v>0</v>
      </c>
      <c r="AI291" s="202">
        <v>0.8</v>
      </c>
      <c r="AJ291" s="202">
        <v>0.8</v>
      </c>
      <c r="AK291" s="202">
        <v>0</v>
      </c>
      <c r="AL291" s="202">
        <v>0.8</v>
      </c>
      <c r="AM291" s="202">
        <v>0</v>
      </c>
      <c r="AN291" s="202">
        <v>0.8</v>
      </c>
      <c r="AO291" s="202">
        <v>0.8</v>
      </c>
      <c r="AP291" s="202">
        <v>0.8</v>
      </c>
      <c r="AQ291" s="202">
        <v>0</v>
      </c>
      <c r="AR291" s="202">
        <v>0.8</v>
      </c>
      <c r="AS291" s="202"/>
      <c r="AT291" s="202"/>
      <c r="AU291" s="202"/>
      <c r="AV291" s="202"/>
      <c r="AW291" s="202"/>
      <c r="AX291" s="202"/>
      <c r="AY291" s="202"/>
      <c r="AZ291" s="202"/>
      <c r="BA291" s="202"/>
      <c r="BB291" s="202"/>
      <c r="BC291" s="202"/>
      <c r="BD291" s="202"/>
      <c r="BE291" s="202"/>
      <c r="BF291" s="202"/>
      <c r="BG291" s="202"/>
      <c r="BH291" s="202"/>
      <c r="BO291" s="202"/>
      <c r="BP291" s="202"/>
    </row>
    <row r="292" spans="1:68" ht="15" customHeight="1" x14ac:dyDescent="0.25">
      <c r="A292" s="202"/>
      <c r="B292" s="202"/>
      <c r="C292" s="202"/>
      <c r="D292" s="202"/>
      <c r="E292" s="202"/>
      <c r="F292" s="202"/>
      <c r="G292" s="202"/>
      <c r="H292" s="202"/>
      <c r="I292" s="202"/>
      <c r="J292" s="202"/>
      <c r="K292" s="202"/>
      <c r="L292" s="202"/>
      <c r="M292" s="202"/>
      <c r="N292" s="202"/>
      <c r="O292" s="202"/>
      <c r="P292" s="202"/>
      <c r="Q292" s="202"/>
      <c r="R292" s="202"/>
      <c r="S292" s="202"/>
      <c r="T292" s="202"/>
      <c r="U292" s="202"/>
      <c r="V292" s="202"/>
      <c r="W292" s="202"/>
      <c r="X292" s="202"/>
      <c r="Y292" s="202"/>
      <c r="Z292" s="202"/>
      <c r="AA292" s="202"/>
      <c r="AB292" s="202"/>
      <c r="AC292" s="202"/>
      <c r="AD292" s="202"/>
      <c r="AE292" s="202"/>
      <c r="AF292" s="202"/>
      <c r="AG292" s="202"/>
      <c r="AH292" s="202"/>
      <c r="AI292" s="202"/>
      <c r="AJ292" s="202"/>
      <c r="AK292" s="202"/>
      <c r="AL292" s="202"/>
      <c r="AM292" s="202"/>
      <c r="AN292" s="202"/>
      <c r="AO292" s="202"/>
      <c r="AP292" s="202"/>
      <c r="AQ292" s="202"/>
      <c r="AR292" s="202"/>
      <c r="AS292" s="202"/>
      <c r="AT292" s="202"/>
      <c r="AU292" s="202"/>
      <c r="AV292" s="202"/>
      <c r="AW292" s="202"/>
      <c r="AX292" s="202"/>
      <c r="AY292" s="202"/>
      <c r="AZ292" s="202"/>
      <c r="BA292" s="202"/>
      <c r="BB292" s="202"/>
      <c r="BC292" s="202"/>
      <c r="BD292" s="202"/>
      <c r="BE292" s="202"/>
      <c r="BF292" s="202"/>
      <c r="BG292" s="202"/>
      <c r="BH292" s="202"/>
      <c r="BO292" s="202"/>
      <c r="BP292" s="202"/>
    </row>
    <row r="293" spans="1:68" ht="15" customHeight="1" x14ac:dyDescent="0.25">
      <c r="BO293" s="202"/>
    </row>
    <row r="294" spans="1:68" ht="15" customHeight="1" x14ac:dyDescent="0.25">
      <c r="BO294" s="202"/>
    </row>
    <row r="295" spans="1:68" ht="15" customHeight="1" x14ac:dyDescent="0.25">
      <c r="BO295" s="202"/>
    </row>
    <row r="296" spans="1:68" ht="15" customHeight="1" x14ac:dyDescent="0.25">
      <c r="BO296" s="202"/>
    </row>
    <row r="297" spans="1:68" ht="15" customHeight="1" x14ac:dyDescent="0.25">
      <c r="BO297" s="202"/>
    </row>
    <row r="298" spans="1:68" ht="15" customHeight="1" x14ac:dyDescent="0.25">
      <c r="BO298" s="202"/>
    </row>
    <row r="299" spans="1:68" ht="15" customHeight="1" x14ac:dyDescent="0.25">
      <c r="BO299" s="202"/>
    </row>
    <row r="300" spans="1:68" ht="15" customHeight="1" x14ac:dyDescent="0.25">
      <c r="BO300" s="202"/>
    </row>
    <row r="301" spans="1:68" ht="15" customHeight="1" x14ac:dyDescent="0.25">
      <c r="BO301" s="202"/>
    </row>
    <row r="302" spans="1:68" ht="15" customHeight="1" x14ac:dyDescent="0.25">
      <c r="BO302" s="202"/>
    </row>
    <row r="303" spans="1:68" ht="15" customHeight="1" x14ac:dyDescent="0.25">
      <c r="BO303" s="202"/>
    </row>
    <row r="304" spans="1:68" ht="15" customHeight="1" x14ac:dyDescent="0.25">
      <c r="BO304" s="202"/>
    </row>
    <row r="305" spans="67:67" ht="15" customHeight="1" x14ac:dyDescent="0.25">
      <c r="BO305" s="202"/>
    </row>
    <row r="306" spans="67:67" ht="15" customHeight="1" x14ac:dyDescent="0.25">
      <c r="BO306" s="202"/>
    </row>
    <row r="307" spans="67:67" ht="15" customHeight="1" x14ac:dyDescent="0.25">
      <c r="BO307" s="202"/>
    </row>
    <row r="308" spans="67:67" ht="15" customHeight="1" x14ac:dyDescent="0.25">
      <c r="BO308" s="202"/>
    </row>
    <row r="309" spans="67:67" ht="15" customHeight="1" x14ac:dyDescent="0.25">
      <c r="BO309" s="202"/>
    </row>
    <row r="310" spans="67:67" ht="15" customHeight="1" x14ac:dyDescent="0.25">
      <c r="BO310" s="202"/>
    </row>
    <row r="311" spans="67:67" ht="15" customHeight="1" x14ac:dyDescent="0.25">
      <c r="BO311" s="202"/>
    </row>
    <row r="312" spans="67:67" ht="15" customHeight="1" x14ac:dyDescent="0.25">
      <c r="BO312" s="202"/>
    </row>
    <row r="313" spans="67:67" ht="15" customHeight="1" x14ac:dyDescent="0.25">
      <c r="BO313" s="202"/>
    </row>
    <row r="314" spans="67:67" ht="15" customHeight="1" x14ac:dyDescent="0.25">
      <c r="BO314" s="202"/>
    </row>
    <row r="315" spans="67:67" ht="15" customHeight="1" x14ac:dyDescent="0.25">
      <c r="BO315" s="202"/>
    </row>
    <row r="316" spans="67:67" ht="15" customHeight="1" x14ac:dyDescent="0.25">
      <c r="BO316" s="202"/>
    </row>
    <row r="317" spans="67:67" ht="15" customHeight="1" x14ac:dyDescent="0.25">
      <c r="BO317" s="202"/>
    </row>
    <row r="318" spans="67:67" ht="15" customHeight="1" x14ac:dyDescent="0.25">
      <c r="BO318" s="202"/>
    </row>
    <row r="319" spans="67:67" ht="15" customHeight="1" x14ac:dyDescent="0.25">
      <c r="BO319" s="202"/>
    </row>
    <row r="320" spans="67:67" ht="15" customHeight="1" x14ac:dyDescent="0.25">
      <c r="BO320" s="202"/>
    </row>
    <row r="321" spans="67:67" ht="15" customHeight="1" x14ac:dyDescent="0.25">
      <c r="BO321" s="202"/>
    </row>
    <row r="322" spans="67:67" ht="15" customHeight="1" x14ac:dyDescent="0.25">
      <c r="BO322" s="202"/>
    </row>
    <row r="323" spans="67:67" ht="15" customHeight="1" x14ac:dyDescent="0.25">
      <c r="BO323" s="202"/>
    </row>
    <row r="324" spans="67:67" ht="15" customHeight="1" x14ac:dyDescent="0.25">
      <c r="BO324" s="202"/>
    </row>
    <row r="325" spans="67:67" ht="15" customHeight="1" x14ac:dyDescent="0.25">
      <c r="BO325" s="202"/>
    </row>
    <row r="326" spans="67:67" ht="15" customHeight="1" x14ac:dyDescent="0.25">
      <c r="BO326" s="202"/>
    </row>
    <row r="327" spans="67:67" ht="15" customHeight="1" x14ac:dyDescent="0.25">
      <c r="BO327" s="202"/>
    </row>
    <row r="328" spans="67:67" ht="15" customHeight="1" x14ac:dyDescent="0.25">
      <c r="BO328" s="202"/>
    </row>
    <row r="329" spans="67:67" ht="15" customHeight="1" x14ac:dyDescent="0.25">
      <c r="BO329" s="202"/>
    </row>
    <row r="330" spans="67:67" ht="15" customHeight="1" x14ac:dyDescent="0.25">
      <c r="BO330" s="202"/>
    </row>
    <row r="331" spans="67:67" ht="15" customHeight="1" x14ac:dyDescent="0.25">
      <c r="BO331" s="202"/>
    </row>
    <row r="332" spans="67:67" ht="15" customHeight="1" x14ac:dyDescent="0.25">
      <c r="BO332" s="202"/>
    </row>
    <row r="333" spans="67:67" ht="15" customHeight="1" x14ac:dyDescent="0.25">
      <c r="BO333" s="202"/>
    </row>
    <row r="334" spans="67:67" ht="15" customHeight="1" x14ac:dyDescent="0.25">
      <c r="BO334" s="202"/>
    </row>
    <row r="335" spans="67:67" ht="15" customHeight="1" x14ac:dyDescent="0.25">
      <c r="BO335" s="202"/>
    </row>
    <row r="336" spans="67:67" ht="15" customHeight="1" x14ac:dyDescent="0.25">
      <c r="BO336" s="202"/>
    </row>
    <row r="337" spans="67:67" ht="15" customHeight="1" x14ac:dyDescent="0.25">
      <c r="BO337" s="202"/>
    </row>
    <row r="338" spans="67:67" ht="15" customHeight="1" x14ac:dyDescent="0.25">
      <c r="BO338" s="202"/>
    </row>
    <row r="339" spans="67:67" ht="15" customHeight="1" x14ac:dyDescent="0.25">
      <c r="BO339" s="202"/>
    </row>
    <row r="340" spans="67:67" ht="15" customHeight="1" x14ac:dyDescent="0.25">
      <c r="BO340" s="202"/>
    </row>
    <row r="341" spans="67:67" ht="15" customHeight="1" x14ac:dyDescent="0.25">
      <c r="BO341" s="202"/>
    </row>
    <row r="342" spans="67:67" ht="15" customHeight="1" x14ac:dyDescent="0.25">
      <c r="BO342" s="202"/>
    </row>
    <row r="343" spans="67:67" ht="15" customHeight="1" x14ac:dyDescent="0.25">
      <c r="BO343" s="202"/>
    </row>
    <row r="344" spans="67:67" ht="15" customHeight="1" x14ac:dyDescent="0.25">
      <c r="BO344" s="202"/>
    </row>
    <row r="345" spans="67:67" ht="15" customHeight="1" x14ac:dyDescent="0.25">
      <c r="BO345" s="202"/>
    </row>
    <row r="346" spans="67:67" ht="15" customHeight="1" x14ac:dyDescent="0.25">
      <c r="BO346" s="202"/>
    </row>
    <row r="347" spans="67:67" ht="15" customHeight="1" x14ac:dyDescent="0.25">
      <c r="BO347" s="202"/>
    </row>
    <row r="348" spans="67:67" ht="15" customHeight="1" x14ac:dyDescent="0.25">
      <c r="BO348" s="202"/>
    </row>
    <row r="349" spans="67:67" ht="15" customHeight="1" x14ac:dyDescent="0.25">
      <c r="BO349" s="202"/>
    </row>
    <row r="350" spans="67:67" ht="15" customHeight="1" x14ac:dyDescent="0.25">
      <c r="BO350" s="202"/>
    </row>
    <row r="351" spans="67:67" ht="15" customHeight="1" x14ac:dyDescent="0.25">
      <c r="BO351" s="202"/>
    </row>
    <row r="352" spans="67:67" ht="15" customHeight="1" x14ac:dyDescent="0.25">
      <c r="BO352" s="202"/>
    </row>
    <row r="353" spans="67:67" ht="15" customHeight="1" x14ac:dyDescent="0.25">
      <c r="BO353" s="202"/>
    </row>
    <row r="354" spans="67:67" ht="15" customHeight="1" x14ac:dyDescent="0.25">
      <c r="BO354" s="202"/>
    </row>
    <row r="355" spans="67:67" ht="15" customHeight="1" x14ac:dyDescent="0.25">
      <c r="BO355" s="202"/>
    </row>
    <row r="356" spans="67:67" ht="15" customHeight="1" x14ac:dyDescent="0.25">
      <c r="BO356" s="202"/>
    </row>
  </sheetData>
  <pageMargins left="0.7" right="0.7" top="0.75" bottom="0.75" header="0.3" footer="0.3"/>
  <ignoredErrors>
    <ignoredError sqref="D119 BD166 D40 D166:K166 AT166:AZ166 M166:AR166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9E2FA1-BA0A-43FF-B15A-E1B3B4C2B965}">
  <sheetPr>
    <tabColor theme="7" tint="0.79998168889431442"/>
  </sheetPr>
  <dimension ref="A2:BD31"/>
  <sheetViews>
    <sheetView workbookViewId="0">
      <pane xSplit="3" ySplit="3" topLeftCell="D10" activePane="bottomRight" state="frozen"/>
      <selection pane="topRight" activeCell="D1" sqref="D1"/>
      <selection pane="bottomLeft" activeCell="A4" sqref="A4"/>
      <selection pane="bottomRight" activeCell="C29" sqref="C29"/>
    </sheetView>
  </sheetViews>
  <sheetFormatPr defaultRowHeight="15" customHeight="1" x14ac:dyDescent="0.25"/>
  <cols>
    <col min="2" max="2" width="50.5703125" bestFit="1" customWidth="1"/>
    <col min="3" max="3" width="18.140625" customWidth="1"/>
    <col min="4" max="4" width="12.7109375" bestFit="1" customWidth="1"/>
    <col min="5" max="8" width="12.7109375" customWidth="1"/>
    <col min="9" max="9" width="12.7109375" bestFit="1" customWidth="1"/>
    <col min="10" max="10" width="12" customWidth="1"/>
    <col min="11" max="11" width="10.7109375" bestFit="1" customWidth="1"/>
    <col min="12" max="12" width="10.7109375" customWidth="1"/>
    <col min="13" max="15" width="11.5703125" bestFit="1" customWidth="1"/>
    <col min="16" max="16" width="9.7109375" customWidth="1"/>
    <col min="17" max="17" width="11.5703125" bestFit="1" customWidth="1"/>
    <col min="18" max="18" width="9.28515625" bestFit="1" customWidth="1"/>
    <col min="19" max="19" width="11.5703125" bestFit="1" customWidth="1"/>
    <col min="20" max="20" width="9.28515625" customWidth="1"/>
    <col min="21" max="21" width="11.5703125" bestFit="1" customWidth="1"/>
    <col min="22" max="22" width="11.5703125" customWidth="1"/>
    <col min="23" max="50" width="11.28515625" customWidth="1"/>
    <col min="51" max="55" width="11.7109375" customWidth="1"/>
    <col min="56" max="56" width="9.28515625" bestFit="1" customWidth="1"/>
  </cols>
  <sheetData>
    <row r="2" spans="1:56" ht="30" x14ac:dyDescent="0.25">
      <c r="A2" s="47"/>
      <c r="B2" s="48"/>
      <c r="C2" s="48"/>
      <c r="D2" s="49" t="s">
        <v>413</v>
      </c>
      <c r="E2" s="49" t="s">
        <v>414</v>
      </c>
      <c r="F2" s="49" t="s">
        <v>415</v>
      </c>
      <c r="G2" s="49" t="s">
        <v>416</v>
      </c>
      <c r="H2" s="49" t="s">
        <v>417</v>
      </c>
      <c r="I2" s="49" t="s">
        <v>438</v>
      </c>
      <c r="J2" s="49" t="s">
        <v>439</v>
      </c>
      <c r="K2" s="49" t="s">
        <v>440</v>
      </c>
      <c r="L2" s="49" t="s">
        <v>459</v>
      </c>
      <c r="M2" s="49" t="s">
        <v>441</v>
      </c>
      <c r="N2" s="49" t="s">
        <v>442</v>
      </c>
      <c r="O2" s="49" t="s">
        <v>443</v>
      </c>
      <c r="P2" s="49" t="s">
        <v>444</v>
      </c>
      <c r="Q2" s="49" t="s">
        <v>445</v>
      </c>
      <c r="R2" s="49" t="s">
        <v>446</v>
      </c>
      <c r="S2" s="49" t="s">
        <v>447</v>
      </c>
      <c r="T2" s="49" t="s">
        <v>448</v>
      </c>
      <c r="U2" s="49" t="s">
        <v>449</v>
      </c>
      <c r="V2" s="49" t="s">
        <v>450</v>
      </c>
      <c r="W2" s="49" t="s">
        <v>451</v>
      </c>
      <c r="X2" s="49" t="s">
        <v>357</v>
      </c>
      <c r="Y2" s="49" t="s">
        <v>345</v>
      </c>
      <c r="Z2" s="49" t="s">
        <v>358</v>
      </c>
      <c r="AA2" s="49" t="s">
        <v>346</v>
      </c>
      <c r="AB2" s="49" t="s">
        <v>359</v>
      </c>
      <c r="AC2" s="49" t="s">
        <v>347</v>
      </c>
      <c r="AD2" s="49" t="s">
        <v>360</v>
      </c>
      <c r="AE2" s="49" t="s">
        <v>348</v>
      </c>
      <c r="AF2" s="49" t="s">
        <v>361</v>
      </c>
      <c r="AG2" s="49" t="s">
        <v>362</v>
      </c>
      <c r="AH2" s="49" t="s">
        <v>349</v>
      </c>
      <c r="AI2" s="49" t="s">
        <v>363</v>
      </c>
      <c r="AJ2" s="49" t="s">
        <v>364</v>
      </c>
      <c r="AK2" s="49" t="s">
        <v>350</v>
      </c>
      <c r="AL2" s="49" t="s">
        <v>365</v>
      </c>
      <c r="AM2" s="49" t="s">
        <v>351</v>
      </c>
      <c r="AN2" s="49" t="s">
        <v>366</v>
      </c>
      <c r="AO2" s="49" t="s">
        <v>367</v>
      </c>
      <c r="AP2" s="49" t="s">
        <v>368</v>
      </c>
      <c r="AQ2" s="49" t="s">
        <v>352</v>
      </c>
      <c r="AR2" s="49" t="s">
        <v>369</v>
      </c>
      <c r="AS2" s="49" t="s">
        <v>353</v>
      </c>
      <c r="AT2" s="49" t="s">
        <v>370</v>
      </c>
      <c r="AU2" s="49" t="s">
        <v>371</v>
      </c>
      <c r="AV2" s="49" t="s">
        <v>372</v>
      </c>
      <c r="AW2" s="49" t="s">
        <v>373</v>
      </c>
      <c r="AX2" s="49" t="s">
        <v>458</v>
      </c>
      <c r="AY2" s="49" t="s">
        <v>452</v>
      </c>
      <c r="AZ2" s="49" t="s">
        <v>453</v>
      </c>
      <c r="BA2" s="49" t="s">
        <v>374</v>
      </c>
      <c r="BB2" s="49" t="s">
        <v>454</v>
      </c>
      <c r="BC2" s="49" t="s">
        <v>455</v>
      </c>
      <c r="BD2" s="49" t="s">
        <v>456</v>
      </c>
    </row>
    <row r="3" spans="1:56" x14ac:dyDescent="0.25">
      <c r="B3" s="3" t="s">
        <v>225</v>
      </c>
      <c r="D3" s="14" cm="1">
        <f t="array" ref="D3:BD3">_xlfn.LET(_xlpm.site,_xlfn.DROP(_xlfn._TRO_TRAILING($2:$2),0,3),_xlpm.locations,Base!$4:$4,_xlpm.launch_date,Base!$5:$5,_xlpm.months_prepaid,-_xlfn.DROP(_xlfn._TRO_TRAILING(30:30),0,3)-1,
_xlpm.site_date,_xlfn.XLOOKUP(_xlpm.site,_xlpm.locations,_xlpm.launch_date,0,0),
EOMONTH(_xlpm.site_date,_xlpm.months_prepaid)+1)</f>
        <v>44197</v>
      </c>
      <c r="E3" s="14">
        <v>45992</v>
      </c>
      <c r="F3" s="14">
        <v>46266</v>
      </c>
      <c r="G3" s="14">
        <v>46357</v>
      </c>
      <c r="H3" s="14">
        <v>46722</v>
      </c>
      <c r="I3" s="14">
        <v>44136</v>
      </c>
      <c r="J3" s="14">
        <v>44197</v>
      </c>
      <c r="K3" s="14">
        <v>45444</v>
      </c>
      <c r="L3" s="14">
        <v>45505</v>
      </c>
      <c r="M3" s="14">
        <v>45931</v>
      </c>
      <c r="N3" s="14">
        <v>45931</v>
      </c>
      <c r="O3" s="14">
        <v>46023</v>
      </c>
      <c r="P3" s="14">
        <v>46113</v>
      </c>
      <c r="Q3" s="14">
        <v>45717</v>
      </c>
      <c r="R3" s="14">
        <v>45778</v>
      </c>
      <c r="S3" s="14">
        <v>46054</v>
      </c>
      <c r="T3" s="14">
        <v>46143</v>
      </c>
      <c r="U3" s="14">
        <v>46023</v>
      </c>
      <c r="V3" s="14">
        <v>46266</v>
      </c>
      <c r="W3" s="14">
        <v>46327</v>
      </c>
      <c r="X3" s="14">
        <v>46204</v>
      </c>
      <c r="Y3" s="14">
        <v>46296</v>
      </c>
      <c r="Z3" s="14">
        <v>46143</v>
      </c>
      <c r="AA3" s="14">
        <v>46419</v>
      </c>
      <c r="AB3" s="14">
        <v>46388</v>
      </c>
      <c r="AC3" s="14">
        <v>46539</v>
      </c>
      <c r="AD3" s="14">
        <v>46539</v>
      </c>
      <c r="AE3" s="14">
        <v>46661</v>
      </c>
      <c r="AF3" s="14">
        <v>46631</v>
      </c>
      <c r="AG3" s="14">
        <v>46661</v>
      </c>
      <c r="AH3" s="14">
        <v>46813</v>
      </c>
      <c r="AI3" s="14">
        <v>46508</v>
      </c>
      <c r="AJ3" s="14">
        <v>46874</v>
      </c>
      <c r="AK3" s="14">
        <v>46905</v>
      </c>
      <c r="AL3" s="14">
        <v>46905</v>
      </c>
      <c r="AM3" s="14">
        <v>46997</v>
      </c>
      <c r="AN3" s="14">
        <v>46935</v>
      </c>
      <c r="AO3" s="14">
        <v>46966</v>
      </c>
      <c r="AP3" s="14">
        <v>46997</v>
      </c>
      <c r="AQ3" s="14">
        <v>47088</v>
      </c>
      <c r="AR3" s="14">
        <v>46143</v>
      </c>
      <c r="AS3" s="14">
        <v>46023</v>
      </c>
      <c r="AT3" s="14">
        <v>46539</v>
      </c>
      <c r="AU3" s="14">
        <v>46844</v>
      </c>
      <c r="AV3" s="14">
        <v>46113</v>
      </c>
      <c r="AW3" s="14">
        <v>46508</v>
      </c>
      <c r="AX3" s="14">
        <v>46844</v>
      </c>
      <c r="AY3" s="14">
        <v>45689</v>
      </c>
      <c r="AZ3" s="14">
        <v>44958</v>
      </c>
      <c r="BA3" s="14">
        <v>46235</v>
      </c>
      <c r="BB3" s="14">
        <v>46023</v>
      </c>
      <c r="BC3" s="14">
        <v>46388</v>
      </c>
      <c r="BD3" s="14">
        <v>44927</v>
      </c>
    </row>
    <row r="4" spans="1:56" x14ac:dyDescent="0.25">
      <c r="B4" s="1" t="s">
        <v>375</v>
      </c>
    </row>
    <row r="5" spans="1:56" x14ac:dyDescent="0.25">
      <c r="B5" s="39" t="s">
        <v>226</v>
      </c>
      <c r="C5" t="s">
        <v>227</v>
      </c>
      <c r="D5" s="6">
        <v>0</v>
      </c>
      <c r="E5" s="6">
        <v>0</v>
      </c>
      <c r="F5" s="6">
        <v>0</v>
      </c>
      <c r="G5" s="6">
        <v>0</v>
      </c>
      <c r="H5" s="6">
        <v>0</v>
      </c>
      <c r="I5" s="6">
        <v>0</v>
      </c>
      <c r="J5" s="6">
        <v>0</v>
      </c>
      <c r="K5" s="6">
        <v>0</v>
      </c>
      <c r="L5" s="6">
        <v>0</v>
      </c>
      <c r="M5" s="6">
        <v>1100000</v>
      </c>
      <c r="N5" s="6">
        <v>1100000</v>
      </c>
      <c r="O5" s="6">
        <v>1100000</v>
      </c>
      <c r="P5" s="6">
        <v>0</v>
      </c>
      <c r="Q5" s="6">
        <v>1100000</v>
      </c>
      <c r="R5" s="6">
        <v>0</v>
      </c>
      <c r="S5" s="6">
        <v>1100000</v>
      </c>
      <c r="T5" s="6">
        <v>0</v>
      </c>
      <c r="U5" s="6">
        <v>1100000</v>
      </c>
      <c r="V5" s="6">
        <v>1100000</v>
      </c>
      <c r="W5" s="6">
        <v>0</v>
      </c>
      <c r="X5" s="6">
        <v>1100000</v>
      </c>
      <c r="Y5" s="6">
        <v>0</v>
      </c>
      <c r="Z5" s="6">
        <v>1100000</v>
      </c>
      <c r="AA5" s="6">
        <v>0</v>
      </c>
      <c r="AB5" s="6">
        <v>1100000</v>
      </c>
      <c r="AC5" s="6">
        <v>0</v>
      </c>
      <c r="AD5" s="6">
        <v>1100000</v>
      </c>
      <c r="AE5" s="6">
        <v>0</v>
      </c>
      <c r="AF5" s="6">
        <v>1100000</v>
      </c>
      <c r="AG5" s="6">
        <v>1100000</v>
      </c>
      <c r="AH5" s="6">
        <v>0</v>
      </c>
      <c r="AI5" s="6">
        <v>1100000</v>
      </c>
      <c r="AJ5" s="6">
        <v>1100000</v>
      </c>
      <c r="AK5" s="6">
        <v>0</v>
      </c>
      <c r="AL5" s="6">
        <v>1100000</v>
      </c>
      <c r="AM5" s="6">
        <v>0</v>
      </c>
      <c r="AN5" s="6">
        <v>1100000</v>
      </c>
      <c r="AO5" s="6">
        <v>1100000</v>
      </c>
      <c r="AP5" s="6">
        <v>1100000</v>
      </c>
      <c r="AQ5" s="6">
        <v>0</v>
      </c>
      <c r="AR5" s="6">
        <v>614000</v>
      </c>
      <c r="AS5" s="6">
        <v>0</v>
      </c>
      <c r="AT5" s="6">
        <v>614000</v>
      </c>
      <c r="AU5" s="6">
        <v>614000</v>
      </c>
      <c r="AV5" s="6">
        <v>614000</v>
      </c>
      <c r="AW5" s="6">
        <v>614000</v>
      </c>
      <c r="AX5" s="6">
        <v>614000</v>
      </c>
      <c r="AY5" s="6">
        <v>614000</v>
      </c>
      <c r="AZ5" s="6">
        <v>0</v>
      </c>
      <c r="BA5" s="6">
        <v>614000</v>
      </c>
      <c r="BB5" s="6">
        <v>0</v>
      </c>
      <c r="BC5" s="6">
        <v>0</v>
      </c>
      <c r="BD5" s="6">
        <v>0</v>
      </c>
    </row>
    <row r="6" spans="1:56" x14ac:dyDescent="0.25">
      <c r="B6" s="39" t="s">
        <v>228</v>
      </c>
      <c r="C6" t="s">
        <v>227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-200000</v>
      </c>
      <c r="N6" s="6">
        <v>-200000</v>
      </c>
      <c r="O6" s="6">
        <v>-200000</v>
      </c>
      <c r="P6" s="6">
        <v>0</v>
      </c>
      <c r="Q6" s="6">
        <v>-200000</v>
      </c>
      <c r="R6" s="6">
        <v>0</v>
      </c>
      <c r="S6" s="6">
        <v>-200000</v>
      </c>
      <c r="T6" s="6">
        <v>0</v>
      </c>
      <c r="U6" s="6">
        <v>-200000</v>
      </c>
      <c r="V6" s="6">
        <v>-200000</v>
      </c>
      <c r="W6" s="6">
        <v>0</v>
      </c>
      <c r="X6" s="6">
        <v>-200000</v>
      </c>
      <c r="Y6" s="6">
        <v>0</v>
      </c>
      <c r="Z6" s="6">
        <v>-200000</v>
      </c>
      <c r="AA6" s="6">
        <v>0</v>
      </c>
      <c r="AB6" s="6">
        <v>-200000</v>
      </c>
      <c r="AC6" s="6">
        <v>0</v>
      </c>
      <c r="AD6" s="6">
        <v>-200000</v>
      </c>
      <c r="AE6" s="6">
        <v>0</v>
      </c>
      <c r="AF6" s="6">
        <v>-200000</v>
      </c>
      <c r="AG6" s="6">
        <v>-200000</v>
      </c>
      <c r="AH6" s="6">
        <v>0</v>
      </c>
      <c r="AI6" s="6">
        <v>-200000</v>
      </c>
      <c r="AJ6" s="6">
        <v>-200000</v>
      </c>
      <c r="AK6" s="6">
        <v>0</v>
      </c>
      <c r="AL6" s="6">
        <v>-200000</v>
      </c>
      <c r="AM6" s="6">
        <v>0</v>
      </c>
      <c r="AN6" s="6">
        <v>-200000</v>
      </c>
      <c r="AO6" s="6">
        <v>-200000</v>
      </c>
      <c r="AP6" s="6">
        <v>-200000</v>
      </c>
      <c r="AQ6" s="6">
        <v>0</v>
      </c>
      <c r="AR6" s="6">
        <v>-150000</v>
      </c>
      <c r="AS6" s="6">
        <v>0</v>
      </c>
      <c r="AT6" s="6">
        <v>-150000</v>
      </c>
      <c r="AU6" s="6">
        <v>-150000</v>
      </c>
      <c r="AV6" s="6">
        <v>-150000</v>
      </c>
      <c r="AW6" s="6">
        <v>-150000</v>
      </c>
      <c r="AX6" s="6">
        <v>-150000</v>
      </c>
      <c r="AY6" s="6">
        <v>-150000</v>
      </c>
      <c r="AZ6" s="6">
        <v>0</v>
      </c>
      <c r="BA6" s="6">
        <v>-150000</v>
      </c>
      <c r="BB6" s="6">
        <v>0</v>
      </c>
      <c r="BC6" s="6">
        <v>0</v>
      </c>
      <c r="BD6" s="6">
        <v>0</v>
      </c>
    </row>
    <row r="7" spans="1:56" x14ac:dyDescent="0.25">
      <c r="B7" s="39" t="s">
        <v>229</v>
      </c>
      <c r="C7" t="s">
        <v>227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15000</v>
      </c>
      <c r="N7" s="6">
        <v>15000</v>
      </c>
      <c r="O7" s="6">
        <v>15000</v>
      </c>
      <c r="P7" s="6">
        <v>0</v>
      </c>
      <c r="Q7" s="6">
        <v>15000</v>
      </c>
      <c r="R7" s="6">
        <v>0</v>
      </c>
      <c r="S7" s="6">
        <v>15000</v>
      </c>
      <c r="T7" s="6">
        <v>0</v>
      </c>
      <c r="U7" s="6">
        <v>15000</v>
      </c>
      <c r="V7" s="6">
        <v>15000</v>
      </c>
      <c r="W7" s="6">
        <v>0</v>
      </c>
      <c r="X7" s="6">
        <v>15000</v>
      </c>
      <c r="Y7" s="6">
        <v>0</v>
      </c>
      <c r="Z7" s="6">
        <v>15000</v>
      </c>
      <c r="AA7" s="6">
        <v>0</v>
      </c>
      <c r="AB7" s="6">
        <v>15000</v>
      </c>
      <c r="AC7" s="6">
        <v>0</v>
      </c>
      <c r="AD7" s="6">
        <v>15000</v>
      </c>
      <c r="AE7" s="6">
        <v>0</v>
      </c>
      <c r="AF7" s="6">
        <v>15000</v>
      </c>
      <c r="AG7" s="6">
        <v>15000</v>
      </c>
      <c r="AH7" s="6">
        <v>0</v>
      </c>
      <c r="AI7" s="6">
        <v>15000</v>
      </c>
      <c r="AJ7" s="6">
        <v>15000</v>
      </c>
      <c r="AK7" s="6">
        <v>0</v>
      </c>
      <c r="AL7" s="6">
        <v>15000</v>
      </c>
      <c r="AM7" s="6">
        <v>0</v>
      </c>
      <c r="AN7" s="6">
        <v>15000</v>
      </c>
      <c r="AO7" s="6">
        <v>15000</v>
      </c>
      <c r="AP7" s="6">
        <v>15000</v>
      </c>
      <c r="AQ7" s="6">
        <v>0</v>
      </c>
      <c r="AR7" s="6">
        <v>15000</v>
      </c>
      <c r="AS7" s="6">
        <v>0</v>
      </c>
      <c r="AT7" s="6">
        <v>15000</v>
      </c>
      <c r="AU7" s="6">
        <v>15000</v>
      </c>
      <c r="AV7" s="6">
        <v>15000</v>
      </c>
      <c r="AW7" s="6">
        <v>15000</v>
      </c>
      <c r="AX7" s="6">
        <v>15000</v>
      </c>
      <c r="AY7" s="6">
        <v>15000</v>
      </c>
      <c r="AZ7" s="6">
        <v>0</v>
      </c>
      <c r="BA7" s="6">
        <v>15000</v>
      </c>
      <c r="BB7" s="6">
        <v>0</v>
      </c>
      <c r="BC7" s="6">
        <v>0</v>
      </c>
      <c r="BD7" s="6">
        <v>0</v>
      </c>
    </row>
    <row r="8" spans="1:56" x14ac:dyDescent="0.25">
      <c r="B8" s="39" t="s">
        <v>230</v>
      </c>
      <c r="C8" t="s">
        <v>231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55000</v>
      </c>
      <c r="N8" s="6">
        <v>55000</v>
      </c>
      <c r="O8" s="6">
        <v>55000</v>
      </c>
      <c r="P8" s="6">
        <v>0</v>
      </c>
      <c r="Q8" s="6">
        <v>55000</v>
      </c>
      <c r="R8" s="6">
        <v>0</v>
      </c>
      <c r="S8" s="6">
        <v>55000</v>
      </c>
      <c r="T8" s="6">
        <v>0</v>
      </c>
      <c r="U8" s="6">
        <v>55000</v>
      </c>
      <c r="V8" s="6">
        <v>55000</v>
      </c>
      <c r="W8" s="6">
        <v>0</v>
      </c>
      <c r="X8" s="6">
        <v>55000</v>
      </c>
      <c r="Y8" s="6">
        <v>0</v>
      </c>
      <c r="Z8" s="6">
        <v>55000</v>
      </c>
      <c r="AA8" s="6">
        <v>0</v>
      </c>
      <c r="AB8" s="6">
        <v>55000</v>
      </c>
      <c r="AC8" s="6">
        <v>0</v>
      </c>
      <c r="AD8" s="6">
        <v>55000</v>
      </c>
      <c r="AE8" s="6">
        <v>0</v>
      </c>
      <c r="AF8" s="6">
        <v>55000</v>
      </c>
      <c r="AG8" s="6">
        <v>55000</v>
      </c>
      <c r="AH8" s="6">
        <v>0</v>
      </c>
      <c r="AI8" s="6">
        <v>55000</v>
      </c>
      <c r="AJ8" s="6">
        <v>55000</v>
      </c>
      <c r="AK8" s="6">
        <v>0</v>
      </c>
      <c r="AL8" s="6">
        <v>55000</v>
      </c>
      <c r="AM8" s="6">
        <v>0</v>
      </c>
      <c r="AN8" s="6">
        <v>55000</v>
      </c>
      <c r="AO8" s="6">
        <v>55000</v>
      </c>
      <c r="AP8" s="6">
        <v>55000</v>
      </c>
      <c r="AQ8" s="6">
        <v>0</v>
      </c>
      <c r="AR8" s="6">
        <v>40000</v>
      </c>
      <c r="AS8" s="6">
        <v>0</v>
      </c>
      <c r="AT8" s="6">
        <v>40000</v>
      </c>
      <c r="AU8" s="6">
        <v>40000</v>
      </c>
      <c r="AV8" s="6">
        <v>40000</v>
      </c>
      <c r="AW8" s="6">
        <v>40000</v>
      </c>
      <c r="AX8" s="6">
        <v>40000</v>
      </c>
      <c r="AY8" s="6">
        <v>55000</v>
      </c>
      <c r="AZ8" s="6">
        <v>0</v>
      </c>
      <c r="BA8" s="6">
        <v>55000</v>
      </c>
      <c r="BB8" s="6">
        <v>0</v>
      </c>
      <c r="BC8" s="6">
        <v>0</v>
      </c>
      <c r="BD8" s="6">
        <v>0</v>
      </c>
    </row>
    <row r="9" spans="1:56" x14ac:dyDescent="0.25">
      <c r="B9" s="39" t="s">
        <v>232</v>
      </c>
      <c r="C9" t="s">
        <v>231</v>
      </c>
      <c r="D9" s="6">
        <v>0</v>
      </c>
      <c r="E9" s="6">
        <v>500000</v>
      </c>
      <c r="F9" s="6">
        <v>500000</v>
      </c>
      <c r="G9" s="6">
        <v>500000</v>
      </c>
      <c r="H9" s="6">
        <v>500000</v>
      </c>
      <c r="I9" s="6">
        <v>0</v>
      </c>
      <c r="J9" s="6">
        <v>0</v>
      </c>
      <c r="K9" s="6">
        <v>0</v>
      </c>
      <c r="L9" s="6">
        <v>0</v>
      </c>
      <c r="M9" s="6">
        <v>50000</v>
      </c>
      <c r="N9" s="6">
        <v>50000</v>
      </c>
      <c r="O9" s="6">
        <v>50000</v>
      </c>
      <c r="P9" s="6">
        <v>0</v>
      </c>
      <c r="Q9" s="6">
        <v>50000</v>
      </c>
      <c r="R9" s="6">
        <v>0</v>
      </c>
      <c r="S9" s="6">
        <v>50000</v>
      </c>
      <c r="T9" s="6">
        <v>0</v>
      </c>
      <c r="U9" s="6">
        <v>50000</v>
      </c>
      <c r="V9" s="6">
        <v>50000</v>
      </c>
      <c r="W9" s="6">
        <v>0</v>
      </c>
      <c r="X9" s="6">
        <v>50000</v>
      </c>
      <c r="Y9" s="6">
        <v>0</v>
      </c>
      <c r="Z9" s="6">
        <v>50000</v>
      </c>
      <c r="AA9" s="6">
        <v>0</v>
      </c>
      <c r="AB9" s="6">
        <v>50000</v>
      </c>
      <c r="AC9" s="6">
        <v>0</v>
      </c>
      <c r="AD9" s="6">
        <v>50000</v>
      </c>
      <c r="AE9" s="6">
        <v>0</v>
      </c>
      <c r="AF9" s="6">
        <v>50000</v>
      </c>
      <c r="AG9" s="6">
        <v>50000</v>
      </c>
      <c r="AH9" s="6">
        <v>0</v>
      </c>
      <c r="AI9" s="6">
        <v>50000</v>
      </c>
      <c r="AJ9" s="6">
        <v>50000</v>
      </c>
      <c r="AK9" s="6">
        <v>0</v>
      </c>
      <c r="AL9" s="6">
        <v>50000</v>
      </c>
      <c r="AM9" s="6">
        <v>0</v>
      </c>
      <c r="AN9" s="6">
        <v>50000</v>
      </c>
      <c r="AO9" s="6">
        <v>50000</v>
      </c>
      <c r="AP9" s="6">
        <v>50000</v>
      </c>
      <c r="AQ9" s="6">
        <v>0</v>
      </c>
      <c r="AR9" s="6">
        <v>50000</v>
      </c>
      <c r="AS9" s="6">
        <v>0</v>
      </c>
      <c r="AT9" s="6">
        <v>50000</v>
      </c>
      <c r="AU9" s="6">
        <v>50000</v>
      </c>
      <c r="AV9" s="6">
        <v>50000</v>
      </c>
      <c r="AW9" s="6">
        <v>50000</v>
      </c>
      <c r="AX9" s="6">
        <v>50000</v>
      </c>
      <c r="AY9" s="6">
        <v>50000</v>
      </c>
      <c r="AZ9" s="6">
        <v>0</v>
      </c>
      <c r="BA9" s="6">
        <v>50000</v>
      </c>
      <c r="BB9" s="6">
        <v>0</v>
      </c>
      <c r="BC9" s="6">
        <v>0</v>
      </c>
      <c r="BD9" s="6">
        <v>0</v>
      </c>
    </row>
    <row r="10" spans="1:56" x14ac:dyDescent="0.25">
      <c r="B10" s="39" t="s">
        <v>233</v>
      </c>
      <c r="C10" t="s">
        <v>231</v>
      </c>
      <c r="D10" s="6">
        <v>0</v>
      </c>
      <c r="E10" s="6">
        <v>0</v>
      </c>
      <c r="F10" s="6">
        <v>0</v>
      </c>
      <c r="G10" s="6">
        <v>0</v>
      </c>
      <c r="H10" s="6">
        <v>0</v>
      </c>
      <c r="I10" s="6">
        <v>0</v>
      </c>
      <c r="J10" s="6">
        <v>0</v>
      </c>
      <c r="K10" s="6">
        <v>0</v>
      </c>
      <c r="L10" s="6">
        <v>0</v>
      </c>
      <c r="M10" s="6">
        <v>0</v>
      </c>
      <c r="N10" s="6">
        <v>0</v>
      </c>
      <c r="O10" s="6">
        <v>0</v>
      </c>
      <c r="P10" s="6">
        <v>0</v>
      </c>
      <c r="Q10" s="6">
        <v>0</v>
      </c>
      <c r="R10" s="6">
        <v>0</v>
      </c>
      <c r="S10" s="6">
        <v>0</v>
      </c>
      <c r="T10" s="6">
        <v>0</v>
      </c>
      <c r="U10" s="6">
        <v>0</v>
      </c>
      <c r="V10" s="6">
        <v>0</v>
      </c>
      <c r="W10" s="6">
        <v>0</v>
      </c>
      <c r="X10" s="6">
        <v>0</v>
      </c>
      <c r="Y10" s="6">
        <v>0</v>
      </c>
      <c r="Z10" s="6">
        <v>0</v>
      </c>
      <c r="AA10" s="6">
        <v>0</v>
      </c>
      <c r="AB10" s="6">
        <v>0</v>
      </c>
      <c r="AC10" s="6">
        <v>0</v>
      </c>
      <c r="AD10" s="6">
        <v>0</v>
      </c>
      <c r="AE10" s="6">
        <v>0</v>
      </c>
      <c r="AF10" s="6">
        <v>0</v>
      </c>
      <c r="AG10" s="6">
        <v>0</v>
      </c>
      <c r="AH10" s="6">
        <v>0</v>
      </c>
      <c r="AI10" s="6">
        <v>0</v>
      </c>
      <c r="AJ10" s="6">
        <v>0</v>
      </c>
      <c r="AK10" s="6">
        <v>0</v>
      </c>
      <c r="AL10" s="6">
        <v>0</v>
      </c>
      <c r="AM10" s="6">
        <v>0</v>
      </c>
      <c r="AN10" s="6">
        <v>0</v>
      </c>
      <c r="AO10" s="6">
        <v>0</v>
      </c>
      <c r="AP10" s="6">
        <v>0</v>
      </c>
      <c r="AQ10" s="6">
        <v>0</v>
      </c>
      <c r="AR10" s="6">
        <v>0</v>
      </c>
      <c r="AS10" s="6">
        <v>0</v>
      </c>
      <c r="AT10" s="6">
        <v>0</v>
      </c>
      <c r="AU10" s="6">
        <v>0</v>
      </c>
      <c r="AV10" s="6">
        <v>0</v>
      </c>
      <c r="AW10" s="6">
        <v>0</v>
      </c>
      <c r="AX10" s="6">
        <v>0</v>
      </c>
      <c r="AY10" s="6">
        <v>0</v>
      </c>
      <c r="AZ10" s="6">
        <v>0</v>
      </c>
      <c r="BA10" s="6">
        <v>0</v>
      </c>
      <c r="BB10" s="6">
        <v>0</v>
      </c>
      <c r="BC10" s="6">
        <v>0</v>
      </c>
      <c r="BD10" s="6">
        <v>0</v>
      </c>
    </row>
    <row r="11" spans="1:56" x14ac:dyDescent="0.25">
      <c r="B11" s="39" t="s">
        <v>234</v>
      </c>
      <c r="C11" t="s">
        <v>231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6">
        <v>0</v>
      </c>
      <c r="Q11" s="6">
        <v>0</v>
      </c>
      <c r="R11" s="6">
        <v>0</v>
      </c>
      <c r="S11" s="6">
        <v>0</v>
      </c>
      <c r="T11" s="6">
        <v>0</v>
      </c>
      <c r="U11" s="6">
        <v>0</v>
      </c>
      <c r="V11" s="6">
        <v>0</v>
      </c>
      <c r="W11" s="6">
        <v>0</v>
      </c>
      <c r="X11" s="6">
        <v>0</v>
      </c>
      <c r="Y11" s="6">
        <v>0</v>
      </c>
      <c r="Z11" s="6">
        <v>0</v>
      </c>
      <c r="AA11" s="6">
        <v>0</v>
      </c>
      <c r="AB11" s="6">
        <v>0</v>
      </c>
      <c r="AC11" s="6">
        <v>0</v>
      </c>
      <c r="AD11" s="6">
        <v>0</v>
      </c>
      <c r="AE11" s="6">
        <v>0</v>
      </c>
      <c r="AF11" s="6">
        <v>0</v>
      </c>
      <c r="AG11" s="6">
        <v>0</v>
      </c>
      <c r="AH11" s="6">
        <v>0</v>
      </c>
      <c r="AI11" s="6">
        <v>0</v>
      </c>
      <c r="AJ11" s="6">
        <v>0</v>
      </c>
      <c r="AK11" s="6">
        <v>0</v>
      </c>
      <c r="AL11" s="6">
        <v>0</v>
      </c>
      <c r="AM11" s="6">
        <v>0</v>
      </c>
      <c r="AN11" s="6">
        <v>0</v>
      </c>
      <c r="AO11" s="6">
        <v>0</v>
      </c>
      <c r="AP11" s="6">
        <v>0</v>
      </c>
      <c r="AQ11" s="6">
        <v>0</v>
      </c>
      <c r="AR11" s="6">
        <v>0</v>
      </c>
      <c r="AS11" s="6">
        <v>0</v>
      </c>
      <c r="AT11" s="6">
        <v>0</v>
      </c>
      <c r="AU11" s="6">
        <v>0</v>
      </c>
      <c r="AV11" s="6">
        <v>0</v>
      </c>
      <c r="AW11" s="6">
        <v>0</v>
      </c>
      <c r="AX11" s="6">
        <v>0</v>
      </c>
      <c r="AY11" s="6">
        <v>0</v>
      </c>
      <c r="AZ11" s="6">
        <v>0</v>
      </c>
      <c r="BA11" s="6">
        <v>0</v>
      </c>
      <c r="BB11" s="6">
        <v>0</v>
      </c>
      <c r="BC11" s="6">
        <v>0</v>
      </c>
      <c r="BD11" s="6">
        <v>0</v>
      </c>
    </row>
    <row r="12" spans="1:56" x14ac:dyDescent="0.25">
      <c r="B12" s="39" t="s">
        <v>235</v>
      </c>
      <c r="C12" t="s">
        <v>227</v>
      </c>
      <c r="D12" s="61">
        <f t="shared" ref="D12:H12" si="0">D$5*0.06</f>
        <v>0</v>
      </c>
      <c r="E12" s="61">
        <f t="shared" si="0"/>
        <v>0</v>
      </c>
      <c r="F12" s="61">
        <f t="shared" si="0"/>
        <v>0</v>
      </c>
      <c r="G12" s="61">
        <f t="shared" si="0"/>
        <v>0</v>
      </c>
      <c r="H12" s="61">
        <f t="shared" si="0"/>
        <v>0</v>
      </c>
      <c r="I12" s="61">
        <f>I$5*0.06</f>
        <v>0</v>
      </c>
      <c r="J12" s="61">
        <f t="shared" ref="J12:BD12" si="1">J$5*0.06</f>
        <v>0</v>
      </c>
      <c r="K12" s="61">
        <f>K$5*0.06</f>
        <v>0</v>
      </c>
      <c r="L12" s="61">
        <f t="shared" si="1"/>
        <v>0</v>
      </c>
      <c r="M12" s="61">
        <f t="shared" si="1"/>
        <v>66000</v>
      </c>
      <c r="N12" s="61">
        <f t="shared" si="1"/>
        <v>66000</v>
      </c>
      <c r="O12" s="61">
        <f t="shared" si="1"/>
        <v>66000</v>
      </c>
      <c r="P12" s="61">
        <f t="shared" si="1"/>
        <v>0</v>
      </c>
      <c r="Q12" s="61">
        <f t="shared" si="1"/>
        <v>66000</v>
      </c>
      <c r="R12" s="61">
        <f t="shared" si="1"/>
        <v>0</v>
      </c>
      <c r="S12" s="61">
        <f t="shared" si="1"/>
        <v>66000</v>
      </c>
      <c r="T12" s="61">
        <f t="shared" si="1"/>
        <v>0</v>
      </c>
      <c r="U12" s="61">
        <f t="shared" si="1"/>
        <v>66000</v>
      </c>
      <c r="V12" s="61">
        <f t="shared" si="1"/>
        <v>66000</v>
      </c>
      <c r="W12" s="61">
        <f t="shared" si="1"/>
        <v>0</v>
      </c>
      <c r="X12" s="61">
        <f t="shared" si="1"/>
        <v>66000</v>
      </c>
      <c r="Y12" s="61">
        <f t="shared" si="1"/>
        <v>0</v>
      </c>
      <c r="Z12" s="61">
        <f t="shared" si="1"/>
        <v>66000</v>
      </c>
      <c r="AA12" s="61">
        <f t="shared" si="1"/>
        <v>0</v>
      </c>
      <c r="AB12" s="61">
        <f t="shared" si="1"/>
        <v>66000</v>
      </c>
      <c r="AC12" s="61">
        <f t="shared" si="1"/>
        <v>0</v>
      </c>
      <c r="AD12" s="61">
        <f t="shared" si="1"/>
        <v>66000</v>
      </c>
      <c r="AE12" s="61">
        <f t="shared" si="1"/>
        <v>0</v>
      </c>
      <c r="AF12" s="61">
        <f t="shared" si="1"/>
        <v>66000</v>
      </c>
      <c r="AG12" s="61">
        <f t="shared" si="1"/>
        <v>66000</v>
      </c>
      <c r="AH12" s="61">
        <f t="shared" si="1"/>
        <v>0</v>
      </c>
      <c r="AI12" s="61">
        <f t="shared" si="1"/>
        <v>66000</v>
      </c>
      <c r="AJ12" s="61">
        <f t="shared" si="1"/>
        <v>66000</v>
      </c>
      <c r="AK12" s="61">
        <f t="shared" si="1"/>
        <v>0</v>
      </c>
      <c r="AL12" s="61">
        <f t="shared" si="1"/>
        <v>66000</v>
      </c>
      <c r="AM12" s="61">
        <f t="shared" si="1"/>
        <v>0</v>
      </c>
      <c r="AN12" s="61">
        <f t="shared" si="1"/>
        <v>66000</v>
      </c>
      <c r="AO12" s="61">
        <f t="shared" si="1"/>
        <v>66000</v>
      </c>
      <c r="AP12" s="61">
        <f t="shared" si="1"/>
        <v>66000</v>
      </c>
      <c r="AQ12" s="61">
        <f t="shared" si="1"/>
        <v>0</v>
      </c>
      <c r="AR12" s="61">
        <f t="shared" si="1"/>
        <v>36840</v>
      </c>
      <c r="AS12" s="61">
        <f>AS$5*0.06</f>
        <v>0</v>
      </c>
      <c r="AT12" s="61">
        <f t="shared" si="1"/>
        <v>36840</v>
      </c>
      <c r="AU12" s="61">
        <f t="shared" si="1"/>
        <v>36840</v>
      </c>
      <c r="AV12" s="61">
        <f t="shared" si="1"/>
        <v>36840</v>
      </c>
      <c r="AW12" s="61">
        <f t="shared" si="1"/>
        <v>36840</v>
      </c>
      <c r="AX12" s="61">
        <f t="shared" si="1"/>
        <v>36840</v>
      </c>
      <c r="AY12" s="61">
        <f t="shared" si="1"/>
        <v>36840</v>
      </c>
      <c r="AZ12" s="61">
        <f t="shared" si="1"/>
        <v>0</v>
      </c>
      <c r="BA12" s="61">
        <f t="shared" si="1"/>
        <v>36840</v>
      </c>
      <c r="BB12" s="61">
        <f t="shared" si="1"/>
        <v>0</v>
      </c>
      <c r="BC12" s="61">
        <f t="shared" si="1"/>
        <v>0</v>
      </c>
      <c r="BD12" s="61">
        <f t="shared" si="1"/>
        <v>0</v>
      </c>
    </row>
    <row r="13" spans="1:56" x14ac:dyDescent="0.25">
      <c r="B13" s="39" t="s">
        <v>236</v>
      </c>
      <c r="C13" t="s">
        <v>227</v>
      </c>
      <c r="D13" s="61">
        <f t="shared" ref="D13:H13" si="2">D$5*0.1</f>
        <v>0</v>
      </c>
      <c r="E13" s="61">
        <f t="shared" si="2"/>
        <v>0</v>
      </c>
      <c r="F13" s="61">
        <f t="shared" si="2"/>
        <v>0</v>
      </c>
      <c r="G13" s="61">
        <f t="shared" si="2"/>
        <v>0</v>
      </c>
      <c r="H13" s="61">
        <f t="shared" si="2"/>
        <v>0</v>
      </c>
      <c r="I13" s="61">
        <f>I$5*0.1</f>
        <v>0</v>
      </c>
      <c r="J13" s="61">
        <f t="shared" ref="J13:BD13" si="3">J$5*0.1</f>
        <v>0</v>
      </c>
      <c r="K13" s="61">
        <f>K$5*0.1</f>
        <v>0</v>
      </c>
      <c r="L13" s="61">
        <f t="shared" si="3"/>
        <v>0</v>
      </c>
      <c r="M13" s="61">
        <f t="shared" si="3"/>
        <v>110000</v>
      </c>
      <c r="N13" s="61">
        <f t="shared" si="3"/>
        <v>110000</v>
      </c>
      <c r="O13" s="61">
        <f t="shared" si="3"/>
        <v>110000</v>
      </c>
      <c r="P13" s="61">
        <f t="shared" si="3"/>
        <v>0</v>
      </c>
      <c r="Q13" s="61">
        <f t="shared" si="3"/>
        <v>110000</v>
      </c>
      <c r="R13" s="61">
        <f t="shared" si="3"/>
        <v>0</v>
      </c>
      <c r="S13" s="61">
        <f t="shared" si="3"/>
        <v>110000</v>
      </c>
      <c r="T13" s="61">
        <f t="shared" si="3"/>
        <v>0</v>
      </c>
      <c r="U13" s="61">
        <f t="shared" si="3"/>
        <v>110000</v>
      </c>
      <c r="V13" s="61">
        <f t="shared" si="3"/>
        <v>110000</v>
      </c>
      <c r="W13" s="61">
        <f t="shared" si="3"/>
        <v>0</v>
      </c>
      <c r="X13" s="61">
        <f t="shared" si="3"/>
        <v>110000</v>
      </c>
      <c r="Y13" s="61">
        <f t="shared" si="3"/>
        <v>0</v>
      </c>
      <c r="Z13" s="61">
        <f t="shared" si="3"/>
        <v>110000</v>
      </c>
      <c r="AA13" s="61">
        <f t="shared" si="3"/>
        <v>0</v>
      </c>
      <c r="AB13" s="61">
        <f t="shared" si="3"/>
        <v>110000</v>
      </c>
      <c r="AC13" s="61">
        <f t="shared" si="3"/>
        <v>0</v>
      </c>
      <c r="AD13" s="61">
        <f t="shared" si="3"/>
        <v>110000</v>
      </c>
      <c r="AE13" s="61">
        <f t="shared" si="3"/>
        <v>0</v>
      </c>
      <c r="AF13" s="61">
        <f t="shared" si="3"/>
        <v>110000</v>
      </c>
      <c r="AG13" s="61">
        <f t="shared" si="3"/>
        <v>110000</v>
      </c>
      <c r="AH13" s="61">
        <f t="shared" si="3"/>
        <v>0</v>
      </c>
      <c r="AI13" s="61">
        <f t="shared" si="3"/>
        <v>110000</v>
      </c>
      <c r="AJ13" s="61">
        <f t="shared" si="3"/>
        <v>110000</v>
      </c>
      <c r="AK13" s="61">
        <f t="shared" si="3"/>
        <v>0</v>
      </c>
      <c r="AL13" s="61">
        <f t="shared" si="3"/>
        <v>110000</v>
      </c>
      <c r="AM13" s="61">
        <f t="shared" si="3"/>
        <v>0</v>
      </c>
      <c r="AN13" s="61">
        <f t="shared" si="3"/>
        <v>110000</v>
      </c>
      <c r="AO13" s="61">
        <f t="shared" si="3"/>
        <v>110000</v>
      </c>
      <c r="AP13" s="61">
        <f t="shared" si="3"/>
        <v>110000</v>
      </c>
      <c r="AQ13" s="61">
        <f t="shared" si="3"/>
        <v>0</v>
      </c>
      <c r="AR13" s="61">
        <f t="shared" si="3"/>
        <v>61400</v>
      </c>
      <c r="AS13" s="61">
        <f>AS$5*0.1</f>
        <v>0</v>
      </c>
      <c r="AT13" s="61">
        <f t="shared" si="3"/>
        <v>61400</v>
      </c>
      <c r="AU13" s="61">
        <f t="shared" si="3"/>
        <v>61400</v>
      </c>
      <c r="AV13" s="61">
        <f t="shared" si="3"/>
        <v>61400</v>
      </c>
      <c r="AW13" s="61">
        <f t="shared" si="3"/>
        <v>61400</v>
      </c>
      <c r="AX13" s="61">
        <f t="shared" si="3"/>
        <v>61400</v>
      </c>
      <c r="AY13" s="61">
        <f t="shared" si="3"/>
        <v>61400</v>
      </c>
      <c r="AZ13" s="61">
        <f t="shared" si="3"/>
        <v>0</v>
      </c>
      <c r="BA13" s="61">
        <f t="shared" si="3"/>
        <v>61400</v>
      </c>
      <c r="BB13" s="61">
        <f t="shared" si="3"/>
        <v>0</v>
      </c>
      <c r="BC13" s="61">
        <f t="shared" si="3"/>
        <v>0</v>
      </c>
      <c r="BD13" s="61">
        <f t="shared" si="3"/>
        <v>0</v>
      </c>
    </row>
    <row r="14" spans="1:56" x14ac:dyDescent="0.25">
      <c r="B14" s="39"/>
      <c r="D14" s="13">
        <f t="shared" ref="D14:Q14" si="4">SUM(D5:D13)</f>
        <v>0</v>
      </c>
      <c r="E14" s="13">
        <f t="shared" si="4"/>
        <v>500000</v>
      </c>
      <c r="F14" s="13">
        <f t="shared" ref="F14:H14" si="5">SUM(F5:F13)</f>
        <v>500000</v>
      </c>
      <c r="G14" s="13">
        <f t="shared" si="5"/>
        <v>500000</v>
      </c>
      <c r="H14" s="13">
        <f t="shared" si="5"/>
        <v>500000</v>
      </c>
      <c r="I14" s="13">
        <f t="shared" si="4"/>
        <v>0</v>
      </c>
      <c r="J14" s="13">
        <f t="shared" si="4"/>
        <v>0</v>
      </c>
      <c r="K14" s="13">
        <f t="shared" ref="K14" si="6">SUM(K5:K13)</f>
        <v>0</v>
      </c>
      <c r="L14" s="13">
        <f t="shared" ref="L14" si="7">SUM(L5:L13)</f>
        <v>0</v>
      </c>
      <c r="M14" s="13">
        <f t="shared" si="4"/>
        <v>1196000</v>
      </c>
      <c r="N14" s="13">
        <f t="shared" si="4"/>
        <v>1196000</v>
      </c>
      <c r="O14" s="13">
        <f t="shared" si="4"/>
        <v>1196000</v>
      </c>
      <c r="P14" s="13">
        <f t="shared" si="4"/>
        <v>0</v>
      </c>
      <c r="Q14" s="13">
        <f t="shared" si="4"/>
        <v>1196000</v>
      </c>
      <c r="R14" s="13">
        <f t="shared" ref="R14:BD14" si="8">SUM(R5:R13)</f>
        <v>0</v>
      </c>
      <c r="S14" s="13">
        <f t="shared" si="8"/>
        <v>1196000</v>
      </c>
      <c r="T14" s="13">
        <f t="shared" si="8"/>
        <v>0</v>
      </c>
      <c r="U14" s="13">
        <f t="shared" si="8"/>
        <v>1196000</v>
      </c>
      <c r="V14" s="13">
        <f t="shared" si="8"/>
        <v>1196000</v>
      </c>
      <c r="W14" s="13">
        <f t="shared" si="8"/>
        <v>0</v>
      </c>
      <c r="X14" s="13">
        <f t="shared" si="8"/>
        <v>1196000</v>
      </c>
      <c r="Y14" s="13">
        <f t="shared" si="8"/>
        <v>0</v>
      </c>
      <c r="Z14" s="13">
        <f t="shared" si="8"/>
        <v>1196000</v>
      </c>
      <c r="AA14" s="13">
        <f t="shared" si="8"/>
        <v>0</v>
      </c>
      <c r="AB14" s="13">
        <f t="shared" si="8"/>
        <v>1196000</v>
      </c>
      <c r="AC14" s="13">
        <f t="shared" si="8"/>
        <v>0</v>
      </c>
      <c r="AD14" s="13">
        <f t="shared" si="8"/>
        <v>1196000</v>
      </c>
      <c r="AE14" s="13">
        <f t="shared" si="8"/>
        <v>0</v>
      </c>
      <c r="AF14" s="13">
        <f t="shared" si="8"/>
        <v>1196000</v>
      </c>
      <c r="AG14" s="13">
        <f t="shared" si="8"/>
        <v>1196000</v>
      </c>
      <c r="AH14" s="13">
        <f t="shared" si="8"/>
        <v>0</v>
      </c>
      <c r="AI14" s="13">
        <f t="shared" si="8"/>
        <v>1196000</v>
      </c>
      <c r="AJ14" s="13">
        <f t="shared" si="8"/>
        <v>1196000</v>
      </c>
      <c r="AK14" s="13">
        <f t="shared" si="8"/>
        <v>0</v>
      </c>
      <c r="AL14" s="13">
        <f t="shared" si="8"/>
        <v>1196000</v>
      </c>
      <c r="AM14" s="13">
        <f t="shared" si="8"/>
        <v>0</v>
      </c>
      <c r="AN14" s="13">
        <f t="shared" si="8"/>
        <v>1196000</v>
      </c>
      <c r="AO14" s="13">
        <f t="shared" si="8"/>
        <v>1196000</v>
      </c>
      <c r="AP14" s="13">
        <f t="shared" si="8"/>
        <v>1196000</v>
      </c>
      <c r="AQ14" s="13">
        <f t="shared" si="8"/>
        <v>0</v>
      </c>
      <c r="AR14" s="13">
        <f t="shared" si="8"/>
        <v>667240</v>
      </c>
      <c r="AS14" s="13">
        <f>SUM(AS5:AS13)</f>
        <v>0</v>
      </c>
      <c r="AT14" s="13">
        <f t="shared" si="8"/>
        <v>667240</v>
      </c>
      <c r="AU14" s="13">
        <f t="shared" si="8"/>
        <v>667240</v>
      </c>
      <c r="AV14" s="13">
        <f t="shared" ref="AV14" si="9">SUM(AV5:AV13)</f>
        <v>667240</v>
      </c>
      <c r="AW14" s="13">
        <f t="shared" ref="AW14" si="10">SUM(AW5:AW13)</f>
        <v>667240</v>
      </c>
      <c r="AX14" s="13">
        <f t="shared" ref="AX14" si="11">SUM(AX5:AX13)</f>
        <v>667240</v>
      </c>
      <c r="AY14" s="13">
        <f t="shared" si="8"/>
        <v>682240</v>
      </c>
      <c r="AZ14" s="13">
        <f t="shared" si="8"/>
        <v>0</v>
      </c>
      <c r="BA14" s="13">
        <f t="shared" ref="BA14:BC14" si="12">SUM(BA5:BA13)</f>
        <v>682240</v>
      </c>
      <c r="BB14" s="13">
        <f t="shared" si="12"/>
        <v>0</v>
      </c>
      <c r="BC14" s="13">
        <f t="shared" si="12"/>
        <v>0</v>
      </c>
      <c r="BD14" s="13">
        <f t="shared" si="8"/>
        <v>0</v>
      </c>
    </row>
    <row r="15" spans="1:56" x14ac:dyDescent="0.25">
      <c r="B15" s="1" t="s">
        <v>237</v>
      </c>
      <c r="I15" s="62"/>
      <c r="K15" s="62"/>
      <c r="AR15" s="62"/>
      <c r="AT15" s="62"/>
      <c r="AU15" s="62"/>
    </row>
    <row r="16" spans="1:56" x14ac:dyDescent="0.25">
      <c r="B16" s="39" t="s">
        <v>238</v>
      </c>
      <c r="C16" t="s">
        <v>227</v>
      </c>
      <c r="D16" s="6">
        <v>0</v>
      </c>
      <c r="E16" s="6">
        <v>0</v>
      </c>
      <c r="F16" s="6">
        <v>0</v>
      </c>
      <c r="G16" s="6">
        <v>0</v>
      </c>
      <c r="H16" s="6">
        <v>0</v>
      </c>
      <c r="I16" s="6">
        <v>0</v>
      </c>
      <c r="J16" s="6">
        <v>0</v>
      </c>
      <c r="K16" s="6">
        <v>0</v>
      </c>
      <c r="L16" s="6">
        <v>0</v>
      </c>
      <c r="M16" s="6">
        <v>70000</v>
      </c>
      <c r="N16" s="6">
        <v>70000</v>
      </c>
      <c r="O16" s="6">
        <v>70000</v>
      </c>
      <c r="P16" s="6">
        <v>0</v>
      </c>
      <c r="Q16" s="6">
        <v>35000</v>
      </c>
      <c r="R16" s="6">
        <v>0</v>
      </c>
      <c r="S16" s="6">
        <v>35000</v>
      </c>
      <c r="T16" s="6">
        <v>0</v>
      </c>
      <c r="U16" s="6">
        <v>35000</v>
      </c>
      <c r="V16" s="6">
        <v>35000</v>
      </c>
      <c r="W16" s="6">
        <v>0</v>
      </c>
      <c r="X16" s="6">
        <v>35000</v>
      </c>
      <c r="Y16" s="6">
        <v>0</v>
      </c>
      <c r="Z16" s="6">
        <v>35000</v>
      </c>
      <c r="AA16" s="6">
        <v>0</v>
      </c>
      <c r="AB16" s="6">
        <v>35000</v>
      </c>
      <c r="AC16" s="6">
        <v>0</v>
      </c>
      <c r="AD16" s="6">
        <v>35000</v>
      </c>
      <c r="AE16" s="6">
        <v>0</v>
      </c>
      <c r="AF16" s="6">
        <v>35000</v>
      </c>
      <c r="AG16" s="6">
        <v>35000</v>
      </c>
      <c r="AH16" s="6">
        <v>0</v>
      </c>
      <c r="AI16" s="6">
        <v>35000</v>
      </c>
      <c r="AJ16" s="6">
        <v>35000</v>
      </c>
      <c r="AK16" s="6">
        <v>0</v>
      </c>
      <c r="AL16" s="6">
        <v>35000</v>
      </c>
      <c r="AM16" s="6">
        <v>0</v>
      </c>
      <c r="AN16" s="6">
        <v>35000</v>
      </c>
      <c r="AO16" s="6">
        <v>35000</v>
      </c>
      <c r="AP16" s="6">
        <v>35000</v>
      </c>
      <c r="AQ16" s="6">
        <v>0</v>
      </c>
      <c r="AR16" s="6">
        <v>35000</v>
      </c>
      <c r="AS16" s="6">
        <v>0</v>
      </c>
      <c r="AT16" s="6">
        <v>35000</v>
      </c>
      <c r="AU16" s="6">
        <v>35000</v>
      </c>
      <c r="AV16" s="6">
        <v>35000</v>
      </c>
      <c r="AW16" s="6">
        <v>35000</v>
      </c>
      <c r="AX16" s="6">
        <v>35000</v>
      </c>
      <c r="AY16" s="6">
        <v>70000</v>
      </c>
      <c r="AZ16" s="6">
        <v>0</v>
      </c>
      <c r="BA16" s="6">
        <v>70000</v>
      </c>
      <c r="BB16" s="6">
        <v>0</v>
      </c>
      <c r="BC16" s="6">
        <v>0</v>
      </c>
      <c r="BD16" s="6">
        <v>0</v>
      </c>
    </row>
    <row r="17" spans="2:56" x14ac:dyDescent="0.25">
      <c r="B17" s="39" t="s">
        <v>465</v>
      </c>
      <c r="C17" t="s">
        <v>227</v>
      </c>
      <c r="D17" s="6">
        <v>0</v>
      </c>
      <c r="E17" s="6">
        <v>0</v>
      </c>
      <c r="F17" s="6">
        <v>0</v>
      </c>
      <c r="G17" s="6">
        <v>0</v>
      </c>
      <c r="H17" s="6">
        <v>0</v>
      </c>
      <c r="I17" s="6">
        <v>0</v>
      </c>
      <c r="J17" s="6">
        <v>0</v>
      </c>
      <c r="K17" s="6">
        <v>0</v>
      </c>
      <c r="L17" s="6">
        <v>0</v>
      </c>
      <c r="M17" s="6">
        <v>50000</v>
      </c>
      <c r="N17" s="6">
        <v>50000</v>
      </c>
      <c r="O17" s="6">
        <v>50000</v>
      </c>
      <c r="P17" s="6">
        <v>0</v>
      </c>
      <c r="Q17" s="6">
        <v>50000</v>
      </c>
      <c r="R17" s="6">
        <v>0</v>
      </c>
      <c r="S17" s="6">
        <v>50000</v>
      </c>
      <c r="T17" s="6">
        <v>0</v>
      </c>
      <c r="U17" s="6">
        <v>50000</v>
      </c>
      <c r="V17" s="6">
        <v>50000</v>
      </c>
      <c r="W17" s="6">
        <v>0</v>
      </c>
      <c r="X17" s="6">
        <v>50000</v>
      </c>
      <c r="Y17" s="6">
        <v>0</v>
      </c>
      <c r="Z17" s="6">
        <v>50000</v>
      </c>
      <c r="AA17" s="6">
        <v>0</v>
      </c>
      <c r="AB17" s="6">
        <v>50000</v>
      </c>
      <c r="AC17" s="6">
        <v>0</v>
      </c>
      <c r="AD17" s="6">
        <v>50000</v>
      </c>
      <c r="AE17" s="6">
        <v>0</v>
      </c>
      <c r="AF17" s="6">
        <v>50000</v>
      </c>
      <c r="AG17" s="6">
        <v>50000</v>
      </c>
      <c r="AH17" s="6">
        <v>0</v>
      </c>
      <c r="AI17" s="6">
        <v>50000</v>
      </c>
      <c r="AJ17" s="6">
        <v>50000</v>
      </c>
      <c r="AK17" s="6">
        <v>0</v>
      </c>
      <c r="AL17" s="6">
        <v>50000</v>
      </c>
      <c r="AM17" s="6">
        <v>0</v>
      </c>
      <c r="AN17" s="6">
        <v>50000</v>
      </c>
      <c r="AO17" s="6">
        <v>50000</v>
      </c>
      <c r="AP17" s="6">
        <v>50000</v>
      </c>
      <c r="AQ17" s="6">
        <v>0</v>
      </c>
      <c r="AR17" s="6">
        <v>20000</v>
      </c>
      <c r="AS17" s="6">
        <v>0</v>
      </c>
      <c r="AT17" s="6">
        <v>20000</v>
      </c>
      <c r="AU17" s="6">
        <v>20000</v>
      </c>
      <c r="AV17" s="6">
        <v>20000</v>
      </c>
      <c r="AW17" s="6">
        <v>20000</v>
      </c>
      <c r="AX17" s="6">
        <v>20000</v>
      </c>
      <c r="AY17" s="6">
        <v>50000</v>
      </c>
      <c r="AZ17" s="6">
        <v>0</v>
      </c>
      <c r="BA17" s="6">
        <v>50000</v>
      </c>
      <c r="BB17" s="6">
        <v>0</v>
      </c>
      <c r="BC17" s="6">
        <v>0</v>
      </c>
      <c r="BD17" s="6">
        <v>0</v>
      </c>
    </row>
    <row r="18" spans="2:56" x14ac:dyDescent="0.25">
      <c r="B18" s="39" t="s">
        <v>463</v>
      </c>
      <c r="C18" t="s">
        <v>227</v>
      </c>
      <c r="D18" s="6">
        <v>0</v>
      </c>
      <c r="E18" s="6">
        <v>0</v>
      </c>
      <c r="F18" s="6">
        <v>0</v>
      </c>
      <c r="G18" s="6">
        <v>0</v>
      </c>
      <c r="H18" s="6">
        <v>0</v>
      </c>
      <c r="I18" s="6">
        <v>0</v>
      </c>
      <c r="J18" s="6">
        <v>0</v>
      </c>
      <c r="K18" s="6">
        <v>0</v>
      </c>
      <c r="L18" s="6">
        <v>0</v>
      </c>
      <c r="M18" s="6">
        <v>75000</v>
      </c>
      <c r="N18" s="6">
        <v>75000</v>
      </c>
      <c r="O18" s="6">
        <v>75000</v>
      </c>
      <c r="P18" s="6">
        <v>0</v>
      </c>
      <c r="Q18" s="6">
        <v>80000</v>
      </c>
      <c r="R18" s="6">
        <v>0</v>
      </c>
      <c r="S18" s="6">
        <v>80000</v>
      </c>
      <c r="T18" s="6">
        <v>0</v>
      </c>
      <c r="U18" s="6">
        <v>80000</v>
      </c>
      <c r="V18" s="6">
        <v>80000</v>
      </c>
      <c r="W18" s="6">
        <v>0</v>
      </c>
      <c r="X18" s="6">
        <v>80000</v>
      </c>
      <c r="Y18" s="6">
        <v>0</v>
      </c>
      <c r="Z18" s="6">
        <v>80000</v>
      </c>
      <c r="AA18" s="6">
        <v>0</v>
      </c>
      <c r="AB18" s="6">
        <v>80000</v>
      </c>
      <c r="AC18" s="6">
        <v>0</v>
      </c>
      <c r="AD18" s="6">
        <v>80000</v>
      </c>
      <c r="AE18" s="6">
        <v>0</v>
      </c>
      <c r="AF18" s="6">
        <v>80000</v>
      </c>
      <c r="AG18" s="6">
        <v>80000</v>
      </c>
      <c r="AH18" s="6">
        <v>0</v>
      </c>
      <c r="AI18" s="6">
        <v>80000</v>
      </c>
      <c r="AJ18" s="6">
        <v>80000</v>
      </c>
      <c r="AK18" s="6">
        <v>0</v>
      </c>
      <c r="AL18" s="6">
        <v>80000</v>
      </c>
      <c r="AM18" s="6">
        <v>0</v>
      </c>
      <c r="AN18" s="6">
        <v>80000</v>
      </c>
      <c r="AO18" s="6">
        <v>80000</v>
      </c>
      <c r="AP18" s="6">
        <v>80000</v>
      </c>
      <c r="AQ18" s="6">
        <v>0</v>
      </c>
      <c r="AR18" s="6">
        <v>49600</v>
      </c>
      <c r="AS18" s="6">
        <v>0</v>
      </c>
      <c r="AT18" s="6">
        <v>49600</v>
      </c>
      <c r="AU18" s="6">
        <v>49600</v>
      </c>
      <c r="AV18" s="6">
        <v>49600</v>
      </c>
      <c r="AW18" s="6">
        <v>49600</v>
      </c>
      <c r="AX18" s="6">
        <v>49600</v>
      </c>
      <c r="AY18" s="6">
        <v>75000</v>
      </c>
      <c r="AZ18" s="6">
        <v>0</v>
      </c>
      <c r="BA18" s="6">
        <v>75000</v>
      </c>
      <c r="BB18" s="6">
        <v>0</v>
      </c>
      <c r="BC18" s="6">
        <v>0</v>
      </c>
      <c r="BD18" s="6">
        <v>0</v>
      </c>
    </row>
    <row r="19" spans="2:56" x14ac:dyDescent="0.25">
      <c r="B19" s="39" t="s">
        <v>464</v>
      </c>
      <c r="C19" t="s">
        <v>227</v>
      </c>
      <c r="D19" s="6">
        <v>0</v>
      </c>
      <c r="E19" s="6">
        <v>0</v>
      </c>
      <c r="F19" s="6">
        <v>0</v>
      </c>
      <c r="G19" s="6">
        <v>0</v>
      </c>
      <c r="H19" s="6">
        <v>0</v>
      </c>
      <c r="I19" s="6">
        <v>0</v>
      </c>
      <c r="J19" s="6">
        <v>0</v>
      </c>
      <c r="K19" s="6">
        <v>0</v>
      </c>
      <c r="L19" s="6">
        <v>0</v>
      </c>
      <c r="M19" s="6">
        <v>30000</v>
      </c>
      <c r="N19" s="6">
        <v>30000</v>
      </c>
      <c r="O19" s="6">
        <v>30000</v>
      </c>
      <c r="P19" s="6">
        <v>0</v>
      </c>
      <c r="Q19" s="6">
        <v>50000</v>
      </c>
      <c r="R19" s="6">
        <v>0</v>
      </c>
      <c r="S19" s="6">
        <v>50000</v>
      </c>
      <c r="T19" s="6">
        <v>0</v>
      </c>
      <c r="U19" s="6">
        <v>50000</v>
      </c>
      <c r="V19" s="6">
        <v>50000</v>
      </c>
      <c r="W19" s="6">
        <v>0</v>
      </c>
      <c r="X19" s="6">
        <v>50000</v>
      </c>
      <c r="Y19" s="6">
        <v>0</v>
      </c>
      <c r="Z19" s="6">
        <v>50000</v>
      </c>
      <c r="AA19" s="6">
        <v>0</v>
      </c>
      <c r="AB19" s="6">
        <v>50000</v>
      </c>
      <c r="AC19" s="6">
        <v>0</v>
      </c>
      <c r="AD19" s="6">
        <v>50000</v>
      </c>
      <c r="AE19" s="6">
        <v>0</v>
      </c>
      <c r="AF19" s="6">
        <v>50000</v>
      </c>
      <c r="AG19" s="6">
        <v>50000</v>
      </c>
      <c r="AH19" s="6">
        <v>0</v>
      </c>
      <c r="AI19" s="6">
        <v>50000</v>
      </c>
      <c r="AJ19" s="6">
        <v>50000</v>
      </c>
      <c r="AK19" s="6">
        <v>0</v>
      </c>
      <c r="AL19" s="6">
        <v>50000</v>
      </c>
      <c r="AM19" s="6">
        <v>0</v>
      </c>
      <c r="AN19" s="6">
        <v>50000</v>
      </c>
      <c r="AO19" s="6">
        <v>50000</v>
      </c>
      <c r="AP19" s="6">
        <v>50000</v>
      </c>
      <c r="AQ19" s="6">
        <v>0</v>
      </c>
      <c r="AR19" s="6">
        <v>15000</v>
      </c>
      <c r="AS19" s="6">
        <v>0</v>
      </c>
      <c r="AT19" s="6">
        <v>15000</v>
      </c>
      <c r="AU19" s="6">
        <v>15000</v>
      </c>
      <c r="AV19" s="6">
        <v>15000</v>
      </c>
      <c r="AW19" s="6">
        <v>15000</v>
      </c>
      <c r="AX19" s="6">
        <v>15000</v>
      </c>
      <c r="AY19" s="6">
        <v>30000</v>
      </c>
      <c r="AZ19" s="6">
        <v>0</v>
      </c>
      <c r="BA19" s="6">
        <v>30000</v>
      </c>
      <c r="BB19" s="6">
        <v>0</v>
      </c>
      <c r="BC19" s="6">
        <v>0</v>
      </c>
      <c r="BD19" s="6">
        <v>0</v>
      </c>
    </row>
    <row r="20" spans="2:56" x14ac:dyDescent="0.25">
      <c r="B20" s="39" t="s">
        <v>239</v>
      </c>
      <c r="C20" t="s">
        <v>240</v>
      </c>
      <c r="D20" s="6">
        <v>0</v>
      </c>
      <c r="E20" s="6">
        <v>0</v>
      </c>
      <c r="F20" s="6">
        <v>0</v>
      </c>
      <c r="G20" s="6">
        <v>0</v>
      </c>
      <c r="H20" s="6">
        <v>0</v>
      </c>
      <c r="I20" s="6">
        <v>0</v>
      </c>
      <c r="J20" s="6">
        <v>0</v>
      </c>
      <c r="K20" s="6">
        <v>0</v>
      </c>
      <c r="L20" s="6">
        <v>0</v>
      </c>
      <c r="M20" s="6">
        <v>4000</v>
      </c>
      <c r="N20" s="6">
        <v>4000</v>
      </c>
      <c r="O20" s="6">
        <v>4000</v>
      </c>
      <c r="P20" s="6">
        <v>0</v>
      </c>
      <c r="Q20" s="6">
        <v>4000</v>
      </c>
      <c r="R20" s="6">
        <v>0</v>
      </c>
      <c r="S20" s="6">
        <v>4000</v>
      </c>
      <c r="T20" s="6">
        <v>0</v>
      </c>
      <c r="U20" s="6">
        <v>4000</v>
      </c>
      <c r="V20" s="6">
        <v>4000</v>
      </c>
      <c r="W20" s="6">
        <v>0</v>
      </c>
      <c r="X20" s="6">
        <v>4000</v>
      </c>
      <c r="Y20" s="6">
        <v>0</v>
      </c>
      <c r="Z20" s="6">
        <v>4000</v>
      </c>
      <c r="AA20" s="6">
        <v>0</v>
      </c>
      <c r="AB20" s="6">
        <v>4000</v>
      </c>
      <c r="AC20" s="6">
        <v>0</v>
      </c>
      <c r="AD20" s="6">
        <v>4000</v>
      </c>
      <c r="AE20" s="6">
        <v>0</v>
      </c>
      <c r="AF20" s="6">
        <v>4000</v>
      </c>
      <c r="AG20" s="6">
        <v>4000</v>
      </c>
      <c r="AH20" s="6">
        <v>0</v>
      </c>
      <c r="AI20" s="6">
        <v>4000</v>
      </c>
      <c r="AJ20" s="6">
        <v>4000</v>
      </c>
      <c r="AK20" s="6">
        <v>0</v>
      </c>
      <c r="AL20" s="6">
        <v>4000</v>
      </c>
      <c r="AM20" s="6">
        <v>0</v>
      </c>
      <c r="AN20" s="6">
        <v>4000</v>
      </c>
      <c r="AO20" s="6">
        <v>4000</v>
      </c>
      <c r="AP20" s="6">
        <v>4000</v>
      </c>
      <c r="AQ20" s="6">
        <v>0</v>
      </c>
      <c r="AR20" s="6">
        <v>4000</v>
      </c>
      <c r="AS20" s="6">
        <v>0</v>
      </c>
      <c r="AT20" s="6">
        <v>4000</v>
      </c>
      <c r="AU20" s="6">
        <v>4000</v>
      </c>
      <c r="AV20" s="6">
        <v>4000</v>
      </c>
      <c r="AW20" s="6">
        <v>4000</v>
      </c>
      <c r="AX20" s="6">
        <v>4000</v>
      </c>
      <c r="AY20" s="6">
        <v>3000</v>
      </c>
      <c r="AZ20" s="6">
        <v>0</v>
      </c>
      <c r="BA20" s="6">
        <v>3000</v>
      </c>
      <c r="BB20" s="6">
        <v>0</v>
      </c>
      <c r="BC20" s="6">
        <v>0</v>
      </c>
      <c r="BD20" s="6">
        <v>0</v>
      </c>
    </row>
    <row r="21" spans="2:56" x14ac:dyDescent="0.25">
      <c r="B21" s="39" t="s">
        <v>241</v>
      </c>
      <c r="C21" t="s">
        <v>240</v>
      </c>
      <c r="D21" s="6">
        <v>0</v>
      </c>
      <c r="E21" s="6">
        <v>0</v>
      </c>
      <c r="F21" s="6">
        <v>0</v>
      </c>
      <c r="G21" s="6">
        <v>0</v>
      </c>
      <c r="H21" s="6">
        <v>0</v>
      </c>
      <c r="I21" s="6">
        <v>0</v>
      </c>
      <c r="J21" s="6">
        <v>0</v>
      </c>
      <c r="K21" s="6">
        <v>0</v>
      </c>
      <c r="L21" s="6">
        <v>0</v>
      </c>
      <c r="M21" s="6">
        <v>35000</v>
      </c>
      <c r="N21" s="6">
        <v>35000</v>
      </c>
      <c r="O21" s="6">
        <v>35000</v>
      </c>
      <c r="P21" s="6">
        <v>0</v>
      </c>
      <c r="Q21" s="6">
        <v>35000</v>
      </c>
      <c r="R21" s="6">
        <v>0</v>
      </c>
      <c r="S21" s="6">
        <v>35000</v>
      </c>
      <c r="T21" s="6">
        <v>0</v>
      </c>
      <c r="U21" s="6">
        <v>35000</v>
      </c>
      <c r="V21" s="6">
        <v>35000</v>
      </c>
      <c r="W21" s="6">
        <v>0</v>
      </c>
      <c r="X21" s="6">
        <v>35000</v>
      </c>
      <c r="Y21" s="6">
        <v>0</v>
      </c>
      <c r="Z21" s="6">
        <v>35000</v>
      </c>
      <c r="AA21" s="6">
        <v>0</v>
      </c>
      <c r="AB21" s="6">
        <v>35000</v>
      </c>
      <c r="AC21" s="6">
        <v>0</v>
      </c>
      <c r="AD21" s="6">
        <v>35000</v>
      </c>
      <c r="AE21" s="6">
        <v>0</v>
      </c>
      <c r="AF21" s="6">
        <v>35000</v>
      </c>
      <c r="AG21" s="6">
        <v>35000</v>
      </c>
      <c r="AH21" s="6">
        <v>0</v>
      </c>
      <c r="AI21" s="6">
        <v>35000</v>
      </c>
      <c r="AJ21" s="6">
        <v>35000</v>
      </c>
      <c r="AK21" s="6">
        <v>0</v>
      </c>
      <c r="AL21" s="6">
        <v>35000</v>
      </c>
      <c r="AM21" s="6">
        <v>0</v>
      </c>
      <c r="AN21" s="6">
        <v>35000</v>
      </c>
      <c r="AO21" s="6">
        <v>35000</v>
      </c>
      <c r="AP21" s="6">
        <v>35000</v>
      </c>
      <c r="AQ21" s="6">
        <v>0</v>
      </c>
      <c r="AR21" s="6">
        <v>35000</v>
      </c>
      <c r="AS21" s="6">
        <v>0</v>
      </c>
      <c r="AT21" s="6">
        <v>35000</v>
      </c>
      <c r="AU21" s="6">
        <v>35000</v>
      </c>
      <c r="AV21" s="6">
        <v>35000</v>
      </c>
      <c r="AW21" s="6">
        <v>35000</v>
      </c>
      <c r="AX21" s="6">
        <v>35000</v>
      </c>
      <c r="AY21" s="6">
        <v>35000</v>
      </c>
      <c r="AZ21" s="6">
        <v>0</v>
      </c>
      <c r="BA21" s="6">
        <v>35000</v>
      </c>
      <c r="BB21" s="6">
        <v>0</v>
      </c>
      <c r="BC21" s="6">
        <v>0</v>
      </c>
      <c r="BD21" s="6">
        <v>0</v>
      </c>
    </row>
    <row r="22" spans="2:56" x14ac:dyDescent="0.25">
      <c r="B22" s="39" t="s">
        <v>466</v>
      </c>
      <c r="C22" t="s">
        <v>240</v>
      </c>
      <c r="D22" s="6">
        <v>0</v>
      </c>
      <c r="E22" s="6">
        <v>0</v>
      </c>
      <c r="F22" s="6">
        <v>0</v>
      </c>
      <c r="G22" s="6">
        <v>0</v>
      </c>
      <c r="H22" s="6">
        <v>0</v>
      </c>
      <c r="I22" s="6">
        <v>0</v>
      </c>
      <c r="J22" s="6">
        <v>0</v>
      </c>
      <c r="K22" s="6">
        <v>0</v>
      </c>
      <c r="L22" s="6">
        <v>0</v>
      </c>
      <c r="M22" s="6">
        <v>30000</v>
      </c>
      <c r="N22" s="6">
        <v>30000</v>
      </c>
      <c r="O22" s="6">
        <v>30000</v>
      </c>
      <c r="P22" s="6">
        <v>0</v>
      </c>
      <c r="Q22" s="6">
        <v>30000</v>
      </c>
      <c r="R22" s="6">
        <v>0</v>
      </c>
      <c r="S22" s="6">
        <v>30000</v>
      </c>
      <c r="T22" s="6">
        <v>0</v>
      </c>
      <c r="U22" s="6">
        <v>30000</v>
      </c>
      <c r="V22" s="6">
        <v>30000</v>
      </c>
      <c r="W22" s="6">
        <v>0</v>
      </c>
      <c r="X22" s="6">
        <v>30000</v>
      </c>
      <c r="Y22" s="6">
        <v>0</v>
      </c>
      <c r="Z22" s="6">
        <v>30000</v>
      </c>
      <c r="AA22" s="6">
        <v>0</v>
      </c>
      <c r="AB22" s="6">
        <v>30000</v>
      </c>
      <c r="AC22" s="6">
        <v>0</v>
      </c>
      <c r="AD22" s="6">
        <v>30000</v>
      </c>
      <c r="AE22" s="6">
        <v>0</v>
      </c>
      <c r="AF22" s="6">
        <v>30000</v>
      </c>
      <c r="AG22" s="6">
        <v>30000</v>
      </c>
      <c r="AH22" s="6">
        <v>0</v>
      </c>
      <c r="AI22" s="6">
        <v>30000</v>
      </c>
      <c r="AJ22" s="6">
        <v>30000</v>
      </c>
      <c r="AK22" s="6">
        <v>0</v>
      </c>
      <c r="AL22" s="6">
        <v>30000</v>
      </c>
      <c r="AM22" s="6">
        <v>0</v>
      </c>
      <c r="AN22" s="6">
        <v>30000</v>
      </c>
      <c r="AO22" s="6">
        <v>30000</v>
      </c>
      <c r="AP22" s="6">
        <v>30000</v>
      </c>
      <c r="AQ22" s="6">
        <v>0</v>
      </c>
      <c r="AR22" s="6">
        <v>30000</v>
      </c>
      <c r="AS22" s="6">
        <v>0</v>
      </c>
      <c r="AT22" s="6">
        <v>30000</v>
      </c>
      <c r="AU22" s="6">
        <v>30000</v>
      </c>
      <c r="AV22" s="6">
        <v>30000</v>
      </c>
      <c r="AW22" s="6">
        <v>30000</v>
      </c>
      <c r="AX22" s="6">
        <v>30000</v>
      </c>
      <c r="AY22" s="6">
        <v>30000</v>
      </c>
      <c r="AZ22" s="6">
        <v>0</v>
      </c>
      <c r="BA22" s="6">
        <v>30000</v>
      </c>
      <c r="BB22" s="6">
        <v>0</v>
      </c>
      <c r="BC22" s="6">
        <v>0</v>
      </c>
      <c r="BD22" s="6">
        <v>0</v>
      </c>
    </row>
    <row r="23" spans="2:56" x14ac:dyDescent="0.25">
      <c r="B23" s="39" t="s">
        <v>467</v>
      </c>
      <c r="C23" t="s">
        <v>242</v>
      </c>
      <c r="D23" s="6">
        <v>0</v>
      </c>
      <c r="E23" s="6">
        <v>0</v>
      </c>
      <c r="F23" s="6">
        <v>0</v>
      </c>
      <c r="G23" s="6">
        <v>0</v>
      </c>
      <c r="H23" s="6">
        <v>0</v>
      </c>
      <c r="I23" s="6">
        <v>0</v>
      </c>
      <c r="J23" s="6">
        <v>0</v>
      </c>
      <c r="K23" s="6">
        <v>0</v>
      </c>
      <c r="L23" s="6">
        <v>0</v>
      </c>
      <c r="M23" s="6">
        <v>15000</v>
      </c>
      <c r="N23" s="6">
        <v>15000</v>
      </c>
      <c r="O23" s="6">
        <v>15000</v>
      </c>
      <c r="P23" s="6">
        <v>0</v>
      </c>
      <c r="Q23" s="6">
        <v>15000</v>
      </c>
      <c r="R23" s="6">
        <v>0</v>
      </c>
      <c r="S23" s="6">
        <v>15000</v>
      </c>
      <c r="T23" s="6">
        <v>0</v>
      </c>
      <c r="U23" s="6">
        <v>15000</v>
      </c>
      <c r="V23" s="6">
        <v>15000</v>
      </c>
      <c r="W23" s="6">
        <v>0</v>
      </c>
      <c r="X23" s="6">
        <v>15000</v>
      </c>
      <c r="Y23" s="6">
        <v>0</v>
      </c>
      <c r="Z23" s="6">
        <v>15000</v>
      </c>
      <c r="AA23" s="6">
        <v>0</v>
      </c>
      <c r="AB23" s="6">
        <v>15000</v>
      </c>
      <c r="AC23" s="6">
        <v>0</v>
      </c>
      <c r="AD23" s="6">
        <v>15000</v>
      </c>
      <c r="AE23" s="6">
        <v>0</v>
      </c>
      <c r="AF23" s="6">
        <v>15000</v>
      </c>
      <c r="AG23" s="6">
        <v>15000</v>
      </c>
      <c r="AH23" s="6">
        <v>0</v>
      </c>
      <c r="AI23" s="6">
        <v>15000</v>
      </c>
      <c r="AJ23" s="6">
        <v>15000</v>
      </c>
      <c r="AK23" s="6">
        <v>0</v>
      </c>
      <c r="AL23" s="6">
        <v>15000</v>
      </c>
      <c r="AM23" s="6">
        <v>0</v>
      </c>
      <c r="AN23" s="6">
        <v>15000</v>
      </c>
      <c r="AO23" s="6">
        <v>15000</v>
      </c>
      <c r="AP23" s="6">
        <v>15000</v>
      </c>
      <c r="AQ23" s="6">
        <v>0</v>
      </c>
      <c r="AR23" s="6">
        <v>15000</v>
      </c>
      <c r="AS23" s="6">
        <v>0</v>
      </c>
      <c r="AT23" s="6">
        <v>15000</v>
      </c>
      <c r="AU23" s="6">
        <v>15000</v>
      </c>
      <c r="AV23" s="6">
        <v>15000</v>
      </c>
      <c r="AW23" s="6">
        <v>15000</v>
      </c>
      <c r="AX23" s="6">
        <v>15000</v>
      </c>
      <c r="AY23" s="6">
        <v>15000</v>
      </c>
      <c r="AZ23" s="6">
        <v>0</v>
      </c>
      <c r="BA23" s="6">
        <v>15000</v>
      </c>
      <c r="BB23" s="6">
        <v>0</v>
      </c>
      <c r="BC23" s="6">
        <v>0</v>
      </c>
      <c r="BD23" s="6">
        <v>0</v>
      </c>
    </row>
    <row r="24" spans="2:56" x14ac:dyDescent="0.25">
      <c r="B24" s="39" t="s">
        <v>243</v>
      </c>
      <c r="C24" t="s">
        <v>244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37500</v>
      </c>
      <c r="N24" s="6">
        <v>20000</v>
      </c>
      <c r="O24" s="6">
        <v>30000</v>
      </c>
      <c r="P24" s="6">
        <v>0</v>
      </c>
      <c r="Q24" s="6">
        <v>44822.98</v>
      </c>
      <c r="R24" s="6">
        <v>0</v>
      </c>
      <c r="S24" s="6">
        <v>44822.98</v>
      </c>
      <c r="T24" s="6">
        <v>0</v>
      </c>
      <c r="U24" s="6">
        <v>44822.98</v>
      </c>
      <c r="V24" s="6">
        <v>44822.98</v>
      </c>
      <c r="W24" s="6">
        <v>0</v>
      </c>
      <c r="X24" s="6">
        <v>44822.98</v>
      </c>
      <c r="Y24" s="6">
        <v>0</v>
      </c>
      <c r="Z24" s="6">
        <v>44822.98</v>
      </c>
      <c r="AA24" s="6">
        <v>0</v>
      </c>
      <c r="AB24" s="6">
        <v>44822.98</v>
      </c>
      <c r="AC24" s="6">
        <v>0</v>
      </c>
      <c r="AD24" s="6">
        <v>44822.98</v>
      </c>
      <c r="AE24" s="6">
        <v>0</v>
      </c>
      <c r="AF24" s="6">
        <v>44822.98</v>
      </c>
      <c r="AG24" s="6">
        <v>44822.98</v>
      </c>
      <c r="AH24" s="6">
        <v>0</v>
      </c>
      <c r="AI24" s="6">
        <v>44822.98</v>
      </c>
      <c r="AJ24" s="6">
        <v>44822.98</v>
      </c>
      <c r="AK24" s="6">
        <v>0</v>
      </c>
      <c r="AL24" s="6">
        <v>44822.98</v>
      </c>
      <c r="AM24" s="6">
        <v>0</v>
      </c>
      <c r="AN24" s="6">
        <v>44822.98</v>
      </c>
      <c r="AO24" s="6">
        <v>44822.98</v>
      </c>
      <c r="AP24" s="6">
        <v>44822.98</v>
      </c>
      <c r="AQ24" s="6">
        <v>0</v>
      </c>
      <c r="AR24" s="6">
        <v>28584.74</v>
      </c>
      <c r="AS24" s="6">
        <v>0</v>
      </c>
      <c r="AT24" s="6">
        <v>28584.74</v>
      </c>
      <c r="AU24" s="6">
        <v>28584.74</v>
      </c>
      <c r="AV24" s="6">
        <v>13426</v>
      </c>
      <c r="AW24" s="6">
        <v>13426</v>
      </c>
      <c r="AX24" s="6">
        <v>13426</v>
      </c>
      <c r="AY24" s="6">
        <v>13426</v>
      </c>
      <c r="AZ24" s="6">
        <v>0</v>
      </c>
      <c r="BA24" s="6">
        <v>13426</v>
      </c>
      <c r="BB24" s="6">
        <v>0</v>
      </c>
      <c r="BC24" s="6">
        <v>0</v>
      </c>
      <c r="BD24" s="6">
        <v>0</v>
      </c>
    </row>
    <row r="25" spans="2:56" x14ac:dyDescent="0.25">
      <c r="B25" s="39" t="s">
        <v>245</v>
      </c>
      <c r="C25" t="s">
        <v>244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18750</v>
      </c>
      <c r="N25" s="6">
        <v>10000</v>
      </c>
      <c r="O25" s="6">
        <v>15000</v>
      </c>
      <c r="P25" s="6">
        <v>0</v>
      </c>
      <c r="Q25" s="6">
        <v>22411.49</v>
      </c>
      <c r="R25" s="6">
        <v>0</v>
      </c>
      <c r="S25" s="6">
        <v>22411.49</v>
      </c>
      <c r="T25" s="6">
        <v>0</v>
      </c>
      <c r="U25" s="6">
        <v>22411.49</v>
      </c>
      <c r="V25" s="6">
        <v>22411.49</v>
      </c>
      <c r="W25" s="6">
        <v>0</v>
      </c>
      <c r="X25" s="6">
        <v>22411.49</v>
      </c>
      <c r="Y25" s="6">
        <v>0</v>
      </c>
      <c r="Z25" s="6">
        <v>22411.49</v>
      </c>
      <c r="AA25" s="6">
        <v>0</v>
      </c>
      <c r="AB25" s="6">
        <v>22411.49</v>
      </c>
      <c r="AC25" s="6">
        <v>0</v>
      </c>
      <c r="AD25" s="6">
        <v>22411.49</v>
      </c>
      <c r="AE25" s="6">
        <v>0</v>
      </c>
      <c r="AF25" s="6">
        <v>22411.49</v>
      </c>
      <c r="AG25" s="6">
        <v>22411.49</v>
      </c>
      <c r="AH25" s="6">
        <v>0</v>
      </c>
      <c r="AI25" s="6">
        <v>22411.49</v>
      </c>
      <c r="AJ25" s="6">
        <v>22411.49</v>
      </c>
      <c r="AK25" s="6">
        <v>0</v>
      </c>
      <c r="AL25" s="6">
        <v>22411.49</v>
      </c>
      <c r="AM25" s="6">
        <v>0</v>
      </c>
      <c r="AN25" s="6">
        <v>22411.49</v>
      </c>
      <c r="AO25" s="6">
        <v>22411.49</v>
      </c>
      <c r="AP25" s="6">
        <v>22411.49</v>
      </c>
      <c r="AQ25" s="6">
        <v>0</v>
      </c>
      <c r="AR25" s="6">
        <v>14292.37</v>
      </c>
      <c r="AS25" s="6">
        <v>0</v>
      </c>
      <c r="AT25" s="6">
        <v>14292.37</v>
      </c>
      <c r="AU25" s="6">
        <v>14292.37</v>
      </c>
      <c r="AV25" s="6">
        <v>6713</v>
      </c>
      <c r="AW25" s="6">
        <v>6713</v>
      </c>
      <c r="AX25" s="6">
        <v>6713</v>
      </c>
      <c r="AY25" s="6">
        <v>6713</v>
      </c>
      <c r="AZ25" s="6">
        <v>0</v>
      </c>
      <c r="BA25" s="6">
        <v>6713</v>
      </c>
      <c r="BB25" s="6">
        <v>0</v>
      </c>
      <c r="BC25" s="6">
        <v>0</v>
      </c>
      <c r="BD25" s="6">
        <v>0</v>
      </c>
    </row>
    <row r="27" spans="2:56" x14ac:dyDescent="0.25">
      <c r="B27" s="1" t="s">
        <v>246</v>
      </c>
      <c r="D27" s="12">
        <f>SUMIFS(D$5:D$26,$C$5:$C$26,"*capex*")</f>
        <v>0</v>
      </c>
      <c r="E27" s="12">
        <f>SUMIFS(E$5:E$26,$C$5:$C$26,"*capex*")</f>
        <v>500000</v>
      </c>
      <c r="F27" s="12">
        <f t="shared" ref="F27:H27" si="13">SUMIFS(F$5:F$26,$C$5:$C$26,"*capex*")</f>
        <v>500000</v>
      </c>
      <c r="G27" s="12">
        <f t="shared" si="13"/>
        <v>500000</v>
      </c>
      <c r="H27" s="12">
        <f t="shared" si="13"/>
        <v>500000</v>
      </c>
      <c r="I27" s="12">
        <f t="shared" ref="I27:BD27" si="14">SUMIFS(I$5:I$26,$C$5:$C$26,"*capex*")</f>
        <v>0</v>
      </c>
      <c r="J27" s="12">
        <f t="shared" si="14"/>
        <v>0</v>
      </c>
      <c r="K27" s="12">
        <f t="shared" si="14"/>
        <v>0</v>
      </c>
      <c r="L27" s="12">
        <f t="shared" si="14"/>
        <v>0</v>
      </c>
      <c r="M27" s="12">
        <f t="shared" si="14"/>
        <v>1421000</v>
      </c>
      <c r="N27" s="12">
        <f t="shared" si="14"/>
        <v>1421000</v>
      </c>
      <c r="O27" s="12">
        <f t="shared" si="14"/>
        <v>1421000</v>
      </c>
      <c r="P27" s="12">
        <f t="shared" si="14"/>
        <v>0</v>
      </c>
      <c r="Q27" s="12">
        <f t="shared" si="14"/>
        <v>1411000</v>
      </c>
      <c r="R27" s="12">
        <f t="shared" si="14"/>
        <v>0</v>
      </c>
      <c r="S27" s="12">
        <f t="shared" si="14"/>
        <v>1411000</v>
      </c>
      <c r="T27" s="12">
        <f t="shared" si="14"/>
        <v>0</v>
      </c>
      <c r="U27" s="12">
        <f t="shared" si="14"/>
        <v>1411000</v>
      </c>
      <c r="V27" s="12">
        <f t="shared" si="14"/>
        <v>1411000</v>
      </c>
      <c r="W27" s="12">
        <f t="shared" si="14"/>
        <v>0</v>
      </c>
      <c r="X27" s="12">
        <f t="shared" si="14"/>
        <v>1411000</v>
      </c>
      <c r="Y27" s="12">
        <f t="shared" si="14"/>
        <v>0</v>
      </c>
      <c r="Z27" s="12">
        <f t="shared" si="14"/>
        <v>1411000</v>
      </c>
      <c r="AA27" s="12">
        <f t="shared" si="14"/>
        <v>0</v>
      </c>
      <c r="AB27" s="12">
        <f t="shared" si="14"/>
        <v>1411000</v>
      </c>
      <c r="AC27" s="12">
        <f t="shared" si="14"/>
        <v>0</v>
      </c>
      <c r="AD27" s="12">
        <f t="shared" si="14"/>
        <v>1411000</v>
      </c>
      <c r="AE27" s="12">
        <f t="shared" si="14"/>
        <v>0</v>
      </c>
      <c r="AF27" s="12">
        <f t="shared" si="14"/>
        <v>1411000</v>
      </c>
      <c r="AG27" s="12">
        <f t="shared" si="14"/>
        <v>1411000</v>
      </c>
      <c r="AH27" s="12">
        <f t="shared" si="14"/>
        <v>0</v>
      </c>
      <c r="AI27" s="12">
        <f t="shared" si="14"/>
        <v>1411000</v>
      </c>
      <c r="AJ27" s="12">
        <f t="shared" si="14"/>
        <v>1411000</v>
      </c>
      <c r="AK27" s="12">
        <f t="shared" si="14"/>
        <v>0</v>
      </c>
      <c r="AL27" s="12">
        <f t="shared" si="14"/>
        <v>1411000</v>
      </c>
      <c r="AM27" s="12">
        <f t="shared" si="14"/>
        <v>0</v>
      </c>
      <c r="AN27" s="12">
        <f t="shared" si="14"/>
        <v>1411000</v>
      </c>
      <c r="AO27" s="12">
        <f t="shared" si="14"/>
        <v>1411000</v>
      </c>
      <c r="AP27" s="12">
        <f t="shared" si="14"/>
        <v>1411000</v>
      </c>
      <c r="AQ27" s="12">
        <f t="shared" si="14"/>
        <v>0</v>
      </c>
      <c r="AR27" s="12">
        <f t="shared" si="14"/>
        <v>786840</v>
      </c>
      <c r="AS27" s="12">
        <f>SUMIFS(AS$5:AS$26,$C$5:$C$26,"*capex*")</f>
        <v>0</v>
      </c>
      <c r="AT27" s="12">
        <f t="shared" si="14"/>
        <v>786840</v>
      </c>
      <c r="AU27" s="12">
        <f t="shared" si="14"/>
        <v>786840</v>
      </c>
      <c r="AV27" s="12">
        <f t="shared" si="14"/>
        <v>786840</v>
      </c>
      <c r="AW27" s="12">
        <f t="shared" si="14"/>
        <v>786840</v>
      </c>
      <c r="AX27" s="12">
        <f t="shared" si="14"/>
        <v>786840</v>
      </c>
      <c r="AY27" s="12">
        <f t="shared" si="14"/>
        <v>907240</v>
      </c>
      <c r="AZ27" s="12">
        <f t="shared" si="14"/>
        <v>0</v>
      </c>
      <c r="BA27" s="12">
        <f t="shared" si="14"/>
        <v>907240</v>
      </c>
      <c r="BB27" s="12">
        <f t="shared" si="14"/>
        <v>0</v>
      </c>
      <c r="BC27" s="12">
        <f t="shared" si="14"/>
        <v>0</v>
      </c>
      <c r="BD27" s="12">
        <f t="shared" si="14"/>
        <v>0</v>
      </c>
    </row>
    <row r="28" spans="2:56" x14ac:dyDescent="0.25">
      <c r="B28" t="s">
        <v>242</v>
      </c>
      <c r="D28" s="12">
        <f>SUMIFS(D$5:D$26,$C$5:$C$26,"*opex*")</f>
        <v>0</v>
      </c>
      <c r="E28" s="12">
        <f>SUMIFS(E$5:E$26,$C$5:$C$26,"*opex*")</f>
        <v>0</v>
      </c>
      <c r="F28" s="12">
        <f t="shared" ref="F28:H28" si="15">SUMIFS(F$5:F$26,$C$5:$C$26,"*opex*")</f>
        <v>0</v>
      </c>
      <c r="G28" s="12">
        <f t="shared" si="15"/>
        <v>0</v>
      </c>
      <c r="H28" s="12">
        <f t="shared" si="15"/>
        <v>0</v>
      </c>
      <c r="I28" s="12">
        <f t="shared" ref="I28:BD28" si="16">SUMIFS(I$5:I$26,$C$5:$C$26,"*opex*")</f>
        <v>0</v>
      </c>
      <c r="J28" s="12">
        <f t="shared" si="16"/>
        <v>0</v>
      </c>
      <c r="K28" s="12">
        <f t="shared" si="16"/>
        <v>0</v>
      </c>
      <c r="L28" s="12">
        <f t="shared" si="16"/>
        <v>0</v>
      </c>
      <c r="M28" s="12">
        <f t="shared" si="16"/>
        <v>140250</v>
      </c>
      <c r="N28" s="12">
        <f t="shared" si="16"/>
        <v>114000</v>
      </c>
      <c r="O28" s="12">
        <f t="shared" si="16"/>
        <v>129000</v>
      </c>
      <c r="P28" s="12">
        <f t="shared" si="16"/>
        <v>0</v>
      </c>
      <c r="Q28" s="12">
        <f t="shared" si="16"/>
        <v>151234.47</v>
      </c>
      <c r="R28" s="12">
        <f t="shared" si="16"/>
        <v>0</v>
      </c>
      <c r="S28" s="12">
        <f t="shared" si="16"/>
        <v>151234.47</v>
      </c>
      <c r="T28" s="12">
        <f t="shared" si="16"/>
        <v>0</v>
      </c>
      <c r="U28" s="12">
        <f t="shared" si="16"/>
        <v>151234.47</v>
      </c>
      <c r="V28" s="12">
        <f t="shared" si="16"/>
        <v>151234.47</v>
      </c>
      <c r="W28" s="12">
        <f t="shared" si="16"/>
        <v>0</v>
      </c>
      <c r="X28" s="12">
        <f t="shared" si="16"/>
        <v>151234.47</v>
      </c>
      <c r="Y28" s="12">
        <f t="shared" si="16"/>
        <v>0</v>
      </c>
      <c r="Z28" s="12">
        <f t="shared" si="16"/>
        <v>151234.47</v>
      </c>
      <c r="AA28" s="12">
        <f t="shared" si="16"/>
        <v>0</v>
      </c>
      <c r="AB28" s="12">
        <f t="shared" si="16"/>
        <v>151234.47</v>
      </c>
      <c r="AC28" s="12">
        <f t="shared" si="16"/>
        <v>0</v>
      </c>
      <c r="AD28" s="12">
        <f t="shared" si="16"/>
        <v>151234.47</v>
      </c>
      <c r="AE28" s="12">
        <f t="shared" si="16"/>
        <v>0</v>
      </c>
      <c r="AF28" s="12">
        <f t="shared" si="16"/>
        <v>151234.47</v>
      </c>
      <c r="AG28" s="12">
        <f t="shared" si="16"/>
        <v>151234.47</v>
      </c>
      <c r="AH28" s="12">
        <f t="shared" si="16"/>
        <v>0</v>
      </c>
      <c r="AI28" s="12">
        <f t="shared" si="16"/>
        <v>151234.47</v>
      </c>
      <c r="AJ28" s="12">
        <f t="shared" si="16"/>
        <v>151234.47</v>
      </c>
      <c r="AK28" s="12">
        <f t="shared" si="16"/>
        <v>0</v>
      </c>
      <c r="AL28" s="12">
        <f t="shared" si="16"/>
        <v>151234.47</v>
      </c>
      <c r="AM28" s="12">
        <f t="shared" si="16"/>
        <v>0</v>
      </c>
      <c r="AN28" s="12">
        <f t="shared" si="16"/>
        <v>151234.47</v>
      </c>
      <c r="AO28" s="12">
        <f t="shared" si="16"/>
        <v>151234.47</v>
      </c>
      <c r="AP28" s="12">
        <f t="shared" si="16"/>
        <v>151234.47</v>
      </c>
      <c r="AQ28" s="12">
        <f t="shared" si="16"/>
        <v>0</v>
      </c>
      <c r="AR28" s="12">
        <f t="shared" si="16"/>
        <v>126877.11</v>
      </c>
      <c r="AS28" s="12">
        <f>SUMIFS(AS$5:AS$26,$C$5:$C$26,"*opex*")</f>
        <v>0</v>
      </c>
      <c r="AT28" s="12">
        <f t="shared" si="16"/>
        <v>126877.11</v>
      </c>
      <c r="AU28" s="12">
        <f t="shared" si="16"/>
        <v>126877.11</v>
      </c>
      <c r="AV28" s="12">
        <f t="shared" si="16"/>
        <v>104139</v>
      </c>
      <c r="AW28" s="12">
        <f t="shared" si="16"/>
        <v>104139</v>
      </c>
      <c r="AX28" s="12">
        <f t="shared" si="16"/>
        <v>104139</v>
      </c>
      <c r="AY28" s="12">
        <f t="shared" si="16"/>
        <v>103139</v>
      </c>
      <c r="AZ28" s="12">
        <f t="shared" si="16"/>
        <v>0</v>
      </c>
      <c r="BA28" s="12">
        <f t="shared" si="16"/>
        <v>103139</v>
      </c>
      <c r="BB28" s="12">
        <f t="shared" si="16"/>
        <v>0</v>
      </c>
      <c r="BC28" s="12">
        <f t="shared" si="16"/>
        <v>0</v>
      </c>
      <c r="BD28" s="12">
        <f t="shared" si="16"/>
        <v>0</v>
      </c>
    </row>
    <row r="30" spans="2:56" x14ac:dyDescent="0.25">
      <c r="B30" s="1" t="s">
        <v>247</v>
      </c>
      <c r="D30" s="50">
        <v>0</v>
      </c>
      <c r="E30" s="50">
        <v>1</v>
      </c>
      <c r="F30" s="50">
        <v>1</v>
      </c>
      <c r="G30" s="50">
        <v>1</v>
      </c>
      <c r="H30" s="50">
        <v>1</v>
      </c>
      <c r="I30" s="50">
        <v>2</v>
      </c>
      <c r="J30" s="50">
        <v>0</v>
      </c>
      <c r="K30" s="50">
        <v>2</v>
      </c>
      <c r="L30" s="50">
        <v>0</v>
      </c>
      <c r="M30" s="50">
        <v>2</v>
      </c>
      <c r="N30" s="50">
        <v>2</v>
      </c>
      <c r="O30" s="50">
        <v>2</v>
      </c>
      <c r="P30" s="50">
        <v>0</v>
      </c>
      <c r="Q30" s="50">
        <v>2</v>
      </c>
      <c r="R30" s="50">
        <v>0</v>
      </c>
      <c r="S30" s="50">
        <v>2</v>
      </c>
      <c r="T30" s="50">
        <v>0</v>
      </c>
      <c r="U30" s="50">
        <v>2</v>
      </c>
      <c r="V30" s="50">
        <v>2</v>
      </c>
      <c r="W30" s="50">
        <v>0</v>
      </c>
      <c r="X30" s="50">
        <v>2</v>
      </c>
      <c r="Y30" s="50">
        <v>0</v>
      </c>
      <c r="Z30" s="50">
        <v>2</v>
      </c>
      <c r="AA30" s="50">
        <v>0</v>
      </c>
      <c r="AB30" s="50">
        <v>2</v>
      </c>
      <c r="AC30" s="50">
        <v>0</v>
      </c>
      <c r="AD30" s="50">
        <v>2</v>
      </c>
      <c r="AE30" s="50">
        <v>0</v>
      </c>
      <c r="AF30" s="50">
        <v>2</v>
      </c>
      <c r="AG30" s="50">
        <v>2</v>
      </c>
      <c r="AH30" s="50">
        <v>0</v>
      </c>
      <c r="AI30" s="50">
        <v>2</v>
      </c>
      <c r="AJ30" s="50">
        <v>2</v>
      </c>
      <c r="AK30" s="50">
        <v>0</v>
      </c>
      <c r="AL30" s="50">
        <v>2</v>
      </c>
      <c r="AM30" s="50">
        <v>0</v>
      </c>
      <c r="AN30" s="50">
        <v>2</v>
      </c>
      <c r="AO30" s="50">
        <v>2</v>
      </c>
      <c r="AP30" s="50">
        <v>2</v>
      </c>
      <c r="AQ30" s="50">
        <v>0</v>
      </c>
      <c r="AR30" s="50">
        <v>2</v>
      </c>
      <c r="AS30" s="50">
        <v>0</v>
      </c>
      <c r="AT30" s="50">
        <v>2</v>
      </c>
      <c r="AU30" s="50">
        <v>2</v>
      </c>
      <c r="AV30" s="50">
        <v>2</v>
      </c>
      <c r="AW30" s="50">
        <v>2</v>
      </c>
      <c r="AX30" s="50">
        <v>2</v>
      </c>
      <c r="AY30" s="50">
        <v>0</v>
      </c>
      <c r="AZ30" s="50">
        <v>0</v>
      </c>
      <c r="BA30" s="50">
        <v>2</v>
      </c>
      <c r="BB30" s="50">
        <v>0</v>
      </c>
      <c r="BC30" s="50">
        <v>0</v>
      </c>
      <c r="BD30" s="50">
        <v>0</v>
      </c>
    </row>
    <row r="31" spans="2:56" x14ac:dyDescent="0.25">
      <c r="B31" t="s">
        <v>248</v>
      </c>
      <c r="C31" s="64"/>
      <c r="D31" s="50">
        <v>6</v>
      </c>
      <c r="E31" s="50">
        <v>5</v>
      </c>
      <c r="F31" s="50">
        <v>5</v>
      </c>
      <c r="G31" s="50">
        <v>5</v>
      </c>
      <c r="H31" s="50">
        <v>5</v>
      </c>
      <c r="I31" s="50">
        <v>6</v>
      </c>
      <c r="J31" s="50">
        <v>6</v>
      </c>
      <c r="K31" s="50">
        <v>6</v>
      </c>
      <c r="L31" s="50">
        <v>6</v>
      </c>
      <c r="M31" s="50">
        <v>6</v>
      </c>
      <c r="N31" s="50">
        <v>6</v>
      </c>
      <c r="O31" s="50">
        <v>6</v>
      </c>
      <c r="P31" s="50">
        <v>6</v>
      </c>
      <c r="Q31" s="50">
        <v>6</v>
      </c>
      <c r="R31" s="50">
        <v>6</v>
      </c>
      <c r="S31" s="50">
        <v>6</v>
      </c>
      <c r="T31" s="50">
        <v>6</v>
      </c>
      <c r="U31" s="50">
        <v>6</v>
      </c>
      <c r="V31" s="50">
        <v>6</v>
      </c>
      <c r="W31" s="50">
        <v>6</v>
      </c>
      <c r="X31" s="50">
        <v>6</v>
      </c>
      <c r="Y31" s="50">
        <v>6</v>
      </c>
      <c r="Z31" s="50">
        <v>6</v>
      </c>
      <c r="AA31" s="50">
        <v>6</v>
      </c>
      <c r="AB31" s="50">
        <v>6</v>
      </c>
      <c r="AC31" s="50">
        <v>6</v>
      </c>
      <c r="AD31" s="50">
        <v>6</v>
      </c>
      <c r="AE31" s="50">
        <v>6</v>
      </c>
      <c r="AF31" s="50">
        <v>6</v>
      </c>
      <c r="AG31" s="50">
        <v>6</v>
      </c>
      <c r="AH31" s="50">
        <v>6</v>
      </c>
      <c r="AI31" s="50">
        <v>6</v>
      </c>
      <c r="AJ31" s="50">
        <v>6</v>
      </c>
      <c r="AK31" s="50">
        <v>6</v>
      </c>
      <c r="AL31" s="50">
        <v>6</v>
      </c>
      <c r="AM31" s="50">
        <v>6</v>
      </c>
      <c r="AN31" s="50">
        <v>6</v>
      </c>
      <c r="AO31" s="50">
        <v>6</v>
      </c>
      <c r="AP31" s="50">
        <v>6</v>
      </c>
      <c r="AQ31" s="50">
        <v>6</v>
      </c>
      <c r="AR31" s="50">
        <v>6</v>
      </c>
      <c r="AS31" s="50">
        <v>6</v>
      </c>
      <c r="AT31" s="50">
        <v>6</v>
      </c>
      <c r="AU31" s="50">
        <v>6</v>
      </c>
      <c r="AV31" s="50">
        <v>6</v>
      </c>
      <c r="AW31" s="50">
        <v>6</v>
      </c>
      <c r="AX31" s="50">
        <v>6</v>
      </c>
      <c r="AY31" s="50">
        <v>6</v>
      </c>
      <c r="AZ31" s="50">
        <v>6</v>
      </c>
      <c r="BA31" s="50">
        <v>6</v>
      </c>
      <c r="BB31" s="50">
        <v>6</v>
      </c>
      <c r="BC31" s="50">
        <v>6</v>
      </c>
      <c r="BD31" s="50">
        <v>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1FFC3F-B88F-4DB7-B411-2F56E0D09CA1}">
  <sheetPr>
    <tabColor theme="9" tint="-0.249977111117893"/>
    <pageSetUpPr fitToPage="1"/>
  </sheetPr>
  <dimension ref="B4:Y46"/>
  <sheetViews>
    <sheetView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K1" sqref="K1"/>
    </sheetView>
  </sheetViews>
  <sheetFormatPr defaultRowHeight="15" outlineLevelCol="1" x14ac:dyDescent="0.25"/>
  <cols>
    <col min="1" max="1" width="4.7109375" customWidth="1"/>
    <col min="2" max="2" width="24.85546875" bestFit="1" customWidth="1"/>
    <col min="3" max="3" width="14" bestFit="1" customWidth="1"/>
    <col min="4" max="4" width="12.85546875" bestFit="1" customWidth="1"/>
    <col min="5" max="6" width="15" customWidth="1"/>
    <col min="7" max="7" width="4.7109375" customWidth="1"/>
    <col min="8" max="8" width="14" bestFit="1" customWidth="1"/>
    <col min="9" max="9" width="12.85546875" bestFit="1" customWidth="1"/>
    <col min="10" max="10" width="14" bestFit="1" customWidth="1"/>
    <col min="11" max="11" width="4.7109375" customWidth="1"/>
    <col min="12" max="12" width="12.5703125" customWidth="1" outlineLevel="1"/>
    <col min="13" max="13" width="11.5703125" customWidth="1" outlineLevel="1"/>
    <col min="14" max="14" width="14.28515625" customWidth="1" outlineLevel="1"/>
    <col min="15" max="15" width="11.5703125" customWidth="1" outlineLevel="1"/>
    <col min="16" max="16" width="4.7109375" customWidth="1" outlineLevel="1"/>
    <col min="17" max="17" width="13.85546875" bestFit="1" customWidth="1"/>
    <col min="18" max="18" width="17.7109375" bestFit="1" customWidth="1"/>
    <col min="19" max="19" width="5.42578125" bestFit="1" customWidth="1"/>
    <col min="20" max="20" width="6.7109375" bestFit="1" customWidth="1"/>
    <col min="21" max="21" width="4.7109375" customWidth="1"/>
    <col min="22" max="22" width="13.85546875" bestFit="1" customWidth="1"/>
    <col min="23" max="23" width="18" bestFit="1" customWidth="1"/>
    <col min="24" max="24" width="5.42578125" bestFit="1" customWidth="1"/>
    <col min="25" max="25" width="6.7109375" bestFit="1" customWidth="1"/>
  </cols>
  <sheetData>
    <row r="4" spans="2:25" ht="14.45" customHeight="1" x14ac:dyDescent="0.25">
      <c r="B4" s="132" t="s">
        <v>249</v>
      </c>
      <c r="C4" s="73" t="s">
        <v>518</v>
      </c>
      <c r="D4" s="73"/>
      <c r="E4" s="73"/>
      <c r="F4" s="73"/>
      <c r="H4" s="73" t="s">
        <v>518</v>
      </c>
      <c r="I4" s="73"/>
      <c r="J4" s="73"/>
      <c r="L4" s="73" t="s">
        <v>344</v>
      </c>
      <c r="M4" s="73"/>
      <c r="N4" s="73"/>
      <c r="O4" s="73"/>
      <c r="Q4" s="223" t="s">
        <v>250</v>
      </c>
      <c r="R4" s="223"/>
      <c r="S4" s="223"/>
      <c r="T4" s="223"/>
      <c r="V4" s="223" t="s">
        <v>251</v>
      </c>
      <c r="W4" s="223"/>
      <c r="X4" s="223"/>
      <c r="Y4" s="223"/>
    </row>
    <row r="5" spans="2:25" x14ac:dyDescent="0.25">
      <c r="B5" s="76">
        <v>2026</v>
      </c>
      <c r="C5" s="120" t="s">
        <v>29</v>
      </c>
      <c r="D5" s="121" t="s">
        <v>32</v>
      </c>
      <c r="E5" s="122" t="s">
        <v>35</v>
      </c>
      <c r="F5" s="123" t="s">
        <v>37</v>
      </c>
      <c r="H5" s="119" t="s">
        <v>252</v>
      </c>
      <c r="I5" s="119" t="s">
        <v>15</v>
      </c>
      <c r="J5" s="119" t="s">
        <v>43</v>
      </c>
      <c r="L5" s="120" t="s">
        <v>29</v>
      </c>
      <c r="M5" s="121" t="s">
        <v>32</v>
      </c>
      <c r="N5" s="122" t="s">
        <v>35</v>
      </c>
      <c r="O5" s="123" t="s">
        <v>37</v>
      </c>
      <c r="Q5" s="85" t="s">
        <v>59</v>
      </c>
      <c r="R5" s="85" t="s">
        <v>64</v>
      </c>
      <c r="S5" s="85" t="s">
        <v>253</v>
      </c>
      <c r="T5" s="85" t="s">
        <v>254</v>
      </c>
      <c r="V5" s="85" t="s">
        <v>59</v>
      </c>
      <c r="W5" s="85" t="s">
        <v>64</v>
      </c>
      <c r="X5" s="85" t="s">
        <v>253</v>
      </c>
      <c r="Y5" s="85" t="s">
        <v>254</v>
      </c>
    </row>
    <row r="6" spans="2:25" x14ac:dyDescent="0.25">
      <c r="B6" t="s">
        <v>309</v>
      </c>
      <c r="C6" s="165" cm="1">
        <f t="array" ref="C6">_xlfn.XLOOKUP($B$5,_xlfn.ANCHORARRAY('JV1'!$J$20),'JV1'!$J3:$L3,0,0)</f>
        <v>255.55000000000007</v>
      </c>
      <c r="D6" s="165" cm="1">
        <f t="array" ref="D6">_xlfn.XLOOKUP($B$5,_xlfn.ANCHORARRAY('JV2'!$J$20),'JV2'!$J3:$L3,0,0)</f>
        <v>134.51</v>
      </c>
      <c r="E6" s="165" cm="1">
        <f t="array" ref="E6">_xlfn.XLOOKUP($B$5,_xlfn.ANCHORARRAY('JV2'!$N$20),'JV2'!$N3:$P3,0,0)</f>
        <v>109.44</v>
      </c>
      <c r="F6" s="165" cm="1">
        <f t="array" ref="F6">_xlfn.XLOOKUP($B$5,_xlfn.ANCHORARRAY('JV2'!$R$20),'JV2'!$R3:$T3,0,0)</f>
        <v>24.27</v>
      </c>
      <c r="H6" s="165">
        <f>SUM(C6)</f>
        <v>255.55000000000007</v>
      </c>
      <c r="I6" s="165">
        <f>SUM(D6:F6)</f>
        <v>268.21999999999997</v>
      </c>
      <c r="J6" s="5" t="s">
        <v>255</v>
      </c>
      <c r="L6" s="165" cm="1">
        <f t="array" ref="L6">_xlfn.LET(_xlpm.hours,_xlfn._TRO_TRAILING(Sites!$I:$K),_xlpm.type,ISNUMBER(SEARCH($L$4,_xlfn._TRO_TRAILING(Sites!$C:$C))),
_xlpm.states,ISNUMBER(SEARCH(L$5,_xlfn._TRO_TRAILING(Sites!$D:$D))),
_xlpm.years,ISNUMBER(SEARCH($B$5,Sites!$I$3:$K$3)),
SUM(_xlfn._xlws.FILTER(_xlfn._xlws.FILTER(_xlpm.hours,_xlpm.states*_xlpm.type,0),_xlpm.years),0))</f>
        <v>26.799999999999997</v>
      </c>
      <c r="M6" s="165" cm="1">
        <f t="array" ref="M6">_xlfn.LET(_xlpm.hours,_xlfn._TRO_TRAILING(Sites!$I:$K),_xlpm.type,ISNUMBER(SEARCH($L$4,_xlfn._TRO_TRAILING(Sites!$C:$C))),
_xlpm.states,ISNUMBER(SEARCH(M$5,_xlfn._TRO_TRAILING(Sites!$D:$D))),
_xlpm.years,ISNUMBER(SEARCH($B$5,Sites!$I$3:$K$3)),
SUM(_xlfn._xlws.FILTER(_xlfn._xlws.FILTER(_xlpm.hours,_xlpm.states*_xlpm.type,0),_xlpm.years),0))</f>
        <v>42.209999999999994</v>
      </c>
      <c r="N6" s="165" cm="1">
        <f t="array" ref="N6">_xlfn.LET(_xlpm.hours,_xlfn._TRO_TRAILING(Sites!$I:$K),_xlpm.type,ISNUMBER(SEARCH($L$4,_xlfn._TRO_TRAILING(Sites!$C:$C))),
_xlpm.states,ISNUMBER(SEARCH(N$5,_xlfn._TRO_TRAILING(Sites!$D:$D))),
_xlpm.years,ISNUMBER(SEARCH($B$5,Sites!$I$3:$K$3)),
SUM(_xlfn._xlws.FILTER(_xlfn._xlws.FILTER(_xlpm.hours,_xlpm.states*_xlpm.type,0),_xlpm.years),0))</f>
        <v>52.989999999999995</v>
      </c>
      <c r="O6" s="165" cm="1">
        <f t="array" ref="O6">_xlfn.LET(_xlpm.hours,_xlfn._TRO_TRAILING(Sites!$I:$K),_xlpm.type,ISNUMBER(SEARCH($L$4,_xlfn._TRO_TRAILING(Sites!$C:$C))),
_xlpm.states,ISNUMBER(SEARCH(O$5,_xlfn._TRO_TRAILING(Sites!$D:$D))),
_xlpm.years,ISNUMBER(SEARCH($B$5,Sites!$I$3:$K$3)),
SUM(_xlfn._xlws.FILTER(_xlfn._xlws.FILTER(_xlpm.hours,_xlpm.states*_xlpm.type,0),_xlpm.years),0))</f>
        <v>24.27</v>
      </c>
      <c r="Q6" t="str" cm="1">
        <f t="array" ref="Q6:T34">_xlfn.LET(_xlpm.builds,_xlfn.CHOOSECOLS(TRANSPOSE(Base!D2:BD5),{1,3,4}),_xlpm.Centers,_xlfn._xlws.FILTER(_xlpm.builds,ISNUMBER(SEARCH("Center",_xlfn.CHOOSECOLS(_xlpm.builds,2))),""),
_xlpm.data,_xlfn.HSTACK(_xlfn.CHOOSECOLS(_xlpm.Centers,1,2),YEAR(_xlfn.CHOOSECOLS(_xlpm.Centers,3)),MONTH(_xlfn.CHOOSECOLS(_xlpm.Centers,3))),
_xlfn._xlws.SORT(_xlfn._xlws.SORT(_xlfn._xlws.SORT(_xlpm.data,4),3),1))</f>
        <v>Maryland</v>
      </c>
      <c r="R6" t="str">
        <v>MDA1-Center</v>
      </c>
      <c r="S6">
        <v>2021</v>
      </c>
      <c r="T6">
        <v>1</v>
      </c>
      <c r="V6" t="str" cm="1">
        <f t="array" ref="V6:Y24">_xlfn.LET(_xlpm.builds,_xlfn.CHOOSECOLS(TRANSPOSE(_xlfn._TRO_TRAILING(Base!$2:$5)),{1,3,4}),_xlpm.Centers,_xlfn._xlws.FILTER(_xlpm.builds,ISNUMBER(SEARCH("Remote",_xlfn.CHOOSECOLS(_xlpm.builds,2))),""),
_xlpm.data,_xlfn.HSTACK(_xlfn.CHOOSECOLS(_xlpm.Centers,1,2),YEAR(_xlfn.CHOOSECOLS(_xlpm.Centers,3)),MONTH(_xlfn.CHOOSECOLS(_xlpm.Centers,3))),
_xlfn._xlws.SORT(_xlfn._xlws.SORT(_xlfn._xlws.SORT(_xlpm.data,4),3),1))</f>
        <v>Arizona</v>
      </c>
      <c r="W6" t="str">
        <v>AZB1-Remote</v>
      </c>
      <c r="X6">
        <v>2023</v>
      </c>
      <c r="Y6">
        <v>1</v>
      </c>
    </row>
    <row r="7" spans="2:25" x14ac:dyDescent="0.25">
      <c r="B7" t="s">
        <v>310</v>
      </c>
      <c r="C7" s="165" cm="1">
        <f t="array" ref="C7">_xlfn.XLOOKUP($B$5,_xlfn.ANCHORARRAY('JV1'!$J$20),'JV1'!$J4:$L4,0,0)</f>
        <v>40.25</v>
      </c>
      <c r="D7" s="165" cm="1">
        <f t="array" ref="D7">_xlfn.XLOOKUP($B$5,_xlfn.ANCHORARRAY('JV2'!$J$20),'JV2'!$J4:$L4,0,0)</f>
        <v>25.15</v>
      </c>
      <c r="E7" s="165" cm="1">
        <f t="array" ref="E7">_xlfn.XLOOKUP($B$5,_xlfn.ANCHORARRAY('JV2'!$N$20),'JV2'!$N4:$P4,0,0)</f>
        <v>20.74</v>
      </c>
      <c r="F7" s="165" cm="1">
        <f t="array" ref="F7">_xlfn.XLOOKUP($B$5,_xlfn.ANCHORARRAY('JV2'!$R$20),'JV2'!$R4:$T4,0,0)</f>
        <v>5.1899999999999995</v>
      </c>
      <c r="G7" s="125"/>
      <c r="H7" s="165">
        <f t="shared" ref="H7:H10" si="0">SUM(C7)</f>
        <v>40.25</v>
      </c>
      <c r="I7" s="165">
        <f t="shared" ref="I7:I10" si="1">SUM(D7:F7)</f>
        <v>51.08</v>
      </c>
      <c r="J7" s="5" t="s">
        <v>255</v>
      </c>
      <c r="L7" s="165" cm="1">
        <f t="array" ref="L7">_xlfn.LET(_xlpm.hours,_xlfn._TRO_TRAILING(Sites!$M:$O),_xlpm.type,ISNUMBER(SEARCH($L$4,_xlfn._TRO_TRAILING(Sites!$C:$C))),
_xlpm.states,ISNUMBER(SEARCH(L$5,_xlfn._TRO_TRAILING(Sites!$D:$D))),
_xlpm.years,ISNUMBER(SEARCH($B$5,Sites!$M$3:$O$3)),
SUM(_xlfn._xlws.FILTER(_xlfn._xlws.FILTER(_xlpm.hours,_xlpm.states*_xlpm.type,0),_xlpm.years),0))</f>
        <v>5.49</v>
      </c>
      <c r="M7" s="165" cm="1">
        <f t="array" ref="M7">_xlfn.LET(_xlpm.hours,_xlfn._TRO_TRAILING(Sites!$M:$O),_xlpm.type,ISNUMBER(SEARCH($L$4,_xlfn._TRO_TRAILING(Sites!$C:$C))),
_xlpm.states,ISNUMBER(SEARCH(M$5,_xlfn._TRO_TRAILING(Sites!$D:$D))),
_xlpm.years,ISNUMBER(SEARCH($B$5,Sites!$M$3:$O$3)),
SUM(_xlfn._xlws.FILTER(_xlfn._xlws.FILTER(_xlpm.hours,_xlpm.states*_xlpm.type,0),_xlpm.years),0))</f>
        <v>10</v>
      </c>
      <c r="N7" s="165" cm="1">
        <f t="array" ref="N7">_xlfn.LET(_xlpm.hours,_xlfn._TRO_TRAILING(Sites!$M:$O),_xlpm.type,ISNUMBER(SEARCH($L$4,_xlfn._TRO_TRAILING(Sites!$C:$C))),
_xlpm.states,ISNUMBER(SEARCH(N$5,_xlfn._TRO_TRAILING(Sites!$D:$D))),
_xlpm.years,ISNUMBER(SEARCH($B$5,Sites!$M$3:$O$3)),
SUM(_xlfn._xlws.FILTER(_xlfn._xlws.FILTER(_xlpm.hours,_xlpm.states*_xlpm.type,0),_xlpm.years),0))</f>
        <v>11.73</v>
      </c>
      <c r="O7" s="165" cm="1">
        <f t="array" ref="O7">_xlfn.LET(_xlpm.hours,_xlfn._TRO_TRAILING(Sites!$M:$O),_xlpm.type,ISNUMBER(SEARCH($L$4,_xlfn._TRO_TRAILING(Sites!$C:$C))),
_xlpm.states,ISNUMBER(SEARCH(O$5,_xlfn._TRO_TRAILING(Sites!$D:$D))),
_xlpm.years,ISNUMBER(SEARCH($B$5,Sites!$M$3:$O$3)),
SUM(_xlfn._xlws.FILTER(_xlfn._xlws.FILTER(_xlpm.hours,_xlpm.states*_xlpm.type,0),_xlpm.years),0))</f>
        <v>5.1899999999999995</v>
      </c>
      <c r="Q7" t="str">
        <v>Maryland</v>
      </c>
      <c r="R7" t="str">
        <v>MDA3-Center</v>
      </c>
      <c r="S7">
        <v>2024</v>
      </c>
      <c r="T7">
        <v>8</v>
      </c>
      <c r="V7" t="str">
        <v>Arizona</v>
      </c>
      <c r="W7" t="str">
        <v>AZB2-Remote</v>
      </c>
      <c r="X7">
        <v>2026</v>
      </c>
      <c r="Y7">
        <v>1</v>
      </c>
    </row>
    <row r="8" spans="2:25" x14ac:dyDescent="0.25">
      <c r="B8" t="s">
        <v>354</v>
      </c>
      <c r="C8" s="165" cm="1">
        <f t="array" ref="C8">_xlfn.XLOOKUP($B$5,_xlfn.ANCHORARRAY('JV1'!$J$20),'JV1'!$J5:$L5,0,0)</f>
        <v>79</v>
      </c>
      <c r="D8" s="165" cm="1">
        <f t="array" ref="D8">_xlfn.XLOOKUP($B$5,_xlfn.ANCHORARRAY('JV2'!$J$20),'JV2'!$J5:$L5,0,0)</f>
        <v>35</v>
      </c>
      <c r="E8" s="165" cm="1">
        <f t="array" ref="E8">_xlfn.XLOOKUP($B$5,_xlfn.ANCHORARRAY('JV2'!$N$20),'JV2'!$N5:$P5,0,0)</f>
        <v>24</v>
      </c>
      <c r="F8" s="165" cm="1">
        <f t="array" ref="F8">_xlfn.XLOOKUP($B$5,_xlfn.ANCHORARRAY('JV2'!$R$20),'JV2'!$R5:$T5,0,0)</f>
        <v>7</v>
      </c>
      <c r="G8" s="125"/>
      <c r="H8" s="165">
        <f t="shared" si="0"/>
        <v>79</v>
      </c>
      <c r="I8" s="165">
        <f t="shared" si="1"/>
        <v>66</v>
      </c>
      <c r="J8" s="5" t="s">
        <v>255</v>
      </c>
      <c r="L8" s="165" cm="1">
        <f t="array" ref="L8">_xlfn.LET(_xlpm.hours,_xlfn._TRO_TRAILING(Sites!$U:$W),_xlpm.type,ISNUMBER(SEARCH($L$4,_xlfn._TRO_TRAILING(Sites!$C:$C))),
_xlpm.states,ISNUMBER(SEARCH(L$5,_xlfn._TRO_TRAILING(Sites!$D:$D))),
_xlpm.years,ISNUMBER(SEARCH($B$5,Sites!$M$3:$O$3)),
SUM(_xlfn._xlws.FILTER(_xlfn._xlws.FILTER(_xlpm.hours,_xlpm.states*_xlpm.type,0),_xlpm.years),0))</f>
        <v>13</v>
      </c>
      <c r="M8" s="165" cm="1">
        <f t="array" ref="M8">_xlfn.LET(_xlpm.hours,_xlfn._TRO_TRAILING(Sites!$U:$W),_xlpm.type,ISNUMBER(SEARCH($L$4,_xlfn._TRO_TRAILING(Sites!$C:$C))),
_xlpm.states,ISNUMBER(SEARCH(M$5,_xlfn._TRO_TRAILING(Sites!$D:$D))),
_xlpm.years,ISNUMBER(SEARCH($B$5,Sites!$M$3:$O$3)),
SUM(_xlfn._xlws.FILTER(_xlfn._xlws.FILTER(_xlpm.hours,_xlpm.states*_xlpm.type,0),_xlpm.years),0))</f>
        <v>10</v>
      </c>
      <c r="N8" s="165" cm="1">
        <f t="array" ref="N8">_xlfn.LET(_xlpm.hours,_xlfn._TRO_TRAILING(Sites!$U:$W),_xlpm.type,ISNUMBER(SEARCH($L$4,_xlfn._TRO_TRAILING(Sites!$C:$C))),
_xlpm.states,ISNUMBER(SEARCH(N$5,_xlfn._TRO_TRAILING(Sites!$D:$D))),
_xlpm.years,ISNUMBER(SEARCH($B$5,Sites!$M$3:$O$3)),
SUM(_xlfn._xlws.FILTER(_xlfn._xlws.FILTER(_xlpm.hours,_xlpm.states*_xlpm.type,0),_xlpm.years),0))</f>
        <v>6</v>
      </c>
      <c r="O8" s="165" cm="1">
        <f t="array" ref="O8">_xlfn.LET(_xlpm.hours,_xlfn._TRO_TRAILING(Sites!$U:$W),_xlpm.type,ISNUMBER(SEARCH($L$4,_xlfn._TRO_TRAILING(Sites!$C:$C))),
_xlpm.states,ISNUMBER(SEARCH(O$5,_xlfn._TRO_TRAILING(Sites!$D:$D))),
_xlpm.years,ISNUMBER(SEARCH($B$5,Sites!$M$3:$O$3)),
SUM(_xlfn._xlws.FILTER(_xlfn._xlws.FILTER(_xlpm.hours,_xlpm.states*_xlpm.type,0),_xlpm.years),0))</f>
        <v>7</v>
      </c>
      <c r="Q8" t="str">
        <v>Maryland</v>
      </c>
      <c r="R8" t="str">
        <v>MD-2026-01-Center</v>
      </c>
      <c r="S8">
        <v>2026</v>
      </c>
      <c r="T8">
        <v>7</v>
      </c>
      <c r="V8" t="str">
        <v>Arizona</v>
      </c>
      <c r="W8" t="str">
        <v>AZB3-Remote</v>
      </c>
      <c r="X8">
        <v>2027</v>
      </c>
      <c r="Y8">
        <v>1</v>
      </c>
    </row>
    <row r="9" spans="2:25" x14ac:dyDescent="0.25">
      <c r="C9" s="165"/>
      <c r="D9" s="165"/>
      <c r="E9" s="165"/>
      <c r="F9" s="165"/>
      <c r="G9" s="125"/>
      <c r="H9" s="165"/>
      <c r="I9" s="165"/>
      <c r="J9" s="5"/>
      <c r="L9" s="165"/>
      <c r="M9" s="165"/>
      <c r="N9" s="165"/>
      <c r="O9" s="165"/>
      <c r="Q9" t="str">
        <v>Maryland</v>
      </c>
      <c r="R9" t="str">
        <v>MD-2027-01-Center</v>
      </c>
      <c r="S9">
        <v>2027</v>
      </c>
      <c r="T9">
        <v>8</v>
      </c>
      <c r="V9" t="str">
        <v>Maryland</v>
      </c>
      <c r="W9" t="str">
        <v>MDB1-Remote</v>
      </c>
      <c r="X9">
        <v>2021</v>
      </c>
      <c r="Y9">
        <v>1</v>
      </c>
    </row>
    <row r="10" spans="2:25" x14ac:dyDescent="0.25">
      <c r="B10" s="1" t="s">
        <v>258</v>
      </c>
      <c r="C10" s="168">
        <f>COUNTIFS($Q:$Q,C$5,$S:$S,$B$5)</f>
        <v>6</v>
      </c>
      <c r="D10" s="168">
        <f t="shared" ref="D10:F10" si="2">COUNTIFS($Q:$Q,D$5,$S:$S,$B$5)</f>
        <v>1</v>
      </c>
      <c r="E10" s="168">
        <f t="shared" si="2"/>
        <v>2</v>
      </c>
      <c r="F10" s="168">
        <f t="shared" si="2"/>
        <v>0</v>
      </c>
      <c r="G10" s="130"/>
      <c r="H10" s="168">
        <f t="shared" si="0"/>
        <v>6</v>
      </c>
      <c r="I10" s="168">
        <f t="shared" si="1"/>
        <v>3</v>
      </c>
      <c r="J10" s="66" t="s">
        <v>255</v>
      </c>
      <c r="L10" s="168">
        <f>COUNTIFS($V:$V,L$5,$X:$X,$B$5)</f>
        <v>4</v>
      </c>
      <c r="M10" s="168">
        <f t="shared" ref="M10:O10" si="3">COUNTIFS($V:$V,M$5,$X:$X,$B$5)</f>
        <v>1</v>
      </c>
      <c r="N10" s="168">
        <f t="shared" si="3"/>
        <v>0</v>
      </c>
      <c r="O10" s="168">
        <f t="shared" si="3"/>
        <v>1</v>
      </c>
      <c r="Q10" t="str">
        <v>Maryland</v>
      </c>
      <c r="R10" t="str">
        <v>MD-2028-01-Center</v>
      </c>
      <c r="S10">
        <v>2028</v>
      </c>
      <c r="T10">
        <v>6</v>
      </c>
      <c r="V10" t="str">
        <v>Maryland</v>
      </c>
      <c r="W10" t="str">
        <v>MDB2-Remote</v>
      </c>
      <c r="X10">
        <v>2024</v>
      </c>
      <c r="Y10">
        <v>8</v>
      </c>
    </row>
    <row r="11" spans="2:25" x14ac:dyDescent="0.25">
      <c r="Q11" t="str">
        <v>New Jersey</v>
      </c>
      <c r="R11" t="str">
        <v>NJA4-Center</v>
      </c>
      <c r="S11">
        <v>2025</v>
      </c>
      <c r="T11">
        <v>5</v>
      </c>
      <c r="V11" t="str">
        <v>Maryland</v>
      </c>
      <c r="W11" t="str">
        <v>MD-2026-01-Remote</v>
      </c>
      <c r="X11">
        <v>2026</v>
      </c>
      <c r="Y11">
        <v>1</v>
      </c>
    </row>
    <row r="12" spans="2:25" x14ac:dyDescent="0.25">
      <c r="B12" t="s">
        <v>390</v>
      </c>
      <c r="C12" s="168" cm="1">
        <f t="array" ref="C12">_xlfn.XLOOKUP($B$5,_xlfn.ANCHORARRAY('JV1'!$J$20),'JV1'!$J1:$L1,0,0)</f>
        <v>303</v>
      </c>
      <c r="D12" s="168" cm="1">
        <f t="array" ref="D12">_xlfn.XLOOKUP($B$5,_xlfn.ANCHORARRAY('JV2'!$J$20),'JV2'!$J1:$L1,0,0)</f>
        <v>206</v>
      </c>
      <c r="E12" s="168" cm="1">
        <f t="array" ref="E12">_xlfn.XLOOKUP($B$5,_xlfn.ANCHORARRAY('JV2'!$N$20),'JV2'!$N1:$P1,0,0)</f>
        <v>192</v>
      </c>
      <c r="F12" s="168" cm="1">
        <f t="array" ref="F12">_xlfn.XLOOKUP($B$5,_xlfn.ANCHORARRAY('JV2'!$R$20),'JV2'!$R1:$T1,0,0)</f>
        <v>57</v>
      </c>
      <c r="G12" s="125"/>
      <c r="H12" s="168">
        <f t="shared" ref="H12:H14" si="4">SUM(C12)</f>
        <v>303</v>
      </c>
      <c r="I12" s="168">
        <f t="shared" ref="I12:I14" si="5">SUM(D12:F12)</f>
        <v>455</v>
      </c>
      <c r="J12" s="168" cm="1">
        <f t="array" ref="J12">_xlfn.XLOOKUP($B$5,_xlfn.ANCHORARRAY('JV1'!$N$20),'JV1'!$N$1:$P$1,0,0)</f>
        <v>515</v>
      </c>
      <c r="L12" s="168" cm="1">
        <f t="array" ref="L12">_xlfn.LET(_xlpm.hours,_xlfn._TRO_TRAILING(Sites!$Y:$AA),_xlpm.type,ISNUMBER(SEARCH($L$4,_xlfn._TRO_TRAILING(Sites!$C:$C))),
_xlpm.states,ISNUMBER(SEARCH(L$5,_xlfn._TRO_TRAILING(Sites!$D:$D))),
_xlpm.years,ISNUMBER(SEARCH($B$5,Sites!$Y$3:$AA$3)),
SUM(_xlfn._xlws.FILTER(_xlfn._xlws.FILTER(_xlpm.hours,_xlpm.states*_xlpm.type,0),_xlpm.years),0))</f>
        <v>60</v>
      </c>
      <c r="M12" s="168" cm="1">
        <f t="array" ref="M12">_xlfn.LET(_xlpm.hours,_xlfn._TRO_TRAILING(Sites!$Y:$AA),_xlpm.type,ISNUMBER(SEARCH($L$4,_xlfn._TRO_TRAILING(Sites!$C:$C))),
_xlpm.states,ISNUMBER(SEARCH(M$5,_xlfn._TRO_TRAILING(Sites!$D:$D))),
_xlpm.years,ISNUMBER(SEARCH($B$5,Sites!$Y$3:$AA$3)),
SUM(_xlfn._xlws.FILTER(_xlfn._xlws.FILTER(_xlpm.hours,_xlpm.states*_xlpm.type,0),_xlpm.years),0))</f>
        <v>100</v>
      </c>
      <c r="N12" s="168" cm="1">
        <f t="array" ref="N12">_xlfn.LET(_xlpm.hours,_xlfn._TRO_TRAILING(Sites!$Y:$AA),_xlpm.type,ISNUMBER(SEARCH($L$4,_xlfn._TRO_TRAILING(Sites!$C:$C))),
_xlpm.states,ISNUMBER(SEARCH(N$5,_xlfn._TRO_TRAILING(Sites!$D:$D))),
_xlpm.years,ISNUMBER(SEARCH($B$5,Sites!$Y$3:$AA$3)),
SUM(_xlfn._xlws.FILTER(_xlfn._xlws.FILTER(_xlpm.hours,_xlpm.states*_xlpm.type,0),_xlpm.years),0))</f>
        <v>129</v>
      </c>
      <c r="O12" s="168" cm="1">
        <f t="array" ref="O12">_xlfn.LET(_xlpm.hours,_xlfn._TRO_TRAILING(Sites!$Y:$AA),_xlpm.type,ISNUMBER(SEARCH($L$4,_xlfn._TRO_TRAILING(Sites!$C:$C))),
_xlpm.states,ISNUMBER(SEARCH(O$5,_xlfn._TRO_TRAILING(Sites!$D:$D))),
_xlpm.years,ISNUMBER(SEARCH($B$5,Sites!$Y$3:$AA$3)),
SUM(_xlfn._xlws.FILTER(_xlfn._xlws.FILTER(_xlpm.hours,_xlpm.states*_xlpm.type,0),_xlpm.years),0))</f>
        <v>57</v>
      </c>
      <c r="Q12" t="str">
        <v>New Jersey</v>
      </c>
      <c r="R12" t="str">
        <v>NJA1-Center</v>
      </c>
      <c r="S12">
        <v>2025</v>
      </c>
      <c r="T12">
        <v>12</v>
      </c>
      <c r="V12" t="str">
        <v>New Jersey</v>
      </c>
      <c r="W12" t="str">
        <v>NJB2-Remote</v>
      </c>
      <c r="X12">
        <v>2025</v>
      </c>
      <c r="Y12">
        <v>5</v>
      </c>
    </row>
    <row r="13" spans="2:25" x14ac:dyDescent="0.25">
      <c r="B13" t="s">
        <v>391</v>
      </c>
      <c r="C13" s="165" cm="1">
        <f t="array" ref="C13">_xlfn.XLOOKUP($B$5,_xlfn.ANCHORARRAY('JV1'!$J$20),'JV1'!$J12:$L12,0,0)</f>
        <v>335.69047619047615</v>
      </c>
      <c r="D13" s="165" cm="1">
        <f t="array" ref="D13">_xlfn.XLOOKUP($B$5,_xlfn.ANCHORARRAY('JV2'!$J$20),'JV2'!$J12:$L12,0,0)</f>
        <v>208.45238095238093</v>
      </c>
      <c r="E13" s="165" cm="1">
        <f t="array" ref="E13">_xlfn.XLOOKUP($B$5,_xlfn.ANCHORARRAY('JV2'!$N$20),'JV2'!$N12:$P12,0,0)</f>
        <v>146.67487684729065</v>
      </c>
      <c r="F13" s="165" cm="1">
        <f t="array" ref="F13">_xlfn.XLOOKUP($B$5,_xlfn.ANCHORARRAY('JV2'!$R$20),'JV2'!$R12:$T12,0,0)</f>
        <v>54.642857142857146</v>
      </c>
      <c r="G13" s="125"/>
      <c r="H13" s="165">
        <f t="shared" si="4"/>
        <v>335.69047619047615</v>
      </c>
      <c r="I13" s="165">
        <f t="shared" si="5"/>
        <v>409.77011494252878</v>
      </c>
      <c r="J13" s="5" t="s">
        <v>255</v>
      </c>
      <c r="L13" s="165" cm="1">
        <f t="array" ref="L13">_xlfn.LET(_xlpm.hours,_xlfn._TRO_TRAILING(Sites!$AC:$AE),_xlpm.type,ISNUMBER(SEARCH($L$4,_xlfn._TRO_TRAILING(Sites!$C:$C))),
_xlpm.states,ISNUMBER(SEARCH(L$5,_xlfn._TRO_TRAILING(Sites!$D:$D))),
_xlpm.years,ISNUMBER(SEARCH($B$5,Sites!$AC$3:$AE$3)),
SUM(_xlfn._xlws.FILTER(_xlfn._xlws.FILTER(_xlpm.hours,_xlpm.states*_xlpm.type,0),_xlpm.years),0))</f>
        <v>70.523809523809533</v>
      </c>
      <c r="M13" s="165" cm="1">
        <f t="array" ref="M13">_xlfn.LET(_xlpm.hours,_xlfn._TRO_TRAILING(Sites!$AC:$AE),_xlpm.type,ISNUMBER(SEARCH($L$4,_xlfn._TRO_TRAILING(Sites!$C:$C))),
_xlpm.states,ISNUMBER(SEARCH(M$5,_xlfn._TRO_TRAILING(Sites!$D:$D))),
_xlpm.years,ISNUMBER(SEARCH($B$5,Sites!$AC$3:$AE$3)),
SUM(_xlfn._xlws.FILTER(_xlfn._xlws.FILTER(_xlpm.hours,_xlpm.states*_xlpm.type,0),_xlpm.years),0))</f>
        <v>82.333333333333343</v>
      </c>
      <c r="N13" s="165" cm="1">
        <f t="array" ref="N13">_xlfn.LET(_xlpm.hours,_xlfn._TRO_TRAILING(Sites!$AC:$AE),_xlpm.type,ISNUMBER(SEARCH($L$4,_xlfn._TRO_TRAILING(Sites!$C:$C))),
_xlpm.states,ISNUMBER(SEARCH(N$5,_xlfn._TRO_TRAILING(Sites!$D:$D))),
_xlpm.years,ISNUMBER(SEARCH($B$5,Sites!$AC$3:$AE$3)),
SUM(_xlfn._xlws.FILTER(_xlfn._xlws.FILTER(_xlpm.hours,_xlpm.states*_xlpm.type,0),_xlpm.years),0))</f>
        <v>81.103448275862078</v>
      </c>
      <c r="O13" s="165" cm="1">
        <f t="array" ref="O13">_xlfn.LET(_xlpm.hours,_xlfn._TRO_TRAILING(Sites!$AC:$AE),_xlpm.type,ISNUMBER(SEARCH($L$4,_xlfn._TRO_TRAILING(Sites!$C:$C))),
_xlpm.states,ISNUMBER(SEARCH(O$5,_xlfn._TRO_TRAILING(Sites!$D:$D))),
_xlpm.years,ISNUMBER(SEARCH($B$5,Sites!$AC$3:$AE$3)),
SUM(_xlfn._xlws.FILTER(_xlfn._xlws.FILTER(_xlpm.hours,_xlpm.states*_xlpm.type,0),_xlpm.years),0))</f>
        <v>54.642857142857146</v>
      </c>
      <c r="Q13" t="str">
        <v>New Jersey</v>
      </c>
      <c r="R13" t="str">
        <v>NJA2-Center</v>
      </c>
      <c r="S13">
        <v>2025</v>
      </c>
      <c r="T13">
        <v>12</v>
      </c>
      <c r="V13" t="str">
        <v>New Jersey</v>
      </c>
      <c r="W13" t="str">
        <v>NJB1-Remote</v>
      </c>
      <c r="X13">
        <v>2026</v>
      </c>
      <c r="Y13">
        <v>4</v>
      </c>
    </row>
    <row r="14" spans="2:25" x14ac:dyDescent="0.25">
      <c r="B14" t="s">
        <v>392</v>
      </c>
      <c r="C14" s="165" cm="1">
        <f t="array" ref="C14">_xlfn.XLOOKUP($B$5,_xlfn.ANCHORARRAY('JV1'!$J$20),'JV1'!$J13:$L13,0,0)</f>
        <v>111.33333333333334</v>
      </c>
      <c r="D14" s="165" cm="1">
        <f t="array" ref="D14">_xlfn.XLOOKUP($B$5,_xlfn.ANCHORARRAY('JV2'!$J$20),'JV2'!$J13:$L13,0,0)</f>
        <v>170.83333333333331</v>
      </c>
      <c r="E14" s="165" cm="1">
        <f t="array" ref="E14">_xlfn.XLOOKUP($B$5,_xlfn.ANCHORARRAY('JV2'!$N$20),'JV2'!$N13:$P13,0,0)</f>
        <v>85</v>
      </c>
      <c r="F14" s="165" cm="1">
        <f t="array" ref="F14">_xlfn.XLOOKUP($B$5,_xlfn.ANCHORARRAY('JV2'!$R$20),'JV2'!$R13:$T13,0,0)</f>
        <v>35</v>
      </c>
      <c r="G14" s="125"/>
      <c r="H14" s="165">
        <f t="shared" si="4"/>
        <v>111.33333333333334</v>
      </c>
      <c r="I14" s="165">
        <f t="shared" si="5"/>
        <v>290.83333333333331</v>
      </c>
      <c r="J14" s="5" t="s">
        <v>255</v>
      </c>
      <c r="L14" s="165" cm="1">
        <f t="array" ref="L14">_xlfn.LET(_xlpm.hours,_xlfn._TRO_TRAILING(Sites!$AG:$AI),_xlpm.type,ISNUMBER(SEARCH($L$4,_xlfn._TRO_TRAILING(Sites!$C:$C))),
_xlpm.states,ISNUMBER(SEARCH(L$5,_xlfn._TRO_TRAILING(Sites!$D:$D))),
_xlpm.years,ISNUMBER(SEARCH($B$5,Sites!$AG$3:$AI$3)),
SUM(_xlfn._xlws.FILTER(_xlfn._xlws.FILTER(_xlpm.hours,_xlpm.states*_xlpm.type,0),_xlpm.years),0))</f>
        <v>33.666666666666664</v>
      </c>
      <c r="M14" s="165" cm="1">
        <f t="array" ref="M14">_xlfn.LET(_xlpm.hours,_xlfn._TRO_TRAILING(Sites!$AG:$AI),_xlpm.type,ISNUMBER(SEARCH($L$4,_xlfn._TRO_TRAILING(Sites!$C:$C))),
_xlpm.states,ISNUMBER(SEARCH(M$5,_xlfn._TRO_TRAILING(Sites!$D:$D))),
_xlpm.years,ISNUMBER(SEARCH($B$5,Sites!$AG$3:$AI$3)),
SUM(_xlfn._xlws.FILTER(_xlfn._xlws.FILTER(_xlpm.hours,_xlpm.states*_xlpm.type,0),_xlpm.years),0))</f>
        <v>59</v>
      </c>
      <c r="N14" s="165" cm="1">
        <f t="array" ref="N14">_xlfn.LET(_xlpm.hours,_xlfn._TRO_TRAILING(Sites!$AG:$AI),_xlpm.type,ISNUMBER(SEARCH($L$4,_xlfn._TRO_TRAILING(Sites!$C:$C))),
_xlpm.states,ISNUMBER(SEARCH(N$5,_xlfn._TRO_TRAILING(Sites!$D:$D))),
_xlpm.years,ISNUMBER(SEARCH($B$5,Sites!$AG$3:$AI$3)),
SUM(_xlfn._xlws.FILTER(_xlfn._xlws.FILTER(_xlpm.hours,_xlpm.states*_xlpm.type,0),_xlpm.years),0))</f>
        <v>48</v>
      </c>
      <c r="O14" s="165" cm="1">
        <f t="array" ref="O14">_xlfn.LET(_xlpm.hours,_xlfn._TRO_TRAILING(Sites!$AG:$AI),_xlpm.type,ISNUMBER(SEARCH($L$4,_xlfn._TRO_TRAILING(Sites!$C:$C))),
_xlpm.states,ISNUMBER(SEARCH(O$5,_xlfn._TRO_TRAILING(Sites!$D:$D))),
_xlpm.years,ISNUMBER(SEARCH($B$5,Sites!$AG$3:$AI$3)),
SUM(_xlfn._xlws.FILTER(_xlfn._xlws.FILTER(_xlpm.hours,_xlpm.states*_xlpm.type,0),_xlpm.years),0))</f>
        <v>35</v>
      </c>
      <c r="Q14" t="str">
        <v>New Jersey</v>
      </c>
      <c r="R14" t="str">
        <v>NJA3-Center</v>
      </c>
      <c r="S14">
        <v>2026</v>
      </c>
      <c r="T14">
        <v>3</v>
      </c>
      <c r="V14" t="str">
        <v>New Jersey</v>
      </c>
      <c r="W14" t="str">
        <v>NJB3-Remote</v>
      </c>
      <c r="X14">
        <v>2026</v>
      </c>
      <c r="Y14">
        <v>5</v>
      </c>
    </row>
    <row r="15" spans="2:25" x14ac:dyDescent="0.25">
      <c r="B15" t="s">
        <v>393</v>
      </c>
      <c r="C15" s="168" cm="1">
        <f t="array" ref="C15">_xlfn.XLOOKUP($B$5,_xlfn.ANCHORARRAY('JV1'!$N$20),'JV1'!$N14:$P14,0,0)</f>
        <v>515</v>
      </c>
      <c r="D15" s="168" cm="1">
        <f t="array" ref="D15">_xlfn.XLOOKUP($B$5,_xlfn.ANCHORARRAY('JV2'!$J$20),'JV2'!$J14:$L14,0,0)</f>
        <v>376.83333333333331</v>
      </c>
      <c r="E15" s="168" cm="1">
        <f t="array" ref="E15">_xlfn.XLOOKUP($B$5,_xlfn.ANCHORARRAY('JV2'!$N$20),'JV2'!$N14:$P14,0,0)</f>
        <v>277</v>
      </c>
      <c r="F15" s="168" cm="1">
        <f t="array" ref="F15">_xlfn.XLOOKUP($B$5,_xlfn.ANCHORARRAY('JV2'!$R$20),'JV2'!$R14:$T14,0,0)</f>
        <v>92</v>
      </c>
      <c r="G15" s="130"/>
      <c r="H15" s="168">
        <f t="shared" ref="H15" si="6">SUM(C15)</f>
        <v>515</v>
      </c>
      <c r="I15" s="168">
        <f t="shared" ref="I15" si="7">SUM(D15:F15)</f>
        <v>745.83333333333326</v>
      </c>
      <c r="J15" s="5" t="s">
        <v>255</v>
      </c>
      <c r="L15" s="168" cm="1">
        <f t="array" ref="L15">_xlfn.LET(_xlpm.hours,_xlfn._TRO_TRAILING(Sites!$AK:$AM),_xlpm.type,ISNUMBER(SEARCH($L$4,_xlfn._TRO_TRAILING(Sites!$C:$C))),
_xlpm.states,ISNUMBER(SEARCH(L$5,_xlfn._TRO_TRAILING(Sites!$D:$D))),
_xlpm.years,ISNUMBER(SEARCH($B$5,Sites!$AK$3:$AM$3)),
SUM(_xlfn._xlws.FILTER(_xlfn._xlws.FILTER(_xlpm.hours,_xlpm.states*_xlpm.type,0),_xlpm.years),0))</f>
        <v>93.666666666666671</v>
      </c>
      <c r="M15" s="168" cm="1">
        <f t="array" ref="M15">_xlfn.LET(_xlpm.hours,_xlfn._TRO_TRAILING(Sites!$AK:$AM),_xlpm.type,ISNUMBER(SEARCH($L$4,_xlfn._TRO_TRAILING(Sites!$C:$C))),
_xlpm.states,ISNUMBER(SEARCH(M$5,_xlfn._TRO_TRAILING(Sites!$D:$D))),
_xlpm.years,ISNUMBER(SEARCH($B$5,Sites!$AK$3:$AM$3)),
SUM(_xlfn._xlws.FILTER(_xlfn._xlws.FILTER(_xlpm.hours,_xlpm.states*_xlpm.type,0),_xlpm.years),0))</f>
        <v>159</v>
      </c>
      <c r="N15" s="168" cm="1">
        <f t="array" ref="N15">_xlfn.LET(_xlpm.hours,_xlfn._TRO_TRAILING(Sites!$AK:$AM),_xlpm.type,ISNUMBER(SEARCH($L$4,_xlfn._TRO_TRAILING(Sites!$C:$C))),
_xlpm.states,ISNUMBER(SEARCH(N$5,_xlfn._TRO_TRAILING(Sites!$D:$D))),
_xlpm.years,ISNUMBER(SEARCH($B$5,Sites!$AK$3:$AM$3)),
SUM(_xlfn._xlws.FILTER(_xlfn._xlws.FILTER(_xlpm.hours,_xlpm.states*_xlpm.type,0),_xlpm.years),0))</f>
        <v>177</v>
      </c>
      <c r="O15" s="168" cm="1">
        <f t="array" ref="O15">_xlfn.LET(_xlpm.hours,_xlfn._TRO_TRAILING(Sites!$AK:$AM),_xlpm.type,ISNUMBER(SEARCH($L$4,_xlfn._TRO_TRAILING(Sites!$C:$C))),
_xlpm.states,ISNUMBER(SEARCH(O$5,_xlfn._TRO_TRAILING(Sites!$D:$D))),
_xlpm.years,ISNUMBER(SEARCH($B$5,Sites!$AK$3:$AM$3)),
SUM(_xlfn._xlws.FILTER(_xlfn._xlws.FILTER(_xlpm.hours,_xlpm.states*_xlpm.type,0),_xlpm.years),0))</f>
        <v>92</v>
      </c>
      <c r="Q15" t="str">
        <v>New Jersey</v>
      </c>
      <c r="R15" t="str">
        <v>NJA6-Center</v>
      </c>
      <c r="S15">
        <v>2026</v>
      </c>
      <c r="T15">
        <v>3</v>
      </c>
      <c r="V15" t="str">
        <v>New Jersey</v>
      </c>
      <c r="W15" t="str">
        <v>NJ-2026-01-Remote</v>
      </c>
      <c r="X15">
        <v>2026</v>
      </c>
      <c r="Y15">
        <v>10</v>
      </c>
    </row>
    <row r="16" spans="2:25" x14ac:dyDescent="0.25">
      <c r="Q16" t="str">
        <v>New Jersey</v>
      </c>
      <c r="R16" t="str">
        <v>NJA5-Center</v>
      </c>
      <c r="S16">
        <v>2026</v>
      </c>
      <c r="T16">
        <v>4</v>
      </c>
      <c r="V16" t="str">
        <v>New Jersey</v>
      </c>
      <c r="W16" t="str">
        <v>NJB4-Remote</v>
      </c>
      <c r="X16">
        <v>2026</v>
      </c>
      <c r="Y16">
        <v>11</v>
      </c>
    </row>
    <row r="17" spans="2:25" x14ac:dyDescent="0.25">
      <c r="B17" t="s">
        <v>510</v>
      </c>
      <c r="C17" s="127">
        <f>SUM(_xlfn.XLOOKUP($B$5,_xlfn.ANCHORARRAY('JV1'!$F$20),'JV1'!$F21:$H25,0,0))</f>
        <v>73006518.334666669</v>
      </c>
      <c r="D17" s="127">
        <f>SUM(_xlfn.XLOOKUP($B$5,_xlfn.ANCHORARRAY('JV2'!$J$20),'JV2'!$J21:$L25,0,0))</f>
        <v>17400241.634639997</v>
      </c>
      <c r="E17" s="127">
        <f>SUM(_xlfn.XLOOKUP($B$5,_xlfn.ANCHORARRAY('JV2'!$N$20),'JV2'!$N21:$P25,0,0))</f>
        <v>11651468.575865066</v>
      </c>
      <c r="F17" s="127">
        <f>SUM(_xlfn.XLOOKUP($B$5,_xlfn.ANCHORARRAY('JV2'!$R$20),'JV2'!$R21:$T25,0,0))</f>
        <v>3026622.7307266658</v>
      </c>
      <c r="G17" s="127"/>
      <c r="H17" s="127">
        <f>SUM(C17)</f>
        <v>73006518.334666669</v>
      </c>
      <c r="I17" s="127">
        <f>SUM(D17:F17)</f>
        <v>32078332.941231728</v>
      </c>
      <c r="J17" s="127">
        <f>SUM(_xlfn.XLOOKUP($B$5,_xlfn.ANCHORARRAY('JV1'!$N$20),'JV1'!$N21:$P25,0,0))</f>
        <v>39682571.096666664</v>
      </c>
      <c r="L17" s="127" cm="1">
        <f t="array" ref="L17">_xlfn.LET(_xlpm.hours,_xlfn._TRO_TRAILING(Sites!$AS:$AU),_xlpm.type,ISNUMBER(SEARCH($L$4,_xlfn._TRO_TRAILING(Sites!$C:$C))),
_xlpm.states,ISNUMBER(SEARCH(L$5,_xlfn._TRO_TRAILING(Sites!$D:$D))),
_xlpm.years,ISNUMBER(SEARCH($B$5,Sites!$AG$3:$AI$3)),
SUM(_xlfn._xlws.FILTER(_xlfn._xlws.FILTER(_xlpm.hours,_xlpm.states*_xlpm.type,0),_xlpm.years),0))</f>
        <v>3900139.7433333341</v>
      </c>
      <c r="M17" s="127" cm="1">
        <f t="array" ref="M17">_xlfn.LET(_xlpm.hours,_xlfn._TRO_TRAILING(Sites!$AS:$AU),_xlpm.type,ISNUMBER(SEARCH($L$4,_xlfn._TRO_TRAILING(Sites!$C:$C))),
_xlpm.states,ISNUMBER(SEARCH(M$5,_xlfn._TRO_TRAILING(Sites!$D:$D))),
_xlpm.years,ISNUMBER(SEARCH($B$5,Sites!$AG$3:$AI$3)),
SUM(_xlfn._xlws.FILTER(_xlfn._xlws.FILTER(_xlpm.hours,_xlpm.states*_xlpm.type,0),_xlpm.years),0))</f>
        <v>5514531.2667479981</v>
      </c>
      <c r="N17" s="127" cm="1">
        <f t="array" ref="N17">_xlfn.LET(_xlpm.hours,_xlfn._TRO_TRAILING(Sites!$AS:$AU),_xlpm.type,ISNUMBER(SEARCH($L$4,_xlfn._TRO_TRAILING(Sites!$C:$C))),
_xlpm.states,ISNUMBER(SEARCH(N$5,_xlfn._TRO_TRAILING(Sites!$D:$D))),
_xlpm.years,ISNUMBER(SEARCH($B$5,Sites!$AG$3:$AI$3)),
SUM(_xlfn._xlws.FILTER(_xlfn._xlws.FILTER(_xlpm.hours,_xlpm.states*_xlpm.type,0),_xlpm.years),0))</f>
        <v>6502953.4289568001</v>
      </c>
      <c r="O17" s="127" cm="1">
        <f t="array" ref="O17">_xlfn.LET(_xlpm.hours,_xlfn._TRO_TRAILING(Sites!$AS:$AU),_xlpm.type,ISNUMBER(SEARCH($L$4,_xlfn._TRO_TRAILING(Sites!$C:$C))),
_xlpm.states,ISNUMBER(SEARCH(O$5,_xlfn._TRO_TRAILING(Sites!$D:$D))),
_xlpm.years,ISNUMBER(SEARCH($B$5,Sites!$AG$3:$AI$3)),
SUM(_xlfn._xlws.FILTER(_xlfn._xlws.FILTER(_xlpm.hours,_xlpm.states*_xlpm.type,0),_xlpm.years),0))</f>
        <v>3026622.7307266654</v>
      </c>
      <c r="Q17" t="str">
        <v>New Jersey</v>
      </c>
      <c r="R17" t="str">
        <v>NJ-2026-02-Center</v>
      </c>
      <c r="S17">
        <v>2026</v>
      </c>
      <c r="T17">
        <v>7</v>
      </c>
      <c r="V17" t="str">
        <v>New Jersey</v>
      </c>
      <c r="W17" t="str">
        <v>NJ-2026-02-Remote</v>
      </c>
      <c r="X17">
        <v>2027</v>
      </c>
      <c r="Y17">
        <v>2</v>
      </c>
    </row>
    <row r="18" spans="2:25" x14ac:dyDescent="0.25">
      <c r="B18" t="s">
        <v>261</v>
      </c>
      <c r="C18" s="127" cm="1">
        <f t="array" ref="C18">SUM(_xlfn.XLOOKUP($B$5,_xlfn.ANCHORARRAY('JV1'!$F$20),'JV1'!$F26:$H31,0,0),-_xlfn.XLOOKUP($B$5,_xlfn.ANCHORARRAY('JV1'!$F$20),'JV1'!$F30:$H30,0,0))</f>
        <v>1995184.8583333334</v>
      </c>
      <c r="D18" s="127" cm="1">
        <f t="array" ref="D18">SUM(_xlfn.XLOOKUP($B$5,_xlfn.ANCHORARRAY('JV2'!$J$20),'JV2'!$J26:$L31,0,0),-_xlfn.XLOOKUP($B$5,_xlfn.ANCHORARRAY('JV2'!$J$20),'JV2'!$J30:$L30,0,0))</f>
        <v>749842.7845999999</v>
      </c>
      <c r="E18" s="127" cm="1">
        <f t="array" ref="E18">SUM(_xlfn.XLOOKUP($B$5,_xlfn.ANCHORARRAY('JV2'!$N$20),'JV2'!$N26:$P31,0,0),-_xlfn.XLOOKUP($B$5,_xlfn.ANCHORARRAY('JV2'!$N$20),'JV2'!$N30:$P30,0,0))</f>
        <v>451470.1403333334</v>
      </c>
      <c r="F18" s="127" cm="1">
        <f t="array" ref="F18">SUM(_xlfn.XLOOKUP($B$5,_xlfn.ANCHORARRAY('JV2'!$R$20),'JV2'!$R26:$T31,0,0),-_xlfn.XLOOKUP($B$5,_xlfn.ANCHORARRAY('JV2'!$R$20),'JV2'!$R30:$T30,0,0))</f>
        <v>0</v>
      </c>
      <c r="G18" s="127"/>
      <c r="H18" s="127">
        <f t="shared" ref="H18:H19" si="8">SUM(C18)</f>
        <v>1995184.8583333334</v>
      </c>
      <c r="I18" s="127">
        <f t="shared" ref="I18:I19" si="9">SUM(D18:F18)</f>
        <v>1201312.9249333334</v>
      </c>
      <c r="J18" s="127" cm="1">
        <f t="array" ref="J18">SUM(_xlfn.XLOOKUP($B$5,_xlfn.ANCHORARRAY('JV1'!$N$20),'JV1'!$N26:$P31,0,0),-_xlfn.XLOOKUP($B$5,_xlfn.ANCHORARRAY('JV1'!$N$20),'JV1'!$N30:$P30,0,0))</f>
        <v>0</v>
      </c>
      <c r="L18" s="127" cm="1">
        <f t="array" ref="L18">_xlfn.LET(_xlpm.hours,_xlfn._TRO_TRAILING(Sites!$CO:$CQ),_xlpm.type,ISNUMBER(SEARCH($L$4,_xlfn._TRO_TRAILING(Sites!$C:$C))),
_xlpm.states,ISNUMBER(SEARCH(L$5,_xlfn._TRO_TRAILING(Sites!$D:$D))),
_xlpm.years,ISNUMBER(SEARCH($B$5,Sites!$AG$3:$AI$3)),
SUM(_xlfn._xlws.FILTER(_xlfn._xlws.FILTER(_xlpm.hours,_xlpm.states*_xlpm.type,0),_xlpm.years),0))</f>
        <v>0</v>
      </c>
      <c r="M18" s="127" cm="1">
        <f t="array" ref="M18">_xlfn.LET(_xlpm.hours,_xlfn._TRO_TRAILING(Sites!$CO:$CQ),_xlpm.type,ISNUMBER(SEARCH($L$4,_xlfn._TRO_TRAILING(Sites!$C:$C))),
_xlpm.states,ISNUMBER(SEARCH(M$5,_xlfn._TRO_TRAILING(Sites!$D:$D))),
_xlpm.years,ISNUMBER(SEARCH($B$5,Sites!$AG$3:$AI$3)),
SUM(_xlfn._xlws.FILTER(_xlfn._xlws.FILTER(_xlpm.hours,_xlpm.states*_xlpm.type,0),_xlpm.years),0))</f>
        <v>0</v>
      </c>
      <c r="N18" s="127" cm="1">
        <f t="array" ref="N18">_xlfn.LET(_xlpm.hours,_xlfn._TRO_TRAILING(Sites!$CO:$CQ),_xlpm.type,ISNUMBER(SEARCH($L$4,_xlfn._TRO_TRAILING(Sites!$C:$C))),
_xlpm.states,ISNUMBER(SEARCH(N$5,_xlfn._TRO_TRAILING(Sites!$D:$D))),
_xlpm.years,ISNUMBER(SEARCH($B$5,Sites!$AG$3:$AI$3)),
SUM(_xlfn._xlws.FILTER(_xlfn._xlws.FILTER(_xlpm.hours,_xlpm.states*_xlpm.type,0),_xlpm.years),0))</f>
        <v>0</v>
      </c>
      <c r="O18" s="127" cm="1">
        <f t="array" ref="O18">_xlfn.LET(_xlpm.hours,_xlfn._TRO_TRAILING(Sites!$CO:$CQ),_xlpm.type,ISNUMBER(SEARCH($L$4,_xlfn._TRO_TRAILING(Sites!$C:$C))),
_xlpm.states,ISNUMBER(SEARCH(O$5,_xlfn._TRO_TRAILING(Sites!$D:$D))),
_xlpm.years,ISNUMBER(SEARCH($B$5,Sites!$AG$3:$AI$3)),
SUM(_xlfn._xlws.FILTER(_xlfn._xlws.FILTER(_xlpm.hours,_xlpm.states*_xlpm.type,0),_xlpm.years),0))</f>
        <v>0</v>
      </c>
      <c r="Q18" t="str">
        <v>New Jersey</v>
      </c>
      <c r="R18" t="str">
        <v>NJ-2026-01-Center</v>
      </c>
      <c r="S18">
        <v>2026</v>
      </c>
      <c r="T18">
        <v>9</v>
      </c>
      <c r="V18" t="str">
        <v>New Jersey</v>
      </c>
      <c r="W18" t="str">
        <v>NJ-2027-01-Remote</v>
      </c>
      <c r="X18">
        <v>2027</v>
      </c>
      <c r="Y18">
        <v>6</v>
      </c>
    </row>
    <row r="19" spans="2:25" x14ac:dyDescent="0.25">
      <c r="B19" t="str">
        <f>"Less Cancellations ("&amp;TEXT(Base!E26,"#.0%")&amp;")"</f>
        <v>Less Cancellations (12.0%)</v>
      </c>
      <c r="C19" s="127">
        <f>SUM(_xlfn.XLOOKUP($B$5,_xlfn.ANCHORARRAY('JV1'!$F$20),'JV1'!$F30:$H30,0,0))</f>
        <v>-9000204.3831599988</v>
      </c>
      <c r="D19" s="127">
        <f>SUM(_xlfn.XLOOKUP($B$5,_xlfn.ANCHORARRAY('JV1'!$N$20),'JV2'!$J30:$L30,0,0))</f>
        <v>-2178010.1303087994</v>
      </c>
      <c r="E19" s="127">
        <f>SUM(_xlfn.XLOOKUP($B$5,_xlfn.ANCHORARRAY('JV1'!$N$20),'JV2'!$N30:$P30,0,0))</f>
        <v>-1452352.6459438079</v>
      </c>
      <c r="F19" s="127">
        <f>SUM(_xlfn.XLOOKUP($B$5,_xlfn.ANCHORARRAY('JV1'!$N$20),'JV2'!$R30:$T30,0,0))</f>
        <v>-363194.72768719989</v>
      </c>
      <c r="G19" s="127"/>
      <c r="H19" s="127">
        <f t="shared" si="8"/>
        <v>-9000204.3831599988</v>
      </c>
      <c r="I19" s="127">
        <f t="shared" si="9"/>
        <v>-3993557.5039398074</v>
      </c>
      <c r="J19" s="127" cm="1">
        <f t="array" ref="J19">_xlfn.XLOOKUP($B$5,_xlfn.ANCHORARRAY('JV1'!$N$20),'JV1'!$N30:$P30,0,0)</f>
        <v>-4761908.5315999985</v>
      </c>
      <c r="L19" s="127">
        <f>SUM(_xlfn.XLOOKUP($B$5,'JV1'!$R$20:$T$20,'JV1'!$R30:$T30,0,0))</f>
        <v>-468016.76919999992</v>
      </c>
      <c r="M19" s="127">
        <f>SUM(_xlfn.XLOOKUP($B$5,'JV2'!$V$20:$X$20,'JV2'!$V30:$X30,0,0))</f>
        <v>-661743.75200975989</v>
      </c>
      <c r="N19" s="127">
        <f>SUM(_xlfn.XLOOKUP($B$5,'JV2'!$Z$20:$AB$20,'JV2'!$Z30:$AB30,0,0))</f>
        <v>-780354.41147481604</v>
      </c>
      <c r="O19" s="127">
        <f>SUM(_xlfn.XLOOKUP($B$5,'JV2'!$AD$20:$AF$20,'JV2'!$AD30:$AF30,0,0))</f>
        <v>-363194.72768719989</v>
      </c>
      <c r="Q19" t="str">
        <v>New Jersey</v>
      </c>
      <c r="R19" t="str">
        <v>NJA7-Center</v>
      </c>
      <c r="S19">
        <v>2026</v>
      </c>
      <c r="T19">
        <v>11</v>
      </c>
      <c r="V19" t="str">
        <v>New Jersey</v>
      </c>
      <c r="W19" t="str">
        <v>NJ-2027-02-Remote</v>
      </c>
      <c r="X19">
        <v>2027</v>
      </c>
      <c r="Y19">
        <v>10</v>
      </c>
    </row>
    <row r="20" spans="2:25" x14ac:dyDescent="0.25">
      <c r="B20" t="s">
        <v>20</v>
      </c>
      <c r="C20" s="128">
        <f>SUM(C17:C19)</f>
        <v>66001498.809840009</v>
      </c>
      <c r="D20" s="128">
        <f t="shared" ref="D20:F20" si="10">SUM(D17:D19)</f>
        <v>15972074.288931198</v>
      </c>
      <c r="E20" s="128">
        <f t="shared" si="10"/>
        <v>10650586.070254592</v>
      </c>
      <c r="F20" s="128">
        <f t="shared" si="10"/>
        <v>2663428.0030394658</v>
      </c>
      <c r="G20" s="127"/>
      <c r="H20" s="128">
        <f t="shared" ref="H20" si="11">SUM(H17:H19)</f>
        <v>66001498.809840009</v>
      </c>
      <c r="I20" s="128">
        <f t="shared" ref="I20" si="12">SUM(I17:I19)</f>
        <v>29286088.362225253</v>
      </c>
      <c r="J20" s="128">
        <f>SUM(J17:J19)</f>
        <v>34920662.565066665</v>
      </c>
      <c r="L20" s="128">
        <f t="shared" ref="L20:O20" si="13">SUM(L17:L19)</f>
        <v>3432122.9741333341</v>
      </c>
      <c r="M20" s="128">
        <f t="shared" si="13"/>
        <v>4852787.5147382384</v>
      </c>
      <c r="N20" s="128">
        <f t="shared" si="13"/>
        <v>5722599.0174819846</v>
      </c>
      <c r="O20" s="128">
        <f t="shared" si="13"/>
        <v>2663428.0030394653</v>
      </c>
      <c r="Q20" t="str">
        <v>New Jersey</v>
      </c>
      <c r="R20" t="str">
        <v>NJ-2027-01-Center</v>
      </c>
      <c r="S20">
        <v>2027</v>
      </c>
      <c r="T20">
        <v>3</v>
      </c>
      <c r="V20" t="str">
        <v>New Jersey</v>
      </c>
      <c r="W20" t="str">
        <v>NJ-2027-04-Remote</v>
      </c>
      <c r="X20">
        <v>2028</v>
      </c>
      <c r="Y20">
        <v>3</v>
      </c>
    </row>
    <row r="21" spans="2:25" x14ac:dyDescent="0.25">
      <c r="H21" s="127"/>
      <c r="J21" s="67"/>
      <c r="Q21" t="str">
        <v>New Jersey</v>
      </c>
      <c r="R21" t="str">
        <v>NJ-2027-05-Center</v>
      </c>
      <c r="S21">
        <v>2027</v>
      </c>
      <c r="T21">
        <v>7</v>
      </c>
      <c r="V21" t="str">
        <v>New Jersey</v>
      </c>
      <c r="W21" t="str">
        <v>NJ-2028-01-Remote</v>
      </c>
      <c r="X21">
        <v>2028</v>
      </c>
      <c r="Y21">
        <v>6</v>
      </c>
    </row>
    <row r="22" spans="2:25" x14ac:dyDescent="0.25">
      <c r="B22" t="s">
        <v>53</v>
      </c>
      <c r="C22" s="124" cm="1">
        <f t="array" ref="C22">_xlfn.XLOOKUP($B$5,_xlfn.ANCHORARRAY('JV1'!$F$20),'JV1'!$F18:$H18,0,0)</f>
        <v>407617.02666666661</v>
      </c>
      <c r="D22" s="124" cm="1">
        <f t="array" ref="D22">_xlfn.XLOOKUP($B$5,_xlfn.ANCHORARRAY('JV2'!$J$20),'JV2'!$J18:$L18,0,0)</f>
        <v>173195.14666666667</v>
      </c>
      <c r="E22" s="124" cm="1">
        <f t="array" ref="E22">_xlfn.XLOOKUP($B$5,_xlfn.ANCHORARRAY('JV2'!$N$20),'JV2'!$N18:$P18,0,0)</f>
        <v>123026.93333333331</v>
      </c>
      <c r="F22" s="124" cm="1">
        <f t="array" ref="F22">_xlfn.XLOOKUP($B$5,_xlfn.ANCHORARRAY('JV2'!$R$20),'JV2'!$R18:$T18,0,0)</f>
        <v>29169.066666666669</v>
      </c>
      <c r="G22" s="124"/>
      <c r="H22" s="124">
        <f>SUM(C22)</f>
        <v>407617.02666666661</v>
      </c>
      <c r="I22" s="124">
        <f>SUM(D22:F22)</f>
        <v>325391.14666666661</v>
      </c>
      <c r="J22" s="124" cm="1">
        <f t="array" ref="J22">_xlfn.LET(_xlpm.hours,_xlfn._TRO_TRAILING(Sites!$E:$G),_xlpm.type,ISNUMBER(SEARCH($J$5,_xlfn._TRO_TRAILING(Sites!$C:$C))),
_xlpm.states,ISNUMBER(SEARCH($J$5,_xlfn._TRO_TRAILING(Sites!$D:$D))),
_xlpm.years,ISNUMBER(SEARCH($B$5,Sites!$E$3:$G$3)),
SUM(_xlfn._xlws.FILTER(_xlfn._xlws.FILTER(_xlpm.hours,_xlpm.states*_xlpm.type,0),_xlpm.years),0))</f>
        <v>219206.82666666666</v>
      </c>
      <c r="L22" s="124" cm="1">
        <f t="array" ref="L22:O22">_xlfn.LET(_xlpm.Remote_hours,_xlfn._xlws.FILTER(_xlfn.ANCHORARRAY(Sites!$E$4),_xlfn.ANCHORARRAY(Sites!$E$3)=$B$5,0),_xlpm.states,L5:O5,
_xlfn.BYCOL(_xlpm.states,_xlfn.LAMBDA(_xlpm.col,SUM(_xlfn._xlws.FILTER(_xlpm.Remote_hours,(_xlfn.ANCHORARRAY(Sites!$D$4)=_xlpm.col)*ISNUMBER(SEARCH($L$4,_xlfn.ANCHORARRAY(Sites!$C$4))),0)))))</f>
        <v>21544.013333333336</v>
      </c>
      <c r="M22" s="124">
        <v>53794.986666666671</v>
      </c>
      <c r="N22" s="124">
        <v>70625.279999999999</v>
      </c>
      <c r="O22" s="124">
        <v>29169.066666666669</v>
      </c>
      <c r="Q22" t="str">
        <v>New Jersey</v>
      </c>
      <c r="R22" t="str">
        <v>NJ-2027-02-Center</v>
      </c>
      <c r="S22">
        <v>2027</v>
      </c>
      <c r="T22">
        <v>8</v>
      </c>
      <c r="V22" t="str">
        <v>New Jersey</v>
      </c>
      <c r="W22" t="str">
        <v>NJ-2028-02-Remote</v>
      </c>
      <c r="X22">
        <v>2028</v>
      </c>
      <c r="Y22">
        <v>9</v>
      </c>
    </row>
    <row r="23" spans="2:25" x14ac:dyDescent="0.25">
      <c r="B23" t="s">
        <v>394</v>
      </c>
      <c r="C23" s="71" cm="1">
        <f t="array" ref="C23">_xlfn.XLOOKUP($B$5,_xlfn.ANCHORARRAY('JV1'!$F$20),'JV1'!$F16:$H16,0,0)</f>
        <v>179.105664284158</v>
      </c>
      <c r="D23" s="71" cm="1">
        <f t="array" ref="D23">_xlfn.XLOOKUP($B$5,_xlfn.ANCHORARRAY('JV2'!$J$20),'JV2'!$J16:$L16,0,0)</f>
        <v>100.46610410006868</v>
      </c>
      <c r="E23" s="71" cm="1">
        <f t="array" ref="E23">_xlfn.XLOOKUP($B$5,_xlfn.ANCHORARRAY('JV2'!$N$20),'JV2'!$N16:$P16,0,0)</f>
        <v>94.706648862783453</v>
      </c>
      <c r="F23" s="71" cm="1">
        <f t="array" ref="F23">_xlfn.XLOOKUP($B$5,_xlfn.ANCHORARRAY('JV2'!$R$20),'JV2'!$R16:$T16,0,0)</f>
        <v>103.7613841167355</v>
      </c>
      <c r="G23" s="71"/>
      <c r="H23" s="71" cm="1">
        <f t="array" ref="H23">_xlfn.XLOOKUP($B$5,_xlfn.ANCHORARRAY('JV1'!$J$20),'JV1'!$J$16:$L$16,0,0)</f>
        <v>176.86912512167601</v>
      </c>
      <c r="I23" s="71" cm="1">
        <f t="array" ref="I23">_xlfn.XLOOKUP($B$5,_xlfn.ANCHORARRAY('JV2'!$F$20),'JV2'!$F$16:$H$16,0,0)</f>
        <v>98.583914374575897</v>
      </c>
      <c r="J23" s="71" cm="1">
        <f t="array" ref="J23">_xlfn.XLOOKUP($B$5,_xlfn.ANCHORARRAY('JV1'!$N$20),'JV1'!$N$16:$P$16,0,0)</f>
        <v>181.02798941115702</v>
      </c>
      <c r="L23" s="71">
        <f t="shared" ref="L23:O23" si="14">L17/L22</f>
        <v>181.03125369398833</v>
      </c>
      <c r="M23" s="71">
        <f t="shared" si="14"/>
        <v>102.51013353564045</v>
      </c>
      <c r="N23" s="71">
        <f t="shared" si="14"/>
        <v>92.076851645144629</v>
      </c>
      <c r="O23" s="71">
        <f t="shared" si="14"/>
        <v>103.76138411673548</v>
      </c>
      <c r="Q23" t="str">
        <v>New Jersey</v>
      </c>
      <c r="R23" t="str">
        <v>NJ-2027-03-Center</v>
      </c>
      <c r="S23">
        <v>2027</v>
      </c>
      <c r="T23">
        <v>11</v>
      </c>
      <c r="V23" t="str">
        <v>New Jersey</v>
      </c>
      <c r="W23" t="str">
        <v>NJ-2028-06-Remote</v>
      </c>
      <c r="X23">
        <v>2028</v>
      </c>
      <c r="Y23">
        <v>12</v>
      </c>
    </row>
    <row r="24" spans="2:25" x14ac:dyDescent="0.25">
      <c r="B24" t="s">
        <v>262</v>
      </c>
      <c r="C24" s="129">
        <f>C20/C22</f>
        <v>161.92036762932739</v>
      </c>
      <c r="D24" s="129">
        <f t="shared" ref="D24:I24" si="15">D20/D22</f>
        <v>92.2201031399063</v>
      </c>
      <c r="E24" s="129">
        <f t="shared" si="15"/>
        <v>86.571174146050907</v>
      </c>
      <c r="F24" s="129">
        <f t="shared" si="15"/>
        <v>91.310018022727235</v>
      </c>
      <c r="G24" s="71"/>
      <c r="H24" s="129">
        <f t="shared" si="15"/>
        <v>161.92036762932739</v>
      </c>
      <c r="I24" s="129">
        <f t="shared" si="15"/>
        <v>90.002720302117396</v>
      </c>
      <c r="J24" s="129">
        <f>J20/J22</f>
        <v>159.30463068181817</v>
      </c>
      <c r="L24" s="129">
        <f t="shared" ref="L24:O24" si="16">L20/L22</f>
        <v>159.30750325070971</v>
      </c>
      <c r="M24" s="129">
        <f t="shared" si="16"/>
        <v>90.208917511363595</v>
      </c>
      <c r="N24" s="129">
        <f t="shared" si="16"/>
        <v>81.027629447727278</v>
      </c>
      <c r="O24" s="129">
        <f t="shared" si="16"/>
        <v>91.31001802272722</v>
      </c>
      <c r="Q24" t="str">
        <v>New Jersey</v>
      </c>
      <c r="R24" t="str">
        <v>NJ-2027-04-Center</v>
      </c>
      <c r="S24">
        <v>2027</v>
      </c>
      <c r="T24">
        <v>12</v>
      </c>
      <c r="V24" t="str">
        <v>North Carolina</v>
      </c>
      <c r="W24" t="str">
        <v>GBB1-Remote</v>
      </c>
      <c r="X24">
        <v>2023</v>
      </c>
      <c r="Y24">
        <v>2</v>
      </c>
    </row>
    <row r="25" spans="2:25" x14ac:dyDescent="0.25">
      <c r="C25" s="71"/>
      <c r="D25" s="71"/>
      <c r="E25" s="71"/>
      <c r="F25" s="71"/>
      <c r="G25" s="71"/>
      <c r="H25" s="71"/>
      <c r="I25" s="71"/>
      <c r="Q25" t="str">
        <v>New Jersey</v>
      </c>
      <c r="R25" t="str">
        <v>NJ-2028-01-Center</v>
      </c>
      <c r="S25">
        <v>2028</v>
      </c>
      <c r="T25">
        <v>7</v>
      </c>
    </row>
    <row r="26" spans="2:25" x14ac:dyDescent="0.25">
      <c r="B26" t="s">
        <v>263</v>
      </c>
      <c r="C26" s="126">
        <f>-SUM(_xlfn.CHOOSEROWS(_xlfn.XLOOKUP($B$5,_xlfn.ANCHORARRAY('JV1'!$F$20),'JV1'!$F35:$H44,0,0),{1,2,7}))/C$22</f>
        <v>-88.992158635933436</v>
      </c>
      <c r="D26" s="126">
        <f>-SUM(_xlfn.CHOOSEROWS(_xlfn.XLOOKUP($B$5,_xlfn.ANCHORARRAY('JV2'!$J$20),'JV2'!$J35:$L44,0,0),{1,2,7}))/D$22</f>
        <v>-57.0598407425178</v>
      </c>
      <c r="E26" s="126">
        <f>-SUM(_xlfn.CHOOSEROWS(_xlfn.XLOOKUP($B$5,_xlfn.ANCHORARRAY('JV2'!$N$20),'JV2'!$N35:$P44,0,0),{1,2,7}))/E$22</f>
        <v>-52.043496240761627</v>
      </c>
      <c r="F26" s="126">
        <f>-SUM(_xlfn.CHOOSEROWS(_xlfn.XLOOKUP($B$5,_xlfn.ANCHORARRAY('JV2'!$R$20),'JV2'!$R35:$T44,0,0),{1,2,7}))/F$22</f>
        <v>-56.831786558426195</v>
      </c>
      <c r="G26" s="126"/>
      <c r="H26" s="126">
        <f>SUM(C26)</f>
        <v>-88.992158635933436</v>
      </c>
      <c r="I26" s="126">
        <f>(D26*$D$22+E26*$E$22+F26*$F$22)/$I$22</f>
        <v>-55.142770734055055</v>
      </c>
      <c r="J26" s="131">
        <f>-MS!C41</f>
        <v>-90</v>
      </c>
      <c r="L26" s="126">
        <f>-SUM(_xlfn.CHOOSEROWS(_xlfn.XLOOKUP($B$5,'JV1'!$R$20:$T$20,'JV1'!$R$35:$T$44,0,0),{1,2,7}))/L$22</f>
        <v>-78.812144519621555</v>
      </c>
      <c r="M26" s="126">
        <f>-SUM(_xlfn.CHOOSEROWS(_xlfn.XLOOKUP($B$5,'JV2'!$V$20:$X$20,'JV2'!$V$35:$X$44,0,0),{1,2,7}))/M$22</f>
        <v>-47.832230634994076</v>
      </c>
      <c r="N26" s="126">
        <f>-SUM(_xlfn.CHOOSEROWS(_xlfn.XLOOKUP($B$5,'JV2'!$Z$20:$AB$20,'JV2'!$Z$35:$AB$44,0,0),{1,2,7}))/N$22</f>
        <v>-40.22894327259295</v>
      </c>
      <c r="O26" s="126">
        <f>-SUM(_xlfn.CHOOSEROWS(_xlfn.XLOOKUP($B$5,'JV2'!$AD$20:$AF$20,'JV2'!$AD$35:$AF$44,0,0),{1,2,7}))/O$22</f>
        <v>-56.831786558426195</v>
      </c>
      <c r="Q26" t="str">
        <v>New Jersey</v>
      </c>
      <c r="R26" t="str">
        <v>NJ-2028-02-Center</v>
      </c>
      <c r="S26">
        <v>2028</v>
      </c>
      <c r="T26">
        <v>8</v>
      </c>
    </row>
    <row r="27" spans="2:25" x14ac:dyDescent="0.25">
      <c r="B27" t="s">
        <v>264</v>
      </c>
      <c r="C27" s="126">
        <f>-SUM(_xlfn.CHOOSEROWS(_xlfn.XLOOKUP($B$5,_xlfn.ANCHORARRAY('JV1'!$F$20),'JV1'!$F36:$H45,0,0),{3,4,5,6,8,9}))/C$22</f>
        <v>-22.910477597826464</v>
      </c>
      <c r="D27" s="126">
        <f>-SUM(_xlfn.CHOOSEROWS(_xlfn.XLOOKUP($B$5,_xlfn.ANCHORARRAY('JV2'!$J$20),'JV2'!$J35:$L44,0,0),{3,4,5,6,8,9}))/D$22</f>
        <v>-5.4034966868971539</v>
      </c>
      <c r="E27" s="126">
        <f>-SUM(_xlfn.CHOOSEROWS(_xlfn.XLOOKUP($B$5,_xlfn.ANCHORARRAY('JV2'!$N$20),'JV2'!$N35:$P44,0,0),{3,4,5,6,8,9}))/E$22</f>
        <v>-6.0996348496047492</v>
      </c>
      <c r="F27" s="126">
        <f>-SUM(_xlfn.CHOOSEROWS(_xlfn.XLOOKUP($B$5,_xlfn.ANCHORARRAY('JV2'!$R$20),'JV2'!$R35:$T44,0,0),{3,4,5,6,8,9}))/F$22</f>
        <v>-6.1230896771922758</v>
      </c>
      <c r="G27" s="126"/>
      <c r="H27" s="126">
        <f>SUM(C27)</f>
        <v>-22.910477597826464</v>
      </c>
      <c r="I27" s="126">
        <f>(D27*$D$22+E27*$E$22+F27*$F$22)/$I$22</f>
        <v>-5.7312056621823277</v>
      </c>
      <c r="J27" s="131">
        <v>0</v>
      </c>
      <c r="L27" s="126">
        <f>-SUM(_xlfn.CHOOSEROWS(_xlfn.XLOOKUP($B$5,'JV1'!$R$20:$T$20,'JV1'!$R$35:$T$44,0,0),{3,4,5,6,8,9}))/L$22</f>
        <v>-1.3894230910860927</v>
      </c>
      <c r="M27" s="126">
        <f>-SUM(_xlfn.CHOOSEROWS(_xlfn.XLOOKUP($B$5,'JV2'!$V$20:$X$20,'JV2'!$V$35:$X$44,0,0),{3,4,5,6,8,9}))/M$22</f>
        <v>-0.6909792734093686</v>
      </c>
      <c r="N27" s="126">
        <f>-SUM(_xlfn.CHOOSEROWS(_xlfn.XLOOKUP($B$5,'JV2'!$Z$20:$AB$20,'JV2'!$Z$35:$AB$44,0,0),{3,4,5,6,8,9}))/N$22</f>
        <v>-0.32727776796070762</v>
      </c>
      <c r="O27" s="126">
        <f>-SUM(_xlfn.CHOOSEROWS(_xlfn.XLOOKUP($B$5,'JV2'!$AD$20:$AF$20,'JV2'!$AD$35:$AF$44,0,0),{3,4,5,6,8,9}))/O$22</f>
        <v>-6.1230896771922758</v>
      </c>
      <c r="Q27" t="str">
        <v>New Jersey</v>
      </c>
      <c r="R27" t="str">
        <v>NJ-2028-03-Center</v>
      </c>
      <c r="S27">
        <v>2028</v>
      </c>
      <c r="T27">
        <v>9</v>
      </c>
    </row>
    <row r="28" spans="2:25" x14ac:dyDescent="0.25">
      <c r="B28" t="s">
        <v>511</v>
      </c>
      <c r="C28" s="126" cm="1">
        <f t="array" ref="C28">-_xlfn.XLOOKUP($B$5,_xlfn.ANCHORARRAY('JV1'!$F$20),'JV1'!$F$44:$H44,0,0)/$C$22</f>
        <v>-14.84221941417257</v>
      </c>
      <c r="D28" s="126" cm="1">
        <f t="array" ref="D28">-_xlfn.XLOOKUP($B$5,_xlfn.ANCHORARRAY('JV2'!$J$20),'JV2'!$J$44:$L44,0,0)/D$22</f>
        <v>-19.944969800945969</v>
      </c>
      <c r="E28" s="126" cm="1">
        <f t="array" ref="E28">-_xlfn.XLOOKUP($B$5,_xlfn.ANCHORARRAY('JV2'!$N$20),'JV2'!$N$44:$P44,0,0)/E$22</f>
        <v>-17.840332782903552</v>
      </c>
      <c r="F28" s="126" cm="1">
        <f t="array" ref="F28">-_xlfn.XLOOKUP($B$5,_xlfn.ANCHORARRAY('JV2'!$R$20),'JV2'!$R$44:$T44,0,0)/F$22</f>
        <v>-20.186234645802919</v>
      </c>
      <c r="G28" s="126"/>
      <c r="H28" s="126">
        <f>SUM(C28)</f>
        <v>-14.84221941417257</v>
      </c>
      <c r="I28" s="126">
        <f>(D28*$D$22+E28*$E$22+F28*$F$22)/$I$22</f>
        <v>-19.170856644070035</v>
      </c>
      <c r="J28" s="131">
        <f>-J24*MS!$C$49</f>
        <v>0</v>
      </c>
      <c r="L28" s="126">
        <f>-SUM(_xlfn.XLOOKUP($B$5,'JV1'!$R$20:$T$20,'JV1'!$R44:$T44,0,0))/L$22</f>
        <v>-33.29803903189103</v>
      </c>
      <c r="M28" s="126">
        <f>-SUM(_xlfn.XLOOKUP($B$5,'JV2'!$V$20:$X$20,'JV2'!$V44:$X44,0,0))/M$22</f>
        <v>-20.134633158054484</v>
      </c>
      <c r="N28" s="126">
        <f>-SUM(_xlfn.XLOOKUP($B$5,'JV2'!$Z$20:$AB$20,'JV2'!$Z44:$AB44,0,0))/N$22</f>
        <v>-18.131828934003522</v>
      </c>
      <c r="O28" s="126">
        <f>-SUM(_xlfn.XLOOKUP($B$5,'JV2'!$AD$20:$AF$20,'JV2'!$AD44:$AF44,0,0))/O$22</f>
        <v>-20.186234645802919</v>
      </c>
      <c r="Q28" t="str">
        <v>New Jersey</v>
      </c>
      <c r="R28" t="str">
        <v>NJ-2028-04-Center</v>
      </c>
      <c r="S28">
        <v>2028</v>
      </c>
      <c r="T28">
        <v>10</v>
      </c>
    </row>
    <row r="29" spans="2:25" x14ac:dyDescent="0.25">
      <c r="C29" s="129">
        <f t="shared" ref="C29" si="17">SUM(C26:C28)</f>
        <v>-126.74485564793247</v>
      </c>
      <c r="D29" s="129">
        <f>SUM(D26:D28)</f>
        <v>-82.408307230360919</v>
      </c>
      <c r="E29" s="129">
        <f t="shared" ref="E29:F29" si="18">SUM(E26:E28)</f>
        <v>-75.983463873269926</v>
      </c>
      <c r="F29" s="129">
        <f t="shared" si="18"/>
        <v>-83.141110881421383</v>
      </c>
      <c r="G29" s="71"/>
      <c r="H29" s="129">
        <f t="shared" ref="H29:O29" si="19">SUM(H26:H28)</f>
        <v>-126.74485564793247</v>
      </c>
      <c r="I29" s="129">
        <f t="shared" si="19"/>
        <v>-80.044833040307424</v>
      </c>
      <c r="J29" s="129">
        <f t="shared" si="19"/>
        <v>-90</v>
      </c>
      <c r="L29" s="129">
        <f t="shared" si="19"/>
        <v>-113.49960664259868</v>
      </c>
      <c r="M29" s="129">
        <f t="shared" si="19"/>
        <v>-68.657843066457929</v>
      </c>
      <c r="N29" s="129">
        <f t="shared" si="19"/>
        <v>-58.688049974557181</v>
      </c>
      <c r="O29" s="129">
        <f t="shared" si="19"/>
        <v>-83.141110881421383</v>
      </c>
      <c r="Q29" t="str">
        <v>New Jersey</v>
      </c>
      <c r="R29" t="str">
        <v>NJ-2028-05-Center</v>
      </c>
      <c r="S29">
        <v>2028</v>
      </c>
      <c r="T29">
        <v>11</v>
      </c>
    </row>
    <row r="30" spans="2:25" x14ac:dyDescent="0.25">
      <c r="C30" s="71"/>
      <c r="D30" s="129"/>
      <c r="E30" s="71"/>
      <c r="F30" s="71"/>
      <c r="G30" s="71"/>
      <c r="H30" s="71"/>
      <c r="I30" s="71"/>
      <c r="Q30" t="str">
        <v>North Carolina</v>
      </c>
      <c r="R30" t="str">
        <v>GBA1-Center</v>
      </c>
      <c r="S30">
        <v>2025</v>
      </c>
      <c r="T30">
        <v>2</v>
      </c>
    </row>
    <row r="31" spans="2:25" x14ac:dyDescent="0.25">
      <c r="B31" s="1" t="s">
        <v>265</v>
      </c>
      <c r="C31" s="129">
        <f>C24+C29</f>
        <v>35.175511981394919</v>
      </c>
      <c r="D31" s="129">
        <f t="shared" ref="D31:F31" si="20">D24+D29</f>
        <v>9.8117959095453813</v>
      </c>
      <c r="E31" s="129">
        <f t="shared" si="20"/>
        <v>10.587710272780981</v>
      </c>
      <c r="F31" s="129">
        <f t="shared" si="20"/>
        <v>8.1689071413058514</v>
      </c>
      <c r="G31" s="129"/>
      <c r="H31" s="129">
        <f t="shared" ref="H31:O31" si="21">H24+H29</f>
        <v>35.175511981394919</v>
      </c>
      <c r="I31" s="129">
        <f t="shared" si="21"/>
        <v>9.9578872618099723</v>
      </c>
      <c r="J31" s="129">
        <f t="shared" si="21"/>
        <v>69.304630681818168</v>
      </c>
      <c r="L31" s="129">
        <f t="shared" si="21"/>
        <v>45.807896608111037</v>
      </c>
      <c r="M31" s="129">
        <f t="shared" si="21"/>
        <v>21.551074444905666</v>
      </c>
      <c r="N31" s="129">
        <f t="shared" si="21"/>
        <v>22.339579473170097</v>
      </c>
      <c r="O31" s="129">
        <f t="shared" si="21"/>
        <v>8.1689071413058372</v>
      </c>
      <c r="Q31" t="str">
        <v>North Carolina</v>
      </c>
      <c r="R31" t="str">
        <v>NC-2026-01-Center</v>
      </c>
      <c r="S31">
        <v>2026</v>
      </c>
      <c r="T31">
        <v>6</v>
      </c>
    </row>
    <row r="32" spans="2:25" x14ac:dyDescent="0.25">
      <c r="C32" s="150">
        <f>C$31/C$24</f>
        <v>0.21723957582606088</v>
      </c>
      <c r="D32" s="150">
        <f>D$31/D$24</f>
        <v>0.10639541244776091</v>
      </c>
      <c r="E32" s="150">
        <f>E$31/E$24</f>
        <v>0.1223006431092047</v>
      </c>
      <c r="F32" s="150">
        <f>F$31/F$24</f>
        <v>8.9463427104708212E-2</v>
      </c>
      <c r="H32" s="150">
        <f t="shared" ref="H32:J32" si="22">H$31/H$24</f>
        <v>0.21723957582606088</v>
      </c>
      <c r="I32" s="150">
        <f t="shared" si="22"/>
        <v>0.11063984764442396</v>
      </c>
      <c r="J32" s="150">
        <f t="shared" si="22"/>
        <v>0.43504467123897661</v>
      </c>
      <c r="L32" s="150">
        <f t="shared" ref="L32:O32" si="23">L31/$C$24</f>
        <v>0.28290385748737767</v>
      </c>
      <c r="M32" s="150">
        <f t="shared" si="23"/>
        <v>0.13309674848466863</v>
      </c>
      <c r="N32" s="150">
        <f t="shared" si="23"/>
        <v>0.13796645721747919</v>
      </c>
      <c r="O32" s="150">
        <f t="shared" si="23"/>
        <v>5.0450151891986351E-2</v>
      </c>
      <c r="Q32" t="str">
        <v>North Carolina</v>
      </c>
      <c r="R32" t="str">
        <v>NC-2026-02-Center</v>
      </c>
      <c r="S32">
        <v>2026</v>
      </c>
      <c r="T32">
        <v>10</v>
      </c>
    </row>
    <row r="33" spans="2:20" x14ac:dyDescent="0.25">
      <c r="B33" s="147" t="s">
        <v>266</v>
      </c>
      <c r="C33" s="148" cm="1">
        <f t="array" ref="C33">(_xlfn.XLOOKUP($B$5,_xlfn.ANCHORARRAY('JV1'!$N$20),'JV1'!$N55:$P55,0,0)/C22)</f>
        <v>-27.761439702286552</v>
      </c>
      <c r="D33" s="148" cm="1">
        <f t="array" ref="D33">(_xlfn.XLOOKUP($B$5,_xlfn.ANCHORARRAY('JV1'!$N$20),'JV2'!$J55:$L55,0,0)/D22)</f>
        <v>-20.799740332238969</v>
      </c>
      <c r="E33" s="148" cm="1">
        <f t="array" ref="E33">(_xlfn.XLOOKUP($B$5,_xlfn.ANCHORARRAY('JV1'!$N$20),'JV2'!$N55:$P55,0,0)/E22)</f>
        <v>-25.436719111003246</v>
      </c>
      <c r="F33" s="148" cm="1">
        <f t="array" ref="F33">(_xlfn.XLOOKUP($B$5,_xlfn.ANCHORARRAY('JV1'!$N$20),'JV2'!$R55:$T55,0,0)/F22)</f>
        <v>-15.248476241867918</v>
      </c>
      <c r="G33" s="148"/>
      <c r="H33" s="148">
        <f>SUM(C33)</f>
        <v>-27.761439702286552</v>
      </c>
      <c r="I33" s="148" cm="1">
        <f t="array" ref="I33">(_xlfn.XLOOKUP($B$5,_xlfn.ANCHORARRAY('JV1'!$N$20),'JV2'!$J55:$L55,0,0)+_xlfn.XLOOKUP($B$5,_xlfn.ANCHORARRAY('JV1'!$N$20),'JV2'!$N55:$P55,0,0)+_xlfn.XLOOKUP($B$5,_xlfn.ANCHORARRAY('JV1'!$N$20),'JV2'!$R55:$T55,0,0))/SUM($D$22:$F$22)</f>
        <v>-22.055300266588777</v>
      </c>
      <c r="J33" s="148"/>
      <c r="K33" s="148"/>
      <c r="L33" s="148"/>
      <c r="M33" s="148"/>
      <c r="N33" s="148"/>
      <c r="O33" s="148"/>
      <c r="Q33" t="str">
        <v>North Carolina</v>
      </c>
      <c r="R33" t="str">
        <v>NC-2027-01-Center</v>
      </c>
      <c r="S33">
        <v>2027</v>
      </c>
      <c r="T33">
        <v>7</v>
      </c>
    </row>
    <row r="34" spans="2:20" x14ac:dyDescent="0.25">
      <c r="B34" s="147" t="s">
        <v>267</v>
      </c>
      <c r="C34" s="148">
        <f>C33-C31</f>
        <v>-62.936951683681471</v>
      </c>
      <c r="D34" s="148">
        <f>D33-D31</f>
        <v>-30.61153624178435</v>
      </c>
      <c r="E34" s="148">
        <f>E33-E31</f>
        <v>-36.024429383784224</v>
      </c>
      <c r="F34" s="148">
        <f>F33-F31</f>
        <v>-23.417383383173771</v>
      </c>
      <c r="G34" s="148"/>
      <c r="H34" s="148">
        <f>H33-H31</f>
        <v>-62.936951683681471</v>
      </c>
      <c r="I34" s="148">
        <f>I33-I31</f>
        <v>-32.013187528398745</v>
      </c>
      <c r="J34" s="148"/>
      <c r="K34" s="148"/>
      <c r="L34" s="148"/>
      <c r="M34" s="148"/>
      <c r="N34" s="148"/>
      <c r="O34" s="148"/>
      <c r="Q34" t="str">
        <v>North Carolina</v>
      </c>
      <c r="R34" t="str">
        <v>NCA9-Center</v>
      </c>
      <c r="S34">
        <v>2028</v>
      </c>
      <c r="T34">
        <v>6</v>
      </c>
    </row>
    <row r="35" spans="2:20" x14ac:dyDescent="0.25">
      <c r="B35" s="147" t="s">
        <v>268</v>
      </c>
      <c r="C35" s="148">
        <f>((42500*(C22/SUM($C$22:$F$22)))+(169.375*C12))/C22</f>
        <v>0.18388428057749961</v>
      </c>
      <c r="D35" s="148">
        <f>((42500*(D22/SUM($C$22:$F$22)))+(169.375*D12))/D22</f>
        <v>0.2594365341212953</v>
      </c>
      <c r="E35" s="148">
        <f>((42500*(E22/SUM($C$22:$F$22)))+(169.375*E12))/E22</f>
        <v>0.32231261689389407</v>
      </c>
      <c r="F35" s="148">
        <f>((42500*(F22/SUM($C$22:$F$22)))+(169.375*F12))/F22</f>
        <v>0.3889601618381282</v>
      </c>
      <c r="G35" s="147"/>
      <c r="H35" s="148">
        <f>((42500*(H22/SUM($C$22:$F$22)))+(169.375*H12))/H22</f>
        <v>0.18388428057749961</v>
      </c>
      <c r="I35" s="148">
        <f>((42500*(I22/SUM($C$22:$F$22)))+(169.375*I12))/I22</f>
        <v>0.29482021033145672</v>
      </c>
      <c r="J35" s="147"/>
      <c r="K35" s="147"/>
      <c r="L35" s="147"/>
      <c r="M35" s="147"/>
      <c r="N35" s="147"/>
      <c r="O35" s="147"/>
    </row>
    <row r="36" spans="2:20" x14ac:dyDescent="0.25">
      <c r="B36" s="147"/>
      <c r="C36" s="149">
        <f>C35/C23</f>
        <v>1.0266804308643202E-3</v>
      </c>
      <c r="D36" s="149">
        <f>D35/D23</f>
        <v>2.5823289998673092E-3</v>
      </c>
      <c r="E36" s="149">
        <f>E35/E23</f>
        <v>3.4032733790515541E-3</v>
      </c>
      <c r="F36" s="149">
        <f>F35/F23</f>
        <v>3.7486022873454853E-3</v>
      </c>
      <c r="G36" s="147"/>
      <c r="H36" s="149">
        <f>H35/H23</f>
        <v>1.0396629736874516E-3</v>
      </c>
      <c r="I36" s="149">
        <f>I35/I23</f>
        <v>2.9905508642238373E-3</v>
      </c>
      <c r="J36" s="147"/>
      <c r="K36" s="147"/>
      <c r="L36" s="147"/>
      <c r="M36" s="147"/>
      <c r="N36" s="147"/>
      <c r="O36" s="147"/>
    </row>
    <row r="37" spans="2:20" x14ac:dyDescent="0.25">
      <c r="C37" s="127"/>
    </row>
    <row r="38" spans="2:20" x14ac:dyDescent="0.25">
      <c r="C38" s="127"/>
    </row>
    <row r="39" spans="2:20" x14ac:dyDescent="0.25">
      <c r="C39" s="127"/>
    </row>
    <row r="40" spans="2:20" x14ac:dyDescent="0.25">
      <c r="C40" s="127"/>
    </row>
    <row r="41" spans="2:20" x14ac:dyDescent="0.25">
      <c r="C41" s="71"/>
    </row>
    <row r="43" spans="2:20" x14ac:dyDescent="0.25">
      <c r="C43" s="71"/>
    </row>
    <row r="44" spans="2:20" x14ac:dyDescent="0.25">
      <c r="C44" s="127"/>
    </row>
    <row r="45" spans="2:20" x14ac:dyDescent="0.25">
      <c r="C45" s="71"/>
    </row>
    <row r="46" spans="2:20" x14ac:dyDescent="0.25">
      <c r="C46" s="127"/>
    </row>
  </sheetData>
  <mergeCells count="2">
    <mergeCell ref="Q4:T4"/>
    <mergeCell ref="V4:Y4"/>
  </mergeCells>
  <dataValidations count="1">
    <dataValidation type="list" allowBlank="1" showInputMessage="1" showErrorMessage="1" sqref="B5" xr:uid="{5401B9C2-D361-4098-9DFE-18320A5E2E26}">
      <formula1>"2026,2027,2028"</formula1>
    </dataValidation>
  </dataValidations>
  <printOptions horizontalCentered="1" verticalCentered="1"/>
  <pageMargins left="0.7" right="0.7" top="0.75" bottom="0.75" header="0.3" footer="0.3"/>
  <pageSetup paperSize="5" scale="70" fitToHeight="0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42409B-1724-4E45-A353-85EA9C7703AA}">
  <sheetPr>
    <tabColor theme="9" tint="0.79998168889431442"/>
    <pageSetUpPr fitToPage="1"/>
  </sheetPr>
  <dimension ref="B1:S66"/>
  <sheetViews>
    <sheetView workbookViewId="0">
      <pane xSplit="4" ySplit="20" topLeftCell="E51" activePane="bottomRight" state="frozen"/>
      <selection pane="topRight" activeCell="E1" sqref="E1"/>
      <selection pane="bottomLeft" activeCell="A21" sqref="A21"/>
      <selection pane="bottomRight" activeCell="K10" sqref="K10"/>
    </sheetView>
  </sheetViews>
  <sheetFormatPr defaultRowHeight="15" outlineLevelRow="1" outlineLevelCol="1" x14ac:dyDescent="0.25"/>
  <cols>
    <col min="2" max="2" width="24.5703125" bestFit="1" customWidth="1"/>
    <col min="3" max="3" width="12.28515625" bestFit="1" customWidth="1"/>
    <col min="4" max="4" width="11.5703125" bestFit="1" customWidth="1"/>
    <col min="5" max="5" width="15.28515625" bestFit="1" customWidth="1"/>
    <col min="6" max="7" width="15.28515625" customWidth="1" outlineLevel="1"/>
    <col min="8" max="8" width="4.7109375" customWidth="1"/>
    <col min="9" max="9" width="15.28515625" customWidth="1"/>
    <col min="10" max="11" width="15.28515625" customWidth="1" outlineLevel="1"/>
    <col min="12" max="12" width="4.7109375" customWidth="1"/>
    <col min="13" max="13" width="17" bestFit="1" customWidth="1"/>
    <col min="14" max="15" width="13.7109375" customWidth="1" outlineLevel="1"/>
    <col min="16" max="16" width="4.7109375" customWidth="1"/>
    <col min="17" max="17" width="17" bestFit="1" customWidth="1"/>
    <col min="18" max="18" width="13.7109375" customWidth="1" outlineLevel="1"/>
    <col min="19" max="19" width="14.42578125" customWidth="1" outlineLevel="1"/>
  </cols>
  <sheetData>
    <row r="1" spans="2:19" x14ac:dyDescent="0.25">
      <c r="B1" s="3"/>
      <c r="C1" s="3"/>
      <c r="D1" s="55" t="s">
        <v>307</v>
      </c>
      <c r="E1" s="118" cm="1">
        <f t="array" ref="E1">MAX(_xlfn._xlws.FILTER(All!$E1:$AN1,YEAR(_xlfn.ANCHORARRAY(All!$E$25))=E$20,0))</f>
        <v>1273</v>
      </c>
      <c r="F1" s="118" cm="1">
        <f t="array" ref="F1">MAX(_xlfn._xlws.FILTER(All!$E1:$AN1,YEAR(_xlfn.ANCHORARRAY(All!$E$25))=F$20,0))</f>
        <v>2072</v>
      </c>
      <c r="G1" s="118" cm="1">
        <f t="array" ref="G1">MAX(_xlfn._xlws.FILTER(All!$E1:$AN1,YEAR(_xlfn.ANCHORARRAY(All!$E$25))=G$20,0))</f>
        <v>2762</v>
      </c>
      <c r="I1" s="118"/>
      <c r="J1" s="118"/>
      <c r="K1" s="118"/>
      <c r="M1" s="118">
        <f>'JV1'!F1</f>
        <v>818</v>
      </c>
      <c r="N1" s="118">
        <f>'JV1'!G1</f>
        <v>1452</v>
      </c>
      <c r="O1" s="118">
        <f>'JV1'!H1</f>
        <v>2014</v>
      </c>
      <c r="Q1" s="118">
        <f>'JV2'!F1</f>
        <v>455</v>
      </c>
      <c r="R1" s="118">
        <f>'JV2'!G1</f>
        <v>620</v>
      </c>
      <c r="S1" s="118">
        <f>'JV2'!H1</f>
        <v>748</v>
      </c>
    </row>
    <row r="2" spans="2:19" hidden="1" outlineLevel="1" x14ac:dyDescent="0.25">
      <c r="B2" s="1" t="s">
        <v>269</v>
      </c>
      <c r="C2" s="3"/>
      <c r="D2" s="3"/>
      <c r="E2" s="5"/>
      <c r="F2" s="5"/>
      <c r="G2" s="5"/>
      <c r="I2" s="5"/>
      <c r="J2" s="5"/>
      <c r="K2" s="5"/>
      <c r="M2" s="118"/>
      <c r="N2" s="118"/>
      <c r="O2" s="118"/>
      <c r="Q2" s="118"/>
      <c r="R2" s="118"/>
      <c r="S2" s="118"/>
    </row>
    <row r="3" spans="2:19" hidden="1" outlineLevel="1" x14ac:dyDescent="0.25">
      <c r="B3" s="39" t="s">
        <v>309</v>
      </c>
      <c r="E3" s="118">
        <f>I3+M3+Q3</f>
        <v>523.77</v>
      </c>
      <c r="F3" s="118">
        <f t="shared" ref="F3:G3" si="0">J3+N3+R3</f>
        <v>887.29000000000008</v>
      </c>
      <c r="G3" s="118">
        <f t="shared" si="0"/>
        <v>1204.79</v>
      </c>
      <c r="I3" s="118"/>
      <c r="J3" s="118"/>
      <c r="K3" s="118"/>
      <c r="M3" s="118">
        <f>'JV1'!F3</f>
        <v>255.55000000000007</v>
      </c>
      <c r="N3" s="118">
        <f>'JV1'!G3</f>
        <v>493.03999999999996</v>
      </c>
      <c r="O3" s="118">
        <f>'JV1'!H3</f>
        <v>709.52999999999986</v>
      </c>
      <c r="Q3" s="118">
        <f>'JV2'!F3</f>
        <v>268.21999999999997</v>
      </c>
      <c r="R3" s="118">
        <f>'JV2'!G3</f>
        <v>394.25000000000011</v>
      </c>
      <c r="S3" s="118">
        <f>'JV2'!H3</f>
        <v>495.26</v>
      </c>
    </row>
    <row r="4" spans="2:19" hidden="1" outlineLevel="1" x14ac:dyDescent="0.25">
      <c r="B4" s="39" t="s">
        <v>310</v>
      </c>
      <c r="E4" s="118">
        <f t="shared" ref="E4:E6" si="1">I4+M4+Q4</f>
        <v>91.33</v>
      </c>
      <c r="F4" s="118">
        <f t="shared" ref="F4:F6" si="2">J4+N4+R4</f>
        <v>150.17000000000002</v>
      </c>
      <c r="G4" s="118">
        <f t="shared" ref="G4:G6" si="3">K4+O4+S4</f>
        <v>201.08</v>
      </c>
      <c r="I4" s="118"/>
      <c r="J4" s="118"/>
      <c r="K4" s="118"/>
      <c r="M4" s="118">
        <f>'JV1'!F4</f>
        <v>40.25</v>
      </c>
      <c r="N4" s="118">
        <f>'JV1'!G4</f>
        <v>78.460000000000008</v>
      </c>
      <c r="O4" s="118">
        <f>'JV1'!H4</f>
        <v>113.00000000000001</v>
      </c>
      <c r="Q4" s="118">
        <f>'JV2'!F4</f>
        <v>51.08</v>
      </c>
      <c r="R4" s="118">
        <f>'JV2'!G4</f>
        <v>71.709999999999994</v>
      </c>
      <c r="S4" s="118">
        <f>'JV2'!H4</f>
        <v>88.08</v>
      </c>
    </row>
    <row r="5" spans="2:19" hidden="1" outlineLevel="1" x14ac:dyDescent="0.25">
      <c r="B5" s="39" t="s">
        <v>354</v>
      </c>
      <c r="E5" s="118">
        <f t="shared" si="1"/>
        <v>145</v>
      </c>
      <c r="F5" s="118">
        <f t="shared" si="2"/>
        <v>219</v>
      </c>
      <c r="G5" s="118">
        <f t="shared" si="3"/>
        <v>282</v>
      </c>
      <c r="I5" s="118"/>
      <c r="J5" s="118"/>
      <c r="K5" s="118"/>
      <c r="M5" s="118">
        <f>'JV1'!F5</f>
        <v>79</v>
      </c>
      <c r="N5" s="118">
        <f>'JV1'!G5</f>
        <v>129</v>
      </c>
      <c r="O5" s="118">
        <f>'JV1'!H5</f>
        <v>176</v>
      </c>
      <c r="Q5" s="118">
        <f>'JV2'!F5</f>
        <v>66</v>
      </c>
      <c r="R5" s="118">
        <f>'JV2'!G5</f>
        <v>90</v>
      </c>
      <c r="S5" s="118">
        <f>'JV2'!H5</f>
        <v>106</v>
      </c>
    </row>
    <row r="6" spans="2:19" hidden="1" outlineLevel="1" x14ac:dyDescent="0.25">
      <c r="B6" s="39" t="s">
        <v>257</v>
      </c>
      <c r="C6" s="3"/>
      <c r="D6" s="3"/>
      <c r="E6" s="118">
        <f t="shared" si="1"/>
        <v>100.32420349714346</v>
      </c>
      <c r="F6" s="118">
        <f t="shared" si="2"/>
        <v>130.71259800000101</v>
      </c>
      <c r="G6" s="118">
        <f t="shared" si="3"/>
        <v>157.48091539428702</v>
      </c>
      <c r="I6" s="118" cm="1">
        <f t="array" ref="I6">MAX(_xlfn._xlws.FILTER(_xlfn.ANCHORARRAY('Corp.'!$E3),YEAR(_xlfn.ANCHORARRAY('Corp.'!$E$25))=I$20,0))</f>
        <v>100.32420349714346</v>
      </c>
      <c r="J6" s="118" cm="1">
        <f t="array" ref="J6">MAX(_xlfn._xlws.FILTER(_xlfn.ANCHORARRAY('Corp.'!$E3),YEAR(_xlfn.ANCHORARRAY('Corp.'!$E$25))=J$20,0))</f>
        <v>130.71259800000101</v>
      </c>
      <c r="K6" s="118" cm="1">
        <f t="array" ref="K6">MAX(_xlfn._xlws.FILTER(_xlfn.ANCHORARRAY('Corp.'!$E3),YEAR(_xlfn.ANCHORARRAY('Corp.'!$E$25))=K$20,0))</f>
        <v>157.48091539428702</v>
      </c>
      <c r="M6" s="118">
        <f>'JV1'!F6</f>
        <v>0</v>
      </c>
      <c r="N6" s="118">
        <f>'JV1'!G6</f>
        <v>0</v>
      </c>
      <c r="O6" s="118">
        <f>'JV1'!H6</f>
        <v>0</v>
      </c>
      <c r="Q6" s="118">
        <f>'JV2'!F6</f>
        <v>0</v>
      </c>
      <c r="R6" s="118">
        <f>'JV2'!G6</f>
        <v>0</v>
      </c>
      <c r="S6" s="118">
        <f>'JV2'!H6</f>
        <v>0</v>
      </c>
    </row>
    <row r="7" spans="2:19" collapsed="1" x14ac:dyDescent="0.25">
      <c r="B7" s="1" t="s">
        <v>270</v>
      </c>
      <c r="E7" s="158">
        <f>SUM(E3:E6)</f>
        <v>860.42420349714348</v>
      </c>
      <c r="F7" s="158">
        <f>SUM(F3:F6)</f>
        <v>1387.172598000001</v>
      </c>
      <c r="G7" s="158">
        <f>SUM(G3:G6)</f>
        <v>1845.3509153942869</v>
      </c>
      <c r="I7" s="158"/>
      <c r="J7" s="158"/>
      <c r="K7" s="158"/>
      <c r="M7" s="158">
        <f>SUM(M3:M6)</f>
        <v>374.80000000000007</v>
      </c>
      <c r="N7" s="158">
        <f>SUM(N3:N6)</f>
        <v>700.5</v>
      </c>
      <c r="O7" s="158">
        <f>SUM(O3:O6)</f>
        <v>998.52999999999986</v>
      </c>
      <c r="Q7" s="158">
        <f>SUM(Q3:Q6)</f>
        <v>385.29999999999995</v>
      </c>
      <c r="R7" s="158">
        <f>SUM(R3:R6)</f>
        <v>555.96</v>
      </c>
      <c r="S7" s="158">
        <f>SUM(S3:S6)</f>
        <v>689.34</v>
      </c>
    </row>
    <row r="8" spans="2:19" x14ac:dyDescent="0.25">
      <c r="M8" s="158"/>
      <c r="N8" s="158"/>
      <c r="O8" s="158"/>
      <c r="Q8" s="158"/>
      <c r="R8" s="158"/>
      <c r="S8" s="158"/>
    </row>
    <row r="9" spans="2:19" hidden="1" outlineLevel="1" x14ac:dyDescent="0.25">
      <c r="N9" s="66"/>
      <c r="O9" s="66"/>
    </row>
    <row r="10" spans="2:19" collapsed="1" x14ac:dyDescent="0.25">
      <c r="B10" s="39" t="s">
        <v>258</v>
      </c>
      <c r="E10" s="167" t="e">
        <f>I10+M10</f>
        <v>#REF!</v>
      </c>
      <c r="F10" s="167" t="e">
        <f t="shared" ref="F10:G10" si="4">J10+N10</f>
        <v>#REF!</v>
      </c>
      <c r="G10" s="167" t="e">
        <f t="shared" si="4"/>
        <v>#REF!</v>
      </c>
      <c r="I10" s="66"/>
      <c r="J10" s="66"/>
      <c r="K10" s="66"/>
      <c r="M10" s="166" t="e">
        <f>'JV1'!F10</f>
        <v>#REF!</v>
      </c>
      <c r="N10" s="166" t="e">
        <f>'JV1'!G10</f>
        <v>#REF!</v>
      </c>
      <c r="O10" s="166" t="e">
        <f>'JV1'!H10</f>
        <v>#REF!</v>
      </c>
      <c r="Q10" s="166" t="e">
        <f>'JV2'!F10</f>
        <v>#REF!</v>
      </c>
      <c r="R10" s="166" t="e">
        <f>'JV2'!G10</f>
        <v>#REF!</v>
      </c>
      <c r="S10" s="166" t="e">
        <f>'JV2'!H10</f>
        <v>#REF!</v>
      </c>
    </row>
    <row r="11" spans="2:19" x14ac:dyDescent="0.25">
      <c r="M11" s="118"/>
      <c r="Q11" s="118"/>
      <c r="R11" s="118"/>
      <c r="S11" s="118"/>
    </row>
    <row r="12" spans="2:19" hidden="1" outlineLevel="1" x14ac:dyDescent="0.25">
      <c r="B12" s="55" t="s">
        <v>391</v>
      </c>
      <c r="E12" s="118">
        <f t="shared" ref="E12:E14" si="5">I12+M12+Q12</f>
        <v>745.46059113300498</v>
      </c>
      <c r="F12" s="118">
        <f t="shared" ref="F12:F14" si="6">J12+N12+R12</f>
        <v>1219.0320197044334</v>
      </c>
      <c r="G12" s="118">
        <f t="shared" ref="G12:G14" si="7">K12+O12+S12</f>
        <v>1602.5320197044334</v>
      </c>
      <c r="I12" s="118"/>
      <c r="J12" s="118"/>
      <c r="K12" s="118"/>
      <c r="M12" s="118">
        <f>'JV1'!F12</f>
        <v>335.69047619047615</v>
      </c>
      <c r="N12" s="118">
        <f>'JV1'!G12</f>
        <v>644.28571428571433</v>
      </c>
      <c r="O12" s="118">
        <f>'JV1'!H12</f>
        <v>943.71428571428555</v>
      </c>
      <c r="Q12" s="118">
        <f>'JV2'!F12</f>
        <v>409.77011494252878</v>
      </c>
      <c r="R12" s="118">
        <f>'JV2'!G12</f>
        <v>574.7463054187192</v>
      </c>
      <c r="S12" s="118">
        <f>'JV2'!H12</f>
        <v>658.81773399014787</v>
      </c>
    </row>
    <row r="13" spans="2:19" hidden="1" outlineLevel="1" x14ac:dyDescent="0.25">
      <c r="B13" s="55" t="s">
        <v>392</v>
      </c>
      <c r="E13" s="118">
        <f t="shared" si="5"/>
        <v>402.16666666666663</v>
      </c>
      <c r="F13" s="118">
        <f t="shared" si="6"/>
        <v>822</v>
      </c>
      <c r="G13" s="118">
        <f t="shared" si="7"/>
        <v>1259</v>
      </c>
      <c r="I13" s="118"/>
      <c r="J13" s="118"/>
      <c r="K13" s="118"/>
      <c r="M13" s="118">
        <f>'JV1'!F13</f>
        <v>111.33333333333334</v>
      </c>
      <c r="N13" s="118">
        <f>'JV1'!G13</f>
        <v>394.00000000000006</v>
      </c>
      <c r="O13" s="118">
        <f>'JV1'!H13</f>
        <v>713.99999999999989</v>
      </c>
      <c r="Q13" s="118">
        <f>'JV2'!F13</f>
        <v>290.83333333333331</v>
      </c>
      <c r="R13" s="118">
        <f>'JV2'!G13</f>
        <v>428</v>
      </c>
      <c r="S13" s="118">
        <f>'JV2'!H13</f>
        <v>545</v>
      </c>
    </row>
    <row r="14" spans="2:19" hidden="1" outlineLevel="1" x14ac:dyDescent="0.25">
      <c r="B14" s="55" t="s">
        <v>393</v>
      </c>
      <c r="E14" s="118">
        <f t="shared" si="5"/>
        <v>1675.1666666666665</v>
      </c>
      <c r="F14" s="118">
        <f t="shared" si="6"/>
        <v>2894</v>
      </c>
      <c r="G14" s="118">
        <f t="shared" si="7"/>
        <v>4021</v>
      </c>
      <c r="I14" s="118"/>
      <c r="J14" s="118"/>
      <c r="K14" s="118"/>
      <c r="M14" s="118">
        <f>'JV1'!F14</f>
        <v>929.33333333333337</v>
      </c>
      <c r="N14" s="118">
        <f>'JV1'!G14</f>
        <v>1846</v>
      </c>
      <c r="O14" s="118">
        <f>'JV1'!H14</f>
        <v>2728</v>
      </c>
      <c r="Q14" s="118">
        <f>'JV2'!F14</f>
        <v>745.83333333333326</v>
      </c>
      <c r="R14" s="118">
        <f>'JV2'!G14</f>
        <v>1048</v>
      </c>
      <c r="S14" s="118">
        <f>'JV2'!H14</f>
        <v>1293</v>
      </c>
    </row>
    <row r="15" spans="2:19" hidden="1" outlineLevel="1" x14ac:dyDescent="0.25">
      <c r="M15" s="118"/>
      <c r="Q15" s="118"/>
      <c r="R15" s="118"/>
      <c r="S15" s="118"/>
    </row>
    <row r="16" spans="2:19" collapsed="1" x14ac:dyDescent="0.25">
      <c r="B16" s="2" t="s">
        <v>394</v>
      </c>
      <c r="D16" s="2"/>
      <c r="E16" s="78">
        <f t="shared" ref="E16:G16" si="8">SUM(E21:E25)/E18*0.94</f>
        <v>134.75942532829669</v>
      </c>
      <c r="F16" s="78">
        <f t="shared" si="8"/>
        <v>147.46954852077863</v>
      </c>
      <c r="G16" s="78">
        <f t="shared" si="8"/>
        <v>149.45060566013902</v>
      </c>
      <c r="I16" s="71"/>
      <c r="J16" s="71"/>
      <c r="K16" s="71"/>
      <c r="M16" s="78">
        <f>'JV1'!F16</f>
        <v>179.105664284158</v>
      </c>
      <c r="N16" s="78">
        <f>'JV1'!G16</f>
        <v>184.21443514715338</v>
      </c>
      <c r="O16" s="78">
        <f>'JV1'!H16</f>
        <v>184.15873270782325</v>
      </c>
      <c r="Q16" s="78">
        <f>'JV2'!F16</f>
        <v>98.583914374575897</v>
      </c>
      <c r="R16" s="78">
        <f>'JV2'!G16</f>
        <v>101.52455646672681</v>
      </c>
      <c r="S16" s="78">
        <f>'JV2'!H16</f>
        <v>101.42525470647988</v>
      </c>
    </row>
    <row r="17" spans="2:19" x14ac:dyDescent="0.25">
      <c r="E17" s="137"/>
      <c r="F17" s="137"/>
      <c r="G17" s="137"/>
      <c r="H17" s="137"/>
      <c r="I17" s="137"/>
      <c r="J17" s="137"/>
      <c r="K17" s="137"/>
      <c r="L17" s="137"/>
      <c r="M17" s="137"/>
      <c r="N17" s="137"/>
      <c r="O17" s="137"/>
      <c r="P17" s="137"/>
      <c r="Q17" s="137"/>
      <c r="R17" s="137"/>
      <c r="S17" s="136"/>
    </row>
    <row r="18" spans="2:19" x14ac:dyDescent="0.25">
      <c r="B18" s="2" t="s">
        <v>53</v>
      </c>
      <c r="C18" s="3"/>
      <c r="D18" s="57"/>
      <c r="E18" s="53">
        <f>M18+Q18</f>
        <v>733008.17333333322</v>
      </c>
      <c r="F18" s="53">
        <f t="shared" ref="F18:G18" si="9">N18+R18</f>
        <v>1466363.7999999996</v>
      </c>
      <c r="G18" s="53">
        <f t="shared" si="9"/>
        <v>2088011.1999999997</v>
      </c>
      <c r="I18" s="53"/>
      <c r="J18" s="53"/>
      <c r="K18" s="53"/>
      <c r="M18" s="53">
        <f>'JV1'!F18</f>
        <v>407617.02666666661</v>
      </c>
      <c r="N18" s="53">
        <f>'JV1'!G18</f>
        <v>981678.57333333301</v>
      </c>
      <c r="O18" s="53">
        <f>'JV1'!H18</f>
        <v>1452807.8399999996</v>
      </c>
      <c r="Q18" s="53">
        <f>'JV2'!F18</f>
        <v>325391.14666666661</v>
      </c>
      <c r="R18" s="53">
        <f>'JV2'!G18</f>
        <v>484685.22666666663</v>
      </c>
      <c r="S18" s="53">
        <f>'JV2'!H18</f>
        <v>635203.36</v>
      </c>
    </row>
    <row r="19" spans="2:19" x14ac:dyDescent="0.25">
      <c r="E19" s="70" t="s">
        <v>26</v>
      </c>
      <c r="F19" s="70"/>
      <c r="G19" s="70"/>
      <c r="I19" s="70" t="s">
        <v>13</v>
      </c>
      <c r="J19" s="70"/>
      <c r="K19" s="70"/>
      <c r="M19" s="70" t="s">
        <v>14</v>
      </c>
      <c r="N19" s="70"/>
      <c r="O19" s="70"/>
      <c r="Q19" s="70" t="s">
        <v>15</v>
      </c>
      <c r="R19" s="70"/>
      <c r="S19" s="70"/>
    </row>
    <row r="20" spans="2:19" x14ac:dyDescent="0.25">
      <c r="B20" s="1" t="s">
        <v>21</v>
      </c>
      <c r="D20" s="64"/>
      <c r="E20" s="76" cm="1">
        <f t="array" ref="E20:G20">_xlfn.ANCHORARRAY(I20)</f>
        <v>2026</v>
      </c>
      <c r="F20" s="76">
        <v>2027</v>
      </c>
      <c r="G20" s="76">
        <v>2028</v>
      </c>
      <c r="H20" s="104"/>
      <c r="I20" s="76" cm="1">
        <f t="array" ref="I20:K20">_xlfn.SEQUENCE(1,3,2026)</f>
        <v>2026</v>
      </c>
      <c r="J20" s="76">
        <v>2027</v>
      </c>
      <c r="K20" s="76">
        <v>2028</v>
      </c>
      <c r="L20" s="104"/>
      <c r="M20" s="76" cm="1">
        <f t="array" ref="M20:O20">_xlfn.SEQUENCE(1,3,2026)</f>
        <v>2026</v>
      </c>
      <c r="N20" s="76">
        <v>2027</v>
      </c>
      <c r="O20" s="76">
        <v>2028</v>
      </c>
      <c r="P20" s="104"/>
      <c r="Q20" s="76" cm="1">
        <f t="array" ref="Q20:S20">_xlfn.ANCHORARRAY('JV1'!$F$20)</f>
        <v>2026</v>
      </c>
      <c r="R20" s="76">
        <v>2027</v>
      </c>
      <c r="S20" s="76">
        <v>2028</v>
      </c>
    </row>
    <row r="21" spans="2:19" outlineLevel="1" x14ac:dyDescent="0.25">
      <c r="B21" s="39" t="s">
        <v>379</v>
      </c>
      <c r="D21" s="105"/>
      <c r="E21" s="12">
        <f>SUM(I21,M21,Q21)</f>
        <v>84837544.088223323</v>
      </c>
      <c r="F21" s="12">
        <f t="shared" ref="F21:F31" si="10">SUM(J21,N21,R21)</f>
        <v>187068087.47257638</v>
      </c>
      <c r="G21" s="12">
        <f t="shared" ref="G21:G31" si="11">SUM(K21,O21,S21)</f>
        <v>270280306.83936685</v>
      </c>
      <c r="I21" s="12" cm="1">
        <f t="array" ref="I21:K21">{0,0,0}</f>
        <v>0</v>
      </c>
      <c r="J21" s="12">
        <v>0</v>
      </c>
      <c r="K21" s="12">
        <v>0</v>
      </c>
      <c r="M21" s="67">
        <f>'JV1'!F21</f>
        <v>60978225.663333327</v>
      </c>
      <c r="N21" s="67">
        <f>'JV1'!G21</f>
        <v>150752212.93339998</v>
      </c>
      <c r="O21" s="67">
        <f>'JV1'!H21</f>
        <v>222950379.11249998</v>
      </c>
      <c r="Q21" s="67">
        <f>'JV2'!F21</f>
        <v>23859318.424889993</v>
      </c>
      <c r="R21" s="67">
        <f>'JV2'!G21</f>
        <v>36315874.53917639</v>
      </c>
      <c r="S21" s="67">
        <f>'JV2'!H21</f>
        <v>47329927.726866871</v>
      </c>
    </row>
    <row r="22" spans="2:19" outlineLevel="1" x14ac:dyDescent="0.25">
      <c r="B22" s="39" t="s">
        <v>380</v>
      </c>
      <c r="D22" s="105"/>
      <c r="E22" s="12">
        <f t="shared" ref="E22:E31" si="12">SUM(I22,M22,Q22)</f>
        <v>2668175.5480639995</v>
      </c>
      <c r="F22" s="12">
        <f t="shared" si="10"/>
        <v>6490927.1741114669</v>
      </c>
      <c r="G22" s="12">
        <f t="shared" si="11"/>
        <v>9739007.8979398422</v>
      </c>
      <c r="I22" s="12" cm="1">
        <f t="array" ref="I22:K22">{0,0,0}</f>
        <v>0</v>
      </c>
      <c r="J22" s="12">
        <v>0</v>
      </c>
      <c r="K22" s="12">
        <v>0</v>
      </c>
      <c r="M22" s="67">
        <f>'JV1'!F22</f>
        <v>1411010.813333333</v>
      </c>
      <c r="N22" s="67">
        <f>'JV1'!G22</f>
        <v>3967648.7448000005</v>
      </c>
      <c r="O22" s="67">
        <f>'JV1'!H22</f>
        <v>6017326.2084000017</v>
      </c>
      <c r="Q22" s="67">
        <f>'JV2'!F22</f>
        <v>1257164.7347306665</v>
      </c>
      <c r="R22" s="67">
        <f>'JV2'!G22</f>
        <v>2523278.4293114664</v>
      </c>
      <c r="S22" s="67">
        <f>'JV2'!H22</f>
        <v>3721681.6895398395</v>
      </c>
    </row>
    <row r="23" spans="2:19" outlineLevel="1" x14ac:dyDescent="0.25">
      <c r="B23" s="39" t="s">
        <v>381</v>
      </c>
      <c r="D23" s="105"/>
      <c r="E23" s="12">
        <f t="shared" si="12"/>
        <v>13982951.702392399</v>
      </c>
      <c r="F23" s="12">
        <f t="shared" si="10"/>
        <v>29056202.7954771</v>
      </c>
      <c r="G23" s="12">
        <f t="shared" si="11"/>
        <v>41435120.967330471</v>
      </c>
      <c r="I23" s="12" cm="1">
        <f t="array" ref="I23:K23">{0,0,0}</f>
        <v>0</v>
      </c>
      <c r="J23" s="12">
        <v>0</v>
      </c>
      <c r="K23" s="12">
        <v>0</v>
      </c>
      <c r="M23" s="67">
        <f>'JV1'!F23</f>
        <v>8276965.2679999992</v>
      </c>
      <c r="N23" s="67">
        <f>'JV1'!G23</f>
        <v>20516522.382069997</v>
      </c>
      <c r="O23" s="67">
        <f>'JV1'!H23</f>
        <v>30352541.217569988</v>
      </c>
      <c r="Q23" s="67">
        <f>'JV2'!F23</f>
        <v>5705986.4343924001</v>
      </c>
      <c r="R23" s="67">
        <f>'JV2'!G23</f>
        <v>8539680.4134071041</v>
      </c>
      <c r="S23" s="67">
        <f>'JV2'!H23</f>
        <v>11082579.749760482</v>
      </c>
    </row>
    <row r="24" spans="2:19" outlineLevel="1" x14ac:dyDescent="0.25">
      <c r="B24" s="39" t="s">
        <v>383</v>
      </c>
      <c r="D24" s="105"/>
      <c r="E24" s="12">
        <f t="shared" si="12"/>
        <v>1438538.1552240001</v>
      </c>
      <c r="F24" s="12">
        <f t="shared" si="10"/>
        <v>3053015.2496166802</v>
      </c>
      <c r="G24" s="12">
        <f t="shared" si="11"/>
        <v>4351163.68164228</v>
      </c>
      <c r="I24" s="12" cm="1">
        <f t="array" ref="I24:K24">{0,0,0}</f>
        <v>0</v>
      </c>
      <c r="J24" s="12">
        <v>0</v>
      </c>
      <c r="K24" s="12">
        <v>0</v>
      </c>
      <c r="M24" s="67">
        <f>'JV1'!F24</f>
        <v>1015424.1900000002</v>
      </c>
      <c r="N24" s="67">
        <f>'JV1'!G24</f>
        <v>2431039.1474600001</v>
      </c>
      <c r="O24" s="67">
        <f>'JV1'!H24</f>
        <v>3569559.3727199999</v>
      </c>
      <c r="Q24" s="67">
        <f>'JV2'!F24</f>
        <v>423113.96522399999</v>
      </c>
      <c r="R24" s="67">
        <f>'JV2'!G24</f>
        <v>621976.10215667996</v>
      </c>
      <c r="S24" s="67">
        <f>'JV2'!H24</f>
        <v>781604.30892227998</v>
      </c>
    </row>
    <row r="25" spans="2:19" outlineLevel="1" x14ac:dyDescent="0.25">
      <c r="B25" s="39" t="s">
        <v>382</v>
      </c>
      <c r="D25" s="105"/>
      <c r="E25" s="12">
        <f t="shared" si="12"/>
        <v>2157641.7819946664</v>
      </c>
      <c r="F25" s="12">
        <f t="shared" si="10"/>
        <v>4378583.8541899733</v>
      </c>
      <c r="G25" s="12">
        <f t="shared" si="11"/>
        <v>6167313.8745223461</v>
      </c>
      <c r="I25" s="12" cm="1">
        <f t="array" ref="I25:K25">{0,0,0}</f>
        <v>0</v>
      </c>
      <c r="J25" s="12">
        <v>0</v>
      </c>
      <c r="K25" s="12">
        <v>0</v>
      </c>
      <c r="M25" s="67">
        <f>'JV1'!F25</f>
        <v>1324892.3999999999</v>
      </c>
      <c r="N25" s="67">
        <f>'JV1'!G25</f>
        <v>3171940.6749333329</v>
      </c>
      <c r="O25" s="67">
        <f>'JV1'!H25</f>
        <v>4657444.7711999994</v>
      </c>
      <c r="Q25" s="67">
        <f>'JV2'!F25</f>
        <v>832749.38199466665</v>
      </c>
      <c r="R25" s="67">
        <f>'JV2'!G25</f>
        <v>1206643.1792566401</v>
      </c>
      <c r="S25" s="67">
        <f>'JV2'!H25</f>
        <v>1509869.1033223467</v>
      </c>
    </row>
    <row r="26" spans="2:19" outlineLevel="1" x14ac:dyDescent="0.25">
      <c r="B26" s="39" t="s">
        <v>403</v>
      </c>
      <c r="D26" s="105"/>
      <c r="E26" s="12">
        <f t="shared" si="12"/>
        <v>0</v>
      </c>
      <c r="F26" s="12">
        <f t="shared" si="10"/>
        <v>0</v>
      </c>
      <c r="G26" s="12">
        <f t="shared" si="11"/>
        <v>0</v>
      </c>
      <c r="I26" s="12" cm="1">
        <f t="array" ref="I26:K26">{0,0,0}</f>
        <v>0</v>
      </c>
      <c r="J26" s="12">
        <v>0</v>
      </c>
      <c r="K26" s="12">
        <v>0</v>
      </c>
      <c r="M26" s="67">
        <f>'JV1'!F26</f>
        <v>0</v>
      </c>
      <c r="N26" s="67">
        <f>'JV1'!G26</f>
        <v>0</v>
      </c>
      <c r="O26" s="67">
        <f>'JV1'!H26</f>
        <v>0</v>
      </c>
      <c r="Q26" s="67">
        <f>'JV2'!F26</f>
        <v>0</v>
      </c>
      <c r="R26" s="67">
        <f>'JV2'!G26</f>
        <v>0</v>
      </c>
      <c r="S26" s="67">
        <f>'JV2'!H26</f>
        <v>0</v>
      </c>
    </row>
    <row r="27" spans="2:19" outlineLevel="1" x14ac:dyDescent="0.25">
      <c r="B27" s="39" t="s">
        <v>404</v>
      </c>
      <c r="D27" s="105"/>
      <c r="E27" s="12">
        <f t="shared" si="12"/>
        <v>0</v>
      </c>
      <c r="F27" s="12">
        <f t="shared" si="10"/>
        <v>0</v>
      </c>
      <c r="G27" s="12">
        <f t="shared" si="11"/>
        <v>0</v>
      </c>
      <c r="I27" s="12" cm="1">
        <f t="array" ref="I27:K27">{0,0,0}</f>
        <v>0</v>
      </c>
      <c r="J27" s="12">
        <v>0</v>
      </c>
      <c r="K27" s="12">
        <v>0</v>
      </c>
      <c r="M27" s="67">
        <f>'JV1'!F27</f>
        <v>0</v>
      </c>
      <c r="N27" s="67">
        <f>'JV1'!G27</f>
        <v>0</v>
      </c>
      <c r="O27" s="67">
        <f>'JV1'!H27</f>
        <v>0</v>
      </c>
      <c r="Q27" s="67">
        <f>'JV2'!F27</f>
        <v>0</v>
      </c>
      <c r="R27" s="67">
        <f>'JV2'!G27</f>
        <v>0</v>
      </c>
      <c r="S27" s="67">
        <f>'JV2'!H27</f>
        <v>0</v>
      </c>
    </row>
    <row r="28" spans="2:19" outlineLevel="1" x14ac:dyDescent="0.25">
      <c r="B28" s="39" t="s">
        <v>405</v>
      </c>
      <c r="D28" s="105"/>
      <c r="E28" s="12">
        <f t="shared" si="12"/>
        <v>3196497.7832666663</v>
      </c>
      <c r="F28" s="12">
        <f t="shared" si="10"/>
        <v>5310918.6810073331</v>
      </c>
      <c r="G28" s="12">
        <f t="shared" si="11"/>
        <v>7485389.3886893336</v>
      </c>
      <c r="I28" s="12" cm="1">
        <f t="array" ref="I28:K28">{0,0,0}</f>
        <v>0</v>
      </c>
      <c r="J28" s="12">
        <v>0</v>
      </c>
      <c r="K28" s="12">
        <v>0</v>
      </c>
      <c r="M28" s="67">
        <f>'JV1'!F28</f>
        <v>1995184.8583333332</v>
      </c>
      <c r="N28" s="67">
        <f>'JV1'!G28</f>
        <v>3522926.4070000001</v>
      </c>
      <c r="O28" s="67">
        <f>'JV1'!H28</f>
        <v>5017501.2463333337</v>
      </c>
      <c r="Q28" s="67">
        <f>'JV2'!F28</f>
        <v>1201312.9249333334</v>
      </c>
      <c r="R28" s="67">
        <f>'JV2'!G28</f>
        <v>1787992.274007333</v>
      </c>
      <c r="S28" s="67">
        <f>'JV2'!H28</f>
        <v>2467888.1423559999</v>
      </c>
    </row>
    <row r="29" spans="2:19" outlineLevel="1" x14ac:dyDescent="0.25">
      <c r="B29" s="39" t="s">
        <v>406</v>
      </c>
      <c r="D29" s="105"/>
      <c r="E29" s="12">
        <f t="shared" si="12"/>
        <v>0</v>
      </c>
      <c r="F29" s="12">
        <f t="shared" si="10"/>
        <v>0</v>
      </c>
      <c r="G29" s="12">
        <f t="shared" si="11"/>
        <v>0</v>
      </c>
      <c r="I29" s="12" cm="1">
        <f t="array" ref="I29:K29">{0,0,0}</f>
        <v>0</v>
      </c>
      <c r="J29" s="12">
        <v>0</v>
      </c>
      <c r="K29" s="12">
        <v>0</v>
      </c>
      <c r="M29" s="67">
        <f>'JV1'!F29</f>
        <v>0</v>
      </c>
      <c r="N29" s="67">
        <f>'JV1'!G29</f>
        <v>0</v>
      </c>
      <c r="O29" s="67">
        <f>'JV1'!H29</f>
        <v>0</v>
      </c>
      <c r="Q29" s="67">
        <f>'JV2'!F29</f>
        <v>0</v>
      </c>
      <c r="R29" s="67">
        <f>'JV2'!G29</f>
        <v>0</v>
      </c>
      <c r="S29" s="67">
        <f>'JV2'!H29</f>
        <v>0</v>
      </c>
    </row>
    <row r="30" spans="2:19" outlineLevel="1" x14ac:dyDescent="0.25">
      <c r="B30" s="39" t="s">
        <v>99</v>
      </c>
      <c r="D30" s="105"/>
      <c r="E30" s="12">
        <f t="shared" si="12"/>
        <v>-12993761.887099806</v>
      </c>
      <c r="F30" s="12">
        <f t="shared" si="10"/>
        <v>-28242928.227237467</v>
      </c>
      <c r="G30" s="12">
        <f t="shared" si="11"/>
        <v>-40734996.317938931</v>
      </c>
      <c r="I30" s="12" cm="1">
        <f t="array" ref="I30:K30">{0,0,0}</f>
        <v>0</v>
      </c>
      <c r="J30" s="12">
        <v>0</v>
      </c>
      <c r="K30" s="12">
        <v>0</v>
      </c>
      <c r="M30" s="67">
        <f>'JV1'!F30</f>
        <v>-9000204.3831599988</v>
      </c>
      <c r="N30" s="67">
        <f>'JV1'!G30</f>
        <v>-22123474.834759593</v>
      </c>
      <c r="O30" s="67">
        <f>'JV1'!H30</f>
        <v>-32707770.231446791</v>
      </c>
      <c r="Q30" s="67">
        <f>'JV2'!F30</f>
        <v>-3993557.5039398074</v>
      </c>
      <c r="R30" s="67">
        <f>'JV2'!G30</f>
        <v>-6119453.3924778737</v>
      </c>
      <c r="S30" s="67">
        <f>'JV2'!H30</f>
        <v>-8027226.0864921389</v>
      </c>
    </row>
    <row r="31" spans="2:19" outlineLevel="1" x14ac:dyDescent="0.25">
      <c r="B31" s="39" t="s">
        <v>261</v>
      </c>
      <c r="C31" s="4"/>
      <c r="D31" s="105"/>
      <c r="E31" s="12">
        <f t="shared" si="12"/>
        <v>12287968.37273553</v>
      </c>
      <c r="F31" s="12">
        <f t="shared" si="10"/>
        <v>16058012.955168728</v>
      </c>
      <c r="G31" s="12">
        <f t="shared" si="11"/>
        <v>20094507.85798246</v>
      </c>
      <c r="I31" s="12" cm="1">
        <f t="array" ref="I31:K31">I45:K45</f>
        <v>12287968.37273553</v>
      </c>
      <c r="J31" s="12">
        <v>16058012.955168728</v>
      </c>
      <c r="K31" s="12">
        <v>20094507.85798246</v>
      </c>
      <c r="M31" s="67">
        <f>'JV1'!F31</f>
        <v>0</v>
      </c>
      <c r="N31" s="67">
        <f>'JV1'!G31</f>
        <v>0</v>
      </c>
      <c r="O31" s="67">
        <f>'JV1'!H31</f>
        <v>0</v>
      </c>
      <c r="Q31" s="67">
        <f>'JV2'!F31</f>
        <v>0</v>
      </c>
      <c r="R31" s="67">
        <f>'JV2'!G31</f>
        <v>0</v>
      </c>
      <c r="S31" s="67">
        <f>'JV2'!H31</f>
        <v>0</v>
      </c>
    </row>
    <row r="32" spans="2:19" x14ac:dyDescent="0.25">
      <c r="B32" s="1" t="s">
        <v>271</v>
      </c>
      <c r="C32" s="15"/>
      <c r="D32" s="105"/>
      <c r="E32" s="13">
        <f>SUM(E21:E30)</f>
        <v>95287587.172065243</v>
      </c>
      <c r="F32" s="13">
        <f t="shared" ref="F32:G32" si="13">SUM(F21:F31)</f>
        <v>223172819.95491016</v>
      </c>
      <c r="G32" s="13">
        <f t="shared" si="13"/>
        <v>318817814.18953466</v>
      </c>
      <c r="I32" s="13">
        <f>SUM(I21:I31)</f>
        <v>12287968.37273553</v>
      </c>
      <c r="J32" s="13">
        <f t="shared" ref="J32:K32" si="14">SUM(J21:J31)</f>
        <v>16058012.955168728</v>
      </c>
      <c r="K32" s="13">
        <f t="shared" si="14"/>
        <v>20094507.85798246</v>
      </c>
      <c r="M32" s="13">
        <f>SUM(M21:M31)</f>
        <v>66001498.809840009</v>
      </c>
      <c r="N32" s="13">
        <f>SUM(N21:N31)</f>
        <v>162238815.45490375</v>
      </c>
      <c r="O32" s="13">
        <f>SUM(O21:O31)</f>
        <v>239856981.69727653</v>
      </c>
      <c r="Q32" s="13">
        <f>SUM(Q21:Q31)</f>
        <v>29286088.362225253</v>
      </c>
      <c r="R32" s="13">
        <f>SUM(R21:R31)</f>
        <v>44875991.544837743</v>
      </c>
      <c r="S32" s="13">
        <f>SUM(S21:S31)</f>
        <v>58866324.634275697</v>
      </c>
    </row>
    <row r="33" spans="2:19" x14ac:dyDescent="0.25">
      <c r="E33" s="60"/>
      <c r="F33" s="60"/>
      <c r="G33" s="60"/>
      <c r="I33" s="60"/>
      <c r="J33" s="60"/>
      <c r="K33" s="60"/>
    </row>
    <row r="34" spans="2:19" outlineLevel="1" x14ac:dyDescent="0.25">
      <c r="B34" s="1" t="s">
        <v>118</v>
      </c>
    </row>
    <row r="35" spans="2:19" outlineLevel="1" x14ac:dyDescent="0.25">
      <c r="B35" s="39" t="s">
        <v>23</v>
      </c>
      <c r="D35" s="83"/>
      <c r="E35" s="12">
        <f t="shared" ref="E35:E44" si="15">SUM(I35,M35,Q35)</f>
        <v>41733354.113137521</v>
      </c>
      <c r="F35" s="12">
        <f t="shared" ref="F35:F44" si="16">SUM(J35,N35,R35)</f>
        <v>82838706.091661438</v>
      </c>
      <c r="G35" s="12">
        <f t="shared" ref="G35:G44" si="17">SUM(K35,O35,S35)</f>
        <v>126875795.55380087</v>
      </c>
      <c r="I35" s="12" cm="1">
        <f t="array" ref="I35">SUM(_xlfn._xlws.FILTER(_xlfn.ANCHORARRAY('Corp.'!$E40),YEAR(_xlfn.ANCHORARRAY('Corp.'!$E$25))=I$20,0))</f>
        <v>9867062.5137787331</v>
      </c>
      <c r="J35" s="12" cm="1">
        <f t="array" ref="J35">SUM(_xlfn._xlws.FILTER(_xlfn.ANCHORARRAY('Corp.'!$E40),YEAR(_xlfn.ANCHORARRAY('Corp.'!$E$25))=J$20,0))</f>
        <v>13398321.169439744</v>
      </c>
      <c r="K35" s="12" cm="1">
        <f t="array" ref="K35">SUM(_xlfn._xlws.FILTER(_xlfn.ANCHORARRAY('Corp.'!$E40),YEAR(_xlfn.ANCHORARRAY('Corp.'!$E$25))=K$20,0))</f>
        <v>17196195.440626305</v>
      </c>
      <c r="M35" s="67">
        <f>'JV1'!F35</f>
        <v>15452304.199827505</v>
      </c>
      <c r="N35" s="67">
        <f>'JV1'!G35</f>
        <v>42165985.986392841</v>
      </c>
      <c r="O35" s="67">
        <f>'JV1'!H35</f>
        <v>70169067.22900185</v>
      </c>
      <c r="Q35" s="67">
        <f>'JV2'!F35</f>
        <v>16413987.399531281</v>
      </c>
      <c r="R35" s="67">
        <f>'JV2'!G35</f>
        <v>27274398.935828853</v>
      </c>
      <c r="S35" s="67">
        <f>'JV2'!H35</f>
        <v>39510532.884172708</v>
      </c>
    </row>
    <row r="36" spans="2:19" outlineLevel="1" x14ac:dyDescent="0.25">
      <c r="B36" s="39" t="s">
        <v>24</v>
      </c>
      <c r="D36" s="83"/>
      <c r="E36" s="12">
        <f t="shared" si="15"/>
        <v>19728614.400000002</v>
      </c>
      <c r="F36" s="12">
        <f t="shared" si="16"/>
        <v>41181043.199999988</v>
      </c>
      <c r="G36" s="12">
        <f t="shared" si="17"/>
        <v>57884851.200000003</v>
      </c>
      <c r="I36" s="12" cm="1">
        <f t="array" ref="I36">SUM(_xlfn._xlws.FILTER(_xlfn.ANCHORARRAY('Corp.'!$E41),YEAR(_xlfn.ANCHORARRAY('Corp.'!$E$25))=I$20,0))</f>
        <v>0</v>
      </c>
      <c r="J36" s="12" cm="1">
        <f t="array" ref="J36">SUM(_xlfn._xlws.FILTER(_xlfn.ANCHORARRAY('Corp.'!$E41),YEAR(_xlfn.ANCHORARRAY('Corp.'!$E$25))=J$20,0))</f>
        <v>0</v>
      </c>
      <c r="K36" s="12" cm="1">
        <f t="array" ref="K36">SUM(_xlfn._xlws.FILTER(_xlfn.ANCHORARRAY('Corp.'!$E41),YEAR(_xlfn.ANCHORARRAY('Corp.'!$E$25))=K$20,0))</f>
        <v>0</v>
      </c>
      <c r="M36" s="67">
        <f>'JV1'!F36</f>
        <v>19728614.400000002</v>
      </c>
      <c r="N36" s="67">
        <f>'JV1'!G36</f>
        <v>41181043.199999988</v>
      </c>
      <c r="O36" s="67">
        <f>'JV1'!H36</f>
        <v>57884851.200000003</v>
      </c>
      <c r="Q36" s="67">
        <f>'JV2'!F36</f>
        <v>0</v>
      </c>
      <c r="R36" s="67">
        <f>'JV2'!G36</f>
        <v>0</v>
      </c>
      <c r="S36" s="67">
        <f>'JV2'!H36</f>
        <v>0</v>
      </c>
    </row>
    <row r="37" spans="2:19" outlineLevel="1" x14ac:dyDescent="0.25">
      <c r="B37" s="39" t="s">
        <v>28</v>
      </c>
      <c r="D37" s="83"/>
      <c r="E37" s="12">
        <f t="shared" si="15"/>
        <v>1692571.6999999997</v>
      </c>
      <c r="F37" s="12">
        <f t="shared" si="16"/>
        <v>2893319.2031000005</v>
      </c>
      <c r="G37" s="12">
        <f t="shared" si="17"/>
        <v>4176137.315955</v>
      </c>
      <c r="I37" s="12" cm="1">
        <f t="array" ref="I37">SUM(_xlfn._xlws.FILTER(_xlfn.ANCHORARRAY('Corp.'!$E42),YEAR(_xlfn.ANCHORARRAY('Corp.'!$E$25))=I$20,0))</f>
        <v>0</v>
      </c>
      <c r="J37" s="12" cm="1">
        <f t="array" ref="J37">SUM(_xlfn._xlws.FILTER(_xlfn.ANCHORARRAY('Corp.'!$E42),YEAR(_xlfn.ANCHORARRAY('Corp.'!$E$25))=J$20,0))</f>
        <v>0</v>
      </c>
      <c r="K37" s="12" cm="1">
        <f t="array" ref="K37">SUM(_xlfn._xlws.FILTER(_xlfn.ANCHORARRAY('Corp.'!$E42),YEAR(_xlfn.ANCHORARRAY('Corp.'!$E$25))=K$20,0))</f>
        <v>0</v>
      </c>
      <c r="M37" s="67">
        <f>'JV1'!F37</f>
        <v>1228937.8799999999</v>
      </c>
      <c r="N37" s="67">
        <f>'JV1'!G37</f>
        <v>2115556.0164000001</v>
      </c>
      <c r="O37" s="67">
        <f>'JV1'!H37</f>
        <v>3070178.6968919998</v>
      </c>
      <c r="Q37" s="67">
        <f>'JV2'!F37</f>
        <v>463633.81999999995</v>
      </c>
      <c r="R37" s="67">
        <f>'JV2'!G37</f>
        <v>777763.18670000019</v>
      </c>
      <c r="S37" s="67">
        <f>'JV2'!H37</f>
        <v>1105958.619063</v>
      </c>
    </row>
    <row r="38" spans="2:19" outlineLevel="1" x14ac:dyDescent="0.25">
      <c r="B38" s="39" t="s">
        <v>31</v>
      </c>
      <c r="D38" s="83"/>
      <c r="E38" s="12">
        <f t="shared" si="15"/>
        <v>890575.16</v>
      </c>
      <c r="F38" s="12">
        <f t="shared" si="16"/>
        <v>1589926.1664</v>
      </c>
      <c r="G38" s="12">
        <f t="shared" si="17"/>
        <v>2317409.293056</v>
      </c>
      <c r="H38" s="12"/>
      <c r="I38" s="12" cm="1">
        <f t="array" ref="I38">SUM(_xlfn._xlws.FILTER(_xlfn.ANCHORARRAY('Corp.'!$E43),YEAR(_xlfn.ANCHORARRAY('Corp.'!$E$25))=I$20,0))</f>
        <v>0</v>
      </c>
      <c r="J38" s="12" cm="1">
        <f t="array" ref="J38">SUM(_xlfn._xlws.FILTER(_xlfn.ANCHORARRAY('Corp.'!$E43),YEAR(_xlfn.ANCHORARRAY('Corp.'!$E$25))=J$20,0))</f>
        <v>0</v>
      </c>
      <c r="K38" s="12" cm="1">
        <f t="array" ref="K38">SUM(_xlfn._xlws.FILTER(_xlfn.ANCHORARRAY('Corp.'!$E43),YEAR(_xlfn.ANCHORARRAY('Corp.'!$E$25))=K$20,0))</f>
        <v>0</v>
      </c>
      <c r="L38" s="12"/>
      <c r="M38" s="67">
        <f>'JV1'!F38</f>
        <v>621440.04</v>
      </c>
      <c r="N38" s="67">
        <f>'JV1'!G38</f>
        <v>1137697.6416</v>
      </c>
      <c r="O38" s="67">
        <f>'JV1'!H38</f>
        <v>1682039.4672640001</v>
      </c>
      <c r="Q38" s="67">
        <f>'JV2'!F38</f>
        <v>269135.12</v>
      </c>
      <c r="R38" s="67">
        <f>'JV2'!G38</f>
        <v>452228.52480000001</v>
      </c>
      <c r="S38" s="67">
        <f>'JV2'!H38</f>
        <v>635369.82579200005</v>
      </c>
    </row>
    <row r="39" spans="2:19" outlineLevel="1" x14ac:dyDescent="0.25">
      <c r="B39" s="39" t="s">
        <v>34</v>
      </c>
      <c r="D39" s="83"/>
      <c r="E39" s="12">
        <f t="shared" si="15"/>
        <v>810511.91235679726</v>
      </c>
      <c r="F39" s="12">
        <f t="shared" si="16"/>
        <v>1157874.0322089838</v>
      </c>
      <c r="G39" s="12">
        <f t="shared" si="17"/>
        <v>1484614.0787014351</v>
      </c>
      <c r="H39" s="12"/>
      <c r="I39" s="12" cm="1">
        <f t="array" ref="I39">SUM(_xlfn._xlws.FILTER(_xlfn.ANCHORARRAY('Corp.'!$E44),YEAR(_xlfn.ANCHORARRAY('Corp.'!$E$25))=I$20,0))</f>
        <v>554905.85895679728</v>
      </c>
      <c r="J39" s="12" cm="1">
        <f t="array" ref="J39">SUM(_xlfn._xlws.FILTER(_xlfn.ANCHORARRAY('Corp.'!$E44),YEAR(_xlfn.ANCHORARRAY('Corp.'!$E$25))=J$20,0))</f>
        <v>713351.78572898381</v>
      </c>
      <c r="K39" s="12" cm="1">
        <f t="array" ref="K39">SUM(_xlfn._xlws.FILTER(_xlfn.ANCHORARRAY('Corp.'!$E44),YEAR(_xlfn.ANCHORARRAY('Corp.'!$E$25))=K$20,0))</f>
        <v>867874.61735615507</v>
      </c>
      <c r="L39" s="12"/>
      <c r="M39" s="67">
        <f>'JV1'!F39</f>
        <v>110846.52119999999</v>
      </c>
      <c r="N39" s="67">
        <f>'JV1'!G39</f>
        <v>237173.14420799998</v>
      </c>
      <c r="O39" s="67">
        <f>'JV1'!H39</f>
        <v>362083.70273920009</v>
      </c>
      <c r="Q39" s="67">
        <f>'JV2'!F39</f>
        <v>144759.53220000002</v>
      </c>
      <c r="R39" s="67">
        <f>'JV2'!G39</f>
        <v>207349.10227199999</v>
      </c>
      <c r="S39" s="67">
        <f>'JV2'!H39</f>
        <v>254655.75860608008</v>
      </c>
    </row>
    <row r="40" spans="2:19" outlineLevel="1" x14ac:dyDescent="0.25">
      <c r="B40" s="39" t="s">
        <v>36</v>
      </c>
      <c r="D40" s="83"/>
      <c r="E40" s="12">
        <f t="shared" si="15"/>
        <v>1372500</v>
      </c>
      <c r="F40" s="12">
        <f t="shared" si="16"/>
        <v>2017815</v>
      </c>
      <c r="G40" s="12">
        <f t="shared" si="17"/>
        <v>2582012.6999999997</v>
      </c>
      <c r="H40" s="12"/>
      <c r="I40" s="12" cm="1">
        <f t="array" ref="I40">SUM(_xlfn._xlws.FILTER(_xlfn.ANCHORARRAY('Corp.'!$E45),YEAR(_xlfn.ANCHORARRAY('Corp.'!$E$25))=I$20,0))</f>
        <v>432000</v>
      </c>
      <c r="J40" s="12" cm="1">
        <f t="array" ref="J40">SUM(_xlfn._xlws.FILTER(_xlfn.ANCHORARRAY('Corp.'!$E45),YEAR(_xlfn.ANCHORARRAY('Corp.'!$E$25))=J$20,0))</f>
        <v>440640</v>
      </c>
      <c r="K40" s="12" cm="1">
        <f t="array" ref="K40">SUM(_xlfn._xlws.FILTER(_xlfn.ANCHORARRAY('Corp.'!$E45),YEAR(_xlfn.ANCHORARRAY('Corp.'!$E$25))=K$20,0))</f>
        <v>449452.8000000001</v>
      </c>
      <c r="L40" s="12"/>
      <c r="M40" s="67">
        <f>'JV1'!F40</f>
        <v>577500</v>
      </c>
      <c r="N40" s="67">
        <f>'JV1'!G40</f>
        <v>995520</v>
      </c>
      <c r="O40" s="67">
        <f>'JV1'!H40</f>
        <v>1396216.7999999998</v>
      </c>
      <c r="Q40" s="67">
        <f>'JV2'!F40</f>
        <v>363000</v>
      </c>
      <c r="R40" s="67">
        <f>'JV2'!G40</f>
        <v>581655</v>
      </c>
      <c r="S40" s="67">
        <f>'JV2'!H40</f>
        <v>736343.1</v>
      </c>
    </row>
    <row r="41" spans="2:19" outlineLevel="1" x14ac:dyDescent="0.25">
      <c r="B41" s="39" t="s">
        <v>38</v>
      </c>
      <c r="D41" s="83"/>
      <c r="E41" s="12">
        <f t="shared" si="15"/>
        <v>2622782.5</v>
      </c>
      <c r="F41" s="12">
        <f t="shared" si="16"/>
        <v>5167152.2100000009</v>
      </c>
      <c r="G41" s="12">
        <f t="shared" si="17"/>
        <v>7482379.4117999999</v>
      </c>
      <c r="H41" s="12"/>
      <c r="I41" s="12" cm="1">
        <f t="array" ref="I41">SUM(_xlfn._xlws.FILTER(_xlfn.ANCHORARRAY('Corp.'!$E46),YEAR(_xlfn.ANCHORARRAY('Corp.'!$E$25))=I$20,0))</f>
        <v>0</v>
      </c>
      <c r="J41" s="12" cm="1">
        <f t="array" ref="J41">SUM(_xlfn._xlws.FILTER(_xlfn.ANCHORARRAY('Corp.'!$E46),YEAR(_xlfn.ANCHORARRAY('Corp.'!$E$25))=J$20,0))</f>
        <v>0</v>
      </c>
      <c r="K41" s="12" cm="1">
        <f t="array" ref="K41">SUM(_xlfn._xlws.FILTER(_xlfn.ANCHORARRAY('Corp.'!$E46),YEAR(_xlfn.ANCHORARRAY('Corp.'!$E$25))=K$20,0))</f>
        <v>0</v>
      </c>
      <c r="L41" s="12"/>
      <c r="M41" s="67">
        <f>'JV1'!F41</f>
        <v>1093800.5</v>
      </c>
      <c r="N41" s="67">
        <f>'JV1'!G41</f>
        <v>2847953.22</v>
      </c>
      <c r="O41" s="67">
        <f>'JV1'!H41</f>
        <v>4441086.8136</v>
      </c>
      <c r="Q41" s="67">
        <f>'JV2'!F41</f>
        <v>1528982</v>
      </c>
      <c r="R41" s="67">
        <f>'JV2'!G41</f>
        <v>2319198.9900000002</v>
      </c>
      <c r="S41" s="67">
        <f>'JV2'!H41</f>
        <v>3041292.5981999999</v>
      </c>
    </row>
    <row r="42" spans="2:19" outlineLevel="1" x14ac:dyDescent="0.25">
      <c r="B42" s="39" t="s">
        <v>40</v>
      </c>
      <c r="D42" s="83"/>
      <c r="E42" s="12">
        <f t="shared" si="15"/>
        <v>2186200</v>
      </c>
      <c r="F42" s="12">
        <f t="shared" si="16"/>
        <v>2825182.5</v>
      </c>
      <c r="G42" s="12">
        <f t="shared" si="17"/>
        <v>3493712.25</v>
      </c>
      <c r="H42" s="12"/>
      <c r="I42" s="12" cm="1">
        <f t="array" ref="I42">SUM(_xlfn._xlws.FILTER(_xlfn.ANCHORARRAY('Corp.'!$E47),YEAR(_xlfn.ANCHORARRAY('Corp.'!$E$25))=I$20,0))</f>
        <v>1434000</v>
      </c>
      <c r="J42" s="12" cm="1">
        <f t="array" ref="J42">SUM(_xlfn._xlws.FILTER(_xlfn.ANCHORARRAY('Corp.'!$E47),YEAR(_xlfn.ANCHORARRAY('Corp.'!$E$25))=J$20,0))</f>
        <v>1505700</v>
      </c>
      <c r="K42" s="12" cm="1">
        <f t="array" ref="K42">SUM(_xlfn._xlws.FILTER(_xlfn.ANCHORARRAY('Corp.'!$E47),YEAR(_xlfn.ANCHORARRAY('Corp.'!$E$25))=K$20,0))</f>
        <v>1580985</v>
      </c>
      <c r="L42" s="12"/>
      <c r="M42" s="67">
        <f>'JV1'!F42</f>
        <v>462000</v>
      </c>
      <c r="N42" s="67">
        <f>'JV1'!G42</f>
        <v>831600</v>
      </c>
      <c r="O42" s="67">
        <f>'JV1'!H42</f>
        <v>1243620</v>
      </c>
      <c r="Q42" s="67">
        <f>'JV2'!F42</f>
        <v>290200</v>
      </c>
      <c r="R42" s="67">
        <f>'JV2'!G42</f>
        <v>487882.5</v>
      </c>
      <c r="S42" s="67">
        <f>'JV2'!H42</f>
        <v>669107.25</v>
      </c>
    </row>
    <row r="43" spans="2:19" outlineLevel="1" x14ac:dyDescent="0.25">
      <c r="B43" s="39" t="s">
        <v>41</v>
      </c>
      <c r="D43" s="83"/>
      <c r="E43" s="12">
        <f t="shared" si="15"/>
        <v>1219327.46</v>
      </c>
      <c r="F43" s="12">
        <f t="shared" si="16"/>
        <v>987188.46</v>
      </c>
      <c r="G43" s="12">
        <f t="shared" si="17"/>
        <v>987188.46</v>
      </c>
      <c r="H43" s="12"/>
      <c r="I43" s="12" cm="1">
        <f t="array" ref="I43">SUM(_xlfn._xlws.FILTER(_xlfn.ANCHORARRAY('Corp.'!$E48),YEAR(_xlfn.ANCHORARRAY('Corp.'!$E$25))=I$20,0))</f>
        <v>0</v>
      </c>
      <c r="J43" s="12" cm="1">
        <f t="array" ref="J43">SUM(_xlfn._xlws.FILTER(_xlfn.ANCHORARRAY('Corp.'!$E48),YEAR(_xlfn.ANCHORARRAY('Corp.'!$E$25))=J$20,0))</f>
        <v>0</v>
      </c>
      <c r="K43" s="12" cm="1">
        <f t="array" ref="K43">SUM(_xlfn._xlws.FILTER(_xlfn.ANCHORARRAY('Corp.'!$E48),YEAR(_xlfn.ANCHORARRAY('Corp.'!$E$25))=K$20,0))</f>
        <v>0</v>
      </c>
      <c r="L43" s="12"/>
      <c r="M43" s="67">
        <f>'JV1'!F43</f>
        <v>885172.34999999986</v>
      </c>
      <c r="N43" s="67">
        <f>'JV1'!G43</f>
        <v>756172.35</v>
      </c>
      <c r="O43" s="67">
        <f>'JV1'!H43</f>
        <v>756172.35</v>
      </c>
      <c r="Q43" s="67">
        <f>'JV2'!F43</f>
        <v>334155.11</v>
      </c>
      <c r="R43" s="67">
        <f>'JV2'!G43</f>
        <v>231016.11</v>
      </c>
      <c r="S43" s="67">
        <f>'JV2'!H43</f>
        <v>231016.11</v>
      </c>
    </row>
    <row r="44" spans="2:19" outlineLevel="1" x14ac:dyDescent="0.25">
      <c r="B44" s="39" t="s">
        <v>42</v>
      </c>
      <c r="D44" s="83"/>
      <c r="E44" s="12">
        <f t="shared" si="15"/>
        <v>12287968.37273553</v>
      </c>
      <c r="F44" s="12">
        <f t="shared" si="16"/>
        <v>16058012.95516873</v>
      </c>
      <c r="G44" s="12">
        <f t="shared" si="17"/>
        <v>20094507.857982464</v>
      </c>
      <c r="H44" s="12"/>
      <c r="I44" s="12" cm="1">
        <f t="array" ref="I44">SUM(_xlfn._xlws.FILTER(_xlfn.ANCHORARRAY('Corp.'!$E49),YEAR(_xlfn.ANCHORARRAY('Corp.'!$E$25))=I$20,0))</f>
        <v>0</v>
      </c>
      <c r="J44" s="12" cm="1">
        <f t="array" ref="J44">SUM(_xlfn._xlws.FILTER(_xlfn.ANCHORARRAY('Corp.'!$E49),YEAR(_xlfn.ANCHORARRAY('Corp.'!$E$25))=J$20,0))</f>
        <v>0</v>
      </c>
      <c r="K44" s="12" cm="1">
        <f t="array" ref="K44">SUM(_xlfn._xlws.FILTER(_xlfn.ANCHORARRAY('Corp.'!$E49),YEAR(_xlfn.ANCHORARRAY('Corp.'!$E$25))=K$20,0))</f>
        <v>0</v>
      </c>
      <c r="L44" s="12"/>
      <c r="M44" s="67">
        <f>'JV1'!F44</f>
        <v>6049941.3467392977</v>
      </c>
      <c r="N44" s="67">
        <f>'JV1'!G44</f>
        <v>10616473.355829461</v>
      </c>
      <c r="O44" s="67">
        <f>'JV1'!H44</f>
        <v>14045631.43687655</v>
      </c>
      <c r="Q44" s="67">
        <f>'JV2'!F44</f>
        <v>6238027.0259962324</v>
      </c>
      <c r="R44" s="67">
        <f>'JV2'!G44</f>
        <v>5441539.5993392691</v>
      </c>
      <c r="S44" s="67">
        <f>'JV2'!H44</f>
        <v>6048876.4211059138</v>
      </c>
    </row>
    <row r="45" spans="2:19" x14ac:dyDescent="0.25">
      <c r="B45" s="1" t="s">
        <v>272</v>
      </c>
      <c r="E45" s="13">
        <f>SUM(E35:E43)</f>
        <v>72256437.245494306</v>
      </c>
      <c r="F45" s="13">
        <f>SUM(F35:F44)</f>
        <v>156716219.81853914</v>
      </c>
      <c r="G45" s="13">
        <f>SUM(G35:G44)</f>
        <v>227378608.12129578</v>
      </c>
      <c r="H45" s="13"/>
      <c r="I45" s="13">
        <f>SUM(I35:I43)</f>
        <v>12287968.37273553</v>
      </c>
      <c r="J45" s="13">
        <f>SUM(J35:J44)</f>
        <v>16058012.955168728</v>
      </c>
      <c r="K45" s="13">
        <f>SUM(K35:K44)</f>
        <v>20094507.85798246</v>
      </c>
      <c r="L45" s="13"/>
      <c r="M45" s="13">
        <f>SUM(M35:M44)</f>
        <v>46210557.23776681</v>
      </c>
      <c r="N45" s="13">
        <f>SUM(N35:N44)</f>
        <v>102885174.91443028</v>
      </c>
      <c r="O45" s="13">
        <f>SUM(O35:O44)</f>
        <v>155050947.69637358</v>
      </c>
      <c r="P45" s="13"/>
      <c r="Q45" s="13">
        <f>SUM(Q35:Q44)</f>
        <v>26045880.007727511</v>
      </c>
      <c r="R45" s="13">
        <f>SUM(R35:R44)</f>
        <v>37773031.948940121</v>
      </c>
      <c r="S45" s="13">
        <f>SUM(S35:S44)</f>
        <v>52233152.566939704</v>
      </c>
    </row>
    <row r="47" spans="2:19" x14ac:dyDescent="0.25">
      <c r="B47" s="1" t="s">
        <v>48</v>
      </c>
      <c r="E47" s="74">
        <f t="shared" ref="E47:G47" si="18">E32-E45</f>
        <v>23031149.926570937</v>
      </c>
      <c r="F47" s="74">
        <f t="shared" si="18"/>
        <v>66456600.136371017</v>
      </c>
      <c r="G47" s="74">
        <f t="shared" si="18"/>
        <v>91439206.068238884</v>
      </c>
      <c r="I47" s="74">
        <f t="shared" ref="I47:K47" si="19">I32-I45</f>
        <v>0</v>
      </c>
      <c r="J47" s="74">
        <f t="shared" si="19"/>
        <v>0</v>
      </c>
      <c r="K47" s="74">
        <f t="shared" si="19"/>
        <v>0</v>
      </c>
      <c r="M47" s="74">
        <f>M32-M45</f>
        <v>19790941.572073199</v>
      </c>
      <c r="N47" s="74">
        <f>N32-N45</f>
        <v>59353640.540473476</v>
      </c>
      <c r="O47" s="74">
        <f>O32-O45</f>
        <v>84806034.000902951</v>
      </c>
      <c r="Q47" s="74">
        <f>Q32-Q45</f>
        <v>3240208.3544977419</v>
      </c>
      <c r="R47" s="74">
        <f>R32-R45</f>
        <v>7102959.5958976224</v>
      </c>
      <c r="S47" s="74">
        <f>S32-S45</f>
        <v>6633172.0673359931</v>
      </c>
    </row>
    <row r="48" spans="2:19" x14ac:dyDescent="0.25">
      <c r="B48" s="110" t="s">
        <v>273</v>
      </c>
      <c r="E48" s="109">
        <f>IFERROR(E47/E32,"")</f>
        <v>0.24170147036027384</v>
      </c>
      <c r="F48" s="109">
        <f t="shared" ref="F48" si="20">IFERROR(F47/F32,"")</f>
        <v>0.29778088635434147</v>
      </c>
      <c r="G48" s="109">
        <f t="shared" ref="G48" si="21">IFERROR(G47/G32,"")</f>
        <v>0.28680707914859177</v>
      </c>
      <c r="H48" s="12"/>
      <c r="I48" s="109">
        <f>IFERROR(I47/I32,"")</f>
        <v>0</v>
      </c>
      <c r="J48" s="109">
        <f t="shared" ref="J48:K48" si="22">IFERROR(J47/J32,"")</f>
        <v>0</v>
      </c>
      <c r="K48" s="109">
        <f t="shared" si="22"/>
        <v>0</v>
      </c>
      <c r="L48" s="12"/>
      <c r="M48" s="109">
        <f>IFERROR(M47/M32,"")</f>
        <v>0.29985594159147511</v>
      </c>
      <c r="N48" s="109">
        <f t="shared" ref="N48" si="23">IFERROR(N47/N32,"")</f>
        <v>0.36584118525551945</v>
      </c>
      <c r="O48" s="109">
        <f t="shared" ref="O48" si="24">IFERROR(O47/O32,"")</f>
        <v>0.35356917026470647</v>
      </c>
      <c r="P48" s="12"/>
      <c r="Q48" s="109">
        <f>IFERROR(Q47/Q32,"")</f>
        <v>0.11063984764442404</v>
      </c>
      <c r="R48" s="109">
        <f t="shared" ref="R48" si="25">IFERROR(R47/R32,"")</f>
        <v>0.15827972489032843</v>
      </c>
      <c r="S48" s="109">
        <f t="shared" ref="S48" si="26">IFERROR(S47/S32,"")</f>
        <v>0.11268194691186378</v>
      </c>
    </row>
    <row r="49" spans="2:19" x14ac:dyDescent="0.25">
      <c r="B49" t="s">
        <v>407</v>
      </c>
      <c r="E49" s="12">
        <f t="shared" ref="E49" si="27">SUM(I49,M49,Q49)</f>
        <v>0</v>
      </c>
      <c r="F49" s="12">
        <f t="shared" ref="F49" si="28">SUM(J49,N49,R49)</f>
        <v>0</v>
      </c>
      <c r="G49" s="12">
        <f t="shared" ref="G49" si="29">SUM(K49,O49,S49)</f>
        <v>0</v>
      </c>
      <c r="I49" s="67">
        <f>-SUM(M49,Q49)</f>
        <v>8060902.4742998285</v>
      </c>
      <c r="J49" s="67">
        <f t="shared" ref="J49:K49" si="30">-SUM(N49,R49)</f>
        <v>23259810.047729883</v>
      </c>
      <c r="K49" s="67">
        <f t="shared" si="30"/>
        <v>32003722.123883627</v>
      </c>
      <c r="M49" s="67">
        <f>M47*-0.35</f>
        <v>-6926829.5502256192</v>
      </c>
      <c r="N49" s="67">
        <f t="shared" ref="N49:O49" si="31">N47*-0.35</f>
        <v>-20773774.189165715</v>
      </c>
      <c r="O49" s="67">
        <f t="shared" si="31"/>
        <v>-29682111.90031603</v>
      </c>
      <c r="Q49" s="67">
        <f>Q47*-0.35</f>
        <v>-1134072.9240742095</v>
      </c>
      <c r="R49" s="67">
        <f t="shared" ref="R49" si="32">R47*-0.35</f>
        <v>-2486035.8585641677</v>
      </c>
      <c r="S49" s="67">
        <f t="shared" ref="S49" si="33">S47*-0.35</f>
        <v>-2321610.2235675976</v>
      </c>
    </row>
    <row r="50" spans="2:19" x14ac:dyDescent="0.25">
      <c r="B50" s="1" t="s">
        <v>461</v>
      </c>
      <c r="E50" s="74">
        <f>SUM(E47,E49)-(SUM(E26:E27,E29)*0.9)+E36-'JV1'!N36</f>
        <v>23031149.926570941</v>
      </c>
      <c r="F50" s="74">
        <f>SUM(F47,F49)-(SUM(F26:F27,F29)*0.9)+F36-'JV1'!O36</f>
        <v>66456600.136371017</v>
      </c>
      <c r="G50" s="74">
        <f>SUM(G47,G49)-(SUM(G26:G27,G29)*0.9)+G36-'JV1'!P36</f>
        <v>91439206.068238899</v>
      </c>
      <c r="I50" s="74">
        <f>SUM(I47,I49)-(SUM(I26:I27,I29)*0.9)+I36</f>
        <v>8060902.4742998285</v>
      </c>
      <c r="J50" s="74">
        <f t="shared" ref="J50:K50" si="34">SUM(J47,J49)-(SUM(J26:J27,J29)*0.9)+J36</f>
        <v>23259810.047729883</v>
      </c>
      <c r="K50" s="74">
        <f t="shared" si="34"/>
        <v>32003722.123883627</v>
      </c>
      <c r="M50" s="74">
        <f>SUM(M47,M49)-(SUM(M26:M27,M29)*0.9)+M36-'JV1'!N36</f>
        <v>12864112.02184758</v>
      </c>
      <c r="N50" s="74">
        <f>SUM(N47,N49)-(SUM(N26:N27,N29)*0.9)+N36-'JV1'!O36</f>
        <v>38579866.351307765</v>
      </c>
      <c r="O50" s="74">
        <f>SUM(O47,O49)-(SUM(O26:O27,O29)*0.9)+O36-'JV1'!P36</f>
        <v>55123922.100586921</v>
      </c>
      <c r="Q50" s="74">
        <f>SUM(Q47,Q49)-(SUM(Q26:Q27,Q29)*0.9)+Q36</f>
        <v>2106135.4304235326</v>
      </c>
      <c r="R50" s="74">
        <f t="shared" ref="R50:S50" si="35">SUM(R47,R49)-(SUM(R26:R27,R29)*0.9)+R36</f>
        <v>4616923.7373334542</v>
      </c>
      <c r="S50" s="74">
        <f t="shared" si="35"/>
        <v>4311561.8437683955</v>
      </c>
    </row>
    <row r="51" spans="2:19" x14ac:dyDescent="0.25">
      <c r="B51" s="110" t="s">
        <v>273</v>
      </c>
      <c r="E51" s="109">
        <f>IFERROR(E50/(E32-(SUM(E26:E27,E29)*0.9)),"")</f>
        <v>0.24170147036027387</v>
      </c>
      <c r="F51" s="109">
        <f t="shared" ref="F51:G51" si="36">IFERROR(F50/(F32-(SUM(F26:F27,F29)*0.9)),"")</f>
        <v>0.29778088635434147</v>
      </c>
      <c r="G51" s="109">
        <f t="shared" si="36"/>
        <v>0.28680707914859177</v>
      </c>
      <c r="H51" s="12"/>
      <c r="I51" s="109">
        <f t="shared" ref="I51" si="37">IFERROR(I50/(I32-(SUM(I26:I27,I29)*0.9)),"")</f>
        <v>0.65599961114689309</v>
      </c>
      <c r="J51" s="109">
        <f t="shared" ref="J51" si="38">IFERROR(J50/(J32-(SUM(J26:J27,J29)*0.9)),"")</f>
        <v>1.4484861926981478</v>
      </c>
      <c r="K51" s="109">
        <f t="shared" ref="K51" si="39">IFERROR(K50/(K32-(SUM(K26:K27,K29)*0.9)),"")</f>
        <v>1.5926601611778355</v>
      </c>
      <c r="L51" s="12"/>
      <c r="M51" s="109">
        <f t="shared" ref="M51" si="40">IFERROR(M50/(M32-(SUM(M26:M27,M29)*0.9)),"")</f>
        <v>0.19490636203445882</v>
      </c>
      <c r="N51" s="109">
        <f t="shared" ref="N51" si="41">IFERROR(N50/(N32-(SUM(N26:N27,N29)*0.9)),"")</f>
        <v>0.23779677041608768</v>
      </c>
      <c r="O51" s="109">
        <f t="shared" ref="O51" si="42">IFERROR(O50/(O32-(SUM(O26:O27,O29)*0.9)),"")</f>
        <v>0.22981996067205923</v>
      </c>
      <c r="P51" s="12"/>
      <c r="Q51" s="109">
        <f t="shared" ref="Q51" si="43">IFERROR(Q50/(Q32-(SUM(Q26:Q27,Q29)*0.9)),"")</f>
        <v>7.1915900968875637E-2</v>
      </c>
      <c r="R51" s="109">
        <f t="shared" ref="R51" si="44">IFERROR(R50/(R32-(SUM(R26:R27,R29)*0.9)),"")</f>
        <v>0.10288182117871347</v>
      </c>
      <c r="S51" s="109">
        <f t="shared" ref="S51" si="45">IFERROR(S50/(S32-(SUM(S26:S27,S29)*0.9)),"")</f>
        <v>7.3243265492711457E-2</v>
      </c>
    </row>
    <row r="52" spans="2:19" x14ac:dyDescent="0.25">
      <c r="B52" s="1" t="s">
        <v>274</v>
      </c>
      <c r="E52" s="74">
        <f>E47-E66</f>
        <v>21240123.752594873</v>
      </c>
      <c r="F52" s="74">
        <f>F47-F66</f>
        <v>62396920.940745212</v>
      </c>
      <c r="G52" s="74">
        <f>G47-G66</f>
        <v>85016927.591951966</v>
      </c>
      <c r="H52" s="12"/>
      <c r="I52" s="74"/>
      <c r="J52" s="74"/>
      <c r="K52" s="74"/>
      <c r="L52" s="12"/>
      <c r="P52" s="12"/>
    </row>
    <row r="54" spans="2:19" x14ac:dyDescent="0.25">
      <c r="B54" t="s">
        <v>57</v>
      </c>
      <c r="C54" s="12"/>
      <c r="D54" s="12"/>
      <c r="E54" s="12" cm="1">
        <f t="array" ref="E54">SUM(_xlfn._xlws.FILTER(All!$E58:$AN58, YEAR(All!$E$25:$AN$25)=E$20))</f>
        <v>12656379.999999998</v>
      </c>
      <c r="F54" s="12" cm="1">
        <f t="array" ref="F54">SUM(_xlfn._xlws.FILTER(All!$E58:$AN58, YEAR(All!$E$25:$AN$25)=F$20))</f>
        <v>8674386.666666666</v>
      </c>
      <c r="G54" s="12" cm="1">
        <f t="array" ref="G54">SUM(_xlfn._xlws.FILTER(All!$E58:$AN58, YEAR(All!$E$25:$AN$25)=G$20))</f>
        <v>9499013.3333333321</v>
      </c>
      <c r="H54" s="146">
        <f>All!$D$58</f>
        <v>4544740</v>
      </c>
      <c r="I54" s="12" cm="1">
        <f t="array" ref="I54:K54">{0,0,0}</f>
        <v>0</v>
      </c>
      <c r="J54" s="12">
        <v>0</v>
      </c>
      <c r="K54" s="12">
        <v>0</v>
      </c>
      <c r="L54" s="146">
        <f>All!$D$58</f>
        <v>4544740</v>
      </c>
      <c r="M54" s="67">
        <f t="shared" ref="M54:O55" si="46">Q54+U54</f>
        <v>0</v>
      </c>
      <c r="N54" s="67">
        <f t="shared" si="46"/>
        <v>0</v>
      </c>
      <c r="O54" s="67">
        <f t="shared" si="46"/>
        <v>0</v>
      </c>
      <c r="P54" s="146">
        <f>All!$D$58</f>
        <v>4544740</v>
      </c>
      <c r="Q54" s="67">
        <f t="shared" ref="Q54:S55" si="47">U54+Y54+AC54</f>
        <v>0</v>
      </c>
      <c r="R54" s="67">
        <f t="shared" si="47"/>
        <v>0</v>
      </c>
      <c r="S54" s="67">
        <f t="shared" si="47"/>
        <v>0</v>
      </c>
    </row>
    <row r="55" spans="2:19" x14ac:dyDescent="0.25">
      <c r="B55" t="s">
        <v>275</v>
      </c>
      <c r="C55" s="12"/>
      <c r="D55" s="12"/>
      <c r="E55" s="12" cm="1">
        <f t="array" ref="E55">SUM(_xlfn._xlws.FILTER(All!$E59:$AN59, YEAR(All!$E$25:$AN$25)=E$20))</f>
        <v>-35350073.818912342</v>
      </c>
      <c r="F55" s="12" cm="1">
        <f t="array" ref="F55">SUM(_xlfn._xlws.FILTER(All!$E59:$AN59, YEAR(All!$E$25:$AN$25)=F$20))</f>
        <v>-72245882.898854509</v>
      </c>
      <c r="G55" s="12" cm="1">
        <f t="array" ref="G55">SUM(_xlfn._xlws.FILTER(All!$E59:$AN59, YEAR(All!$E$25:$AN$25)=G$20))</f>
        <v>-103900511.90996505</v>
      </c>
      <c r="H55" s="12"/>
      <c r="I55" s="12" cm="1">
        <f t="array" ref="I55:K55">{0,0,0}</f>
        <v>0</v>
      </c>
      <c r="J55" s="12">
        <v>0</v>
      </c>
      <c r="K55" s="12">
        <v>0</v>
      </c>
      <c r="L55" s="12"/>
      <c r="M55" s="67">
        <f t="shared" si="46"/>
        <v>0</v>
      </c>
      <c r="N55" s="67">
        <f t="shared" si="46"/>
        <v>0</v>
      </c>
      <c r="O55" s="67">
        <f t="shared" si="46"/>
        <v>0</v>
      </c>
      <c r="P55" s="12"/>
      <c r="Q55" s="67">
        <f t="shared" si="47"/>
        <v>0</v>
      </c>
      <c r="R55" s="67">
        <f t="shared" si="47"/>
        <v>0</v>
      </c>
      <c r="S55" s="67">
        <f t="shared" si="47"/>
        <v>0</v>
      </c>
    </row>
    <row r="56" spans="2:19" x14ac:dyDescent="0.25">
      <c r="E56" s="150">
        <f t="shared" ref="E56:F56" si="48">-E55/E32</f>
        <v>0.37098298811028835</v>
      </c>
      <c r="F56" s="150">
        <f t="shared" si="48"/>
        <v>0.3237216920655977</v>
      </c>
      <c r="G56" s="150">
        <f>-G55/G32</f>
        <v>0.32589305642813615</v>
      </c>
    </row>
    <row r="57" spans="2:19" x14ac:dyDescent="0.25">
      <c r="B57" s="1" t="s">
        <v>276</v>
      </c>
      <c r="E57" s="13">
        <f>E50-E54+E55-E66</f>
        <v>-26766330.066317461</v>
      </c>
      <c r="F57" s="13">
        <f t="shared" ref="F57:G57" si="49">F50-F54+F55-F66</f>
        <v>-18523348.624775965</v>
      </c>
      <c r="G57" s="13">
        <f t="shared" si="49"/>
        <v>-28382597.651346393</v>
      </c>
      <c r="H57" s="13"/>
      <c r="I57" s="13">
        <f>I50-I54+I55-I66</f>
        <v>8060902.4742998285</v>
      </c>
      <c r="J57" s="13">
        <f t="shared" ref="J57:K57" si="50">J50-J54+J55-J66</f>
        <v>23259810.047729883</v>
      </c>
      <c r="K57" s="13">
        <f t="shared" si="50"/>
        <v>32003722.123883627</v>
      </c>
      <c r="L57" s="13"/>
      <c r="M57" s="13">
        <f>M50-M54+M55-M66</f>
        <v>12864112.02184758</v>
      </c>
      <c r="N57" s="13">
        <f t="shared" ref="N57:O57" si="51">N50-N54+N55-N66</f>
        <v>38579866.351307765</v>
      </c>
      <c r="O57" s="13">
        <f t="shared" si="51"/>
        <v>55123922.100586921</v>
      </c>
      <c r="P57" s="13"/>
      <c r="Q57" s="13">
        <f>Q50-Q54+Q55-Q66</f>
        <v>2106135.4304235326</v>
      </c>
      <c r="R57" s="13">
        <f t="shared" ref="R57:S57" si="52">R50-R54+R55-R66</f>
        <v>4616923.7373334542</v>
      </c>
      <c r="S57" s="13">
        <f t="shared" si="52"/>
        <v>4311561.8437683955</v>
      </c>
    </row>
    <row r="58" spans="2:19" x14ac:dyDescent="0.25">
      <c r="B58" t="s">
        <v>277</v>
      </c>
      <c r="E58" s="145" cm="1">
        <f t="array" ref="E58:G58">_xlfn.SCAN(-$H54,E57:G57,_xlfn.LAMBDA(_xlpm.capex,_xlpm.fcf,_xlpm.capex+_xlpm.fcf))</f>
        <v>-31311070.066317461</v>
      </c>
      <c r="F58" s="145">
        <v>-49834418.69109343</v>
      </c>
      <c r="G58" s="145">
        <v>-78217016.34243983</v>
      </c>
      <c r="H58" s="13"/>
      <c r="I58" s="145" cm="1">
        <f t="array" ref="I58:K58">_xlfn.SCAN(-$H54,I57:K57,_xlfn.LAMBDA(_xlpm.capex,_xlpm.fcf,_xlpm.capex+_xlpm.fcf))</f>
        <v>3516162.4742998285</v>
      </c>
      <c r="J58" s="145">
        <v>26775972.522029713</v>
      </c>
      <c r="K58" s="145">
        <v>58779694.64591334</v>
      </c>
      <c r="L58" s="13"/>
      <c r="M58" s="145">
        <f>SUM($F57:M$57)</f>
        <v>29282600.391638555</v>
      </c>
      <c r="N58" s="145">
        <f>SUM($F57:N$57)</f>
        <v>67862466.742946327</v>
      </c>
      <c r="O58" s="145">
        <f>SUM($F57:O$57)</f>
        <v>122986388.84353325</v>
      </c>
      <c r="P58" s="13"/>
      <c r="Q58" s="145">
        <f>SUM($F57:Q$57)</f>
        <v>125092524.27395678</v>
      </c>
      <c r="R58" s="145">
        <f>SUM($F57:R$57)</f>
        <v>129709448.01129022</v>
      </c>
      <c r="S58" s="145">
        <f>SUM($F57:S$57)</f>
        <v>134021009.85505861</v>
      </c>
    </row>
    <row r="59" spans="2:19" x14ac:dyDescent="0.25">
      <c r="E59" s="13"/>
      <c r="F59" s="13"/>
      <c r="G59" s="13"/>
      <c r="H59" s="13"/>
      <c r="I59" s="13"/>
      <c r="J59" s="13"/>
      <c r="K59" s="13"/>
      <c r="L59" s="13"/>
      <c r="M59" s="12"/>
      <c r="N59" s="12"/>
      <c r="O59" s="12"/>
      <c r="P59" s="13"/>
      <c r="Q59" s="12"/>
      <c r="R59" s="12"/>
      <c r="S59" s="12"/>
    </row>
    <row r="60" spans="2:19" x14ac:dyDescent="0.25">
      <c r="B60" s="1" t="s">
        <v>219</v>
      </c>
    </row>
    <row r="61" spans="2:19" x14ac:dyDescent="0.25">
      <c r="B61" t="s">
        <v>278</v>
      </c>
      <c r="E61" s="145" cm="1">
        <f t="array" ref="E61">_xlfn.XLOOKUP(DATE(E$20,1,1),_xlfn.ANCHORARRAY(All!$E$25),All!$E$65:$AN$65,0,0)</f>
        <v>4869737.3325661831</v>
      </c>
      <c r="F61" s="145" cm="1">
        <f t="array" ref="F61">_xlfn.XLOOKUP(DATE(F$20,1,1),_xlfn.ANCHORARRAY(All!$E$25),All!$E$65:$AN$65,0,0)</f>
        <v>31836067.398883644</v>
      </c>
      <c r="G61" s="145" cm="1">
        <f t="array" ref="G61">_xlfn.XLOOKUP(DATE(G$20,1,1),_xlfn.ANCHORARRAY(All!$E$25),All!$E$65:$AN$65,0,0)</f>
        <v>53759416.023659565</v>
      </c>
      <c r="I61" s="145"/>
      <c r="J61" s="145"/>
      <c r="K61" s="145"/>
    </row>
    <row r="62" spans="2:19" x14ac:dyDescent="0.25">
      <c r="B62" t="s">
        <v>279</v>
      </c>
      <c r="E62" s="145" cm="1">
        <f t="array" ref="E62">_xlfn.XLOOKUP(DATE(E$20,12,1),_xlfn.ANCHORARRAY(All!$E$25),All!$E$67:$AN$67,0,0)</f>
        <v>31599074.341323718</v>
      </c>
      <c r="F62" s="145" cm="1">
        <f t="array" ref="F62">_xlfn.XLOOKUP(DATE(F$20,12,1),_xlfn.ANCHORARRAY(All!$E$25),All!$E$67:$AN$67,0,0)</f>
        <v>53359221.859711729</v>
      </c>
      <c r="G62" s="145" cm="1">
        <f t="array" ref="G62">_xlfn.XLOOKUP(DATE(G$20,12,1),_xlfn.ANCHORARRAY(All!$E$25),All!$E$67:$AN$67,0,0)</f>
        <v>84905224.491321087</v>
      </c>
      <c r="I62" s="145"/>
      <c r="J62" s="145"/>
      <c r="K62" s="145"/>
    </row>
    <row r="63" spans="2:19" x14ac:dyDescent="0.25">
      <c r="B63" t="s">
        <v>280</v>
      </c>
      <c r="E63" s="145" cm="1">
        <f t="array" ref="E63">SUM(_xlfn._xlws.FILTER(All!$E$66:$AN$66,YEAR(_xlfn.ANCHORARRAY(All!$E$25))=E$20,0))</f>
        <v>25175303.892341405</v>
      </c>
      <c r="F63" s="145" cm="1">
        <f t="array" ref="F63">SUM(_xlfn._xlws.FILTER(All!$E$66:$AN$66,YEAR(_xlfn.ANCHORARRAY(All!$E$25))=F$20,0))</f>
        <v>17863669.429150123</v>
      </c>
      <c r="G63" s="145" cm="1">
        <f t="array" ref="G63">SUM(_xlfn._xlws.FILTER(All!$E$66:$AN$66,YEAR(_xlfn.ANCHORARRAY(All!$E$25))=G$20,0))</f>
        <v>25360319.175059527</v>
      </c>
      <c r="I63" s="145"/>
      <c r="J63" s="145"/>
      <c r="K63" s="145"/>
    </row>
    <row r="65" spans="2:11" x14ac:dyDescent="0.25">
      <c r="B65" t="s">
        <v>281</v>
      </c>
      <c r="E65" s="145" cm="1">
        <f t="array" ref="E65">_xlfn.XLOOKUP(DATE(E$20,12,1),_xlfn.ANCHORARRAY(All!$E$25),All!$E$69:$AN$69,0,0)</f>
        <v>3400000</v>
      </c>
      <c r="F65" s="145" cm="1">
        <f t="array" ref="F65">_xlfn.XLOOKUP(DATE(F$20,12,1),_xlfn.ANCHORARRAY(All!$E$25),All!$E$69:$AN$69,0,0)</f>
        <v>6800000</v>
      </c>
      <c r="G65" s="145" cm="1">
        <f t="array" ref="G65">_xlfn.XLOOKUP(DATE(G$20,12,1),_xlfn.ANCHORARRAY(All!$E$25),All!$E$69:$AN$69,0,0)</f>
        <v>10200000</v>
      </c>
      <c r="I65" s="145"/>
      <c r="J65" s="145"/>
      <c r="K65" s="145"/>
    </row>
    <row r="66" spans="2:11" x14ac:dyDescent="0.25">
      <c r="B66" t="s">
        <v>282</v>
      </c>
      <c r="E66" s="145" cm="1">
        <f t="array" ref="E66">SUM(_xlfn._xlws.FILTER(All!$E$54:$AN$54,YEAR(_xlfn.ANCHORARRAY(All!$E$25))=E$20,0))</f>
        <v>1791026.1739760623</v>
      </c>
      <c r="F66" s="145" cm="1">
        <f t="array" ref="F66">SUM(_xlfn._xlws.FILTER(All!$E$54:$AN$54,YEAR(_xlfn.ANCHORARRAY(All!$E$25))=F$20,0))</f>
        <v>4059679.1956258072</v>
      </c>
      <c r="G66" s="145" cm="1">
        <f t="array" ref="G66">SUM(_xlfn._xlws.FILTER(All!$E$54:$AN$54,YEAR(_xlfn.ANCHORARRAY(All!$E$25))=G$20,0))</f>
        <v>6422278.4762869105</v>
      </c>
      <c r="I66" s="145"/>
      <c r="J66" s="145"/>
      <c r="K66" s="145"/>
    </row>
  </sheetData>
  <printOptions horizontalCentered="1" verticalCentered="1"/>
  <pageMargins left="0" right="0" top="0" bottom="0" header="0" footer="0"/>
  <pageSetup paperSize="3" scale="88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A6830D-F48B-43B1-BD28-ED50C1DCD82E}">
  <sheetPr>
    <tabColor theme="9" tint="0.79998168889431442"/>
    <pageSetUpPr fitToPage="1"/>
  </sheetPr>
  <dimension ref="A1:X61"/>
  <sheetViews>
    <sheetView zoomScaleNormal="100" workbookViewId="0">
      <pane xSplit="3" ySplit="20" topLeftCell="D48" activePane="bottomRight" state="frozen"/>
      <selection activeCell="B16" sqref="B16"/>
      <selection pane="topRight" activeCell="B16" sqref="B16"/>
      <selection pane="bottomLeft" activeCell="B16" sqref="B16"/>
      <selection pane="bottomRight" activeCell="B52" sqref="B52"/>
    </sheetView>
  </sheetViews>
  <sheetFormatPr defaultRowHeight="15" outlineLevelRow="1" outlineLevelCol="1" x14ac:dyDescent="0.25"/>
  <cols>
    <col min="2" max="2" width="24.5703125" bestFit="1" customWidth="1"/>
    <col min="3" max="3" width="12.28515625" bestFit="1" customWidth="1"/>
    <col min="4" max="4" width="11.5703125" bestFit="1" customWidth="1"/>
    <col min="5" max="5" width="4.7109375" customWidth="1"/>
    <col min="6" max="6" width="15.85546875" customWidth="1"/>
    <col min="7" max="8" width="13.7109375" customWidth="1" outlineLevel="1"/>
    <col min="9" max="9" width="4.7109375" customWidth="1"/>
    <col min="10" max="10" width="13.85546875" customWidth="1" outlineLevel="1"/>
    <col min="11" max="12" width="14" customWidth="1" outlineLevel="1"/>
    <col min="13" max="13" width="4.7109375" customWidth="1"/>
    <col min="14" max="14" width="13.85546875" customWidth="1" outlineLevel="1"/>
    <col min="15" max="16" width="14" customWidth="1" outlineLevel="1"/>
    <col min="17" max="17" width="4.7109375" customWidth="1"/>
    <col min="18" max="18" width="12.5703125" customWidth="1" outlineLevel="1"/>
    <col min="19" max="20" width="13.7109375" customWidth="1" outlineLevel="1"/>
    <col min="21" max="21" width="4.7109375" customWidth="1"/>
    <col min="22" max="24" width="13.42578125" customWidth="1" outlineLevel="1"/>
  </cols>
  <sheetData>
    <row r="1" spans="1:24" x14ac:dyDescent="0.25">
      <c r="A1" s="95"/>
      <c r="B1" s="3"/>
      <c r="C1" s="3"/>
      <c r="D1" s="55" t="s">
        <v>390</v>
      </c>
      <c r="F1" s="118">
        <f>J1+N1</f>
        <v>818</v>
      </c>
      <c r="G1" s="118">
        <f t="shared" ref="G1:H1" si="0">K1+O1</f>
        <v>1452</v>
      </c>
      <c r="H1" s="118">
        <f t="shared" si="0"/>
        <v>2014</v>
      </c>
      <c r="J1" s="164">
        <f>R1+V1</f>
        <v>303</v>
      </c>
      <c r="K1" s="164">
        <f t="shared" ref="K1:L1" si="1">S1+W1</f>
        <v>605</v>
      </c>
      <c r="L1" s="164">
        <f t="shared" si="1"/>
        <v>873</v>
      </c>
      <c r="N1" s="164" cm="1">
        <f t="array" ref="N1">_xlfn.LET(_xlpm.hours,_xlfn._TRO_TRAILING(Sites!$Y:$AA),_xlpm.states,ISNUMBER(SEARCH($N$19,_xlfn._TRO_TRAILING(Sites!$D:$D))),
_xlpm.years,ISNUMBER(SEARCH(N$20,Sites!$Y$3:$AA$3)),_xlpm.mna,ISNUMBER(SEARCH("M&amp;A",_xlfn._TRO_TRAILING(Sites!$D:$D))),
SUM(_xlfn._xlws.FILTER(_xlfn._xlws.FILTER(_xlpm.hours,_xlpm.mna,0),_xlpm.years),0))</f>
        <v>515</v>
      </c>
      <c r="O1" s="164" cm="1">
        <f t="array" ref="O1">_xlfn.LET(_xlpm.hours,_xlfn._TRO_TRAILING(Sites!$Y:$AA),_xlpm.states,ISNUMBER(SEARCH($N$19,_xlfn._TRO_TRAILING(Sites!$D:$D))),
_xlpm.years,ISNUMBER(SEARCH(O$20,Sites!$Y$3:$AA$3)),_xlpm.mna,ISNUMBER(SEARCH("M&amp;A",_xlfn._TRO_TRAILING(Sites!$D:$D))),
SUM(_xlfn._xlws.FILTER(_xlfn._xlws.FILTER(_xlpm.hours,_xlpm.mna,0),_xlpm.years),0))</f>
        <v>847</v>
      </c>
      <c r="P1" s="164" cm="1">
        <f t="array" ref="P1">_xlfn.LET(_xlpm.hours,_xlfn._TRO_TRAILING(Sites!$Y:$AA),_xlpm.states,ISNUMBER(SEARCH($N$19,_xlfn._TRO_TRAILING(Sites!$D:$D))),
_xlpm.years,ISNUMBER(SEARCH(P$20,Sites!$Y$3:$AA$3)),_xlpm.mna,ISNUMBER(SEARCH("M&amp;A",_xlfn._TRO_TRAILING(Sites!$D:$D))),
SUM(_xlfn._xlws.FILTER(_xlfn._xlws.FILTER(_xlpm.hours,_xlpm.mna,0),_xlpm.years),0))</f>
        <v>1141</v>
      </c>
      <c r="R1" s="125" cm="1">
        <f t="array" ref="R1">_xlfn.LET(_xlpm.hours,_xlfn._TRO_TRAILING(Sites!$Y:$AA),_xlpm.type,ISNUMBER(SEARCH($R$17,_xlfn._TRO_TRAILING(Sites!$C:$C))),
_xlpm.states,ISNUMBER(SEARCH($R$19,_xlfn._TRO_TRAILING(Sites!$D:$D))),
_xlpm.years,ISNUMBER(SEARCH(R$20,Sites!$AC$3:$AE$3)),
SUM(_xlfn._xlws.FILTER(_xlfn._xlws.FILTER(_xlpm.hours,_xlpm.states*_xlpm.type,0),_xlpm.years),0))</f>
        <v>60</v>
      </c>
      <c r="S1" s="125" cm="1">
        <f t="array" ref="S1">_xlfn.LET(_xlpm.hours,_xlfn._TRO_TRAILING(Sites!$Y:$AA),_xlpm.type,ISNUMBER(SEARCH($R$17,_xlfn._TRO_TRAILING(Sites!$C:$C))),
_xlpm.states,ISNUMBER(SEARCH($R$19,_xlfn._TRO_TRAILING(Sites!$D:$D))),
_xlpm.years,ISNUMBER(SEARCH(S$20,Sites!$AC$3:$AE$3)),
SUM(_xlfn._xlws.FILTER(_xlfn._xlws.FILTER(_xlpm.hours,_xlpm.states*_xlpm.type,0),_xlpm.years),0))</f>
        <v>155</v>
      </c>
      <c r="T1" s="125" cm="1">
        <f t="array" ref="T1">_xlfn.LET(_xlpm.hours,_xlfn._TRO_TRAILING(Sites!$Y:$AA),_xlpm.type,ISNUMBER(SEARCH($R$17,_xlfn._TRO_TRAILING(Sites!$C:$C))),
_xlpm.states,ISNUMBER(SEARCH($R$19,_xlfn._TRO_TRAILING(Sites!$D:$D))),
_xlpm.years,ISNUMBER(SEARCH(T$20,Sites!$AC$3:$AE$3)),
SUM(_xlfn._xlws.FILTER(_xlfn._xlws.FILTER(_xlpm.hours,_xlpm.states*_xlpm.type,0),_xlpm.years),0))</f>
        <v>228</v>
      </c>
      <c r="V1" s="125" cm="1">
        <f t="array" ref="V1">_xlfn.LET(_xlpm.hours,_xlfn._TRO_TRAILING(Sites!$Y:$AA),_xlpm.type,ISNUMBER(SEARCH($V$17,_xlfn._TRO_TRAILING(Sites!$C:$C))),
_xlpm.states,ISNUMBER(SEARCH($V$19,_xlfn._TRO_TRAILING(Sites!$D:$D))),
_xlpm.years,ISNUMBER(SEARCH(V$20,Sites!$AC$3:$AE$3)),
SUM(_xlfn._xlws.FILTER(_xlfn._xlws.FILTER(_xlpm.hours,_xlpm.states*_xlpm.type,0),_xlpm.years),0))</f>
        <v>243</v>
      </c>
      <c r="W1" s="125" cm="1">
        <f t="array" ref="W1">_xlfn.LET(_xlpm.hours,_xlfn._TRO_TRAILING(Sites!$Y:$AA),_xlpm.type,ISNUMBER(SEARCH($V$17,_xlfn._TRO_TRAILING(Sites!$C:$C))),
_xlpm.states,ISNUMBER(SEARCH($V$19,_xlfn._TRO_TRAILING(Sites!$D:$D))),
_xlpm.years,ISNUMBER(SEARCH(W$20,Sites!$AC$3:$AE$3)),
SUM(_xlfn._xlws.FILTER(_xlfn._xlws.FILTER(_xlpm.hours,_xlpm.states*_xlpm.type,0),_xlpm.years),0))</f>
        <v>450</v>
      </c>
      <c r="X1" s="125" cm="1">
        <f t="array" ref="X1">_xlfn.LET(_xlpm.hours,_xlfn._TRO_TRAILING(Sites!$Y:$AA),_xlpm.type,ISNUMBER(SEARCH($V$17,_xlfn._TRO_TRAILING(Sites!$C:$C))),
_xlpm.states,ISNUMBER(SEARCH($V$19,_xlfn._TRO_TRAILING(Sites!$D:$D))),
_xlpm.years,ISNUMBER(SEARCH(X$20,Sites!$AC$3:$AE$3)),
SUM(_xlfn._xlws.FILTER(_xlfn._xlws.FILTER(_xlpm.hours,_xlpm.states*_xlpm.type,0),_xlpm.years),0))</f>
        <v>645</v>
      </c>
    </row>
    <row r="2" spans="1:24" hidden="1" outlineLevel="1" x14ac:dyDescent="0.25">
      <c r="B2" s="1" t="s">
        <v>269</v>
      </c>
      <c r="C2" s="3"/>
      <c r="D2" s="3"/>
      <c r="F2" s="95"/>
      <c r="G2" s="118"/>
      <c r="H2" s="118"/>
      <c r="J2" s="95"/>
      <c r="K2" s="5"/>
      <c r="L2" s="5"/>
      <c r="N2" s="69"/>
      <c r="O2" s="69"/>
      <c r="P2" s="69"/>
    </row>
    <row r="3" spans="1:24" hidden="1" outlineLevel="1" x14ac:dyDescent="0.25">
      <c r="B3" s="39" t="s">
        <v>309</v>
      </c>
      <c r="F3" s="118">
        <f t="shared" ref="F3:F5" si="2">J3+N3</f>
        <v>255.55000000000007</v>
      </c>
      <c r="G3" s="118">
        <f t="shared" ref="G3:G5" si="3">K3+O3</f>
        <v>493.03999999999996</v>
      </c>
      <c r="H3" s="118">
        <f t="shared" ref="H3:H5" si="4">L3+P3</f>
        <v>709.52999999999986</v>
      </c>
      <c r="I3" s="125"/>
      <c r="J3" s="164">
        <f t="shared" ref="J3:J5" si="5">R3+V3</f>
        <v>255.55000000000007</v>
      </c>
      <c r="K3" s="164">
        <f t="shared" ref="K3:K5" si="6">S3+W3</f>
        <v>493.03999999999996</v>
      </c>
      <c r="L3" s="164">
        <f t="shared" ref="L3:L5" si="7">T3+X3</f>
        <v>709.52999999999986</v>
      </c>
      <c r="M3" s="125"/>
      <c r="N3" s="160" cm="1">
        <f t="array" ref="N3">_xlfn.LET(_xlpm.hours,_xlfn._TRO_TRAILING(Sites!$I:$K),_xlpm.states,ISNUMBER(SEARCH($N$19,_xlfn._TRO_TRAILING(Sites!$D:$D))),
_xlpm.years,ISNUMBER(SEARCH(N$20,Sites!$I$3:$K$3)),_xlpm.mna,ISNUMBER(SEARCH("M&amp;A",_xlfn._TRO_TRAILING(Sites!$D:$D))),
SUM(_xlfn._xlws.FILTER(_xlfn._xlws.FILTER(_xlpm.hours,_xlpm.mna,0),_xlpm.years),0))</f>
        <v>0</v>
      </c>
      <c r="O3" s="160" cm="1">
        <f t="array" ref="O3">_xlfn.LET(_xlpm.hours,_xlfn._TRO_TRAILING(Sites!$I:$K),_xlpm.states,ISNUMBER(SEARCH($N$19,_xlfn._TRO_TRAILING(Sites!$D:$D))),
_xlpm.years,ISNUMBER(SEARCH(O$20,Sites!$I$3:$K$3)),_xlpm.mna,ISNUMBER(SEARCH("M&amp;A",_xlfn._TRO_TRAILING(Sites!$D:$D))),
SUM(_xlfn._xlws.FILTER(_xlfn._xlws.FILTER(_xlpm.hours,_xlpm.mna,0),_xlpm.years),0))</f>
        <v>0</v>
      </c>
      <c r="P3" s="160" cm="1">
        <f t="array" ref="P3">_xlfn.LET(_xlpm.hours,_xlfn._TRO_TRAILING(Sites!$I:$K),_xlpm.states,ISNUMBER(SEARCH($N$19,_xlfn._TRO_TRAILING(Sites!$D:$D))),
_xlpm.years,ISNUMBER(SEARCH(P$20,Sites!$I$3:$K$3)),_xlpm.mna,ISNUMBER(SEARCH("M&amp;A",_xlfn._TRO_TRAILING(Sites!$D:$D))),
SUM(_xlfn._xlws.FILTER(_xlfn._xlws.FILTER(_xlpm.hours,_xlpm.mna,0),_xlpm.years),0))</f>
        <v>0</v>
      </c>
      <c r="Q3" s="125"/>
      <c r="R3" s="125" cm="1">
        <f t="array" ref="R3">_xlfn.LET(_xlpm.hours,_xlfn._TRO_TRAILING(Sites!$I:$K),_xlpm.type,ISNUMBER(SEARCH($R$17,_xlfn._TRO_TRAILING(Sites!$C:$C))),
_xlpm.states,ISNUMBER(SEARCH($R$19,_xlfn._TRO_TRAILING(Sites!$D:$D))),
_xlpm.years,ISNUMBER(SEARCH(R$20,Sites!$AC$3:$AE$3)),
SUM(_xlfn._xlws.FILTER(_xlfn._xlws.FILTER(_xlpm.hours,_xlpm.states*_xlpm.type,0),_xlpm.years),0))</f>
        <v>26.799999999999997</v>
      </c>
      <c r="S3" s="125" cm="1">
        <f t="array" ref="S3">_xlfn.LET(_xlpm.hours,_xlfn._TRO_TRAILING(Sites!$I:$K),_xlpm.type,ISNUMBER(SEARCH($R$17,_xlfn._TRO_TRAILING(Sites!$C:$C))),
_xlpm.states,ISNUMBER(SEARCH($R$19,_xlfn._TRO_TRAILING(Sites!$D:$D))),
_xlpm.years,ISNUMBER(SEARCH(S$20,Sites!$AC$3:$AE$3)),
SUM(_xlfn._xlws.FILTER(_xlfn._xlws.FILTER(_xlpm.hours,_xlpm.states*_xlpm.type,0),_xlpm.years),0))</f>
        <v>69.47999999999999</v>
      </c>
      <c r="T3" s="125" cm="1">
        <f t="array" ref="T3">_xlfn.LET(_xlpm.hours,_xlfn._TRO_TRAILING(Sites!$I:$K),_xlpm.type,ISNUMBER(SEARCH($R$17,_xlfn._TRO_TRAILING(Sites!$C:$C))),
_xlpm.states,ISNUMBER(SEARCH($R$19,_xlfn._TRO_TRAILING(Sites!$D:$D))),
_xlpm.years,ISNUMBER(SEARCH(T$20,Sites!$AC$3:$AE$3)),
SUM(_xlfn._xlws.FILTER(_xlfn._xlws.FILTER(_xlpm.hours,_xlpm.states*_xlpm.type,0),_xlpm.years),0))</f>
        <v>102.42999999999998</v>
      </c>
      <c r="U3" s="125"/>
      <c r="V3" s="125" cm="1">
        <f t="array" ref="V3">_xlfn.LET(_xlpm.hours,_xlfn._TRO_TRAILING(Sites!$I:$K),_xlpm.type,ISNUMBER(SEARCH($V$17,_xlfn._TRO_TRAILING(Sites!$C:$C))),
_xlpm.states,ISNUMBER(SEARCH($V$19,_xlfn._TRO_TRAILING(Sites!$D:$D))),
_xlpm.years,ISNUMBER(SEARCH(V$20,Sites!$AC$3:$AE$3)),
SUM(_xlfn._xlws.FILTER(_xlfn._xlws.FILTER(_xlpm.hours,_xlpm.states*_xlpm.type,0),_xlpm.years),0))</f>
        <v>228.75000000000006</v>
      </c>
      <c r="W3" s="125" cm="1">
        <f t="array" ref="W3">_xlfn.LET(_xlpm.hours,_xlfn._TRO_TRAILING(Sites!$I:$K),_xlpm.type,ISNUMBER(SEARCH($V$17,_xlfn._TRO_TRAILING(Sites!$C:$C))),
_xlpm.states,ISNUMBER(SEARCH($V$19,_xlfn._TRO_TRAILING(Sites!$D:$D))),
_xlpm.years,ISNUMBER(SEARCH(W$20,Sites!$AC$3:$AE$3)),
SUM(_xlfn._xlws.FILTER(_xlfn._xlws.FILTER(_xlpm.hours,_xlpm.states*_xlpm.type,0),_xlpm.years),0))</f>
        <v>423.55999999999995</v>
      </c>
      <c r="X3" s="125" cm="1">
        <f t="array" ref="X3">_xlfn.LET(_xlpm.hours,_xlfn._TRO_TRAILING(Sites!$I:$K),_xlpm.type,ISNUMBER(SEARCH($V$17,_xlfn._TRO_TRAILING(Sites!$C:$C))),
_xlpm.states,ISNUMBER(SEARCH($V$19,_xlfn._TRO_TRAILING(Sites!$D:$D))),
_xlpm.years,ISNUMBER(SEARCH(X$20,Sites!$AC$3:$AE$3)),
SUM(_xlfn._xlws.FILTER(_xlfn._xlws.FILTER(_xlpm.hours,_xlpm.states*_xlpm.type,0),_xlpm.years),0))</f>
        <v>607.09999999999991</v>
      </c>
    </row>
    <row r="4" spans="1:24" hidden="1" outlineLevel="1" x14ac:dyDescent="0.25">
      <c r="B4" s="39" t="s">
        <v>310</v>
      </c>
      <c r="F4" s="118">
        <f t="shared" si="2"/>
        <v>40.25</v>
      </c>
      <c r="G4" s="118">
        <f t="shared" si="3"/>
        <v>78.460000000000008</v>
      </c>
      <c r="H4" s="118">
        <f t="shared" si="4"/>
        <v>113.00000000000001</v>
      </c>
      <c r="I4" s="125"/>
      <c r="J4" s="164">
        <f t="shared" si="5"/>
        <v>40.25</v>
      </c>
      <c r="K4" s="164">
        <f t="shared" si="6"/>
        <v>78.460000000000008</v>
      </c>
      <c r="L4" s="164">
        <f t="shared" si="7"/>
        <v>113.00000000000001</v>
      </c>
      <c r="M4" s="125"/>
      <c r="N4" s="160" cm="1">
        <f t="array" ref="N4">_xlfn.LET(_xlpm.hours,_xlfn._TRO_TRAILING(Sites!$M:$O),_xlpm.states,ISNUMBER(SEARCH($N$19,_xlfn._TRO_TRAILING(Sites!$D:$D))),
_xlpm.years,ISNUMBER(SEARCH(N$20,Sites!$M$3:$O$3)),_xlpm.mna,ISNUMBER(SEARCH("M&amp;A",_xlfn._TRO_TRAILING(Sites!$D:$D))),
SUM(_xlfn._xlws.FILTER(_xlfn._xlws.FILTER(_xlpm.hours,_xlpm.mna,0),_xlpm.years),0))</f>
        <v>0</v>
      </c>
      <c r="O4" s="160" cm="1">
        <f t="array" ref="O4">_xlfn.LET(_xlpm.hours,_xlfn._TRO_TRAILING(Sites!$M:$O),_xlpm.states,ISNUMBER(SEARCH($N$19,_xlfn._TRO_TRAILING(Sites!$D:$D))),
_xlpm.years,ISNUMBER(SEARCH(O$20,Sites!$M$3:$O$3)),_xlpm.mna,ISNUMBER(SEARCH("M&amp;A",_xlfn._TRO_TRAILING(Sites!$D:$D))),
SUM(_xlfn._xlws.FILTER(_xlfn._xlws.FILTER(_xlpm.hours,_xlpm.mna,0),_xlpm.years),0))</f>
        <v>0</v>
      </c>
      <c r="P4" s="160" cm="1">
        <f t="array" ref="P4">_xlfn.LET(_xlpm.hours,_xlfn._TRO_TRAILING(Sites!$M:$O),_xlpm.states,ISNUMBER(SEARCH($N$19,_xlfn._TRO_TRAILING(Sites!$D:$D))),
_xlpm.years,ISNUMBER(SEARCH(P$20,Sites!$M$3:$O$3)),_xlpm.mna,ISNUMBER(SEARCH("M&amp;A",_xlfn._TRO_TRAILING(Sites!$D:$D))),
SUM(_xlfn._xlws.FILTER(_xlfn._xlws.FILTER(_xlpm.hours,_xlpm.mna,0),_xlpm.years),0))</f>
        <v>0</v>
      </c>
      <c r="Q4" s="125"/>
      <c r="R4" s="125" cm="1">
        <f t="array" ref="R4">_xlfn.LET(_xlpm.hours,_xlfn._TRO_TRAILING(Sites!$M:$O),_xlpm.type,ISNUMBER(SEARCH($R$17,_xlfn._TRO_TRAILING(Sites!$C:$C))),
_xlpm.states,ISNUMBER(SEARCH($R$19,_xlfn._TRO_TRAILING(Sites!$D:$D))),
_xlpm.years,ISNUMBER(SEARCH(R$20,Sites!$AC$3:$AE$3)),
SUM(_xlfn._xlws.FILTER(_xlfn._xlws.FILTER(_xlpm.hours,_xlpm.states*_xlpm.type,0),_xlpm.years),0))</f>
        <v>5.49</v>
      </c>
      <c r="S4" s="125" cm="1">
        <f t="array" ref="S4">_xlfn.LET(_xlpm.hours,_xlfn._TRO_TRAILING(Sites!$M:$O),_xlpm.type,ISNUMBER(SEARCH($R$17,_xlfn._TRO_TRAILING(Sites!$C:$C))),
_xlpm.states,ISNUMBER(SEARCH($R$19,_xlfn._TRO_TRAILING(Sites!$D:$D))),
_xlpm.years,ISNUMBER(SEARCH(S$20,Sites!$AC$3:$AE$3)),
SUM(_xlfn._xlws.FILTER(_xlfn._xlws.FILTER(_xlpm.hours,_xlpm.states*_xlpm.type,0),_xlpm.years),0))</f>
        <v>14.15</v>
      </c>
      <c r="T4" s="125" cm="1">
        <f t="array" ref="T4">_xlfn.LET(_xlpm.hours,_xlfn._TRO_TRAILING(Sites!$M:$O),_xlpm.type,ISNUMBER(SEARCH($R$17,_xlfn._TRO_TRAILING(Sites!$C:$C))),
_xlpm.states,ISNUMBER(SEARCH($R$19,_xlfn._TRO_TRAILING(Sites!$D:$D))),
_xlpm.years,ISNUMBER(SEARCH(T$20,Sites!$AC$3:$AE$3)),
SUM(_xlfn._xlws.FILTER(_xlfn._xlws.FILTER(_xlpm.hours,_xlpm.states*_xlpm.type,0),_xlpm.years),0))</f>
        <v>20.820000000000004</v>
      </c>
      <c r="U4" s="125"/>
      <c r="V4" s="125" cm="1">
        <f t="array" ref="V4">_xlfn.LET(_xlpm.hours,_xlfn._TRO_TRAILING(Sites!$M:$O),_xlpm.type,ISNUMBER(SEARCH($V$17,_xlfn._TRO_TRAILING(Sites!$C:$C))),
_xlpm.states,ISNUMBER(SEARCH($V$19,_xlfn._TRO_TRAILING(Sites!$D:$D))),
_xlpm.years,ISNUMBER(SEARCH(V$20,Sites!$AC$3:$AE$3)),
SUM(_xlfn._xlws.FILTER(_xlfn._xlws.FILTER(_xlpm.hours,_xlpm.states*_xlpm.type,0),_xlpm.years),0))</f>
        <v>34.76</v>
      </c>
      <c r="W4" s="125" cm="1">
        <f t="array" ref="W4">_xlfn.LET(_xlpm.hours,_xlfn._TRO_TRAILING(Sites!$M:$O),_xlpm.type,ISNUMBER(SEARCH($V$17,_xlfn._TRO_TRAILING(Sites!$C:$C))),
_xlpm.states,ISNUMBER(SEARCH($V$19,_xlfn._TRO_TRAILING(Sites!$D:$D))),
_xlpm.years,ISNUMBER(SEARCH(W$20,Sites!$AC$3:$AE$3)),
SUM(_xlfn._xlws.FILTER(_xlfn._xlws.FILTER(_xlpm.hours,_xlpm.states*_xlpm.type,0),_xlpm.years),0))</f>
        <v>64.31</v>
      </c>
      <c r="X4" s="125" cm="1">
        <f t="array" ref="X4">_xlfn.LET(_xlpm.hours,_xlfn._TRO_TRAILING(Sites!$M:$O),_xlpm.type,ISNUMBER(SEARCH($V$17,_xlfn._TRO_TRAILING(Sites!$C:$C))),
_xlpm.states,ISNUMBER(SEARCH($V$19,_xlfn._TRO_TRAILING(Sites!$D:$D))),
_xlpm.years,ISNUMBER(SEARCH(X$20,Sites!$AC$3:$AE$3)),
SUM(_xlfn._xlws.FILTER(_xlfn._xlws.FILTER(_xlpm.hours,_xlpm.states*_xlpm.type,0),_xlpm.years),0))</f>
        <v>92.18</v>
      </c>
    </row>
    <row r="5" spans="1:24" hidden="1" outlineLevel="1" x14ac:dyDescent="0.25">
      <c r="B5" s="39" t="s">
        <v>354</v>
      </c>
      <c r="F5" s="118">
        <f t="shared" si="2"/>
        <v>79</v>
      </c>
      <c r="G5" s="118">
        <f t="shared" si="3"/>
        <v>129</v>
      </c>
      <c r="H5" s="118">
        <f t="shared" si="4"/>
        <v>176</v>
      </c>
      <c r="I5" s="125"/>
      <c r="J5" s="164">
        <f t="shared" si="5"/>
        <v>79</v>
      </c>
      <c r="K5" s="164">
        <f t="shared" si="6"/>
        <v>129</v>
      </c>
      <c r="L5" s="164">
        <f t="shared" si="7"/>
        <v>176</v>
      </c>
      <c r="M5" s="125"/>
      <c r="N5" s="160" cm="1">
        <f t="array" ref="N5">_xlfn.LET(_xlpm.hours,_xlfn._TRO_TRAILING(Sites!$U:$W),_xlpm.states,ISNUMBER(SEARCH($N$19,_xlfn._TRO_TRAILING(Sites!$D:$D))),
_xlpm.years,ISNUMBER(SEARCH(N$20,Sites!$Y$3:$AA$3)),_xlpm.mna,ISNUMBER(SEARCH("M&amp;A",_xlfn._TRO_TRAILING(Sites!$D:$D))),
SUM(_xlfn._xlws.FILTER(_xlfn._xlws.FILTER(_xlpm.hours,_xlpm.mna,0),_xlpm.years),0))</f>
        <v>0</v>
      </c>
      <c r="O5" s="160" cm="1">
        <f t="array" ref="O5">_xlfn.LET(_xlpm.hours,_xlfn._TRO_TRAILING(Sites!$U:$W),_xlpm.states,ISNUMBER(SEARCH($N$19,_xlfn._TRO_TRAILING(Sites!$D:$D))),
_xlpm.years,ISNUMBER(SEARCH(O$20,Sites!$Y$3:$AA$3)),_xlpm.mna,ISNUMBER(SEARCH("M&amp;A",_xlfn._TRO_TRAILING(Sites!$D:$D))),
SUM(_xlfn._xlws.FILTER(_xlfn._xlws.FILTER(_xlpm.hours,_xlpm.mna,0),_xlpm.years),0))</f>
        <v>0</v>
      </c>
      <c r="P5" s="160" cm="1">
        <f t="array" ref="P5">_xlfn.LET(_xlpm.hours,_xlfn._TRO_TRAILING(Sites!$U:$W),_xlpm.states,ISNUMBER(SEARCH($N$19,_xlfn._TRO_TRAILING(Sites!$D:$D))),
_xlpm.years,ISNUMBER(SEARCH(P$20,Sites!$Y$3:$AA$3)),_xlpm.mna,ISNUMBER(SEARCH("M&amp;A",_xlfn._TRO_TRAILING(Sites!$D:$D))),
SUM(_xlfn._xlws.FILTER(_xlfn._xlws.FILTER(_xlpm.hours,_xlpm.mna,0),_xlpm.years),0))</f>
        <v>0</v>
      </c>
      <c r="Q5" s="125"/>
      <c r="R5" s="125" cm="1">
        <f t="array" ref="R5">_xlfn.LET(_xlpm.hours,_xlfn._TRO_TRAILING(Sites!$U:$W),_xlpm.type,ISNUMBER(SEARCH($R$17,_xlfn._TRO_TRAILING(Sites!$C:$C))),
_xlpm.states,ISNUMBER(SEARCH($R$19,_xlfn._TRO_TRAILING(Sites!$D:$D))),
_xlpm.years,ISNUMBER(SEARCH(R$20,Sites!$AC$3:$AE$3)),
SUM(_xlfn._xlws.FILTER(_xlfn._xlws.FILTER(_xlpm.hours,_xlpm.states*_xlpm.type,0),_xlpm.years),0))</f>
        <v>13</v>
      </c>
      <c r="S5" s="125" cm="1">
        <f t="array" ref="S5">_xlfn.LET(_xlpm.hours,_xlfn._TRO_TRAILING(Sites!$U:$W),_xlpm.type,ISNUMBER(SEARCH($R$17,_xlfn._TRO_TRAILING(Sites!$C:$C))),
_xlpm.states,ISNUMBER(SEARCH($R$19,_xlfn._TRO_TRAILING(Sites!$D:$D))),
_xlpm.years,ISNUMBER(SEARCH(S$20,Sites!$AC$3:$AE$3)),
SUM(_xlfn._xlws.FILTER(_xlfn._xlws.FILTER(_xlpm.hours,_xlpm.states*_xlpm.type,0),_xlpm.years),0))</f>
        <v>24</v>
      </c>
      <c r="T5" s="125" cm="1">
        <f t="array" ref="T5">_xlfn.LET(_xlpm.hours,_xlfn._TRO_TRAILING(Sites!$U:$W),_xlpm.type,ISNUMBER(SEARCH($R$17,_xlfn._TRO_TRAILING(Sites!$C:$C))),
_xlpm.states,ISNUMBER(SEARCH($R$19,_xlfn._TRO_TRAILING(Sites!$D:$D))),
_xlpm.years,ISNUMBER(SEARCH(T$20,Sites!$AC$3:$AE$3)),
SUM(_xlfn._xlws.FILTER(_xlfn._xlws.FILTER(_xlpm.hours,_xlpm.states*_xlpm.type,0),_xlpm.years),0))</f>
        <v>33</v>
      </c>
      <c r="U5" s="125"/>
      <c r="V5" s="125" cm="1">
        <f t="array" ref="V5">_xlfn.LET(_xlpm.hours,_xlfn._TRO_TRAILING(Sites!$U:$W),_xlpm.type,ISNUMBER(SEARCH($V$17,_xlfn._TRO_TRAILING(Sites!$C:$C))),
_xlpm.states,ISNUMBER(SEARCH($V$19,_xlfn._TRO_TRAILING(Sites!$D:$D))),
_xlpm.years,ISNUMBER(SEARCH(V$20,Sites!$AC$3:$AE$3)),
SUM(_xlfn._xlws.FILTER(_xlfn._xlws.FILTER(_xlpm.hours,_xlpm.states*_xlpm.type,0),_xlpm.years),0))</f>
        <v>66</v>
      </c>
      <c r="W5" s="125" cm="1">
        <f t="array" ref="W5">_xlfn.LET(_xlpm.hours,_xlfn._TRO_TRAILING(Sites!$U:$W),_xlpm.type,ISNUMBER(SEARCH($V$17,_xlfn._TRO_TRAILING(Sites!$C:$C))),
_xlpm.states,ISNUMBER(SEARCH($V$19,_xlfn._TRO_TRAILING(Sites!$D:$D))),
_xlpm.years,ISNUMBER(SEARCH(W$20,Sites!$AC$3:$AE$3)),
SUM(_xlfn._xlws.FILTER(_xlfn._xlws.FILTER(_xlpm.hours,_xlpm.states*_xlpm.type,0),_xlpm.years),0))</f>
        <v>105</v>
      </c>
      <c r="X5" s="125" cm="1">
        <f t="array" ref="X5">_xlfn.LET(_xlpm.hours,_xlfn._TRO_TRAILING(Sites!$U:$W),_xlpm.type,ISNUMBER(SEARCH($V$17,_xlfn._TRO_TRAILING(Sites!$C:$C))),
_xlpm.states,ISNUMBER(SEARCH($V$19,_xlfn._TRO_TRAILING(Sites!$D:$D))),
_xlpm.years,ISNUMBER(SEARCH(X$20,Sites!$AC$3:$AE$3)),
SUM(_xlfn._xlws.FILTER(_xlfn._xlws.FILTER(_xlpm.hours,_xlpm.states*_xlpm.type,0),_xlpm.years),0))</f>
        <v>143</v>
      </c>
    </row>
    <row r="6" spans="1:24" hidden="1" outlineLevel="1" x14ac:dyDescent="0.25">
      <c r="B6" s="39" t="s">
        <v>257</v>
      </c>
      <c r="F6" s="125"/>
      <c r="G6" s="125"/>
      <c r="H6" s="125"/>
      <c r="I6" s="125"/>
      <c r="J6" s="160"/>
      <c r="K6" s="160"/>
      <c r="L6" s="160"/>
      <c r="M6" s="125"/>
      <c r="N6" s="160"/>
      <c r="O6" s="160"/>
      <c r="P6" s="160"/>
      <c r="Q6" s="125"/>
      <c r="R6" s="125"/>
      <c r="S6" s="125"/>
      <c r="T6" s="125"/>
      <c r="U6" s="125"/>
      <c r="V6" s="125"/>
      <c r="W6" s="125"/>
      <c r="X6" s="125"/>
    </row>
    <row r="7" spans="1:24" collapsed="1" x14ac:dyDescent="0.25">
      <c r="B7" s="1" t="s">
        <v>270</v>
      </c>
      <c r="F7" s="158">
        <f>SUM(F3:F6)</f>
        <v>374.80000000000007</v>
      </c>
      <c r="G7" s="158">
        <f>SUM(G3:G6)</f>
        <v>700.5</v>
      </c>
      <c r="H7" s="158">
        <f>SUM(H3:H6)</f>
        <v>998.52999999999986</v>
      </c>
      <c r="I7" s="125"/>
      <c r="J7" s="158">
        <f>SUM(J3:J6)</f>
        <v>374.80000000000007</v>
      </c>
      <c r="K7" s="158">
        <f>SUM(K3:K6)</f>
        <v>700.5</v>
      </c>
      <c r="L7" s="158">
        <f>SUM(L3:L6)</f>
        <v>998.52999999999986</v>
      </c>
      <c r="M7" s="125"/>
      <c r="N7" s="158">
        <f>SUM(N3:N6)</f>
        <v>0</v>
      </c>
      <c r="O7" s="158">
        <f>SUM(O3:O6)</f>
        <v>0</v>
      </c>
      <c r="P7" s="158">
        <f>SUM(P3:P6)</f>
        <v>0</v>
      </c>
      <c r="Q7" s="125"/>
      <c r="R7" s="130">
        <f>SUM(R3:R6)</f>
        <v>45.29</v>
      </c>
      <c r="S7" s="130">
        <f>SUM(S3:S6)</f>
        <v>107.63</v>
      </c>
      <c r="T7" s="130">
        <f>SUM(T3:T6)</f>
        <v>156.25</v>
      </c>
      <c r="U7" s="125"/>
      <c r="V7" s="130">
        <f>SUM(V3:V6)</f>
        <v>329.51000000000005</v>
      </c>
      <c r="W7" s="130">
        <f>SUM(W3:W6)</f>
        <v>592.86999999999989</v>
      </c>
      <c r="X7" s="130">
        <f>SUM(X3:X6)</f>
        <v>842.28</v>
      </c>
    </row>
    <row r="8" spans="1:24" x14ac:dyDescent="0.25">
      <c r="B8" s="1"/>
      <c r="F8" s="158"/>
      <c r="G8" s="158"/>
      <c r="H8" s="158"/>
      <c r="I8" s="125"/>
      <c r="J8" s="158"/>
      <c r="K8" s="158"/>
      <c r="L8" s="158"/>
      <c r="M8" s="125"/>
      <c r="N8" s="158"/>
      <c r="O8" s="158"/>
      <c r="P8" s="158"/>
      <c r="Q8" s="125"/>
      <c r="R8" s="130"/>
      <c r="S8" s="130"/>
      <c r="T8" s="130"/>
      <c r="U8" s="125"/>
      <c r="V8" s="130"/>
      <c r="W8" s="130"/>
      <c r="X8" s="130"/>
    </row>
    <row r="9" spans="1:24" hidden="1" outlineLevel="1" x14ac:dyDescent="0.25">
      <c r="B9" s="39"/>
      <c r="F9" s="66"/>
      <c r="G9" s="66"/>
      <c r="H9" s="66"/>
      <c r="I9" s="115"/>
      <c r="M9" s="115"/>
      <c r="N9" s="165"/>
      <c r="O9" s="165"/>
      <c r="P9" s="165"/>
      <c r="Q9" s="115"/>
      <c r="U9" s="115"/>
    </row>
    <row r="10" spans="1:24" collapsed="1" x14ac:dyDescent="0.25">
      <c r="B10" s="39" t="s">
        <v>258</v>
      </c>
      <c r="F10" s="166" t="e">
        <f t="shared" ref="F10:H10" si="8">J10+N10</f>
        <v>#REF!</v>
      </c>
      <c r="G10" s="166" t="e">
        <f t="shared" si="8"/>
        <v>#REF!</v>
      </c>
      <c r="H10" s="166" t="e">
        <f t="shared" si="8"/>
        <v>#REF!</v>
      </c>
      <c r="I10" s="115"/>
      <c r="J10" s="115" t="e">
        <f>COUNTIFS(Sites!#REF!,$J$19,Sites!#REF!,J$20)</f>
        <v>#REF!</v>
      </c>
      <c r="K10" s="115" t="e">
        <f>COUNTIFS(Sites!#REF!,$J$19,Sites!#REF!,K$20)</f>
        <v>#REF!</v>
      </c>
      <c r="L10" s="115" t="e">
        <f>COUNTIFS(Sites!#REF!,$J$19,Sites!#REF!,L$20)</f>
        <v>#REF!</v>
      </c>
      <c r="M10" s="115"/>
      <c r="N10" s="115" t="e">
        <f>COUNTIFS(Sites!#REF!,$N$19,Sites!#REF!,N$20)</f>
        <v>#REF!</v>
      </c>
      <c r="O10" s="115" t="e">
        <f>COUNTIFS(Sites!#REF!,$N$19,Sites!#REF!,O$20)</f>
        <v>#REF!</v>
      </c>
      <c r="P10" s="115" t="e">
        <f>COUNTIFS(Sites!#REF!,$N$19,Sites!#REF!,P$20)</f>
        <v>#REF!</v>
      </c>
      <c r="Q10" s="115"/>
      <c r="U10" s="115"/>
    </row>
    <row r="12" spans="1:24" hidden="1" outlineLevel="1" x14ac:dyDescent="0.25">
      <c r="B12" s="94" t="s">
        <v>391</v>
      </c>
      <c r="F12" s="118">
        <f t="shared" ref="F12:F14" si="9">J12+N12</f>
        <v>335.69047619047615</v>
      </c>
      <c r="G12" s="118">
        <f t="shared" ref="G12:G14" si="10">K12+O12</f>
        <v>644.28571428571433</v>
      </c>
      <c r="H12" s="118">
        <f t="shared" ref="H12:H14" si="11">L12+P12</f>
        <v>943.71428571428555</v>
      </c>
      <c r="J12" s="164">
        <f t="shared" ref="J12:J14" si="12">R12+V12</f>
        <v>335.69047619047615</v>
      </c>
      <c r="K12" s="164">
        <f t="shared" ref="K12:K14" si="13">S12+W12</f>
        <v>644.28571428571433</v>
      </c>
      <c r="L12" s="164">
        <f t="shared" ref="L12:L14" si="14">T12+X12</f>
        <v>943.71428571428555</v>
      </c>
      <c r="N12" s="53" cm="1">
        <f t="array" ref="N12">_xlfn.LET(_xlpm.hours,_xlfn._TRO_TRAILING(Sites!$AC:$AE),_xlpm.states,ISNUMBER(SEARCH($N$19,_xlfn._TRO_TRAILING(Sites!$D:$D))),
_xlpm.years,ISNUMBER(SEARCH(N$20,Sites!$M$3:$O$3)),_xlpm.mna,ISNUMBER(SEARCH("M&amp;A",_xlfn._TRO_TRAILING(Sites!$D:$D))),
SUM(_xlfn._xlws.FILTER(_xlfn._xlws.FILTER(_xlpm.hours,_xlpm.mna,0),_xlpm.years),0))</f>
        <v>0</v>
      </c>
      <c r="O12" s="53" cm="1">
        <f t="array" ref="O12">_xlfn.LET(_xlpm.hours,_xlfn._TRO_TRAILING(Sites!$AC:$AE),_xlpm.states,ISNUMBER(SEARCH($N$19,_xlfn._TRO_TRAILING(Sites!$D:$D))),
_xlpm.years,ISNUMBER(SEARCH(O$20,Sites!$M$3:$O$3)),_xlpm.mna,ISNUMBER(SEARCH("M&amp;A",_xlfn._TRO_TRAILING(Sites!$D:$D))),
SUM(_xlfn._xlws.FILTER(_xlfn._xlws.FILTER(_xlpm.hours,_xlpm.mna,0),_xlpm.years),0))</f>
        <v>0</v>
      </c>
      <c r="P12" s="53" cm="1">
        <f t="array" ref="P12">_xlfn.LET(_xlpm.hours,_xlfn._TRO_TRAILING(Sites!$AC:$AE),_xlpm.states,ISNUMBER(SEARCH($N$19,_xlfn._TRO_TRAILING(Sites!$D:$D))),
_xlpm.years,ISNUMBER(SEARCH(P$20,Sites!$M$3:$O$3)),_xlpm.mna,ISNUMBER(SEARCH("M&amp;A",_xlfn._TRO_TRAILING(Sites!$D:$D))),
SUM(_xlfn._xlws.FILTER(_xlfn._xlws.FILTER(_xlpm.hours,_xlpm.mna,0),_xlpm.years),0))</f>
        <v>0</v>
      </c>
      <c r="R12" s="125" cm="1">
        <f t="array" ref="R12">_xlfn.LET(_xlpm.hours,_xlfn._TRO_TRAILING(Sites!$AC:$AE),_xlpm.type,ISNUMBER(SEARCH($R$17,_xlfn._TRO_TRAILING(Sites!$C:$C))),
_xlpm.states,ISNUMBER(SEARCH($R$19,_xlfn._TRO_TRAILING(Sites!$D:$D))),
_xlpm.years,ISNUMBER(SEARCH(R$20,Sites!$AC$3:$AE$3)),
SUM(_xlfn._xlws.FILTER(_xlfn._xlws.FILTER(_xlpm.hours,_xlpm.states*_xlpm.type,0),_xlpm.years),0))</f>
        <v>70.523809523809533</v>
      </c>
      <c r="S12" s="125" cm="1">
        <f t="array" ref="S12">_xlfn.LET(_xlpm.hours,_xlfn._TRO_TRAILING(Sites!$AC:$AE),_xlpm.type,ISNUMBER(SEARCH($R$17,_xlfn._TRO_TRAILING(Sites!$C:$C))),
_xlpm.states,ISNUMBER(SEARCH($R$19,_xlfn._TRO_TRAILING(Sites!$D:$D))),
_xlpm.years,ISNUMBER(SEARCH(S$20,Sites!$AC$3:$AE$3)),
SUM(_xlfn._xlws.FILTER(_xlfn._xlws.FILTER(_xlpm.hours,_xlpm.states*_xlpm.type,0),_xlpm.years),0))</f>
        <v>196.11904761904756</v>
      </c>
      <c r="T12" s="125" cm="1">
        <f t="array" ref="T12">_xlfn.LET(_xlpm.hours,_xlfn._TRO_TRAILING(Sites!$AC:$AE),_xlpm.type,ISNUMBER(SEARCH($R$17,_xlfn._TRO_TRAILING(Sites!$C:$C))),
_xlpm.states,ISNUMBER(SEARCH($R$19,_xlfn._TRO_TRAILING(Sites!$D:$D))),
_xlpm.years,ISNUMBER(SEARCH(T$20,Sites!$AC$3:$AE$3)),
SUM(_xlfn._xlws.FILTER(_xlfn._xlws.FILTER(_xlpm.hours,_xlpm.states*_xlpm.type,0),_xlpm.years),0))</f>
        <v>255.54761904761901</v>
      </c>
      <c r="V12" s="125" cm="1">
        <f t="array" ref="V12">_xlfn.LET(_xlpm.hours,_xlfn._TRO_TRAILING(Sites!$AC:$AE),_xlpm.type,ISNUMBER(SEARCH($V$17,_xlfn._TRO_TRAILING(Sites!$C:$C))),
_xlpm.states,ISNUMBER(SEARCH($V$19,_xlfn._TRO_TRAILING(Sites!$D:$D))),
_xlpm.years,ISNUMBER(SEARCH(V$20,Sites!$AC$3:$AE$3)),
SUM(_xlfn._xlws.FILTER(_xlfn._xlws.FILTER(_xlpm.hours,_xlpm.states*_xlpm.type,0),_xlpm.years),0))</f>
        <v>265.16666666666663</v>
      </c>
      <c r="W12" s="125" cm="1">
        <f t="array" ref="W12">_xlfn.LET(_xlpm.hours,_xlfn._TRO_TRAILING(Sites!$AC:$AE),_xlpm.type,ISNUMBER(SEARCH($V$17,_xlfn._TRO_TRAILING(Sites!$C:$C))),
_xlpm.states,ISNUMBER(SEARCH($V$19,_xlfn._TRO_TRAILING(Sites!$D:$D))),
_xlpm.years,ISNUMBER(SEARCH(W$20,Sites!$AC$3:$AE$3)),
SUM(_xlfn._xlws.FILTER(_xlfn._xlws.FILTER(_xlpm.hours,_xlpm.states*_xlpm.type,0),_xlpm.years),0))</f>
        <v>448.16666666666674</v>
      </c>
      <c r="X12" s="125" cm="1">
        <f t="array" ref="X12">_xlfn.LET(_xlpm.hours,_xlfn._TRO_TRAILING(Sites!$AC:$AE),_xlpm.type,ISNUMBER(SEARCH($V$17,_xlfn._TRO_TRAILING(Sites!$C:$C))),
_xlpm.states,ISNUMBER(SEARCH($V$19,_xlfn._TRO_TRAILING(Sites!$D:$D))),
_xlpm.years,ISNUMBER(SEARCH(X$20,Sites!$AC$3:$AE$3)),
SUM(_xlfn._xlws.FILTER(_xlfn._xlws.FILTER(_xlpm.hours,_xlpm.states*_xlpm.type,0),_xlpm.years),0))</f>
        <v>688.16666666666652</v>
      </c>
    </row>
    <row r="13" spans="1:24" hidden="1" outlineLevel="1" x14ac:dyDescent="0.25">
      <c r="B13" s="94" t="s">
        <v>392</v>
      </c>
      <c r="F13" s="118">
        <f t="shared" si="9"/>
        <v>111.33333333333334</v>
      </c>
      <c r="G13" s="118">
        <f t="shared" si="10"/>
        <v>394.00000000000006</v>
      </c>
      <c r="H13" s="118">
        <f t="shared" si="11"/>
        <v>713.99999999999989</v>
      </c>
      <c r="J13" s="164">
        <f t="shared" si="12"/>
        <v>111.33333333333334</v>
      </c>
      <c r="K13" s="164">
        <f t="shared" si="13"/>
        <v>394.00000000000006</v>
      </c>
      <c r="L13" s="164">
        <f t="shared" si="14"/>
        <v>713.99999999999989</v>
      </c>
      <c r="N13" s="53" cm="1">
        <f t="array" ref="N13">_xlfn.LET(_xlpm.hours,_xlfn._TRO_TRAILING(Sites!$AG:$AI),_xlpm.states,ISNUMBER(SEARCH($N$19,_xlfn._TRO_TRAILING(Sites!$D:$D))),
_xlpm.years,ISNUMBER(SEARCH(N$20,Sites!$M$3:$O$3)),_xlpm.mna,ISNUMBER(SEARCH("M&amp;A",_xlfn._TRO_TRAILING(Sites!$D:$D))),
SUM(_xlfn._xlws.FILTER(_xlfn._xlws.FILTER(_xlpm.hours,_xlpm.mna,0),_xlpm.years),0))</f>
        <v>0</v>
      </c>
      <c r="O13" s="53" cm="1">
        <f t="array" ref="O13">_xlfn.LET(_xlpm.hours,_xlfn._TRO_TRAILING(Sites!$AG:$AI),_xlpm.states,ISNUMBER(SEARCH($N$19,_xlfn._TRO_TRAILING(Sites!$D:$D))),
_xlpm.years,ISNUMBER(SEARCH(O$20,Sites!$M$3:$O$3)),_xlpm.mna,ISNUMBER(SEARCH("M&amp;A",_xlfn._TRO_TRAILING(Sites!$D:$D))),
SUM(_xlfn._xlws.FILTER(_xlfn._xlws.FILTER(_xlpm.hours,_xlpm.mna,0),_xlpm.years),0))</f>
        <v>0</v>
      </c>
      <c r="P13" s="53" cm="1">
        <f t="array" ref="P13">_xlfn.LET(_xlpm.hours,_xlfn._TRO_TRAILING(Sites!$AG:$AI),_xlpm.states,ISNUMBER(SEARCH($N$19,_xlfn._TRO_TRAILING(Sites!$D:$D))),
_xlpm.years,ISNUMBER(SEARCH(P$20,Sites!$M$3:$O$3)),_xlpm.mna,ISNUMBER(SEARCH("M&amp;A",_xlfn._TRO_TRAILING(Sites!$D:$D))),
SUM(_xlfn._xlws.FILTER(_xlfn._xlws.FILTER(_xlpm.hours,_xlpm.mna,0),_xlpm.years),0))</f>
        <v>0</v>
      </c>
      <c r="R13" s="125" cm="1">
        <f t="array" ref="R13">_xlfn.LET(_xlpm.hours,_xlfn._TRO_TRAILING(Sites!$AG:$AI),_xlpm.type,ISNUMBER(SEARCH($R$17,_xlfn._TRO_TRAILING(Sites!$C:$C))),
_xlpm.states,ISNUMBER(SEARCH($R$19,_xlfn._TRO_TRAILING(Sites!$D:$D))),
_xlpm.years,ISNUMBER(SEARCH(R$20,Sites!$AC$3:$AE$3)),
SUM(_xlfn._xlws.FILTER(_xlfn._xlws.FILTER(_xlpm.hours,_xlpm.states*_xlpm.type,0),_xlpm.years),0))</f>
        <v>33.666666666666664</v>
      </c>
      <c r="S13" s="125" cm="1">
        <f t="array" ref="S13">_xlfn.LET(_xlpm.hours,_xlfn._TRO_TRAILING(Sites!$AG:$AI),_xlpm.type,ISNUMBER(SEARCH($R$17,_xlfn._TRO_TRAILING(Sites!$C:$C))),
_xlpm.states,ISNUMBER(SEARCH($R$19,_xlfn._TRO_TRAILING(Sites!$D:$D))),
_xlpm.years,ISNUMBER(SEARCH(S$20,Sites!$AC$3:$AE$3)),
SUM(_xlfn._xlws.FILTER(_xlfn._xlws.FILTER(_xlpm.hours,_xlpm.states*_xlpm.type,0),_xlpm.years),0))</f>
        <v>113.83333333333333</v>
      </c>
      <c r="T13" s="125" cm="1">
        <f t="array" ref="T13">_xlfn.LET(_xlpm.hours,_xlfn._TRO_TRAILING(Sites!$AG:$AI),_xlpm.type,ISNUMBER(SEARCH($R$17,_xlfn._TRO_TRAILING(Sites!$C:$C))),
_xlpm.states,ISNUMBER(SEARCH($R$19,_xlfn._TRO_TRAILING(Sites!$D:$D))),
_xlpm.years,ISNUMBER(SEARCH(T$20,Sites!$AC$3:$AE$3)),
SUM(_xlfn._xlws.FILTER(_xlfn._xlws.FILTER(_xlpm.hours,_xlpm.states*_xlpm.type,0),_xlpm.years),0))</f>
        <v>193.83333333333334</v>
      </c>
      <c r="V13" s="125" cm="1">
        <f t="array" ref="V13">_xlfn.LET(_xlpm.hours,_xlfn._TRO_TRAILING(Sites!$AG:$AI),_xlpm.type,ISNUMBER(SEARCH($V$17,_xlfn._TRO_TRAILING(Sites!$C:$C))),
_xlpm.states,ISNUMBER(SEARCH($V$19,_xlfn._TRO_TRAILING(Sites!$D:$D))),
_xlpm.years,ISNUMBER(SEARCH(V$20,Sites!$AC$3:$AE$3)),
SUM(_xlfn._xlws.FILTER(_xlfn._xlws.FILTER(_xlpm.hours,_xlpm.states*_xlpm.type,0),_xlpm.years),0))</f>
        <v>77.666666666666671</v>
      </c>
      <c r="W13" s="125" cm="1">
        <f t="array" ref="W13">_xlfn.LET(_xlpm.hours,_xlfn._TRO_TRAILING(Sites!$AG:$AI),_xlpm.type,ISNUMBER(SEARCH($V$17,_xlfn._TRO_TRAILING(Sites!$C:$C))),
_xlpm.states,ISNUMBER(SEARCH($V$19,_xlfn._TRO_TRAILING(Sites!$D:$D))),
_xlpm.years,ISNUMBER(SEARCH(W$20,Sites!$AC$3:$AE$3)),
SUM(_xlfn._xlws.FILTER(_xlfn._xlws.FILTER(_xlpm.hours,_xlpm.states*_xlpm.type,0),_xlpm.years),0))</f>
        <v>280.16666666666674</v>
      </c>
      <c r="X13" s="125" cm="1">
        <f t="array" ref="X13">_xlfn.LET(_xlpm.hours,_xlfn._TRO_TRAILING(Sites!$AG:$AI),_xlpm.type,ISNUMBER(SEARCH($V$17,_xlfn._TRO_TRAILING(Sites!$C:$C))),
_xlpm.states,ISNUMBER(SEARCH($V$19,_xlfn._TRO_TRAILING(Sites!$D:$D))),
_xlpm.years,ISNUMBER(SEARCH(X$20,Sites!$AC$3:$AE$3)),
SUM(_xlfn._xlws.FILTER(_xlfn._xlws.FILTER(_xlpm.hours,_xlpm.states*_xlpm.type,0),_xlpm.years),0))</f>
        <v>520.16666666666652</v>
      </c>
    </row>
    <row r="14" spans="1:24" hidden="1" outlineLevel="1" x14ac:dyDescent="0.25">
      <c r="B14" s="94" t="s">
        <v>393</v>
      </c>
      <c r="F14" s="118">
        <f t="shared" si="9"/>
        <v>929.33333333333337</v>
      </c>
      <c r="G14" s="118">
        <f t="shared" si="10"/>
        <v>1846</v>
      </c>
      <c r="H14" s="118">
        <f t="shared" si="11"/>
        <v>2728</v>
      </c>
      <c r="J14" s="164">
        <f t="shared" si="12"/>
        <v>414.33333333333337</v>
      </c>
      <c r="K14" s="164">
        <f t="shared" si="13"/>
        <v>999</v>
      </c>
      <c r="L14" s="164">
        <f t="shared" si="14"/>
        <v>1587.0000000000002</v>
      </c>
      <c r="N14" s="53" cm="1">
        <f t="array" ref="N14">_xlfn.LET(_xlpm.hours,_xlfn._TRO_TRAILING(Sites!$AK:$AM),_xlpm.states,ISNUMBER(SEARCH($N$19,_xlfn._TRO_TRAILING(Sites!$D:$D))),
_xlpm.years,ISNUMBER(SEARCH(N$20,Sites!$M$3:$O$3)),_xlpm.mna,ISNUMBER(SEARCH("M&amp;A",_xlfn._TRO_TRAILING(Sites!$D:$D))),
SUM(_xlfn._xlws.FILTER(_xlfn._xlws.FILTER(_xlpm.hours,_xlpm.mna,0),_xlpm.years),0))</f>
        <v>515</v>
      </c>
      <c r="O14" s="53" cm="1">
        <f t="array" ref="O14">_xlfn.LET(_xlpm.hours,_xlfn._TRO_TRAILING(Sites!$AK:$AM),_xlpm.states,ISNUMBER(SEARCH($N$19,_xlfn._TRO_TRAILING(Sites!$D:$D))),
_xlpm.years,ISNUMBER(SEARCH(O$20,Sites!$M$3:$O$3)),_xlpm.mna,ISNUMBER(SEARCH("M&amp;A",_xlfn._TRO_TRAILING(Sites!$D:$D))),
SUM(_xlfn._xlws.FILTER(_xlfn._xlws.FILTER(_xlpm.hours,_xlpm.mna,0),_xlpm.years),0))</f>
        <v>847</v>
      </c>
      <c r="P14" s="53" cm="1">
        <f t="array" ref="P14">_xlfn.LET(_xlpm.hours,_xlfn._TRO_TRAILING(Sites!$AK:$AM),_xlpm.states,ISNUMBER(SEARCH($N$19,_xlfn._TRO_TRAILING(Sites!$D:$D))),
_xlpm.years,ISNUMBER(SEARCH(P$20,Sites!$M$3:$O$3)),_xlpm.mna,ISNUMBER(SEARCH("M&amp;A",_xlfn._TRO_TRAILING(Sites!$D:$D))),
SUM(_xlfn._xlws.FILTER(_xlfn._xlws.FILTER(_xlpm.hours,_xlpm.mna,0),_xlpm.years),0))</f>
        <v>1141</v>
      </c>
      <c r="R14" s="125" cm="1">
        <f t="array" ref="R14">_xlfn.LET(_xlpm.hours,_xlfn._TRO_TRAILING(Sites!$AK:$AM),_xlpm.type,ISNUMBER(SEARCH($R$17,_xlfn._TRO_TRAILING(Sites!$C:$C))),
_xlpm.states,ISNUMBER(SEARCH($R$19,_xlfn._TRO_TRAILING(Sites!$D:$D))),
_xlpm.years,ISNUMBER(SEARCH(R$20,Sites!$AC$3:$AE$3)),
SUM(_xlfn._xlws.FILTER(_xlfn._xlws.FILTER(_xlpm.hours,_xlpm.states*_xlpm.type,0),_xlpm.years),0))</f>
        <v>93.666666666666671</v>
      </c>
      <c r="S14" s="125" cm="1">
        <f t="array" ref="S14">_xlfn.LET(_xlpm.hours,_xlfn._TRO_TRAILING(Sites!$AK:$AM),_xlpm.type,ISNUMBER(SEARCH($R$17,_xlfn._TRO_TRAILING(Sites!$C:$C))),
_xlpm.states,ISNUMBER(SEARCH($R$19,_xlfn._TRO_TRAILING(Sites!$D:$D))),
_xlpm.years,ISNUMBER(SEARCH(S$20,Sites!$AC$3:$AE$3)),
SUM(_xlfn._xlws.FILTER(_xlfn._xlws.FILTER(_xlpm.hours,_xlpm.states*_xlpm.type,0),_xlpm.years),0))</f>
        <v>268.83333333333331</v>
      </c>
      <c r="T14" s="125" cm="1">
        <f t="array" ref="T14">_xlfn.LET(_xlpm.hours,_xlfn._TRO_TRAILING(Sites!$AK:$AM),_xlpm.type,ISNUMBER(SEARCH($R$17,_xlfn._TRO_TRAILING(Sites!$C:$C))),
_xlpm.states,ISNUMBER(SEARCH($R$19,_xlfn._TRO_TRAILING(Sites!$D:$D))),
_xlpm.years,ISNUMBER(SEARCH(T$20,Sites!$AC$3:$AE$3)),
SUM(_xlfn._xlws.FILTER(_xlfn._xlws.FILTER(_xlpm.hours,_xlpm.states*_xlpm.type,0),_xlpm.years),0))</f>
        <v>421.83333333333331</v>
      </c>
      <c r="V14" s="125" cm="1">
        <f t="array" ref="V14">_xlfn.LET(_xlpm.hours,_xlfn._TRO_TRAILING(Sites!$AK:$AM),_xlpm.type,ISNUMBER(SEARCH($V$17,_xlfn._TRO_TRAILING(Sites!$C:$C))),
_xlpm.states,ISNUMBER(SEARCH($V$19,_xlfn._TRO_TRAILING(Sites!$D:$D))),
_xlpm.years,ISNUMBER(SEARCH(V$20,Sites!$AC$3:$AE$3)),
SUM(_xlfn._xlws.FILTER(_xlfn._xlws.FILTER(_xlpm.hours,_xlpm.states*_xlpm.type,0),_xlpm.years),0))</f>
        <v>320.66666666666669</v>
      </c>
      <c r="W14" s="125" cm="1">
        <f t="array" ref="W14">_xlfn.LET(_xlpm.hours,_xlfn._TRO_TRAILING(Sites!$AK:$AM),_xlpm.type,ISNUMBER(SEARCH($V$17,_xlfn._TRO_TRAILING(Sites!$C:$C))),
_xlpm.states,ISNUMBER(SEARCH($V$19,_xlfn._TRO_TRAILING(Sites!$D:$D))),
_xlpm.years,ISNUMBER(SEARCH(W$20,Sites!$AC$3:$AE$3)),
SUM(_xlfn._xlws.FILTER(_xlfn._xlws.FILTER(_xlpm.hours,_xlpm.states*_xlpm.type,0),_xlpm.years),0))</f>
        <v>730.16666666666663</v>
      </c>
      <c r="X14" s="125" cm="1">
        <f t="array" ref="X14">_xlfn.LET(_xlpm.hours,_xlfn._TRO_TRAILING(Sites!$AK:$AM),_xlpm.type,ISNUMBER(SEARCH($V$17,_xlfn._TRO_TRAILING(Sites!$C:$C))),
_xlpm.states,ISNUMBER(SEARCH($V$19,_xlfn._TRO_TRAILING(Sites!$D:$D))),
_xlpm.years,ISNUMBER(SEARCH(X$20,Sites!$AC$3:$AE$3)),
SUM(_xlfn._xlws.FILTER(_xlfn._xlws.FILTER(_xlpm.hours,_xlpm.states*_xlpm.type,0),_xlpm.years),0))</f>
        <v>1165.166666666667</v>
      </c>
    </row>
    <row r="15" spans="1:24" collapsed="1" x14ac:dyDescent="0.25">
      <c r="J15" s="71"/>
      <c r="K15" s="71"/>
      <c r="L15" s="71"/>
      <c r="N15" s="71"/>
      <c r="O15" s="71"/>
      <c r="P15" s="71"/>
    </row>
    <row r="16" spans="1:24" x14ac:dyDescent="0.25">
      <c r="B16" s="2" t="s">
        <v>394</v>
      </c>
      <c r="D16" s="2"/>
      <c r="F16" s="157">
        <f t="shared" ref="F16:H16" si="15">IFERROR(SUM(F21:F25)/F18,0)</f>
        <v>179.105664284158</v>
      </c>
      <c r="G16" s="157">
        <f t="shared" si="15"/>
        <v>184.21443514715338</v>
      </c>
      <c r="H16" s="157">
        <f t="shared" si="15"/>
        <v>184.15873270782325</v>
      </c>
      <c r="J16" s="157">
        <f>IFERROR(SUM(J21:J25)/J18,0)</f>
        <v>176.86912512167601</v>
      </c>
      <c r="K16" s="157">
        <f t="shared" ref="K16:L16" si="16">IFERROR(SUM(K21:K25)/K18,0)</f>
        <v>182.25500270250424</v>
      </c>
      <c r="L16" s="157">
        <f t="shared" si="16"/>
        <v>182.33157945723877</v>
      </c>
      <c r="N16" s="157">
        <f>IFERROR(SUM(N21:N25)/N18,0)</f>
        <v>181.02798941115702</v>
      </c>
      <c r="O16" s="157">
        <f t="shared" ref="O16:P16" si="17">IFERROR(SUM(O21:O25)/O18,0)</f>
        <v>186.45882909349172</v>
      </c>
      <c r="P16" s="157">
        <f t="shared" si="17"/>
        <v>186.45882909349172</v>
      </c>
      <c r="R16" s="157">
        <f>IFERROR(SUM(R21:R25)/R18,0)</f>
        <v>181.0312536939883</v>
      </c>
      <c r="S16" s="157">
        <f t="shared" ref="S16:T16" si="18">IFERROR(SUM(S21:S25)/S18,0)</f>
        <v>186.46272212130481</v>
      </c>
      <c r="T16" s="157">
        <f t="shared" si="18"/>
        <v>186.46123539843569</v>
      </c>
      <c r="V16" s="157">
        <f>IFERROR(SUM(V21:V25)/V18,0)</f>
        <v>176.33175469781614</v>
      </c>
      <c r="W16" s="157">
        <f t="shared" ref="W16:X16" si="19">IFERROR(SUM(W21:W25)/W18,0)</f>
        <v>181.6217073387507</v>
      </c>
      <c r="X16" s="157">
        <f t="shared" si="19"/>
        <v>181.62170733875072</v>
      </c>
    </row>
    <row r="17" spans="2:24" x14ac:dyDescent="0.25">
      <c r="F17" s="136" t="s">
        <v>355</v>
      </c>
      <c r="G17" s="137"/>
      <c r="H17" s="136"/>
      <c r="J17" s="136" t="s">
        <v>283</v>
      </c>
      <c r="K17" s="137"/>
      <c r="L17" s="136"/>
      <c r="N17" s="136" t="s">
        <v>284</v>
      </c>
      <c r="O17" s="137"/>
      <c r="P17" s="136"/>
      <c r="R17" s="136" t="s">
        <v>344</v>
      </c>
      <c r="S17" s="137"/>
      <c r="T17" s="136"/>
      <c r="V17" s="136" t="s">
        <v>61</v>
      </c>
      <c r="W17" s="136"/>
      <c r="X17" s="136"/>
    </row>
    <row r="18" spans="2:24" x14ac:dyDescent="0.25">
      <c r="B18" s="2" t="s">
        <v>53</v>
      </c>
      <c r="C18" s="3"/>
      <c r="D18" s="57"/>
      <c r="F18" s="72">
        <f>J18+N18</f>
        <v>407617.02666666661</v>
      </c>
      <c r="G18" s="72">
        <f t="shared" ref="G18:H18" si="20">K18+O18</f>
        <v>981678.57333333301</v>
      </c>
      <c r="H18" s="72">
        <f t="shared" si="20"/>
        <v>1452807.8399999996</v>
      </c>
      <c r="J18" s="72">
        <f t="shared" ref="J18" si="21">R18+V18</f>
        <v>188410.19999999998</v>
      </c>
      <c r="K18" s="72">
        <f t="shared" ref="K18" si="22">S18+W18</f>
        <v>524111.42666666646</v>
      </c>
      <c r="L18" s="72">
        <f t="shared" ref="L18" si="23">T18+X18</f>
        <v>809642.82666666631</v>
      </c>
      <c r="N18" s="53" cm="1">
        <f t="array" ref="N18">_xlfn.LET(_xlpm.hours,_xlfn._TRO_TRAILING(Sites!$D:$G),_xlpm.states,ISNUMBER(SEARCH($N$19,_xlfn._TRO_TRAILING(Sites!$D:$D))),
_xlpm.years,ISNUMBER(SEARCH(N$20,Sites!$D$3:$G$3)),_xlpm.mna,ISNUMBER(SEARCH("M&amp;A",_xlfn._TRO_TRAILING(Sites!$D:$D))),
SUM(_xlfn._xlws.FILTER(_xlfn._xlws.FILTER(_xlpm.hours,_xlpm.mna,0),_xlpm.years),0))</f>
        <v>219206.82666666666</v>
      </c>
      <c r="O18" s="53" cm="1">
        <f t="array" ref="O18">_xlfn.LET(_xlpm.hours,_xlfn._TRO_TRAILING(Sites!$D:$G),_xlpm.states,ISNUMBER(SEARCH($N$19,_xlfn._TRO_TRAILING(Sites!$D:$D))),
_xlpm.years,ISNUMBER(SEARCH(O$20,Sites!$D$3:$G$3)),_xlpm.mna,ISNUMBER(SEARCH("M&amp;A",_xlfn._TRO_TRAILING(Sites!$D:$D))),
SUM(_xlfn._xlws.FILTER(_xlfn._xlws.FILTER(_xlpm.hours,_xlpm.mna,0),_xlpm.years),0))</f>
        <v>457567.14666666661</v>
      </c>
      <c r="P18" s="53" cm="1">
        <f t="array" ref="P18">_xlfn.LET(_xlpm.hours,_xlfn._TRO_TRAILING(Sites!$D:$G),_xlpm.states,ISNUMBER(SEARCH($N$19,_xlfn._TRO_TRAILING(Sites!$D:$D))),
_xlpm.years,ISNUMBER(SEARCH(P$20,Sites!$D$3:$G$3)),_xlpm.mna,ISNUMBER(SEARCH("M&amp;A",_xlfn._TRO_TRAILING(Sites!$D:$D))),
SUM(_xlfn._xlws.FILTER(_xlfn._xlws.FILTER(_xlpm.hours,_xlpm.mna,0),_xlpm.years),0))</f>
        <v>643165.01333333331</v>
      </c>
      <c r="R18" s="53" cm="1">
        <f t="array" ref="R18">_xlfn.LET(_xlpm.hours,_xlfn._TRO_TRAILING(Sites!$D:$G),_xlpm.type,ISNUMBER(SEARCH($R$17,_xlfn._TRO_TRAILING(Sites!$C:$C))),
_xlpm.states,ISNUMBER(SEARCH($R$19,_xlfn._TRO_TRAILING(Sites!$D:$D))),_xlpm.years,ISNUMBER(SEARCH(R$20,Sites!$D$3:$G$3)),
SUM(_xlfn._xlws.FILTER(_xlfn._xlws.FILTER(_xlpm.hours,_xlpm.states*_xlpm.type,0),_xlpm.years),0))</f>
        <v>21544.013333333336</v>
      </c>
      <c r="S18" s="53" cm="1">
        <f t="array" ref="S18">_xlfn.LET(_xlpm.hours,_xlfn._TRO_TRAILING(Sites!$D:$G),_xlpm.type,ISNUMBER(SEARCH($R$17,_xlfn._TRO_TRAILING(Sites!$C:$C))),
_xlpm.states,ISNUMBER(SEARCH($R$19,_xlfn._TRO_TRAILING(Sites!$D:$D))),_xlpm.years,ISNUMBER(SEARCH(S$20,Sites!$D$3:$G$3)),
SUM(_xlfn._xlws.FILTER(_xlfn._xlws.FILTER(_xlpm.hours,_xlpm.states*_xlpm.type,0),_xlpm.years),0))</f>
        <v>68563.58666666667</v>
      </c>
      <c r="T18" s="53" cm="1">
        <f t="array" ref="T18">_xlfn.LET(_xlpm.hours,_xlfn._TRO_TRAILING(Sites!$D:$G),_xlpm.type,ISNUMBER(SEARCH($R$17,_xlfn._TRO_TRAILING(Sites!$C:$C))),
_xlpm.states,ISNUMBER(SEARCH($R$19,_xlfn._TRO_TRAILING(Sites!$D:$D))),_xlpm.years,ISNUMBER(SEARCH(T$20,Sites!$D$3:$G$3)),
SUM(_xlfn._xlws.FILTER(_xlfn._xlws.FILTER(_xlpm.hours,_xlpm.states*_xlpm.type,0),_xlpm.years),0))</f>
        <v>118760.10666666666</v>
      </c>
      <c r="V18" s="53" cm="1">
        <f t="array" ref="V18">_xlfn.LET(_xlpm.hours,_xlfn._TRO_TRAILING(Sites!$D:$G),_xlpm.type,ISNUMBER(SEARCH($V$17,_xlfn._TRO_TRAILING(Sites!$C:$C))),
_xlpm.states,ISNUMBER(SEARCH($V$19,_xlfn._TRO_TRAILING(Sites!$D:$D))),
_xlpm.years,ISNUMBER(SEARCH(V$20,Sites!$D$3:$G$3)),
SUM(_xlfn._xlws.FILTER(_xlfn._xlws.FILTER(_xlpm.hours,_xlpm.states*_xlpm.type,0),_xlpm.years),0))</f>
        <v>166866.18666666665</v>
      </c>
      <c r="W18" s="53" cm="1">
        <f t="array" ref="W18">_xlfn.LET(_xlpm.hours,_xlfn._TRO_TRAILING(Sites!$D:$G),_xlpm.type,ISNUMBER(SEARCH($V$17,_xlfn._TRO_TRAILING(Sites!$C:$C))),
_xlpm.states,ISNUMBER(SEARCH($V$19,_xlfn._TRO_TRAILING(Sites!$D:$D))),
_xlpm.years,ISNUMBER(SEARCH(W$20,Sites!$D$3:$G$3)),
SUM(_xlfn._xlws.FILTER(_xlfn._xlws.FILTER(_xlpm.hours,_xlpm.states*_xlpm.type,0),_xlpm.years),0))</f>
        <v>455547.83999999979</v>
      </c>
      <c r="X18" s="53" cm="1">
        <f t="array" ref="X18">_xlfn.LET(_xlpm.hours,_xlfn._TRO_TRAILING(Sites!$D:$G),_xlpm.type,ISNUMBER(SEARCH($V$17,_xlfn._TRO_TRAILING(Sites!$C:$C))),
_xlpm.states,ISNUMBER(SEARCH($V$19,_xlfn._TRO_TRAILING(Sites!$D:$D))),
_xlpm.years,ISNUMBER(SEARCH(X$20,Sites!$D$3:$G$3)),
SUM(_xlfn._xlws.FILTER(_xlfn._xlws.FILTER(_xlpm.hours,_xlpm.states*_xlpm.type,0),_xlpm.years),0))</f>
        <v>690882.71999999962</v>
      </c>
    </row>
    <row r="19" spans="2:24" x14ac:dyDescent="0.25">
      <c r="F19" s="70" t="s">
        <v>14</v>
      </c>
      <c r="G19" s="70"/>
      <c r="H19" s="70"/>
      <c r="J19" s="70" t="s">
        <v>29</v>
      </c>
      <c r="K19" s="70"/>
      <c r="L19" s="70"/>
      <c r="N19" s="70" t="s">
        <v>43</v>
      </c>
      <c r="O19" s="70"/>
      <c r="P19" s="70"/>
      <c r="R19" s="70" t="s">
        <v>29</v>
      </c>
      <c r="S19" s="70"/>
      <c r="T19" s="70"/>
      <c r="V19" s="70" t="s">
        <v>29</v>
      </c>
      <c r="W19" s="70"/>
      <c r="X19" s="70"/>
    </row>
    <row r="20" spans="2:24" x14ac:dyDescent="0.25">
      <c r="B20" s="1" t="s">
        <v>21</v>
      </c>
      <c r="D20" s="64"/>
      <c r="F20" s="76" cm="1">
        <f t="array" ref="F20:H20">_xlfn.SEQUENCE(1,3,2026)</f>
        <v>2026</v>
      </c>
      <c r="G20" s="76">
        <v>2027</v>
      </c>
      <c r="H20" s="76">
        <v>2028</v>
      </c>
      <c r="I20" s="3"/>
      <c r="J20" s="76" cm="1">
        <f t="array" ref="J20:L20">_xlfn.SEQUENCE(1,3,2026)</f>
        <v>2026</v>
      </c>
      <c r="K20" s="76">
        <v>2027</v>
      </c>
      <c r="L20" s="76">
        <v>2028</v>
      </c>
      <c r="M20" s="3"/>
      <c r="N20" s="76" cm="1">
        <f t="array" ref="N20:P20">_xlfn.SEQUENCE(1,3,2026)</f>
        <v>2026</v>
      </c>
      <c r="O20" s="76">
        <v>2027</v>
      </c>
      <c r="P20" s="76">
        <v>2028</v>
      </c>
      <c r="Q20" s="3"/>
      <c r="R20" s="76" cm="1">
        <f t="array" ref="R20:T20">_xlfn.ANCHORARRAY($F$20)</f>
        <v>2026</v>
      </c>
      <c r="S20" s="76">
        <v>2027</v>
      </c>
      <c r="T20" s="76">
        <v>2028</v>
      </c>
      <c r="U20" s="3"/>
      <c r="V20" s="76" cm="1">
        <f t="array" ref="V20:X20">_xlfn.ANCHORARRAY('JV1'!$F$20)</f>
        <v>2026</v>
      </c>
      <c r="W20" s="76">
        <v>2027</v>
      </c>
      <c r="X20" s="76">
        <v>2028</v>
      </c>
    </row>
    <row r="21" spans="2:24" outlineLevel="1" x14ac:dyDescent="0.25">
      <c r="B21" s="39" t="s">
        <v>379</v>
      </c>
      <c r="D21" s="105"/>
      <c r="F21" s="67">
        <f>J21+N21</f>
        <v>60978225.663333327</v>
      </c>
      <c r="G21" s="67">
        <f t="shared" ref="G21:G31" si="24">K21+O21</f>
        <v>150752212.93339998</v>
      </c>
      <c r="H21" s="67">
        <f t="shared" ref="H21:H31" si="25">L21+P21</f>
        <v>222950379.11249998</v>
      </c>
      <c r="J21" s="67" cm="1">
        <f t="array" ref="J21">_xlfn.LET(_xlpm.hours,_xlfn._TRO_TRAILING(Sites!$BE:$BG),_xlpm.type,ISNUMBER(SEARCH($J$17,_xlfn._TRO_TRAILING(Sites!$C:$C))),_xlpm.states,ISNUMBER(SEARCH($J$19,_xlfn._TRO_TRAILING(Sites!$D:$D))),
_xlpm.years,ISNUMBER(SEARCH(J$20,Sites!$M$3:$O$3)),
SUM(_xlfn._xlws.FILTER(_xlfn._xlws.FILTER(_xlpm.hours,_xlpm.states,0),_xlpm.years),0))</f>
        <v>27364667.59</v>
      </c>
      <c r="K21" s="67" cm="1">
        <f t="array" ref="K21">_xlfn.LET(_xlpm.hours,_xlfn._TRO_TRAILING(Sites!$BE:$BG),_xlpm.type,ISNUMBER(SEARCH($J$17,_xlfn._TRO_TRAILING(Sites!$C:$C))),_xlpm.states,ISNUMBER(SEARCH($J$19,_xlfn._TRO_TRAILING(Sites!$D:$D))),
_xlpm.years,ISNUMBER(SEARCH(K$20,Sites!$M$3:$O$3)),
SUM(_xlfn._xlws.FILTER(_xlfn._xlws.FILTER(_xlpm.hours,_xlpm.states,0),_xlpm.years),0))</f>
        <v>78483142.240966648</v>
      </c>
      <c r="L21" s="67" cm="1">
        <f t="array" ref="L21">_xlfn.LET(_xlpm.hours,_xlfn._TRO_TRAILING(Sites!$BE:$BG),_xlpm.type,ISNUMBER(SEARCH($J$17,_xlfn._TRO_TRAILING(Sites!$C:$C))),_xlpm.states,ISNUMBER(SEARCH($J$19,_xlfn._TRO_TRAILING(Sites!$D:$D))),
_xlpm.years,ISNUMBER(SEARCH(L$20,Sites!$M$3:$O$3)),
SUM(_xlfn._xlws.FILTER(_xlfn._xlws.FILTER(_xlpm.hours,_xlpm.states,0),_xlpm.years),0))</f>
        <v>121367609.99523334</v>
      </c>
      <c r="N21" s="67" cm="1">
        <f t="array" ref="N21">_xlfn.LET(_xlpm.hours,_xlfn._TRO_TRAILING(Sites!$BE:$BG),_xlpm.type,ISNUMBER(SEARCH($N$17,_xlfn._TRO_TRAILING(Sites!$C:$C))),_xlpm.states,ISNUMBER(SEARCH($N$19,_xlfn._TRO_TRAILING(Sites!$D:$D))),
_xlpm.years,ISNUMBER(SEARCH(N$20,Sites!$M$3:$O$3)),_xlpm.mna,ISNUMBER(SEARCH($N$19,_xlfn._TRO_TRAILING(Sites!$D:$D))),
SUM(_xlfn._xlws.FILTER(_xlfn._xlws.FILTER(_xlpm.hours,_xlpm.mna,0),_xlpm.years),0))</f>
        <v>33613558.07333333</v>
      </c>
      <c r="O21" s="67" cm="1">
        <f t="array" ref="O21">_xlfn.LET(_xlpm.hours,_xlfn._TRO_TRAILING(Sites!$BE:$BG),_xlpm.type,ISNUMBER(SEARCH($N$17,_xlfn._TRO_TRAILING(Sites!$C:$C))),_xlpm.states,ISNUMBER(SEARCH($N$19,_xlfn._TRO_TRAILING(Sites!$D:$D))),
_xlpm.years,ISNUMBER(SEARCH(O$20,Sites!$M$3:$O$3)),_xlpm.mna,ISNUMBER(SEARCH("M&amp;A",_xlfn._TRO_TRAILING(Sites!$D:$D))),
SUM(_xlfn._xlws.FILTER(_xlfn._xlws.FILTER(_xlpm.hours,_xlpm.mna,0),_xlpm.years),0))</f>
        <v>72269070.692433327</v>
      </c>
      <c r="P21" s="67" cm="1">
        <f t="array" ref="P21">_xlfn.LET(_xlpm.hours,_xlfn._TRO_TRAILING(Sites!$BE:$BG),_xlpm.type,ISNUMBER(SEARCH($N$17,_xlfn._TRO_TRAILING(Sites!$C:$C))),_xlpm.states,ISNUMBER(SEARCH($N$19,_xlfn._TRO_TRAILING(Sites!$D:$D))),
_xlpm.years,ISNUMBER(SEARCH(P$20,Sites!$M$3:$O$3)),_xlpm.mna,ISNUMBER(SEARCH("M&amp;A",_xlfn._TRO_TRAILING(Sites!$D:$D))),
SUM(_xlfn._xlws.FILTER(_xlfn._xlws.FILTER(_xlpm.hours,_xlpm.mna,0),_xlpm.years),0))</f>
        <v>101582769.11726664</v>
      </c>
      <c r="R21" s="67" cm="1">
        <f t="array" ref="R21">_xlfn.LET(_xlpm.hours,_xlfn._TRO_TRAILING(Sites!$BE:$BG),_xlpm.type,ISNUMBER(SEARCH($R$17,_xlfn._TRO_TRAILING(Sites!$C:$C))),
_xlpm.states,ISNUMBER(SEARCH($R$19,_xlfn._TRO_TRAILING(Sites!$D:$D))),
_xlpm.years,ISNUMBER(SEARCH(R$20,Sites!$M$3:$O$3)),
SUM(_xlfn._xlws.FILTER(_xlfn._xlws.FILTER(_xlpm.hours,_xlpm.states*_xlpm.type,0),_xlpm.years),0))</f>
        <v>3299813.4433333338</v>
      </c>
      <c r="S21" s="67" cm="1">
        <f t="array" ref="S21">_xlfn.LET(_xlpm.hours,_xlfn._TRO_TRAILING(Sites!$BE:$BG),_xlpm.type,ISNUMBER(SEARCH($R$17,_xlfn._TRO_TRAILING(Sites!$C:$C))),
_xlpm.states,ISNUMBER(SEARCH($R$19,_xlfn._TRO_TRAILING(Sites!$D:$D))),
_xlpm.years,ISNUMBER(SEARCH(S$20,Sites!$M$3:$O$3)),
SUM(_xlfn._xlws.FILTER(_xlfn._xlws.FILTER(_xlpm.hours,_xlpm.states*_xlpm.type,0),_xlpm.years),0))</f>
        <v>10814710.896166667</v>
      </c>
      <c r="T21" s="67" cm="1">
        <f t="array" ref="T21">_xlfn.LET(_xlpm.hours,_xlfn._TRO_TRAILING(Sites!$BE:$BG),_xlpm.type,ISNUMBER(SEARCH($R$17,_xlfn._TRO_TRAILING(Sites!$C:$C))),
_xlpm.states,ISNUMBER(SEARCH($R$19,_xlfn._TRO_TRAILING(Sites!$D:$D))),
_xlpm.years,ISNUMBER(SEARCH(T$20,Sites!$M$3:$O$3)),
SUM(_xlfn._xlws.FILTER(_xlfn._xlws.FILTER(_xlpm.hours,_xlpm.states*_xlpm.type,0),_xlpm.years),0))</f>
        <v>18741835.486833334</v>
      </c>
      <c r="V21" s="67" cm="1">
        <f t="array" ref="V21">_xlfn.LET(_xlpm.hours,_xlfn._TRO_TRAILING(Sites!$BE:$BG),_xlpm.type,ISNUMBER(SEARCH($V$17,_xlfn._TRO_TRAILING(Sites!$C:$C))),
_xlpm.states,ISNUMBER(SEARCH($V$19,_xlfn._TRO_TRAILING(Sites!$D:$D))),
_xlpm.years,ISNUMBER(SEARCH(V$20,Sites!$M$3:$O$3)),
SUM(_xlfn._xlws.FILTER(_xlfn._xlws.FILTER(_xlpm.hours,_xlpm.states*_xlpm.type,0),_xlpm.years),0))</f>
        <v>24064854.146666665</v>
      </c>
      <c r="W21" s="67" cm="1">
        <f t="array" ref="W21">_xlfn.LET(_xlpm.hours,_xlfn._TRO_TRAILING(Sites!$BE:$BG),_xlpm.type,ISNUMBER(SEARCH($V$17,_xlfn._TRO_TRAILING(Sites!$C:$C))),
_xlpm.states,ISNUMBER(SEARCH($V$19,_xlfn._TRO_TRAILING(Sites!$D:$D))),
_xlpm.years,ISNUMBER(SEARCH(W$20,Sites!$M$3:$O$3)),
SUM(_xlfn._xlws.FILTER(_xlfn._xlws.FILTER(_xlpm.hours,_xlpm.states*_xlpm.type,0),_xlpm.years),0))</f>
        <v>67668431.344799981</v>
      </c>
      <c r="X21" s="67" cm="1">
        <f t="array" ref="X21">_xlfn.LET(_xlpm.hours,_xlfn._TRO_TRAILING(Sites!$BE:$BG),_xlpm.type,ISNUMBER(SEARCH($V$17,_xlfn._TRO_TRAILING(Sites!$C:$C))),
_xlpm.states,ISNUMBER(SEARCH($V$19,_xlfn._TRO_TRAILING(Sites!$D:$D))),
_xlpm.years,ISNUMBER(SEARCH(X$20,Sites!$M$3:$O$3)),
SUM(_xlfn._xlws.FILTER(_xlfn._xlws.FILTER(_xlpm.hours,_xlpm.states*_xlpm.type,0),_xlpm.years),0))</f>
        <v>102625774.50839999</v>
      </c>
    </row>
    <row r="22" spans="2:24" outlineLevel="1" x14ac:dyDescent="0.25">
      <c r="B22" s="39" t="s">
        <v>380</v>
      </c>
      <c r="D22" s="105"/>
      <c r="F22" s="67">
        <f t="shared" ref="F22:F31" si="26">J22+N22</f>
        <v>1411010.813333333</v>
      </c>
      <c r="G22" s="67">
        <f t="shared" si="24"/>
        <v>3967648.7448000005</v>
      </c>
      <c r="H22" s="67">
        <f t="shared" si="25"/>
        <v>6017326.2084000017</v>
      </c>
      <c r="J22" s="67" cm="1">
        <f t="array" ref="J22">_xlfn.LET(_xlpm.hours,_xlfn._TRO_TRAILING(Sites!$BI:$BK),_xlpm.type,ISNUMBER(SEARCH($J$17,_xlfn._TRO_TRAILING(Sites!$C:$C))),_xlpm.states,ISNUMBER(SEARCH($J$19,_xlfn._TRO_TRAILING(Sites!$D:$D))),
_xlpm.years,ISNUMBER(SEARCH(J$20,Sites!$M$3:$O$3)),
SUM(_xlfn._xlws.FILTER(_xlfn._xlws.FILTER(_xlpm.hours,_xlpm.states,0),_xlpm.years),0))</f>
        <v>1411010.813333333</v>
      </c>
      <c r="K22" s="67" cm="1">
        <f t="array" ref="K22">_xlfn.LET(_xlpm.hours,_xlfn._TRO_TRAILING(Sites!$BI:$BK),_xlpm.type,ISNUMBER(SEARCH($J$17,_xlfn._TRO_TRAILING(Sites!$C:$C))),_xlpm.states,ISNUMBER(SEARCH($J$19,_xlfn._TRO_TRAILING(Sites!$D:$D))),
_xlpm.years,ISNUMBER(SEARCH(K$20,Sites!$M$3:$O$3)),
SUM(_xlfn._xlws.FILTER(_xlfn._xlws.FILTER(_xlpm.hours,_xlpm.states,0),_xlpm.years),0))</f>
        <v>3967648.7448000005</v>
      </c>
      <c r="L22" s="67" cm="1">
        <f t="array" ref="L22">_xlfn.LET(_xlpm.hours,_xlfn._TRO_TRAILING(Sites!$BI:$BK),_xlpm.type,ISNUMBER(SEARCH($J$17,_xlfn._TRO_TRAILING(Sites!$C:$C))),_xlpm.states,ISNUMBER(SEARCH($J$19,_xlfn._TRO_TRAILING(Sites!$D:$D))),
_xlpm.years,ISNUMBER(SEARCH(L$20,Sites!$M$3:$O$3)),
SUM(_xlfn._xlws.FILTER(_xlfn._xlws.FILTER(_xlpm.hours,_xlpm.states,0),_xlpm.years),0))</f>
        <v>6017326.2084000017</v>
      </c>
      <c r="N22" s="67" cm="1">
        <f t="array" ref="N22">_xlfn.LET(_xlpm.hours,_xlfn._TRO_TRAILING(Sites!$BI:$BK),_xlpm.type,ISNUMBER(SEARCH($N$17,_xlfn._TRO_TRAILING(Sites!$C:$C))),_xlpm.states,ISNUMBER(SEARCH($N$19,_xlfn._TRO_TRAILING(Sites!$D:$D))),
_xlpm.years,ISNUMBER(SEARCH(N$20,Sites!$M$3:$O$3)),_xlpm.mna,ISNUMBER(SEARCH("M&amp;A",_xlfn._TRO_TRAILING(Sites!$D:$D))),
SUM(_xlfn._xlws.FILTER(_xlfn._xlws.FILTER(_xlpm.hours,_xlpm.mna,0),_xlpm.years),0))</f>
        <v>0</v>
      </c>
      <c r="O22" s="67" cm="1">
        <f t="array" ref="O22">_xlfn.LET(_xlpm.hours,_xlfn._TRO_TRAILING(Sites!$BI:$BK),_xlpm.type,ISNUMBER(SEARCH($N$17,_xlfn._TRO_TRAILING(Sites!$C:$C))),_xlpm.states,ISNUMBER(SEARCH($N$19,_xlfn._TRO_TRAILING(Sites!$D:$D))),
_xlpm.years,ISNUMBER(SEARCH(O$20,Sites!$M$3:$O$3)),_xlpm.mna,ISNUMBER(SEARCH("M&amp;A",_xlfn._TRO_TRAILING(Sites!$D:$D))),
SUM(_xlfn._xlws.FILTER(_xlfn._xlws.FILTER(_xlpm.hours,_xlpm.mna,0),_xlpm.years),0))</f>
        <v>0</v>
      </c>
      <c r="P22" s="67" cm="1">
        <f t="array" ref="P22">_xlfn.LET(_xlpm.hours,_xlfn._TRO_TRAILING(Sites!$BI:$BK),_xlpm.type,ISNUMBER(SEARCH($N$17,_xlfn._TRO_TRAILING(Sites!$C:$C))),_xlpm.states,ISNUMBER(SEARCH($N$19,_xlfn._TRO_TRAILING(Sites!$D:$D))),
_xlpm.years,ISNUMBER(SEARCH(P$20,Sites!$M$3:$O$3)),_xlpm.mna,ISNUMBER(SEARCH("M&amp;A",_xlfn._TRO_TRAILING(Sites!$D:$D))),
SUM(_xlfn._xlws.FILTER(_xlfn._xlws.FILTER(_xlpm.hours,_xlpm.mna,0),_xlpm.years),0))</f>
        <v>0</v>
      </c>
      <c r="R22" s="67" cm="1">
        <f t="array" ref="R22">_xlfn.LET(_xlpm.hours,_xlfn._TRO_TRAILING(Sites!$BI:$BK),_xlpm.type,ISNUMBER(SEARCH($R$17,_xlfn._TRO_TRAILING(Sites!$C:$C))),
_xlpm.states,ISNUMBER(SEARCH($R$19,_xlfn._TRO_TRAILING(Sites!$D:$D))),
_xlpm.years,ISNUMBER(SEARCH(R$20,Sites!$M$3:$O$3)),
SUM(_xlfn._xlws.FILTER(_xlfn._xlws.FILTER(_xlpm.hours,_xlpm.states*_xlpm.type,0),_xlpm.years),0))</f>
        <v>0</v>
      </c>
      <c r="S22" s="67" cm="1">
        <f t="array" ref="S22">_xlfn.LET(_xlpm.hours,_xlfn._TRO_TRAILING(Sites!$BI:$BK),_xlpm.type,ISNUMBER(SEARCH($R$17,_xlfn._TRO_TRAILING(Sites!$C:$C))),
_xlpm.states,ISNUMBER(SEARCH($R$19,_xlfn._TRO_TRAILING(Sites!$D:$D))),
_xlpm.years,ISNUMBER(SEARCH(S$20,Sites!$M$3:$O$3)),
SUM(_xlfn._xlws.FILTER(_xlfn._xlws.FILTER(_xlpm.hours,_xlpm.states*_xlpm.type,0),_xlpm.years),0))</f>
        <v>0</v>
      </c>
      <c r="T22" s="67" cm="1">
        <f t="array" ref="T22">_xlfn.LET(_xlpm.hours,_xlfn._TRO_TRAILING(Sites!$BI:$BK),_xlpm.type,ISNUMBER(SEARCH($R$17,_xlfn._TRO_TRAILING(Sites!$C:$C))),
_xlpm.states,ISNUMBER(SEARCH($R$19,_xlfn._TRO_TRAILING(Sites!$D:$D))),
_xlpm.years,ISNUMBER(SEARCH(T$20,Sites!$M$3:$O$3)),
SUM(_xlfn._xlws.FILTER(_xlfn._xlws.FILTER(_xlpm.hours,_xlpm.states*_xlpm.type,0),_xlpm.years),0))</f>
        <v>0</v>
      </c>
      <c r="V22" s="67" cm="1">
        <f t="array" ref="V22">_xlfn.LET(_xlpm.hours,_xlfn._TRO_TRAILING(Sites!$BI:$BK),_xlpm.type,ISNUMBER(SEARCH($V$17,_xlfn._TRO_TRAILING(Sites!$C:$C))),
_xlpm.states,ISNUMBER(SEARCH($V$19,_xlfn._TRO_TRAILING(Sites!$D:$D))),
_xlpm.years,ISNUMBER(SEARCH(V$20,Sites!$M$3:$O$3)),
SUM(_xlfn._xlws.FILTER(_xlfn._xlws.FILTER(_xlpm.hours,_xlpm.states*_xlpm.type,0),_xlpm.years),0))</f>
        <v>1411010.813333333</v>
      </c>
      <c r="W22" s="67" cm="1">
        <f t="array" ref="W22">_xlfn.LET(_xlpm.hours,_xlfn._TRO_TRAILING(Sites!$BI:$BK),_xlpm.type,ISNUMBER(SEARCH($V$17,_xlfn._TRO_TRAILING(Sites!$C:$C))),
_xlpm.states,ISNUMBER(SEARCH($V$19,_xlfn._TRO_TRAILING(Sites!$D:$D))),
_xlpm.years,ISNUMBER(SEARCH(W$20,Sites!$M$3:$O$3)),
SUM(_xlfn._xlws.FILTER(_xlfn._xlws.FILTER(_xlpm.hours,_xlpm.states*_xlpm.type,0),_xlpm.years),0))</f>
        <v>3967648.7448000005</v>
      </c>
      <c r="X22" s="67" cm="1">
        <f t="array" ref="X22">_xlfn.LET(_xlpm.hours,_xlfn._TRO_TRAILING(Sites!$BI:$BK),_xlpm.type,ISNUMBER(SEARCH($V$17,_xlfn._TRO_TRAILING(Sites!$C:$C))),
_xlpm.states,ISNUMBER(SEARCH($V$19,_xlfn._TRO_TRAILING(Sites!$D:$D))),
_xlpm.years,ISNUMBER(SEARCH(X$20,Sites!$M$3:$O$3)),
SUM(_xlfn._xlws.FILTER(_xlfn._xlws.FILTER(_xlpm.hours,_xlpm.states*_xlpm.type,0),_xlpm.years),0))</f>
        <v>6017326.2084000017</v>
      </c>
    </row>
    <row r="23" spans="2:24" outlineLevel="1" x14ac:dyDescent="0.25">
      <c r="B23" s="39" t="s">
        <v>381</v>
      </c>
      <c r="D23" s="105"/>
      <c r="F23" s="67">
        <f t="shared" si="26"/>
        <v>8276965.2679999992</v>
      </c>
      <c r="G23" s="67">
        <f t="shared" si="24"/>
        <v>20516522.382069997</v>
      </c>
      <c r="H23" s="67">
        <f t="shared" si="25"/>
        <v>30352541.217569988</v>
      </c>
      <c r="J23" s="67" cm="1">
        <f t="array" ref="J23">_xlfn.LET(_xlpm.hours,_xlfn._TRO_TRAILING(Sites!$BM:$BO),_xlpm.type,ISNUMBER(SEARCH($J$17,_xlfn._TRO_TRAILING(Sites!$C:$C))),_xlpm.states,ISNUMBER(SEARCH($J$19,_xlfn._TRO_TRAILING(Sites!$D:$D))),
_xlpm.years,ISNUMBER(SEARCH(J$20,Sites!$M$3:$O$3)),
SUM(_xlfn._xlws.FILTER(_xlfn._xlws.FILTER(_xlpm.hours,_xlpm.states,0),_xlpm.years),0))</f>
        <v>3796598.8059999994</v>
      </c>
      <c r="K23" s="67" cm="1">
        <f t="array" ref="K23">_xlfn.LET(_xlpm.hours,_xlfn._TRO_TRAILING(Sites!$BM:$BO),_xlpm.type,ISNUMBER(SEARCH($J$17,_xlfn._TRO_TRAILING(Sites!$C:$C))),_xlpm.states,ISNUMBER(SEARCH($J$19,_xlfn._TRO_TRAILING(Sites!$D:$D))),
_xlpm.years,ISNUMBER(SEARCH(K$20,Sites!$M$3:$O$3)),
SUM(_xlfn._xlws.FILTER(_xlfn._xlws.FILTER(_xlpm.hours,_xlpm.states,0),_xlpm.years),0))</f>
        <v>10883745.040739998</v>
      </c>
      <c r="L23" s="67" cm="1">
        <f t="array" ref="L23">_xlfn.LET(_xlpm.hours,_xlfn._TRO_TRAILING(Sites!$BM:$BO),_xlpm.type,ISNUMBER(SEARCH($J$17,_xlfn._TRO_TRAILING(Sites!$C:$C))),_xlpm.states,ISNUMBER(SEARCH($J$19,_xlfn._TRO_TRAILING(Sites!$D:$D))),
_xlpm.years,ISNUMBER(SEARCH(L$20,Sites!$M$3:$O$3)),
SUM(_xlfn._xlws.FILTER(_xlfn._xlws.FILTER(_xlpm.hours,_xlpm.states,0),_xlpm.years),0))</f>
        <v>16812527.66478999</v>
      </c>
      <c r="N23" s="67" cm="1">
        <f t="array" ref="N23">_xlfn.LET(_xlpm.hours,_xlfn._TRO_TRAILING(Sites!$BM:$BO),_xlpm.type,ISNUMBER(SEARCH($N$17,_xlfn._TRO_TRAILING(Sites!$C:$C))),_xlpm.states,ISNUMBER(SEARCH($N$19,_xlfn._TRO_TRAILING(Sites!$D:$D))),
_xlpm.years,ISNUMBER(SEARCH(N$20,Sites!$M$3:$O$3)),_xlpm.mna,ISNUMBER(SEARCH("M&amp;A",_xlfn._TRO_TRAILING(Sites!$D:$D))),
SUM(_xlfn._xlws.FILTER(_xlfn._xlws.FILTER(_xlpm.hours,_xlpm.mna,0),_xlpm.years),0))</f>
        <v>4480366.4619999994</v>
      </c>
      <c r="O23" s="67" cm="1">
        <f t="array" ref="O23">_xlfn.LET(_xlpm.hours,_xlfn._TRO_TRAILING(Sites!$BM:$BO),_xlpm.type,ISNUMBER(SEARCH($N$17,_xlfn._TRO_TRAILING(Sites!$C:$C))),_xlpm.states,ISNUMBER(SEARCH($N$19,_xlfn._TRO_TRAILING(Sites!$D:$D))),
_xlpm.years,ISNUMBER(SEARCH(O$20,Sites!$M$3:$O$3)),_xlpm.mna,ISNUMBER(SEARCH("M&amp;A",_xlfn._TRO_TRAILING(Sites!$D:$D))),
SUM(_xlfn._xlws.FILTER(_xlfn._xlws.FILTER(_xlpm.hours,_xlpm.mna,0),_xlpm.years),0))</f>
        <v>9632777.3413299974</v>
      </c>
      <c r="P23" s="67" cm="1">
        <f t="array" ref="P23">_xlfn.LET(_xlpm.hours,_xlfn._TRO_TRAILING(Sites!$BM:$BO),_xlpm.type,ISNUMBER(SEARCH($N$17,_xlfn._TRO_TRAILING(Sites!$C:$C))),_xlpm.states,ISNUMBER(SEARCH($N$19,_xlfn._TRO_TRAILING(Sites!$D:$D))),
_xlpm.years,ISNUMBER(SEARCH(P$20,Sites!$M$3:$O$3)),_xlpm.mna,ISNUMBER(SEARCH("M&amp;A",_xlfn._TRO_TRAILING(Sites!$D:$D))),
SUM(_xlfn._xlws.FILTER(_xlfn._xlws.FILTER(_xlpm.hours,_xlpm.mna,0),_xlpm.years),0))</f>
        <v>13540013.552779999</v>
      </c>
      <c r="R23" s="67" cm="1">
        <f t="array" ref="R23">_xlfn.LET(_xlpm.hours,_xlfn._TRO_TRAILING(Sites!$BM:$BO),_xlpm.type,ISNUMBER(SEARCH($R$17,_xlfn._TRO_TRAILING(Sites!$C:$C))),
_xlpm.states,ISNUMBER(SEARCH($R$19,_xlfn._TRO_TRAILING(Sites!$D:$D))),
_xlpm.years,ISNUMBER(SEARCH(R$20,Sites!$M$3:$O$3)),
SUM(_xlfn._xlws.FILTER(_xlfn._xlws.FILTER(_xlpm.hours,_xlpm.states*_xlpm.type,0),_xlpm.years),0))</f>
        <v>443182.73999999987</v>
      </c>
      <c r="S23" s="67" cm="1">
        <f t="array" ref="S23">_xlfn.LET(_xlpm.hours,_xlfn._TRO_TRAILING(Sites!$BM:$BO),_xlpm.type,ISNUMBER(SEARCH($R$17,_xlfn._TRO_TRAILING(Sites!$C:$C))),
_xlpm.states,ISNUMBER(SEARCH($R$19,_xlfn._TRO_TRAILING(Sites!$D:$D))),
_xlpm.years,ISNUMBER(SEARCH(S$20,Sites!$M$3:$O$3)),
SUM(_xlfn._xlws.FILTER(_xlfn._xlws.FILTER(_xlpm.hours,_xlpm.states*_xlpm.type,0),_xlpm.years),0))</f>
        <v>1454209.1935799993</v>
      </c>
      <c r="T23" s="67" cm="1">
        <f t="array" ref="T23">_xlfn.LET(_xlpm.hours,_xlfn._TRO_TRAILING(Sites!$BM:$BO),_xlpm.type,ISNUMBER(SEARCH($R$17,_xlfn._TRO_TRAILING(Sites!$C:$C))),
_xlpm.states,ISNUMBER(SEARCH($R$19,_xlfn._TRO_TRAILING(Sites!$D:$D))),
_xlpm.years,ISNUMBER(SEARCH(T$20,Sites!$M$3:$O$3)),
SUM(_xlfn._xlws.FILTER(_xlfn._xlws.FILTER(_xlpm.hours,_xlpm.states*_xlpm.type,0),_xlpm.years),0))</f>
        <v>2511717.0750099989</v>
      </c>
      <c r="V23" s="67" cm="1">
        <f t="array" ref="V23">_xlfn.LET(_xlpm.hours,_xlfn._TRO_TRAILING(Sites!$BM:$BO),_xlpm.type,ISNUMBER(SEARCH($V$17,_xlfn._TRO_TRAILING(Sites!$C:$C))),
_xlpm.states,ISNUMBER(SEARCH($V$19,_xlfn._TRO_TRAILING(Sites!$D:$D))),
_xlpm.years,ISNUMBER(SEARCH(V$20,Sites!$M$3:$O$3)),
SUM(_xlfn._xlws.FILTER(_xlfn._xlws.FILTER(_xlpm.hours,_xlpm.states*_xlpm.type,0),_xlpm.years),0))</f>
        <v>3353416.0659999992</v>
      </c>
      <c r="W23" s="67" cm="1">
        <f t="array" ref="W23">_xlfn.LET(_xlpm.hours,_xlfn._TRO_TRAILING(Sites!$BM:$BO),_xlpm.type,ISNUMBER(SEARCH($V$17,_xlfn._TRO_TRAILING(Sites!$C:$C))),
_xlpm.states,ISNUMBER(SEARCH($V$19,_xlfn._TRO_TRAILING(Sites!$D:$D))),
_xlpm.years,ISNUMBER(SEARCH(W$20,Sites!$M$3:$O$3)),
SUM(_xlfn._xlws.FILTER(_xlfn._xlws.FILTER(_xlpm.hours,_xlpm.states*_xlpm.type,0),_xlpm.years),0))</f>
        <v>9429535.8471599966</v>
      </c>
      <c r="X23" s="67" cm="1">
        <f t="array" ref="X23">_xlfn.LET(_xlpm.hours,_xlfn._TRO_TRAILING(Sites!$BM:$BO),_xlpm.type,ISNUMBER(SEARCH($V$17,_xlfn._TRO_TRAILING(Sites!$C:$C))),
_xlpm.states,ISNUMBER(SEARCH($V$19,_xlfn._TRO_TRAILING(Sites!$D:$D))),
_xlpm.years,ISNUMBER(SEARCH(X$20,Sites!$M$3:$O$3)),
SUM(_xlfn._xlws.FILTER(_xlfn._xlws.FILTER(_xlpm.hours,_xlpm.states*_xlpm.type,0),_xlpm.years),0))</f>
        <v>14300810.589779995</v>
      </c>
    </row>
    <row r="24" spans="2:24" outlineLevel="1" x14ac:dyDescent="0.25">
      <c r="B24" s="39" t="s">
        <v>383</v>
      </c>
      <c r="D24" s="105"/>
      <c r="F24" s="67">
        <f t="shared" si="26"/>
        <v>1015424.1900000002</v>
      </c>
      <c r="G24" s="67">
        <f t="shared" si="24"/>
        <v>2431039.1474600001</v>
      </c>
      <c r="H24" s="67">
        <f t="shared" si="25"/>
        <v>3569559.3727199999</v>
      </c>
      <c r="J24" s="67" cm="1">
        <f t="array" ref="J24">_xlfn.LET(_xlpm.hours,_xlfn._TRO_TRAILING(Sites!$BQ:$BS),_xlpm.type,ISNUMBER(SEARCH($J$17,_xlfn._TRO_TRAILING(Sites!$C:$C))),_xlpm.states,ISNUMBER(SEARCH($J$19,_xlfn._TRO_TRAILING(Sites!$D:$D))),
_xlpm.years,ISNUMBER(SEARCH(J$20,Sites!$M$3:$O$3)),
SUM(_xlfn._xlws.FILTER(_xlfn._xlws.FILTER(_xlpm.hours,_xlpm.states,0),_xlpm.years),0))</f>
        <v>326137.04200000007</v>
      </c>
      <c r="K24" s="67" cm="1">
        <f t="array" ref="K24">_xlfn.LET(_xlpm.hours,_xlfn._TRO_TRAILING(Sites!$BQ:$BS),_xlpm.type,ISNUMBER(SEARCH($J$17,_xlfn._TRO_TRAILING(Sites!$C:$C))),_xlpm.states,ISNUMBER(SEARCH($J$19,_xlfn._TRO_TRAILING(Sites!$D:$D))),
_xlpm.years,ISNUMBER(SEARCH(K$20,Sites!$M$3:$O$3)),
SUM(_xlfn._xlws.FILTER(_xlfn._xlws.FILTER(_xlpm.hours,_xlpm.states,0),_xlpm.years),0))</f>
        <v>949073.40264000022</v>
      </c>
      <c r="L24" s="67" cm="1">
        <f t="array" ref="L24">_xlfn.LET(_xlpm.hours,_xlfn._TRO_TRAILING(Sites!$BQ:$BS),_xlpm.type,ISNUMBER(SEARCH($J$17,_xlfn._TRO_TRAILING(Sites!$C:$C))),_xlpm.states,ISNUMBER(SEARCH($J$19,_xlfn._TRO_TRAILING(Sites!$D:$D))),
_xlpm.years,ISNUMBER(SEARCH(L$20,Sites!$M$3:$O$3)),
SUM(_xlfn._xlws.FILTER(_xlfn._xlws.FILTER(_xlpm.hours,_xlpm.states,0),_xlpm.years),0))</f>
        <v>1486480.3646000002</v>
      </c>
      <c r="N24" s="67" cm="1">
        <f t="array" ref="N24">_xlfn.LET(_xlpm.hours,_xlfn._TRO_TRAILING(Sites!$BQ:$BS),_xlpm.type,ISNUMBER(SEARCH($N$17,_xlfn._TRO_TRAILING(Sites!$C:$C))),_xlpm.states,ISNUMBER(SEARCH($N$19,_xlfn._TRO_TRAILING(Sites!$D:$D))),
_xlpm.years,ISNUMBER(SEARCH(N$20,Sites!$M$3:$O$3)),_xlpm.mna,ISNUMBER(SEARCH("M&amp;A",_xlfn._TRO_TRAILING(Sites!$D:$D))),
SUM(_xlfn._xlws.FILTER(_xlfn._xlws.FILTER(_xlpm.hours,_xlpm.mna,0),_xlpm.years),0))</f>
        <v>689287.14800000004</v>
      </c>
      <c r="O24" s="67" cm="1">
        <f t="array" ref="O24">_xlfn.LET(_xlpm.hours,_xlfn._TRO_TRAILING(Sites!$BQ:$BS),_xlpm.type,ISNUMBER(SEARCH($N$17,_xlfn._TRO_TRAILING(Sites!$C:$C))),_xlpm.states,ISNUMBER(SEARCH($N$19,_xlfn._TRO_TRAILING(Sites!$D:$D))),
_xlpm.years,ISNUMBER(SEARCH(O$20,Sites!$M$3:$O$3)),_xlpm.mna,ISNUMBER(SEARCH("M&amp;A",_xlfn._TRO_TRAILING(Sites!$D:$D))),
SUM(_xlfn._xlws.FILTER(_xlfn._xlws.FILTER(_xlpm.hours,_xlpm.mna,0),_xlpm.years),0))</f>
        <v>1481965.7448199999</v>
      </c>
      <c r="P24" s="67" cm="1">
        <f t="array" ref="P24">_xlfn.LET(_xlpm.hours,_xlfn._TRO_TRAILING(Sites!$BQ:$BS),_xlpm.type,ISNUMBER(SEARCH($N$17,_xlfn._TRO_TRAILING(Sites!$C:$C))),_xlpm.states,ISNUMBER(SEARCH($N$19,_xlfn._TRO_TRAILING(Sites!$D:$D))),
_xlpm.years,ISNUMBER(SEARCH(P$20,Sites!$M$3:$O$3)),_xlpm.mna,ISNUMBER(SEARCH("M&amp;A",_xlfn._TRO_TRAILING(Sites!$D:$D))),
SUM(_xlfn._xlws.FILTER(_xlfn._xlws.FILTER(_xlpm.hours,_xlpm.mna,0),_xlpm.years),0))</f>
        <v>2083079.0081199997</v>
      </c>
      <c r="R24" s="67" cm="1">
        <f t="array" ref="R24">_xlfn.LET(_xlpm.hours,_xlfn._TRO_TRAILING(Sites!$BQ:$BS),_xlpm.type,ISNUMBER(SEARCH($R$17,_xlfn._TRO_TRAILING(Sites!$C:$C))),
_xlpm.states,ISNUMBER(SEARCH($R$19,_xlfn._TRO_TRAILING(Sites!$D:$D))),
_xlpm.years,ISNUMBER(SEARCH(R$20,Sites!$M$3:$O$3)),
SUM(_xlfn._xlws.FILTER(_xlfn._xlws.FILTER(_xlpm.hours,_xlpm.states*_xlpm.type,0),_xlpm.years),0))</f>
        <v>68181.959999999992</v>
      </c>
      <c r="S24" s="67" cm="1">
        <f t="array" ref="S24">_xlfn.LET(_xlpm.hours,_xlfn._TRO_TRAILING(Sites!$BQ:$BS),_xlpm.type,ISNUMBER(SEARCH($R$17,_xlfn._TRO_TRAILING(Sites!$C:$C))),
_xlpm.states,ISNUMBER(SEARCH($R$19,_xlfn._TRO_TRAILING(Sites!$D:$D))),
_xlpm.years,ISNUMBER(SEARCH(S$20,Sites!$M$3:$O$3)),
SUM(_xlfn._xlws.FILTER(_xlfn._xlws.FILTER(_xlpm.hours,_xlpm.states*_xlpm.type,0),_xlpm.years),0))</f>
        <v>223724.49132</v>
      </c>
      <c r="T24" s="67" cm="1">
        <f t="array" ref="T24">_xlfn.LET(_xlpm.hours,_xlfn._TRO_TRAILING(Sites!$BQ:$BS),_xlpm.type,ISNUMBER(SEARCH($R$17,_xlfn._TRO_TRAILING(Sites!$C:$C))),
_xlpm.states,ISNUMBER(SEARCH($R$19,_xlfn._TRO_TRAILING(Sites!$D:$D))),
_xlpm.years,ISNUMBER(SEARCH(T$20,Sites!$M$3:$O$3)),
SUM(_xlfn._xlws.FILTER(_xlfn._xlws.FILTER(_xlpm.hours,_xlpm.states*_xlpm.type,0),_xlpm.years),0))</f>
        <v>386418.01154000004</v>
      </c>
      <c r="V24" s="67" cm="1">
        <f t="array" ref="V24">_xlfn.LET(_xlpm.hours,_xlfn._TRO_TRAILING(Sites!$BQ:$BS),_xlpm.type,ISNUMBER(SEARCH($V$17,_xlfn._TRO_TRAILING(Sites!$C:$C))),
_xlpm.states,ISNUMBER(SEARCH($V$19,_xlfn._TRO_TRAILING(Sites!$D:$D))),
_xlpm.years,ISNUMBER(SEARCH(V$20,Sites!$M$3:$O$3)),
SUM(_xlfn._xlws.FILTER(_xlfn._xlws.FILTER(_xlpm.hours,_xlpm.states*_xlpm.type,0),_xlpm.years),0))</f>
        <v>257955.08199999999</v>
      </c>
      <c r="W24" s="67" cm="1">
        <f t="array" ref="W24">_xlfn.LET(_xlpm.hours,_xlfn._TRO_TRAILING(Sites!$BQ:$BS),_xlpm.type,ISNUMBER(SEARCH($V$17,_xlfn._TRO_TRAILING(Sites!$C:$C))),
_xlpm.states,ISNUMBER(SEARCH($V$19,_xlfn._TRO_TRAILING(Sites!$D:$D))),
_xlpm.years,ISNUMBER(SEARCH(W$20,Sites!$M$3:$O$3)),
SUM(_xlfn._xlws.FILTER(_xlfn._xlws.FILTER(_xlpm.hours,_xlpm.states*_xlpm.type,0),_xlpm.years),0))</f>
        <v>725348.91132000019</v>
      </c>
      <c r="X24" s="67" cm="1">
        <f t="array" ref="X24">_xlfn.LET(_xlpm.hours,_xlfn._TRO_TRAILING(Sites!$BQ:$BS),_xlpm.type,ISNUMBER(SEARCH($V$17,_xlfn._TRO_TRAILING(Sites!$C:$C))),
_xlpm.states,ISNUMBER(SEARCH($V$19,_xlfn._TRO_TRAILING(Sites!$D:$D))),
_xlpm.years,ISNUMBER(SEARCH(X$20,Sites!$M$3:$O$3)),
SUM(_xlfn._xlws.FILTER(_xlfn._xlws.FILTER(_xlpm.hours,_xlpm.states*_xlpm.type,0),_xlpm.years),0))</f>
        <v>1100062.3530600003</v>
      </c>
    </row>
    <row r="25" spans="2:24" outlineLevel="1" x14ac:dyDescent="0.25">
      <c r="B25" s="39" t="s">
        <v>382</v>
      </c>
      <c r="D25" s="105"/>
      <c r="F25" s="67">
        <f t="shared" si="26"/>
        <v>1324892.3999999999</v>
      </c>
      <c r="G25" s="67">
        <f t="shared" si="24"/>
        <v>3171940.6749333329</v>
      </c>
      <c r="H25" s="67">
        <f t="shared" si="25"/>
        <v>4657444.7711999994</v>
      </c>
      <c r="J25" s="67" cm="1">
        <f t="array" ref="J25">_xlfn.LET(_xlpm.hours,_xlfn._TRO_TRAILING(Sites!$BU:$BW),_xlpm.type,ISNUMBER(SEARCH($J$17,_xlfn._TRO_TRAILING(Sites!$C:$C))),_xlpm.states,ISNUMBER(SEARCH($J$19,_xlfn._TRO_TRAILING(Sites!$D:$D))),
_xlpm.years,ISNUMBER(SEARCH(J$20,Sites!$M$3:$O$3)),
SUM(_xlfn._xlws.FILTER(_xlfn._xlws.FILTER(_xlpm.hours,_xlpm.states,0),_xlpm.years),0))</f>
        <v>425532.98666666669</v>
      </c>
      <c r="K25" s="67" cm="1">
        <f t="array" ref="K25">_xlfn.LET(_xlpm.hours,_xlfn._TRO_TRAILING(Sites!$BU:$BW),_xlpm.type,ISNUMBER(SEARCH($J$17,_xlfn._TRO_TRAILING(Sites!$C:$C))),_xlpm.states,ISNUMBER(SEARCH($J$19,_xlfn._TRO_TRAILING(Sites!$D:$D))),
_xlpm.years,ISNUMBER(SEARCH(K$20,Sites!$M$3:$O$3)),
SUM(_xlfn._xlws.FILTER(_xlfn._xlws.FILTER(_xlpm.hours,_xlpm.states,0),_xlpm.years),0))</f>
        <v>1238320.0544</v>
      </c>
      <c r="L25" s="67" cm="1">
        <f t="array" ref="L25">_xlfn.LET(_xlpm.hours,_xlfn._TRO_TRAILING(Sites!$BU:$BW),_xlpm.type,ISNUMBER(SEARCH($J$17,_xlfn._TRO_TRAILING(Sites!$C:$C))),_xlpm.states,ISNUMBER(SEARCH($J$19,_xlfn._TRO_TRAILING(Sites!$D:$D))),
_xlpm.years,ISNUMBER(SEARCH(L$20,Sites!$M$3:$O$3)),
SUM(_xlfn._xlws.FILTER(_xlfn._xlws.FILTER(_xlpm.hours,_xlpm.states,0),_xlpm.years),0))</f>
        <v>1939511.1493333331</v>
      </c>
      <c r="N25" s="67" cm="1">
        <f t="array" ref="N25">_xlfn.LET(_xlpm.hours,_xlfn._TRO_TRAILING(Sites!$BU:$BW),_xlpm.type,ISNUMBER(SEARCH($N$17,_xlfn._TRO_TRAILING(Sites!$C:$C))),_xlpm.states,ISNUMBER(SEARCH($N$19,_xlfn._TRO_TRAILING(Sites!$D:$D))),
_xlpm.years,ISNUMBER(SEARCH(N$20,Sites!$M$3:$O$3)),_xlpm.mna,ISNUMBER(SEARCH("M&amp;A",_xlfn._TRO_TRAILING(Sites!$D:$D))),
SUM(_xlfn._xlws.FILTER(_xlfn._xlws.FILTER(_xlpm.hours,_xlpm.mna,0),_xlpm.years),0))</f>
        <v>899359.41333333321</v>
      </c>
      <c r="O25" s="67" cm="1">
        <f t="array" ref="O25">_xlfn.LET(_xlpm.hours,_xlfn._TRO_TRAILING(Sites!$BU:$BW),_xlpm.type,ISNUMBER(SEARCH($N$17,_xlfn._TRO_TRAILING(Sites!$C:$C))),_xlpm.states,ISNUMBER(SEARCH($N$19,_xlfn._TRO_TRAILING(Sites!$D:$D))),
_xlpm.years,ISNUMBER(SEARCH(O$20,Sites!$M$3:$O$3)),_xlpm.mna,ISNUMBER(SEARCH("M&amp;A",_xlfn._TRO_TRAILING(Sites!$D:$D))),
SUM(_xlfn._xlws.FILTER(_xlfn._xlws.FILTER(_xlpm.hours,_xlpm.mna,0),_xlpm.years),0))</f>
        <v>1933620.6205333332</v>
      </c>
      <c r="P25" s="67" cm="1">
        <f t="array" ref="P25">_xlfn.LET(_xlpm.hours,_xlfn._TRO_TRAILING(Sites!$BU:$BW),_xlpm.type,ISNUMBER(SEARCH($N$17,_xlfn._TRO_TRAILING(Sites!$C:$C))),_xlpm.states,ISNUMBER(SEARCH($N$19,_xlfn._TRO_TRAILING(Sites!$D:$D))),
_xlpm.years,ISNUMBER(SEARCH(P$20,Sites!$M$3:$O$3)),_xlpm.mna,ISNUMBER(SEARCH("M&amp;A",_xlfn._TRO_TRAILING(Sites!$D:$D))),
SUM(_xlfn._xlws.FILTER(_xlfn._xlws.FILTER(_xlpm.hours,_xlpm.mna,0),_xlpm.years),0))</f>
        <v>2717933.6218666667</v>
      </c>
      <c r="R25" s="67" cm="1">
        <f t="array" ref="R25">_xlfn.LET(_xlpm.hours,_xlfn._TRO_TRAILING(Sites!$BU:$BW),_xlpm.type,ISNUMBER(SEARCH($R$17,_xlfn._TRO_TRAILING(Sites!$C:$C))),
_xlpm.states,ISNUMBER(SEARCH($R$19,_xlfn._TRO_TRAILING(Sites!$D:$D))),
_xlpm.years,ISNUMBER(SEARCH(R$20,Sites!$M$3:$O$3)),
SUM(_xlfn._xlws.FILTER(_xlfn._xlws.FILTER(_xlpm.hours,_xlpm.states*_xlpm.type,0),_xlpm.years),0))</f>
        <v>88961.599999999977</v>
      </c>
      <c r="S25" s="67" cm="1">
        <f t="array" ref="S25">_xlfn.LET(_xlpm.hours,_xlfn._TRO_TRAILING(Sites!$BU:$BW),_xlpm.type,ISNUMBER(SEARCH($R$17,_xlfn._TRO_TRAILING(Sites!$C:$C))),
_xlpm.states,ISNUMBER(SEARCH($R$19,_xlfn._TRO_TRAILING(Sites!$D:$D))),
_xlpm.years,ISNUMBER(SEARCH(S$20,Sites!$M$3:$O$3)),
SUM(_xlfn._xlws.FILTER(_xlfn._xlws.FILTER(_xlpm.hours,_xlpm.states*_xlpm.type,0),_xlpm.years),0))</f>
        <v>291908.42719999998</v>
      </c>
      <c r="T25" s="67" cm="1">
        <f t="array" ref="T25">_xlfn.LET(_xlpm.hours,_xlfn._TRO_TRAILING(Sites!$BU:$BW),_xlpm.type,ISNUMBER(SEARCH($R$17,_xlfn._TRO_TRAILING(Sites!$C:$C))),
_xlpm.states,ISNUMBER(SEARCH($R$19,_xlfn._TRO_TRAILING(Sites!$D:$D))),
_xlpm.years,ISNUMBER(SEARCH(T$20,Sites!$M$3:$O$3)),
SUM(_xlfn._xlws.FILTER(_xlfn._xlws.FILTER(_xlpm.hours,_xlpm.states*_xlpm.type,0),_xlpm.years),0))</f>
        <v>504185.63173333334</v>
      </c>
      <c r="V25" s="67" cm="1">
        <f t="array" ref="V25">_xlfn.LET(_xlpm.hours,_xlfn._TRO_TRAILING(Sites!$BU:$BW),_xlpm.type,ISNUMBER(SEARCH($V$17,_xlfn._TRO_TRAILING(Sites!$C:$C))),
_xlpm.states,ISNUMBER(SEARCH($V$19,_xlfn._TRO_TRAILING(Sites!$D:$D))),
_xlpm.years,ISNUMBER(SEARCH(V$20,Sites!$M$3:$O$3)),
SUM(_xlfn._xlws.FILTER(_xlfn._xlws.FILTER(_xlpm.hours,_xlpm.states*_xlpm.type,0),_xlpm.years),0))</f>
        <v>336571.38666666666</v>
      </c>
      <c r="W25" s="67" cm="1">
        <f t="array" ref="W25">_xlfn.LET(_xlpm.hours,_xlfn._TRO_TRAILING(Sites!$BU:$BW),_xlpm.type,ISNUMBER(SEARCH($V$17,_xlfn._TRO_TRAILING(Sites!$C:$C))),
_xlpm.states,ISNUMBER(SEARCH($V$19,_xlfn._TRO_TRAILING(Sites!$D:$D))),
_xlpm.years,ISNUMBER(SEARCH(W$20,Sites!$M$3:$O$3)),
SUM(_xlfn._xlws.FILTER(_xlfn._xlws.FILTER(_xlpm.hours,_xlpm.states*_xlpm.type,0),_xlpm.years),0))</f>
        <v>946411.6272000001</v>
      </c>
      <c r="X25" s="67" cm="1">
        <f t="array" ref="X25">_xlfn.LET(_xlpm.hours,_xlfn._TRO_TRAILING(Sites!$BU:$BW),_xlpm.type,ISNUMBER(SEARCH($V$17,_xlfn._TRO_TRAILING(Sites!$C:$C))),
_xlpm.states,ISNUMBER(SEARCH($V$19,_xlfn._TRO_TRAILING(Sites!$D:$D))),
_xlpm.years,ISNUMBER(SEARCH(X$20,Sites!$M$3:$O$3)),
SUM(_xlfn._xlws.FILTER(_xlfn._xlws.FILTER(_xlpm.hours,_xlpm.states*_xlpm.type,0),_xlpm.years),0))</f>
        <v>1435325.5175999999</v>
      </c>
    </row>
    <row r="26" spans="2:24" outlineLevel="1" x14ac:dyDescent="0.25">
      <c r="B26" s="39" t="s">
        <v>403</v>
      </c>
      <c r="D26" s="105"/>
      <c r="F26" s="67">
        <f t="shared" si="26"/>
        <v>0</v>
      </c>
      <c r="G26" s="67">
        <f t="shared" si="24"/>
        <v>0</v>
      </c>
      <c r="H26" s="67">
        <f t="shared" si="25"/>
        <v>0</v>
      </c>
      <c r="J26" s="184">
        <v>0</v>
      </c>
      <c r="K26" s="184">
        <v>0</v>
      </c>
      <c r="L26" s="184">
        <v>0</v>
      </c>
      <c r="N26" s="184">
        <v>0</v>
      </c>
      <c r="O26" s="184">
        <v>0</v>
      </c>
      <c r="P26" s="184">
        <v>0</v>
      </c>
      <c r="R26" s="67" cm="1">
        <f t="array" ref="R26">_xlfn.LET(_xlpm.hours,_xlfn._TRO_TRAILING(Sites!$BY:$CA),_xlpm.type,ISNUMBER(SEARCH($R$17,_xlfn._TRO_TRAILING(Sites!$C:$C))),
_xlpm.states,ISNUMBER(SEARCH($R$19,_xlfn._TRO_TRAILING(Sites!$D:$D))),
_xlpm.years,ISNUMBER(SEARCH(R$20,Sites!$M$3:$O$3)),
SUM(_xlfn._xlws.FILTER(_xlfn._xlws.FILTER(_xlpm.hours,_xlpm.states*_xlpm.type,0),_xlpm.years),0))</f>
        <v>0</v>
      </c>
      <c r="S26" s="67" cm="1">
        <f t="array" ref="S26">_xlfn.LET(_xlpm.hours,_xlfn._TRO_TRAILING(Sites!$BY:$CA),_xlpm.type,ISNUMBER(SEARCH($R$17,_xlfn._TRO_TRAILING(Sites!$C:$C))),
_xlpm.states,ISNUMBER(SEARCH($R$19,_xlfn._TRO_TRAILING(Sites!$D:$D))),
_xlpm.years,ISNUMBER(SEARCH(S$20,Sites!$M$3:$O$3)),
SUM(_xlfn._xlws.FILTER(_xlfn._xlws.FILTER(_xlpm.hours,_xlpm.states*_xlpm.type,0),_xlpm.years),0))</f>
        <v>0</v>
      </c>
      <c r="T26" s="67" cm="1">
        <f t="array" ref="T26">_xlfn.LET(_xlpm.hours,_xlfn._TRO_TRAILING(Sites!$BY:$CA),_xlpm.type,ISNUMBER(SEARCH($R$17,_xlfn._TRO_TRAILING(Sites!$C:$C))),
_xlpm.states,ISNUMBER(SEARCH($R$19,_xlfn._TRO_TRAILING(Sites!$D:$D))),
_xlpm.years,ISNUMBER(SEARCH(T$20,Sites!$M$3:$O$3)),
SUM(_xlfn._xlws.FILTER(_xlfn._xlws.FILTER(_xlpm.hours,_xlpm.states*_xlpm.type,0),_xlpm.years),0))</f>
        <v>0</v>
      </c>
      <c r="V26" s="67" cm="1">
        <f t="array" ref="V26">_xlfn.LET(_xlpm.hours,_xlfn._TRO_TRAILING(Sites!$BY:$CA),_xlpm.type,ISNUMBER(SEARCH($V$17,_xlfn._TRO_TRAILING(Sites!$C:$C))),
_xlpm.states,ISNUMBER(SEARCH($V$19,_xlfn._TRO_TRAILING(Sites!$D:$D))),
_xlpm.years,ISNUMBER(SEARCH(V$20,Sites!$M$3:$O$3)),
SUM(_xlfn._xlws.FILTER(_xlfn._xlws.FILTER(_xlpm.hours,_xlpm.states*_xlpm.type,0),_xlpm.years),0))</f>
        <v>1505647.0682343834</v>
      </c>
      <c r="W26" s="67" cm="1">
        <f t="array" ref="W26">_xlfn.LET(_xlpm.hours,_xlfn._TRO_TRAILING(Sites!$BY:$CA),_xlpm.type,ISNUMBER(SEARCH($V$17,_xlfn._TRO_TRAILING(Sites!$C:$C))),
_xlpm.states,ISNUMBER(SEARCH($V$19,_xlfn._TRO_TRAILING(Sites!$D:$D))),
_xlpm.years,ISNUMBER(SEARCH(W$20,Sites!$M$3:$O$3)),
SUM(_xlfn._xlws.FILTER(_xlfn._xlws.FILTER(_xlpm.hours,_xlpm.states*_xlpm.type,0),_xlpm.years),0))</f>
        <v>4016328.787005791</v>
      </c>
      <c r="X26" s="67" cm="1">
        <f t="array" ref="X26">_xlfn.LET(_xlpm.hours,_xlfn._TRO_TRAILING(Sites!$BY:$CA),_xlpm.type,ISNUMBER(SEARCH($V$17,_xlfn._TRO_TRAILING(Sites!$C:$C))),
_xlpm.states,ISNUMBER(SEARCH($V$19,_xlfn._TRO_TRAILING(Sites!$D:$D))),
_xlpm.years,ISNUMBER(SEARCH(X$20,Sites!$M$3:$O$3)),
SUM(_xlfn._xlws.FILTER(_xlfn._xlws.FILTER(_xlpm.hours,_xlpm.states*_xlpm.type,0),_xlpm.years),0))</f>
        <v>5714103.2588426508</v>
      </c>
    </row>
    <row r="27" spans="2:24" outlineLevel="1" x14ac:dyDescent="0.25">
      <c r="B27" s="39" t="s">
        <v>404</v>
      </c>
      <c r="D27" s="105"/>
      <c r="F27" s="67">
        <f t="shared" si="26"/>
        <v>0</v>
      </c>
      <c r="G27" s="67">
        <f t="shared" si="24"/>
        <v>0</v>
      </c>
      <c r="H27" s="67">
        <f t="shared" si="25"/>
        <v>0</v>
      </c>
      <c r="J27" s="184">
        <v>0</v>
      </c>
      <c r="K27" s="184">
        <v>0</v>
      </c>
      <c r="L27" s="184">
        <v>0</v>
      </c>
      <c r="N27" s="184">
        <v>0</v>
      </c>
      <c r="O27" s="184">
        <v>0</v>
      </c>
      <c r="P27" s="184">
        <v>0</v>
      </c>
      <c r="R27" s="67" cm="1">
        <f t="array" ref="R27">_xlfn.LET(_xlpm.hours,_xlfn._TRO_TRAILING(Sites!$CC:$CE),_xlpm.type,ISNUMBER(SEARCH($R$17,_xlfn._TRO_TRAILING(Sites!$C:$C))),
_xlpm.states,ISNUMBER(SEARCH($R$19,_xlfn._TRO_TRAILING(Sites!$D:$D))),
_xlpm.years,ISNUMBER(SEARCH(R$20,Sites!$M$3:$O$3)),
SUM(_xlfn._xlws.FILTER(_xlfn._xlws.FILTER(_xlpm.hours,_xlpm.states*_xlpm.type,0),_xlpm.years),0))</f>
        <v>0</v>
      </c>
      <c r="S27" s="67" cm="1">
        <f t="array" ref="S27">_xlfn.LET(_xlpm.hours,_xlfn._TRO_TRAILING(Sites!$CC:$CE),_xlpm.type,ISNUMBER(SEARCH($R$17,_xlfn._TRO_TRAILING(Sites!$C:$C))),
_xlpm.states,ISNUMBER(SEARCH($R$19,_xlfn._TRO_TRAILING(Sites!$D:$D))),
_xlpm.years,ISNUMBER(SEARCH(S$20,Sites!$M$3:$O$3)),
SUM(_xlfn._xlws.FILTER(_xlfn._xlws.FILTER(_xlpm.hours,_xlpm.states*_xlpm.type,0),_xlpm.years),0))</f>
        <v>0</v>
      </c>
      <c r="T27" s="67" cm="1">
        <f t="array" ref="T27">_xlfn.LET(_xlpm.hours,_xlfn._TRO_TRAILING(Sites!$CC:$CE),_xlpm.type,ISNUMBER(SEARCH($R$17,_xlfn._TRO_TRAILING(Sites!$C:$C))),
_xlpm.states,ISNUMBER(SEARCH($R$19,_xlfn._TRO_TRAILING(Sites!$D:$D))),
_xlpm.years,ISNUMBER(SEARCH(T$20,Sites!$M$3:$O$3)),
SUM(_xlfn._xlws.FILTER(_xlfn._xlws.FILTER(_xlpm.hours,_xlpm.states*_xlpm.type,0),_xlpm.years),0))</f>
        <v>0</v>
      </c>
      <c r="V27" s="67" cm="1">
        <f t="array" ref="V27">_xlfn.LET(_xlpm.hours,_xlfn._TRO_TRAILING(Sites!$CC:$CE),_xlpm.type,ISNUMBER(SEARCH($V$17,_xlfn._TRO_TRAILING(Sites!$C:$C))),
_xlpm.states,ISNUMBER(SEARCH($V$19,_xlfn._TRO_TRAILING(Sites!$D:$D))),
_xlpm.years,ISNUMBER(SEARCH(V$20,Sites!$M$3:$O$3)),
SUM(_xlfn._xlws.FILTER(_xlfn._xlws.FILTER(_xlpm.hours,_xlpm.states*_xlpm.type,0),_xlpm.years),0))</f>
        <v>201184.51885965318</v>
      </c>
      <c r="W27" s="67" cm="1">
        <f t="array" ref="W27">_xlfn.LET(_xlpm.hours,_xlfn._TRO_TRAILING(Sites!$CC:$CE),_xlpm.type,ISNUMBER(SEARCH($V$17,_xlfn._TRO_TRAILING(Sites!$C:$C))),
_xlpm.states,ISNUMBER(SEARCH($V$19,_xlfn._TRO_TRAILING(Sites!$D:$D))),
_xlpm.years,ISNUMBER(SEARCH(W$20,Sites!$M$3:$O$3)),
SUM(_xlfn._xlws.FILTER(_xlfn._xlws.FILTER(_xlpm.hours,_xlpm.states*_xlpm.type,0),_xlpm.years),0))</f>
        <v>536661.73942308617</v>
      </c>
      <c r="X27" s="67" cm="1">
        <f t="array" ref="X27">_xlfn.LET(_xlpm.hours,_xlfn._TRO_TRAILING(Sites!$CC:$CE),_xlpm.type,ISNUMBER(SEARCH($V$17,_xlfn._TRO_TRAILING(Sites!$C:$C))),
_xlpm.states,ISNUMBER(SEARCH($V$19,_xlfn._TRO_TRAILING(Sites!$D:$D))),
_xlpm.years,ISNUMBER(SEARCH(X$20,Sites!$M$3:$O$3)),
SUM(_xlfn._xlws.FILTER(_xlfn._xlws.FILTER(_xlpm.hours,_xlpm.states*_xlpm.type,0),_xlpm.years),0))</f>
        <v>763518.31654194708</v>
      </c>
    </row>
    <row r="28" spans="2:24" outlineLevel="1" x14ac:dyDescent="0.25">
      <c r="B28" s="39" t="s">
        <v>405</v>
      </c>
      <c r="D28" s="105"/>
      <c r="F28" s="67">
        <f t="shared" si="26"/>
        <v>1995184.8583333332</v>
      </c>
      <c r="G28" s="67">
        <f t="shared" si="24"/>
        <v>3522926.4070000001</v>
      </c>
      <c r="H28" s="67">
        <f t="shared" si="25"/>
        <v>5017501.2463333337</v>
      </c>
      <c r="J28" s="67" cm="1">
        <f t="array" ref="J28">_xlfn.LET(_xlpm.hours,_xlfn._TRO_TRAILING(Sites!$CG:$CI),_xlpm.type,ISNUMBER(SEARCH($J$17,_xlfn._TRO_TRAILING(Sites!$C:$C))),_xlpm.states,ISNUMBER(SEARCH($J$19,_xlfn._TRO_TRAILING(Sites!$D:$D))),
_xlpm.years,ISNUMBER(SEARCH(J$20,Sites!$M$3:$O$3)),
SUM(_xlfn._xlws.FILTER(_xlfn._xlws.FILTER(_xlpm.hours,_xlpm.states,0),_xlpm.years),0))</f>
        <v>1995184.8583333332</v>
      </c>
      <c r="K28" s="67" cm="1">
        <f t="array" ref="K28">_xlfn.LET(_xlpm.hours,_xlfn._TRO_TRAILING(Sites!$CG:$CI),_xlpm.type,ISNUMBER(SEARCH($J$17,_xlfn._TRO_TRAILING(Sites!$C:$C))),_xlpm.states,ISNUMBER(SEARCH($J$19,_xlfn._TRO_TRAILING(Sites!$D:$D))),
_xlpm.years,ISNUMBER(SEARCH(K$20,Sites!$M$3:$O$3)),
SUM(_xlfn._xlws.FILTER(_xlfn._xlws.FILTER(_xlpm.hours,_xlpm.states,0),_xlpm.years),0))</f>
        <v>3522926.4070000001</v>
      </c>
      <c r="L28" s="67" cm="1">
        <f t="array" ref="L28">_xlfn.LET(_xlpm.hours,_xlfn._TRO_TRAILING(Sites!$CG:$CI),_xlpm.type,ISNUMBER(SEARCH($J$17,_xlfn._TRO_TRAILING(Sites!$C:$C))),_xlpm.states,ISNUMBER(SEARCH($J$19,_xlfn._TRO_TRAILING(Sites!$D:$D))),
_xlpm.years,ISNUMBER(SEARCH(L$20,Sites!$M$3:$O$3)),
SUM(_xlfn._xlws.FILTER(_xlfn._xlws.FILTER(_xlpm.hours,_xlpm.states,0),_xlpm.years),0))</f>
        <v>5017501.2463333337</v>
      </c>
      <c r="N28" s="67" cm="1">
        <f t="array" ref="N28">_xlfn.LET(_xlpm.hours,_xlfn._TRO_TRAILING(Sites!$CG:$CI),_xlpm.type,ISNUMBER(SEARCH($N$17,_xlfn._TRO_TRAILING(Sites!$C:$C))),_xlpm.states,ISNUMBER(SEARCH($N$19,_xlfn._TRO_TRAILING(Sites!$D:$D))),
_xlpm.years,ISNUMBER(SEARCH(N$20,Sites!$M$3:$O$3)),_xlpm.mna,ISNUMBER(SEARCH("M&amp;A",_xlfn._TRO_TRAILING(Sites!$D:$D))),
SUM(_xlfn._xlws.FILTER(_xlfn._xlws.FILTER(_xlpm.hours,_xlpm.mna,0),_xlpm.years),0))</f>
        <v>0</v>
      </c>
      <c r="O28" s="67" cm="1">
        <f t="array" ref="O28">_xlfn.LET(_xlpm.hours,_xlfn._TRO_TRAILING(Sites!$CG:$CI),_xlpm.type,ISNUMBER(SEARCH($N$17,_xlfn._TRO_TRAILING(Sites!$C:$C))),_xlpm.states,ISNUMBER(SEARCH($N$19,_xlfn._TRO_TRAILING(Sites!$D:$D))),
_xlpm.years,ISNUMBER(SEARCH(O$20,Sites!$M$3:$O$3)),_xlpm.mna,ISNUMBER(SEARCH("M&amp;A",_xlfn._TRO_TRAILING(Sites!$D:$D))),
SUM(_xlfn._xlws.FILTER(_xlfn._xlws.FILTER(_xlpm.hours,_xlpm.mna,0),_xlpm.years),0))</f>
        <v>0</v>
      </c>
      <c r="P28" s="67" cm="1">
        <f t="array" ref="P28">_xlfn.LET(_xlpm.hours,_xlfn._TRO_TRAILING(Sites!$CG:$CI),_xlpm.type,ISNUMBER(SEARCH($N$17,_xlfn._TRO_TRAILING(Sites!$C:$C))),_xlpm.states,ISNUMBER(SEARCH($N$19,_xlfn._TRO_TRAILING(Sites!$D:$D))),
_xlpm.years,ISNUMBER(SEARCH(P$20,Sites!$M$3:$O$3)),_xlpm.mna,ISNUMBER(SEARCH("M&amp;A",_xlfn._TRO_TRAILING(Sites!$D:$D))),
SUM(_xlfn._xlws.FILTER(_xlfn._xlws.FILTER(_xlpm.hours,_xlpm.mna,0),_xlpm.years),0))</f>
        <v>0</v>
      </c>
      <c r="R28" s="67" cm="1">
        <f t="array" ref="R28">_xlfn.LET(_xlpm.hours,_xlfn._TRO_TRAILING(Sites!$CG:$CI),_xlpm.type,ISNUMBER(SEARCH($R$17,_xlfn._TRO_TRAILING(Sites!$C:$C))),
_xlpm.states,ISNUMBER(SEARCH($R$19,_xlfn._TRO_TRAILING(Sites!$D:$D))),
_xlpm.years,ISNUMBER(SEARCH(R$20,Sites!$M$3:$O$3)),
SUM(_xlfn._xlws.FILTER(_xlfn._xlws.FILTER(_xlpm.hours,_xlpm.states*_xlpm.type,0),_xlpm.years),0))</f>
        <v>0</v>
      </c>
      <c r="S28" s="67" cm="1">
        <f t="array" ref="S28">_xlfn.LET(_xlpm.hours,_xlfn._TRO_TRAILING(Sites!$CG:$CI),_xlpm.type,ISNUMBER(SEARCH($R$17,_xlfn._TRO_TRAILING(Sites!$C:$C))),
_xlpm.states,ISNUMBER(SEARCH($R$19,_xlfn._TRO_TRAILING(Sites!$D:$D))),
_xlpm.years,ISNUMBER(SEARCH(S$20,Sites!$M$3:$O$3)),
SUM(_xlfn._xlws.FILTER(_xlfn._xlws.FILTER(_xlpm.hours,_xlpm.states*_xlpm.type,0),_xlpm.years),0))</f>
        <v>0</v>
      </c>
      <c r="T28" s="67" cm="1">
        <f t="array" ref="T28">_xlfn.LET(_xlpm.hours,_xlfn._TRO_TRAILING(Sites!$CG:$CI),_xlpm.type,ISNUMBER(SEARCH($R$17,_xlfn._TRO_TRAILING(Sites!$C:$C))),
_xlpm.states,ISNUMBER(SEARCH($R$19,_xlfn._TRO_TRAILING(Sites!$D:$D))),
_xlpm.years,ISNUMBER(SEARCH(T$20,Sites!$M$3:$O$3)),
SUM(_xlfn._xlws.FILTER(_xlfn._xlws.FILTER(_xlpm.hours,_xlpm.states*_xlpm.type,0),_xlpm.years),0))</f>
        <v>0</v>
      </c>
      <c r="V28" s="67" cm="1">
        <f t="array" ref="V28">_xlfn.LET(_xlpm.hours,_xlfn._TRO_TRAILING(Sites!$CG:$CI),_xlpm.type,ISNUMBER(SEARCH($V$17,_xlfn._TRO_TRAILING(Sites!$C:$C))),
_xlpm.states,ISNUMBER(SEARCH($V$19,_xlfn._TRO_TRAILING(Sites!$D:$D))),
_xlpm.years,ISNUMBER(SEARCH(V$20,Sites!$M$3:$O$3)),
SUM(_xlfn._xlws.FILTER(_xlfn._xlws.FILTER(_xlpm.hours,_xlpm.states*_xlpm.type,0),_xlpm.years),0))</f>
        <v>1995184.8583333332</v>
      </c>
      <c r="W28" s="67" cm="1">
        <f t="array" ref="W28">_xlfn.LET(_xlpm.hours,_xlfn._TRO_TRAILING(Sites!$CG:$CI),_xlpm.type,ISNUMBER(SEARCH($V$17,_xlfn._TRO_TRAILING(Sites!$C:$C))),
_xlpm.states,ISNUMBER(SEARCH($V$19,_xlfn._TRO_TRAILING(Sites!$D:$D))),
_xlpm.years,ISNUMBER(SEARCH(W$20,Sites!$M$3:$O$3)),
SUM(_xlfn._xlws.FILTER(_xlfn._xlws.FILTER(_xlpm.hours,_xlpm.states*_xlpm.type,0),_xlpm.years),0))</f>
        <v>3522926.4070000001</v>
      </c>
      <c r="X28" s="67" cm="1">
        <f t="array" ref="X28">_xlfn.LET(_xlpm.hours,_xlfn._TRO_TRAILING(Sites!$CG:$CI),_xlpm.type,ISNUMBER(SEARCH($V$17,_xlfn._TRO_TRAILING(Sites!$C:$C))),
_xlpm.states,ISNUMBER(SEARCH($V$19,_xlfn._TRO_TRAILING(Sites!$D:$D))),
_xlpm.years,ISNUMBER(SEARCH(X$20,Sites!$M$3:$O$3)),
SUM(_xlfn._xlws.FILTER(_xlfn._xlws.FILTER(_xlpm.hours,_xlpm.states*_xlpm.type,0),_xlpm.years),0))</f>
        <v>5017501.2463333337</v>
      </c>
    </row>
    <row r="29" spans="2:24" outlineLevel="1" x14ac:dyDescent="0.25">
      <c r="B29" s="39" t="s">
        <v>406</v>
      </c>
      <c r="D29" s="105"/>
      <c r="F29" s="67">
        <f t="shared" si="26"/>
        <v>0</v>
      </c>
      <c r="G29" s="67">
        <f t="shared" si="24"/>
        <v>0</v>
      </c>
      <c r="H29" s="67">
        <f t="shared" si="25"/>
        <v>0</v>
      </c>
      <c r="J29" s="184">
        <v>0</v>
      </c>
      <c r="K29" s="184">
        <v>0</v>
      </c>
      <c r="L29" s="184">
        <v>0</v>
      </c>
      <c r="N29" s="184">
        <v>0</v>
      </c>
      <c r="O29" s="184">
        <v>0</v>
      </c>
      <c r="P29" s="184">
        <v>0</v>
      </c>
      <c r="R29" s="67" cm="1">
        <f t="array" ref="R29">_xlfn.LET(_xlpm.hours,_xlfn._TRO_TRAILING(Sites!$CK:$CM),_xlpm.type,ISNUMBER(SEARCH($R$17,_xlfn._TRO_TRAILING(Sites!$C:$C))),
_xlpm.states,ISNUMBER(SEARCH($R$19,_xlfn._TRO_TRAILING(Sites!$D:$D))),
_xlpm.years,ISNUMBER(SEARCH(R$20,Sites!$M$3:$O$3)),
SUM(_xlfn._xlws.FILTER(_xlfn._xlws.FILTER(_xlpm.hours,_xlpm.states*_xlpm.type,0),_xlpm.years),0))</f>
        <v>0</v>
      </c>
      <c r="S29" s="67" cm="1">
        <f t="array" ref="S29">_xlfn.LET(_xlpm.hours,_xlfn._TRO_TRAILING(Sites!$CK:$CM),_xlpm.type,ISNUMBER(SEARCH($R$17,_xlfn._TRO_TRAILING(Sites!$C:$C))),
_xlpm.states,ISNUMBER(SEARCH($R$19,_xlfn._TRO_TRAILING(Sites!$D:$D))),
_xlpm.years,ISNUMBER(SEARCH(S$20,Sites!$M$3:$O$3)),
SUM(_xlfn._xlws.FILTER(_xlfn._xlws.FILTER(_xlpm.hours,_xlpm.states*_xlpm.type,0),_xlpm.years),0))</f>
        <v>0</v>
      </c>
      <c r="T29" s="67" cm="1">
        <f t="array" ref="T29">_xlfn.LET(_xlpm.hours,_xlfn._TRO_TRAILING(Sites!$CK:$CM),_xlpm.type,ISNUMBER(SEARCH($R$17,_xlfn._TRO_TRAILING(Sites!$C:$C))),
_xlpm.states,ISNUMBER(SEARCH($R$19,_xlfn._TRO_TRAILING(Sites!$D:$D))),
_xlpm.years,ISNUMBER(SEARCH(T$20,Sites!$M$3:$O$3)),
SUM(_xlfn._xlws.FILTER(_xlfn._xlws.FILTER(_xlpm.hours,_xlpm.states*_xlpm.type,0),_xlpm.years),0))</f>
        <v>0</v>
      </c>
      <c r="V29" s="67" cm="1">
        <f t="array" ref="V29">_xlfn.LET(_xlpm.hours,_xlfn._TRO_TRAILING(Sites!$CK:$CM),_xlpm.type,ISNUMBER(SEARCH($V$17,_xlfn._TRO_TRAILING(Sites!$C:$C))),
_xlpm.states,ISNUMBER(SEARCH($V$19,_xlfn._TRO_TRAILING(Sites!$D:$D))),
_xlpm.years,ISNUMBER(SEARCH(V$20,Sites!$M$3:$O$3)),
SUM(_xlfn._xlws.FILTER(_xlfn._xlws.FILTER(_xlpm.hours,_xlpm.states*_xlpm.type,0),_xlpm.years),0))</f>
        <v>1223541.9690493539</v>
      </c>
      <c r="W29" s="67" cm="1">
        <f t="array" ref="W29">_xlfn.LET(_xlpm.hours,_xlfn._TRO_TRAILING(Sites!$CK:$CM),_xlpm.type,ISNUMBER(SEARCH($V$17,_xlfn._TRO_TRAILING(Sites!$C:$C))),
_xlpm.states,ISNUMBER(SEARCH($V$19,_xlfn._TRO_TRAILING(Sites!$D:$D))),
_xlpm.years,ISNUMBER(SEARCH(W$20,Sites!$M$3:$O$3)),
SUM(_xlfn._xlws.FILTER(_xlfn._xlws.FILTER(_xlpm.hours,_xlpm.states*_xlpm.type,0),_xlpm.years),0))</f>
        <v>3263810.5808988218</v>
      </c>
      <c r="X29" s="67" cm="1">
        <f t="array" ref="X29">_xlfn.LET(_xlpm.hours,_xlfn._TRO_TRAILING(Sites!$CK:$CM),_xlpm.type,ISNUMBER(SEARCH($V$17,_xlfn._TRO_TRAILING(Sites!$C:$C))),
_xlpm.states,ISNUMBER(SEARCH($V$19,_xlfn._TRO_TRAILING(Sites!$D:$D))),
_xlpm.years,ISNUMBER(SEARCH(X$20,Sites!$M$3:$O$3)),
SUM(_xlfn._xlws.FILTER(_xlfn._xlws.FILTER(_xlpm.hours,_xlpm.states*_xlpm.type,0),_xlpm.years),0))</f>
        <v>4643482.0617518798</v>
      </c>
    </row>
    <row r="30" spans="2:24" outlineLevel="1" x14ac:dyDescent="0.25">
      <c r="B30" s="39" t="s">
        <v>99</v>
      </c>
      <c r="D30" s="105"/>
      <c r="F30" s="67">
        <f t="shared" si="26"/>
        <v>-9000204.3831599988</v>
      </c>
      <c r="G30" s="67">
        <f t="shared" si="24"/>
        <v>-22123474.834759593</v>
      </c>
      <c r="H30" s="67">
        <f t="shared" si="25"/>
        <v>-32707770.231446791</v>
      </c>
      <c r="J30" s="67" cm="1">
        <f t="array" ref="J30">_xlfn.LET(_xlpm.hours,_xlfn._TRO_TRAILING(Sites!$BA:$BC),_xlpm.type,ISNUMBER(SEARCH($J$17,_xlfn._TRO_TRAILING(Sites!$C:$C))),_xlpm.states,ISNUMBER(SEARCH($J$19,_xlfn._TRO_TRAILING(Sites!$D:$D))),
_xlpm.years,ISNUMBER(SEARCH(J$20,Sites!$M$3:$O$3)),
SUM(_xlfn._xlws.FILTER(_xlfn._xlws.FILTER(_xlpm.hours,_xlpm.states,0),_xlpm.years),0))</f>
        <v>-4238295.8515599994</v>
      </c>
      <c r="K30" s="67" cm="1">
        <f t="array" ref="K30">_xlfn.LET(_xlpm.hours,_xlfn._TRO_TRAILING(Sites!$BA:$BC),_xlpm.type,ISNUMBER(SEARCH($J$17,_xlfn._TRO_TRAILING(Sites!$C:$C))),_xlpm.states,ISNUMBER(SEARCH($J$19,_xlfn._TRO_TRAILING(Sites!$D:$D))),
_xlpm.years,ISNUMBER(SEARCH(K$20,Sites!$M$3:$O$3)),
SUM(_xlfn._xlws.FILTER(_xlfn._xlws.FILTER(_xlpm.hours,_xlpm.states,0),_xlpm.years),0))</f>
        <v>-11885382.706865598</v>
      </c>
      <c r="L30" s="67" cm="1">
        <f t="array" ref="L30">_xlfn.LET(_xlpm.hours,_xlfn._TRO_TRAILING(Sites!$BA:$BC),_xlpm.type,ISNUMBER(SEARCH($J$17,_xlfn._TRO_TRAILING(Sites!$C:$C))),_xlpm.states,ISNUMBER(SEARCH($J$19,_xlfn._TRO_TRAILING(Sites!$D:$D))),
_xlpm.years,ISNUMBER(SEARCH(L$20,Sites!$M$3:$O$3)),
SUM(_xlfn._xlws.FILTER(_xlfn._xlws.FILTER(_xlpm.hours,_xlpm.states,0),_xlpm.years),0))</f>
        <v>-18316914.795442794</v>
      </c>
      <c r="N30" s="67" cm="1">
        <f t="array" ref="N30">_xlfn.LET(_xlpm.hours,_xlfn._TRO_TRAILING(Sites!$BA:$BC),_xlpm.type,ISNUMBER(SEARCH($N$17,_xlfn._TRO_TRAILING(Sites!$C:$C))),_xlpm.states,ISNUMBER(SEARCH($N$19,_xlfn._TRO_TRAILING(Sites!$D:$D))),
_xlpm.years,ISNUMBER(SEARCH(N$20,Sites!$M$3:$O$3)),_xlpm.mna,ISNUMBER(SEARCH("M&amp;A",_xlfn._TRO_TRAILING(Sites!$D:$D))),
SUM(_xlfn._xlws.FILTER(_xlfn._xlws.FILTER(_xlpm.hours,_xlpm.mna,0),_xlpm.years),0))</f>
        <v>-4761908.5315999985</v>
      </c>
      <c r="O30" s="67" cm="1">
        <f t="array" ref="O30">_xlfn.LET(_xlpm.hours,_xlfn._TRO_TRAILING(Sites!$BA:$BC),_xlpm.type,ISNUMBER(SEARCH($N$17,_xlfn._TRO_TRAILING(Sites!$C:$C))),_xlpm.states,ISNUMBER(SEARCH($N$19,_xlfn._TRO_TRAILING(Sites!$D:$D))),
_xlpm.years,ISNUMBER(SEARCH(O$20,Sites!$M$3:$O$3)),_xlpm.mna,ISNUMBER(SEARCH("M&amp;A",_xlfn._TRO_TRAILING(Sites!$D:$D))),
SUM(_xlfn._xlws.FILTER(_xlfn._xlws.FILTER(_xlpm.hours,_xlpm.mna,0),_xlpm.years),0))</f>
        <v>-10238092.127893997</v>
      </c>
      <c r="P30" s="67" cm="1">
        <f t="array" ref="P30">_xlfn.LET(_xlpm.hours,_xlfn._TRO_TRAILING(Sites!$BA:$BC),_xlpm.type,ISNUMBER(SEARCH($N$17,_xlfn._TRO_TRAILING(Sites!$C:$C))),_xlpm.states,ISNUMBER(SEARCH($N$19,_xlfn._TRO_TRAILING(Sites!$D:$D))),
_xlpm.years,ISNUMBER(SEARCH(P$20,Sites!$M$3:$O$3)),_xlpm.mna,ISNUMBER(SEARCH("M&amp;A",_xlfn._TRO_TRAILING(Sites!$D:$D))),
SUM(_xlfn._xlws.FILTER(_xlfn._xlws.FILTER(_xlpm.hours,_xlpm.mna,0),_xlpm.years),0))</f>
        <v>-14390855.436003998</v>
      </c>
      <c r="R30" s="67" cm="1">
        <f t="array" ref="R30">_xlfn.LET(_xlpm.hours,_xlfn._TRO_TRAILING(Sites!$BA:$BC),_xlpm.type,ISNUMBER(SEARCH($R$17,_xlfn._TRO_TRAILING(Sites!$C:$C))),
_xlpm.states,ISNUMBER(SEARCH($R$19,_xlfn._TRO_TRAILING(Sites!$D:$D))),
_xlpm.years,ISNUMBER(SEARCH(R$20,Sites!$M$3:$O$3)),
SUM(_xlfn._xlws.FILTER(_xlfn._xlws.FILTER(_xlpm.hours,_xlpm.states*_xlpm.type,0),_xlpm.years),0))</f>
        <v>-468016.76919999992</v>
      </c>
      <c r="S30" s="67" cm="1">
        <f t="array" ref="S30">_xlfn.LET(_xlpm.hours,_xlfn._TRO_TRAILING(Sites!$BA:$BC),_xlpm.type,ISNUMBER(SEARCH($R$17,_xlfn._TRO_TRAILING(Sites!$C:$C))),
_xlpm.states,ISNUMBER(SEARCH($R$19,_xlfn._TRO_TRAILING(Sites!$D:$D))),
_xlpm.years,ISNUMBER(SEARCH(S$20,Sites!$M$3:$O$3)),
SUM(_xlfn._xlws.FILTER(_xlfn._xlws.FILTER(_xlpm.hours,_xlpm.states*_xlpm.type,0),_xlpm.years),0))</f>
        <v>-1534146.3609920002</v>
      </c>
      <c r="T30" s="67" cm="1">
        <f t="array" ref="T30">_xlfn.LET(_xlpm.hours,_xlfn._TRO_TRAILING(Sites!$BA:$BC),_xlpm.type,ISNUMBER(SEARCH($R$17,_xlfn._TRO_TRAILING(Sites!$C:$C))),
_xlpm.states,ISNUMBER(SEARCH($R$19,_xlfn._TRO_TRAILING(Sites!$D:$D))),
_xlpm.years,ISNUMBER(SEARCH(T$20,Sites!$M$3:$O$3)),
SUM(_xlfn._xlws.FILTER(_xlfn._xlws.FILTER(_xlpm.hours,_xlpm.states*_xlpm.type,0),_xlpm.years),0))</f>
        <v>-2657298.7446139995</v>
      </c>
      <c r="V30" s="67" cm="1">
        <f t="array" ref="V30">_xlfn.LET(_xlpm.hours,_xlfn._TRO_TRAILING(Sites!$BA:$BC),_xlpm.type,ISNUMBER(SEARCH($V$17,_xlfn._TRO_TRAILING(Sites!$C:$C))),
_xlpm.states,ISNUMBER(SEARCH($V$19,_xlfn._TRO_TRAILING(Sites!$D:$D))),
_xlpm.years,ISNUMBER(SEARCH(V$20,Sites!$M$3:$O$3)),
SUM(_xlfn._xlws.FILTER(_xlfn._xlws.FILTER(_xlpm.hours,_xlpm.states*_xlpm.type,0),_xlpm.years),0))</f>
        <v>-3770279.082359999</v>
      </c>
      <c r="W30" s="67" cm="1">
        <f t="array" ref="W30">_xlfn.LET(_xlpm.hours,_xlfn._TRO_TRAILING(Sites!$BA:$BC),_xlpm.type,ISNUMBER(SEARCH($V$17,_xlfn._TRO_TRAILING(Sites!$C:$C))),
_xlpm.states,ISNUMBER(SEARCH($V$19,_xlfn._TRO_TRAILING(Sites!$D:$D))),
_xlpm.years,ISNUMBER(SEARCH(W$20,Sites!$M$3:$O$3)),
SUM(_xlfn._xlws.FILTER(_xlfn._xlws.FILTER(_xlpm.hours,_xlpm.states*_xlpm.type,0),_xlpm.years),0))</f>
        <v>-10351236.345873598</v>
      </c>
      <c r="X30" s="67" cm="1">
        <f t="array" ref="X30">_xlfn.LET(_xlpm.hours,_xlfn._TRO_TRAILING(Sites!$BA:$BC),_xlpm.type,ISNUMBER(SEARCH($V$17,_xlfn._TRO_TRAILING(Sites!$C:$C))),
_xlpm.states,ISNUMBER(SEARCH($V$19,_xlfn._TRO_TRAILING(Sites!$D:$D))),
_xlpm.years,ISNUMBER(SEARCH(X$20,Sites!$M$3:$O$3)),
SUM(_xlfn._xlws.FILTER(_xlfn._xlws.FILTER(_xlpm.hours,_xlpm.states*_xlpm.type,0),_xlpm.years),0))</f>
        <v>-15659616.050828794</v>
      </c>
    </row>
    <row r="31" spans="2:24" outlineLevel="1" x14ac:dyDescent="0.25">
      <c r="B31" s="39" t="s">
        <v>261</v>
      </c>
      <c r="C31" s="4"/>
      <c r="D31" s="105"/>
      <c r="F31" s="67">
        <f t="shared" si="26"/>
        <v>0</v>
      </c>
      <c r="G31" s="67">
        <f t="shared" si="24"/>
        <v>0</v>
      </c>
      <c r="H31" s="67">
        <f t="shared" si="25"/>
        <v>0</v>
      </c>
      <c r="J31" s="67" cm="1">
        <f t="array" ref="J31">_xlfn.LET(_xlpm.hours,_xlfn._TRO_TRAILING(Sites!$CO:$CQ),_xlpm.type,ISNUMBER(SEARCH($J$17,_xlfn._TRO_TRAILING(Sites!$C:$C))),_xlpm.states,ISNUMBER(SEARCH($J$19,_xlfn._TRO_TRAILING(Sites!$D:$D))),
_xlpm.years,ISNUMBER(SEARCH(J$20,Sites!$M$3:$O$3)),
SUM(_xlfn._xlws.FILTER(_xlfn._xlws.FILTER(_xlpm.hours,_xlpm.states,0),_xlpm.years),0))</f>
        <v>0</v>
      </c>
      <c r="K31" s="67" cm="1">
        <f t="array" ref="K31">_xlfn.LET(_xlpm.hours,_xlfn._TRO_TRAILING(Sites!$CO:$CQ),_xlpm.type,ISNUMBER(SEARCH($J$17,_xlfn._TRO_TRAILING(Sites!$C:$C))),_xlpm.states,ISNUMBER(SEARCH($J$19,_xlfn._TRO_TRAILING(Sites!$D:$D))),
_xlpm.years,ISNUMBER(SEARCH(K$20,Sites!$M$3:$O$3)),
SUM(_xlfn._xlws.FILTER(_xlfn._xlws.FILTER(_xlpm.hours,_xlpm.states,0),_xlpm.years),0))</f>
        <v>0</v>
      </c>
      <c r="L31" s="67" cm="1">
        <f t="array" ref="L31">_xlfn.LET(_xlpm.hours,_xlfn._TRO_TRAILING(Sites!$CO:$CQ),_xlpm.type,ISNUMBER(SEARCH($J$17,_xlfn._TRO_TRAILING(Sites!$C:$C))),_xlpm.states,ISNUMBER(SEARCH($J$19,_xlfn._TRO_TRAILING(Sites!$D:$D))),
_xlpm.years,ISNUMBER(SEARCH(L$20,Sites!$M$3:$O$3)),
SUM(_xlfn._xlws.FILTER(_xlfn._xlws.FILTER(_xlpm.hours,_xlpm.states,0),_xlpm.years),0))</f>
        <v>0</v>
      </c>
      <c r="N31" s="67" cm="1">
        <f t="array" ref="N31">_xlfn.LET(_xlpm.hours,_xlfn._TRO_TRAILING(Sites!$CO:$CQ),_xlpm.type,ISNUMBER(SEARCH($N$17,_xlfn._TRO_TRAILING(Sites!$C:$C))),_xlpm.states,ISNUMBER(SEARCH($N$19,_xlfn._TRO_TRAILING(Sites!$D:$D))),
_xlpm.years,ISNUMBER(SEARCH(N$20,Sites!$M$3:$O$3)),_xlpm.mna,ISNUMBER(SEARCH("M&amp;A",_xlfn._TRO_TRAILING(Sites!$D:$D))),
SUM(_xlfn._xlws.FILTER(_xlfn._xlws.FILTER(_xlpm.hours,_xlpm.mna,0),_xlpm.years),0))</f>
        <v>0</v>
      </c>
      <c r="O31" s="67" cm="1">
        <f t="array" ref="O31">_xlfn.LET(_xlpm.hours,_xlfn._TRO_TRAILING(Sites!$CO:$CQ),_xlpm.type,ISNUMBER(SEARCH($N$17,_xlfn._TRO_TRAILING(Sites!$C:$C))),_xlpm.states,ISNUMBER(SEARCH($N$19,_xlfn._TRO_TRAILING(Sites!$D:$D))),
_xlpm.years,ISNUMBER(SEARCH(O$20,Sites!$M$3:$O$3)),_xlpm.mna,ISNUMBER(SEARCH("M&amp;A",_xlfn._TRO_TRAILING(Sites!$D:$D))),
SUM(_xlfn._xlws.FILTER(_xlfn._xlws.FILTER(_xlpm.hours,_xlpm.mna,0),_xlpm.years),0))</f>
        <v>0</v>
      </c>
      <c r="P31" s="67" cm="1">
        <f t="array" ref="P31">_xlfn.LET(_xlpm.hours,_xlfn._TRO_TRAILING(Sites!$CO:$CQ),_xlpm.type,ISNUMBER(SEARCH($N$17,_xlfn._TRO_TRAILING(Sites!$C:$C))),_xlpm.states,ISNUMBER(SEARCH($N$19,_xlfn._TRO_TRAILING(Sites!$D:$D))),
_xlpm.years,ISNUMBER(SEARCH(P$20,Sites!$M$3:$O$3)),_xlpm.mna,ISNUMBER(SEARCH("M&amp;A",_xlfn._TRO_TRAILING(Sites!$D:$D))),
SUM(_xlfn._xlws.FILTER(_xlfn._xlws.FILTER(_xlpm.hours,_xlpm.mna,0),_xlpm.years),0))</f>
        <v>0</v>
      </c>
      <c r="R31" s="67" cm="1">
        <f t="array" ref="R31">_xlfn.LET(_xlpm.hours,_xlfn._TRO_TRAILING(Sites!$CO:$CQ),_xlpm.type,ISNUMBER(SEARCH($R$17,_xlfn._TRO_TRAILING(Sites!$C:$C))),
_xlpm.states,ISNUMBER(SEARCH($R$19,_xlfn._TRO_TRAILING(Sites!$D:$D))),
_xlpm.years,ISNUMBER(SEARCH(R$20,Sites!$M$3:$O$3)),
SUM(_xlfn._xlws.FILTER(_xlfn._xlws.FILTER(_xlpm.hours,_xlpm.states*_xlpm.type,0),_xlpm.years),0))</f>
        <v>0</v>
      </c>
      <c r="S31" s="67" cm="1">
        <f t="array" ref="S31">_xlfn.LET(_xlpm.hours,_xlfn._TRO_TRAILING(Sites!$CO:$CQ),_xlpm.type,ISNUMBER(SEARCH($R$17,_xlfn._TRO_TRAILING(Sites!$C:$C))),
_xlpm.states,ISNUMBER(SEARCH($R$19,_xlfn._TRO_TRAILING(Sites!$D:$D))),
_xlpm.years,ISNUMBER(SEARCH(S$20,Sites!$M$3:$O$3)),
SUM(_xlfn._xlws.FILTER(_xlfn._xlws.FILTER(_xlpm.hours,_xlpm.states*_xlpm.type,0),_xlpm.years),0))</f>
        <v>0</v>
      </c>
      <c r="T31" s="67" cm="1">
        <f t="array" ref="T31">_xlfn.LET(_xlpm.hours,_xlfn._TRO_TRAILING(Sites!$CO:$CQ),_xlpm.type,ISNUMBER(SEARCH($R$17,_xlfn._TRO_TRAILING(Sites!$C:$C))),
_xlpm.states,ISNUMBER(SEARCH($R$19,_xlfn._TRO_TRAILING(Sites!$D:$D))),
_xlpm.years,ISNUMBER(SEARCH(T$20,Sites!$M$3:$O$3)),
SUM(_xlfn._xlws.FILTER(_xlfn._xlws.FILTER(_xlpm.hours,_xlpm.states*_xlpm.type,0),_xlpm.years),0))</f>
        <v>0</v>
      </c>
      <c r="V31" s="67" cm="1">
        <f t="array" ref="V31">_xlfn.LET(_xlpm.hours,_xlfn._TRO_TRAILING(Sites!$CO:$CQ),_xlpm.type,ISNUMBER(SEARCH($V$17,_xlfn._TRO_TRAILING(Sites!$C:$C))),
_xlpm.states,ISNUMBER(SEARCH($V$19,_xlfn._TRO_TRAILING(Sites!$D:$D))),
_xlpm.years,ISNUMBER(SEARCH(V$20,Sites!$M$3:$O$3)),
SUM(_xlfn._xlws.FILTER(_xlfn._xlws.FILTER(_xlpm.hours,_xlpm.states*_xlpm.type,0),_xlpm.years),0))</f>
        <v>0</v>
      </c>
      <c r="W31" s="67" cm="1">
        <f t="array" ref="W31">_xlfn.LET(_xlpm.hours,_xlfn._TRO_TRAILING(Sites!$CO:$CQ),_xlpm.type,ISNUMBER(SEARCH($V$17,_xlfn._TRO_TRAILING(Sites!$C:$C))),
_xlpm.states,ISNUMBER(SEARCH($V$19,_xlfn._TRO_TRAILING(Sites!$D:$D))),
_xlpm.years,ISNUMBER(SEARCH(W$20,Sites!$M$3:$O$3)),
SUM(_xlfn._xlws.FILTER(_xlfn._xlws.FILTER(_xlpm.hours,_xlpm.states*_xlpm.type,0),_xlpm.years),0))</f>
        <v>0</v>
      </c>
      <c r="X31" s="67" cm="1">
        <f t="array" ref="X31">_xlfn.LET(_xlpm.hours,_xlfn._TRO_TRAILING(Sites!$CO:$CQ),_xlpm.type,ISNUMBER(SEARCH($V$17,_xlfn._TRO_TRAILING(Sites!$C:$C))),
_xlpm.states,ISNUMBER(SEARCH($V$19,_xlfn._TRO_TRAILING(Sites!$D:$D))),
_xlpm.years,ISNUMBER(SEARCH(X$20,Sites!$M$3:$O$3)),
SUM(_xlfn._xlws.FILTER(_xlfn._xlws.FILTER(_xlpm.hours,_xlpm.states*_xlpm.type,0),_xlpm.years),0))</f>
        <v>0</v>
      </c>
    </row>
    <row r="32" spans="2:24" x14ac:dyDescent="0.25">
      <c r="B32" s="1" t="s">
        <v>271</v>
      </c>
      <c r="C32" s="15"/>
      <c r="D32" s="105"/>
      <c r="F32" s="13">
        <f>SUM(F21:F31)</f>
        <v>66001498.809840009</v>
      </c>
      <c r="G32" s="13">
        <f>SUM(G21:G31)</f>
        <v>162238815.45490375</v>
      </c>
      <c r="H32" s="13">
        <f>SUM(H21:H31)</f>
        <v>239856981.69727653</v>
      </c>
      <c r="J32" s="13">
        <f>SUM(J21:J31)</f>
        <v>31080836.244773332</v>
      </c>
      <c r="K32" s="13">
        <f>SUM(K21:K31)</f>
        <v>87159473.183681056</v>
      </c>
      <c r="L32" s="13">
        <f>SUM(L21:L31)</f>
        <v>134324041.83324721</v>
      </c>
      <c r="N32" s="13">
        <f>SUM(N21:N31)</f>
        <v>34920662.565066665</v>
      </c>
      <c r="O32" s="13">
        <f>SUM(O21:O31)</f>
        <v>75079342.271222651</v>
      </c>
      <c r="P32" s="13">
        <f>SUM(P21:P31)</f>
        <v>105532939.86402932</v>
      </c>
      <c r="R32" s="13">
        <f>SUM(R21:R31)</f>
        <v>3432122.9741333337</v>
      </c>
      <c r="S32" s="13">
        <f>SUM(S21:S31)</f>
        <v>11250406.647274667</v>
      </c>
      <c r="T32" s="13">
        <f>SUM(T21:T31)</f>
        <v>19486857.460502662</v>
      </c>
      <c r="V32" s="13">
        <f>SUM(V21:V31)</f>
        <v>30579086.826783389</v>
      </c>
      <c r="W32" s="13">
        <f>SUM(W21:W31)</f>
        <v>83725867.643734097</v>
      </c>
      <c r="X32" s="13">
        <f>SUM(X21:X31)</f>
        <v>125958288.00988097</v>
      </c>
    </row>
    <row r="33" spans="2:24" x14ac:dyDescent="0.25">
      <c r="F33" s="169"/>
      <c r="G33" s="169"/>
      <c r="H33" s="169"/>
      <c r="I33" s="4"/>
      <c r="J33" s="169"/>
      <c r="K33" s="169"/>
      <c r="L33" s="169"/>
      <c r="M33" s="4"/>
      <c r="N33" s="169"/>
      <c r="O33" s="169"/>
      <c r="P33" s="169"/>
    </row>
    <row r="34" spans="2:24" outlineLevel="1" x14ac:dyDescent="0.25">
      <c r="B34" s="1" t="s">
        <v>118</v>
      </c>
      <c r="J34" s="12"/>
      <c r="N34" s="12"/>
    </row>
    <row r="35" spans="2:24" outlineLevel="1" x14ac:dyDescent="0.25">
      <c r="B35" s="39" t="s">
        <v>23</v>
      </c>
      <c r="F35" s="67">
        <f t="shared" ref="F35:F44" si="27">J35+N35</f>
        <v>15452304.199827505</v>
      </c>
      <c r="G35" s="67">
        <f t="shared" ref="G35:G44" si="28">K35+O35</f>
        <v>42165985.986392841</v>
      </c>
      <c r="H35" s="67">
        <f t="shared" ref="H35:H44" si="29">L35+P35</f>
        <v>70169067.22900185</v>
      </c>
      <c r="J35" s="67" cm="1">
        <f t="array" ref="J35">_xlfn.LET(_xlpm.hours,_xlfn._TRO_TRAILING(Sites!$CS:$CU),_xlpm.type,ISNUMBER(SEARCH($J$17,_xlfn._TRO_TRAILING(Sites!$C:$C))),_xlpm.states,ISNUMBER(SEARCH($J$19,_xlfn._TRO_TRAILING(Sites!$D:$D))),
_xlpm.years,ISNUMBER(SEARCH(J$20,Sites!$M$3:$O$3)),
SUM(_xlfn._xlws.FILTER(_xlfn._xlws.FILTER(_xlpm.hours,_xlpm.states,0),_xlpm.years),0))</f>
        <v>15336304.199827505</v>
      </c>
      <c r="K35" s="67" cm="1">
        <f t="array" ref="K35">_xlfn.LET(_xlpm.hours,_xlfn._TRO_TRAILING(Sites!$CS:$CU),_xlpm.type,ISNUMBER(SEARCH($J$17,_xlfn._TRO_TRAILING(Sites!$C:$C))),_xlpm.states,ISNUMBER(SEARCH($J$19,_xlfn._TRO_TRAILING(Sites!$D:$D))),
_xlpm.years,ISNUMBER(SEARCH(K$20,Sites!$M$3:$O$3)),
SUM(_xlfn._xlws.FILTER(_xlfn._xlws.FILTER(_xlpm.hours,_xlpm.states,0),_xlpm.years),0))</f>
        <v>41910785.986392841</v>
      </c>
      <c r="L35" s="67" cm="1">
        <f t="array" ref="L35">_xlfn.LET(_xlpm.hours,_xlfn._TRO_TRAILING(Sites!$CS:$CU),_xlpm.type,ISNUMBER(SEARCH($J$17,_xlfn._TRO_TRAILING(Sites!$C:$C))),_xlpm.states,ISNUMBER(SEARCH($J$19,_xlfn._TRO_TRAILING(Sites!$D:$D))),
_xlpm.years,ISNUMBER(SEARCH(L$20,Sites!$M$3:$O$3)),
SUM(_xlfn._xlws.FILTER(_xlfn._xlws.FILTER(_xlpm.hours,_xlpm.states,0),_xlpm.years),0))</f>
        <v>69747987.22900185</v>
      </c>
      <c r="N35" s="67" cm="1">
        <f t="array" ref="N35">_xlfn.LET(_xlpm.hours,_xlfn._TRO_TRAILING(Sites!$CS:$CU),_xlpm.type,ISNUMBER(SEARCH($N$17,_xlfn._TRO_TRAILING(Sites!$C:$C))),_xlpm.states,ISNUMBER(SEARCH($N$19,_xlfn._TRO_TRAILING(Sites!$D:$D))),
_xlpm.years,ISNUMBER(SEARCH(N$20,Sites!$M$3:$O$3)),_xlpm.mna,ISNUMBER(SEARCH("M&amp;A",_xlfn._TRO_TRAILING(Sites!$D:$D))),
SUM(_xlfn._xlws.FILTER(_xlfn._xlws.FILTER(_xlpm.hours,_xlpm.mna,0),_xlpm.years),0))</f>
        <v>116000.00000000001</v>
      </c>
      <c r="O35" s="67" cm="1">
        <f t="array" ref="O35">_xlfn.LET(_xlpm.hours,_xlfn._TRO_TRAILING(Sites!$CS:$CU),_xlpm.type,ISNUMBER(SEARCH($N$17,_xlfn._TRO_TRAILING(Sites!$C:$C))),_xlpm.states,ISNUMBER(SEARCH($N$19,_xlfn._TRO_TRAILING(Sites!$D:$D))),
_xlpm.years,ISNUMBER(SEARCH(O$20,Sites!$M$3:$O$3)),_xlpm.mna,ISNUMBER(SEARCH("M&amp;A",_xlfn._TRO_TRAILING(Sites!$D:$D))),
SUM(_xlfn._xlws.FILTER(_xlfn._xlws.FILTER(_xlpm.hours,_xlpm.mna,0),_xlpm.years),0))</f>
        <v>255199.99999999997</v>
      </c>
      <c r="P35" s="67" cm="1">
        <f t="array" ref="P35">_xlfn.LET(_xlpm.hours,_xlfn._TRO_TRAILING(Sites!$CS:$CU),_xlpm.type,ISNUMBER(SEARCH($N$17,_xlfn._TRO_TRAILING(Sites!$C:$C))),_xlpm.states,ISNUMBER(SEARCH($N$19,_xlfn._TRO_TRAILING(Sites!$D:$D))),
_xlpm.years,ISNUMBER(SEARCH(P$20,Sites!$M$3:$O$3)),_xlpm.mna,ISNUMBER(SEARCH("M&amp;A",_xlfn._TRO_TRAILING(Sites!$D:$D))),
SUM(_xlfn._xlws.FILTER(_xlfn._xlws.FILTER(_xlpm.hours,_xlpm.mna,0),_xlpm.years),0))</f>
        <v>421080.00000000012</v>
      </c>
      <c r="R35" s="67" cm="1">
        <f t="array" ref="R35">_xlfn.LET(_xlpm.hours,_xlfn._TRO_TRAILING(Sites!$CS:$CU),_xlpm.type,ISNUMBER(SEARCH($R$17,_xlfn._TRO_TRAILING(Sites!$C:$C))),
_xlpm.states,ISNUMBER(SEARCH($R$19,_xlfn._TRO_TRAILING(Sites!$D:$D))),
_xlpm.years,ISNUMBER(SEARCH(R$20,Sites!$M$3:$O$3)),
SUM(_xlfn._xlws.FILTER(_xlfn._xlws.FILTER(_xlpm.hours,_xlpm.states*_xlpm.type,0),_xlpm.years),0))</f>
        <v>1493979.8923593205</v>
      </c>
      <c r="S35" s="67" cm="1">
        <f t="array" ref="S35">_xlfn.LET(_xlpm.hours,_xlfn._TRO_TRAILING(Sites!$CS:$CU),_xlpm.type,ISNUMBER(SEARCH($R$17,_xlfn._TRO_TRAILING(Sites!$C:$C))),
_xlpm.states,ISNUMBER(SEARCH($R$19,_xlfn._TRO_TRAILING(Sites!$D:$D))),
_xlpm.years,ISNUMBER(SEARCH(S$20,Sites!$M$3:$O$3)),
SUM(_xlfn._xlws.FILTER(_xlfn._xlws.FILTER(_xlpm.hours,_xlpm.states*_xlpm.type,0),_xlpm.years),0))</f>
        <v>4767651.6474572113</v>
      </c>
      <c r="T35" s="67" cm="1">
        <f t="array" ref="T35">_xlfn.LET(_xlpm.hours,_xlfn._TRO_TRAILING(Sites!$CS:$CU),_xlpm.type,ISNUMBER(SEARCH($R$17,_xlfn._TRO_TRAILING(Sites!$C:$C))),
_xlpm.states,ISNUMBER(SEARCH($R$19,_xlfn._TRO_TRAILING(Sites!$D:$D))),
_xlpm.years,ISNUMBER(SEARCH(T$20,Sites!$M$3:$O$3)),
SUM(_xlfn._xlws.FILTER(_xlfn._xlws.FILTER(_xlpm.hours,_xlpm.states*_xlpm.type,0),_xlpm.years),0))</f>
        <v>8487956.3510455508</v>
      </c>
      <c r="V35" s="67" cm="1">
        <f t="array" ref="V35">_xlfn.LET(_xlpm.hours,_xlfn._TRO_TRAILING(Sites!$CS:$CU),_xlpm.type,ISNUMBER(SEARCH($V$17,_xlfn._TRO_TRAILING(Sites!$C:$C))),
_xlpm.states,ISNUMBER(SEARCH($V$19,_xlfn._TRO_TRAILING(Sites!$D:$D))),
_xlpm.years,ISNUMBER(SEARCH(V$20,Sites!$M$3:$O$3)),
SUM(_xlfn._xlws.FILTER(_xlfn._xlws.FILTER(_xlpm.hours,_xlpm.states*_xlpm.type,0),_xlpm.years),0))</f>
        <v>13842324.307468187</v>
      </c>
      <c r="W35" s="67" cm="1">
        <f t="array" ref="W35">_xlfn.LET(_xlpm.hours,_xlfn._TRO_TRAILING(Sites!$CS:$CU),_xlpm.type,ISNUMBER(SEARCH($V$17,_xlfn._TRO_TRAILING(Sites!$C:$C))),
_xlpm.states,ISNUMBER(SEARCH($V$19,_xlfn._TRO_TRAILING(Sites!$D:$D))),
_xlpm.years,ISNUMBER(SEARCH(W$20,Sites!$M$3:$O$3)),
SUM(_xlfn._xlws.FILTER(_xlfn._xlws.FILTER(_xlpm.hours,_xlpm.states*_xlpm.type,0),_xlpm.years),0))</f>
        <v>37143134.338935629</v>
      </c>
      <c r="X35" s="67" cm="1">
        <f t="array" ref="X35">_xlfn.LET(_xlpm.hours,_xlfn._TRO_TRAILING(Sites!$CS:$CU),_xlpm.type,ISNUMBER(SEARCH($V$17,_xlfn._TRO_TRAILING(Sites!$C:$C))),
_xlpm.states,ISNUMBER(SEARCH($V$19,_xlfn._TRO_TRAILING(Sites!$D:$D))),
_xlpm.years,ISNUMBER(SEARCH(X$20,Sites!$M$3:$O$3)),
SUM(_xlfn._xlws.FILTER(_xlfn._xlws.FILTER(_xlpm.hours,_xlpm.states*_xlpm.type,0),_xlpm.years),0))</f>
        <v>61260030.877956338</v>
      </c>
    </row>
    <row r="36" spans="2:24" outlineLevel="1" x14ac:dyDescent="0.25">
      <c r="B36" s="39" t="s">
        <v>24</v>
      </c>
      <c r="F36" s="67">
        <f t="shared" si="27"/>
        <v>19728614.400000002</v>
      </c>
      <c r="G36" s="67">
        <f t="shared" si="28"/>
        <v>41181043.199999988</v>
      </c>
      <c r="H36" s="67">
        <f t="shared" si="29"/>
        <v>57884851.200000003</v>
      </c>
      <c r="J36" s="67" cm="1">
        <f t="array" ref="J36">_xlfn.LET(_xlpm.hours,_xlfn._TRO_TRAILING(Sites!$EC:$EE),_xlpm.type,ISNUMBER(SEARCH($J$17,_xlfn._TRO_TRAILING(Sites!$C:$C))),_xlpm.states,ISNUMBER(SEARCH($J$19,_xlfn._TRO_TRAILING(Sites!$D:$D))),
_xlpm.years,ISNUMBER(SEARCH(J$20,Sites!$M$3:$O$3)),
SUM(_xlfn._xlws.FILTER(_xlfn._xlws.FILTER(_xlpm.hours,_xlpm.states,0),_xlpm.years),0))</f>
        <v>0</v>
      </c>
      <c r="K36" s="67" cm="1">
        <f t="array" ref="K36">_xlfn.LET(_xlpm.hours,_xlfn._TRO_TRAILING(Sites!$EC:$EE),_xlpm.type,ISNUMBER(SEARCH($J$17,_xlfn._TRO_TRAILING(Sites!$C:$C))),_xlpm.states,ISNUMBER(SEARCH($J$19,_xlfn._TRO_TRAILING(Sites!$D:$D))),
_xlpm.years,ISNUMBER(SEARCH(K$20,Sites!$M$3:$O$3)),
SUM(_xlfn._xlws.FILTER(_xlfn._xlws.FILTER(_xlpm.hours,_xlpm.states,0),_xlpm.years),0))</f>
        <v>0</v>
      </c>
      <c r="L36" s="67" cm="1">
        <f t="array" ref="L36">_xlfn.LET(_xlpm.hours,_xlfn._TRO_TRAILING(Sites!$EC:$EE),_xlpm.type,ISNUMBER(SEARCH($J$17,_xlfn._TRO_TRAILING(Sites!$C:$C))),_xlpm.states,ISNUMBER(SEARCH($J$19,_xlfn._TRO_TRAILING(Sites!$D:$D))),
_xlpm.years,ISNUMBER(SEARCH(L$20,Sites!$M$3:$O$3)),
SUM(_xlfn._xlws.FILTER(_xlfn._xlws.FILTER(_xlpm.hours,_xlpm.states,0),_xlpm.years),0))</f>
        <v>0</v>
      </c>
      <c r="N36" s="67" cm="1">
        <f t="array" ref="N36">_xlfn.LET(_xlpm.hours,_xlfn._TRO_TRAILING(Sites!$EC:$EE),_xlpm.type,ISNUMBER(SEARCH($N$19,_xlfn._TRO_TRAILING(Sites!$C:$C))),_xlpm.states,ISNUMBER(SEARCH($N$19,_xlfn._TRO_TRAILING(Sites!$D:$D))),
_xlpm.years,ISNUMBER(SEARCH(N$20,Sites!$EC$3:$EE$3)),_xlpm.mna,ISNUMBER(SEARCH("M&amp;A",_xlfn._TRO_TRAILING(Sites!$D:$D))),
SUM(_xlfn._xlws.FILTER(_xlfn._xlws.FILTER(_xlpm.hours,_xlpm.mna,0),_xlpm.years),0))</f>
        <v>19728614.400000002</v>
      </c>
      <c r="O36" s="67" cm="1">
        <f t="array" ref="O36">_xlfn.LET(_xlpm.hours,_xlfn._TRO_TRAILING(Sites!$EC:$EE),_xlpm.type,ISNUMBER(SEARCH($N$17,_xlfn._TRO_TRAILING(Sites!$C:$C))),_xlpm.states,ISNUMBER(SEARCH($N$19,_xlfn._TRO_TRAILING(Sites!$D:$D))),
_xlpm.years,ISNUMBER(SEARCH(O$20,Sites!$M$3:$O$3)),_xlpm.mna,ISNUMBER(SEARCH("M&amp;A",_xlfn._TRO_TRAILING(Sites!$D:$D))),
SUM(_xlfn._xlws.FILTER(_xlfn._xlws.FILTER(_xlpm.hours,_xlpm.mna,0),_xlpm.years),0))</f>
        <v>41181043.199999988</v>
      </c>
      <c r="P36" s="67" cm="1">
        <f t="array" ref="P36">_xlfn.LET(_xlpm.hours,_xlfn._TRO_TRAILING(Sites!$EC:$EE),_xlpm.type,ISNUMBER(SEARCH($N$17,_xlfn._TRO_TRAILING(Sites!$C:$C))),_xlpm.states,ISNUMBER(SEARCH($N$19,_xlfn._TRO_TRAILING(Sites!$D:$D))),
_xlpm.years,ISNUMBER(SEARCH(P$20,Sites!$M$3:$O$3)),_xlpm.mna,ISNUMBER(SEARCH("M&amp;A",_xlfn._TRO_TRAILING(Sites!$D:$D))),
SUM(_xlfn._xlws.FILTER(_xlfn._xlws.FILTER(_xlpm.hours,_xlpm.mna,0),_xlpm.years),0))</f>
        <v>57884851.200000003</v>
      </c>
      <c r="R36" s="67" cm="1">
        <f t="array" ref="R36">_xlfn.LET(_xlpm.hours,_xlfn._TRO_TRAILING(Sites!$EC:$EE),_xlpm.type,ISNUMBER(SEARCH($R$17,_xlfn._TRO_TRAILING(Sites!$C:$C))),
_xlpm.states,ISNUMBER(SEARCH($R$19,_xlfn._TRO_TRAILING(Sites!$D:$D))),
_xlpm.years,ISNUMBER(SEARCH(R$20,Sites!$M$3:$O$3)),
SUM(_xlfn._xlws.FILTER(_xlfn._xlws.FILTER(_xlpm.hours,_xlpm.states*_xlpm.type,0),_xlpm.years),0))</f>
        <v>0</v>
      </c>
      <c r="S36" s="67" cm="1">
        <f t="array" ref="S36">_xlfn.LET(_xlpm.hours,_xlfn._TRO_TRAILING(Sites!$EC:$EE),_xlpm.type,ISNUMBER(SEARCH($R$17,_xlfn._TRO_TRAILING(Sites!$C:$C))),
_xlpm.states,ISNUMBER(SEARCH($R$19,_xlfn._TRO_TRAILING(Sites!$D:$D))),
_xlpm.years,ISNUMBER(SEARCH(S$20,Sites!$M$3:$O$3)),
SUM(_xlfn._xlws.FILTER(_xlfn._xlws.FILTER(_xlpm.hours,_xlpm.states*_xlpm.type,0),_xlpm.years),0))</f>
        <v>0</v>
      </c>
      <c r="T36" s="67" cm="1">
        <f t="array" ref="T36">_xlfn.LET(_xlpm.hours,_xlfn._TRO_TRAILING(Sites!$EC:$EE),_xlpm.type,ISNUMBER(SEARCH($R$17,_xlfn._TRO_TRAILING(Sites!$C:$C))),
_xlpm.states,ISNUMBER(SEARCH($R$19,_xlfn._TRO_TRAILING(Sites!$D:$D))),
_xlpm.years,ISNUMBER(SEARCH(T$20,Sites!$M$3:$O$3)),
SUM(_xlfn._xlws.FILTER(_xlfn._xlws.FILTER(_xlpm.hours,_xlpm.states*_xlpm.type,0),_xlpm.years),0))</f>
        <v>0</v>
      </c>
      <c r="V36" s="67" cm="1">
        <f t="array" ref="V36">_xlfn.LET(_xlpm.hours,_xlfn._TRO_TRAILING(Sites!$EC:$EE),_xlpm.type,ISNUMBER(SEARCH($V$17,_xlfn._TRO_TRAILING(Sites!$C:$C))),
_xlpm.states,ISNUMBER(SEARCH($V$19,_xlfn._TRO_TRAILING(Sites!$D:$D))),
_xlpm.years,ISNUMBER(SEARCH(V$20,Sites!$M$3:$O$3)),
SUM(_xlfn._xlws.FILTER(_xlfn._xlws.FILTER(_xlpm.hours,_xlpm.states*_xlpm.type,0),_xlpm.years),0))</f>
        <v>0</v>
      </c>
      <c r="W36" s="67" cm="1">
        <f t="array" ref="W36">_xlfn.LET(_xlpm.hours,_xlfn._TRO_TRAILING(Sites!$EC:$EE),_xlpm.type,ISNUMBER(SEARCH($V$17,_xlfn._TRO_TRAILING(Sites!$C:$C))),
_xlpm.states,ISNUMBER(SEARCH($V$19,_xlfn._TRO_TRAILING(Sites!$D:$D))),
_xlpm.years,ISNUMBER(SEARCH(W$20,Sites!$M$3:$O$3)),
SUM(_xlfn._xlws.FILTER(_xlfn._xlws.FILTER(_xlpm.hours,_xlpm.states*_xlpm.type,0),_xlpm.years),0))</f>
        <v>0</v>
      </c>
      <c r="X36" s="67" cm="1">
        <f t="array" ref="X36">_xlfn.LET(_xlpm.hours,_xlfn._TRO_TRAILING(Sites!$EC:$EE),_xlpm.type,ISNUMBER(SEARCH($V$17,_xlfn._TRO_TRAILING(Sites!$C:$C))),
_xlpm.states,ISNUMBER(SEARCH($V$19,_xlfn._TRO_TRAILING(Sites!$D:$D))),
_xlpm.years,ISNUMBER(SEARCH(X$20,Sites!$M$3:$O$3)),
SUM(_xlfn._xlws.FILTER(_xlfn._xlws.FILTER(_xlpm.hours,_xlpm.states*_xlpm.type,0),_xlpm.years),0))</f>
        <v>0</v>
      </c>
    </row>
    <row r="37" spans="2:24" outlineLevel="1" x14ac:dyDescent="0.25">
      <c r="B37" s="39" t="s">
        <v>28</v>
      </c>
      <c r="F37" s="67">
        <f t="shared" si="27"/>
        <v>1228937.8799999999</v>
      </c>
      <c r="G37" s="67">
        <f t="shared" si="28"/>
        <v>2115556.0164000001</v>
      </c>
      <c r="H37" s="67">
        <f t="shared" si="29"/>
        <v>3070178.6968919998</v>
      </c>
      <c r="J37" s="67" cm="1">
        <f t="array" ref="J37">_xlfn.LET(_xlpm.hours,_xlfn._TRO_TRAILING(Sites!$CW:$CY),_xlpm.type,ISNUMBER(SEARCH($J$17,_xlfn._TRO_TRAILING(Sites!$C:$C))),_xlpm.states,ISNUMBER(SEARCH($J$19,_xlfn._TRO_TRAILING(Sites!$D:$D))),
_xlpm.years,ISNUMBER(SEARCH(J$20,Sites!$M$3:$O$3)),
SUM(_xlfn._xlws.FILTER(_xlfn._xlws.FILTER(_xlpm.hours,_xlpm.states,0),_xlpm.years),0))</f>
        <v>1228937.8799999999</v>
      </c>
      <c r="K37" s="67" cm="1">
        <f t="array" ref="K37">_xlfn.LET(_xlpm.hours,_xlfn._TRO_TRAILING(Sites!$CW:$CY),_xlpm.type,ISNUMBER(SEARCH($J$17,_xlfn._TRO_TRAILING(Sites!$C:$C))),_xlpm.states,ISNUMBER(SEARCH($J$19,_xlfn._TRO_TRAILING(Sites!$D:$D))),
_xlpm.years,ISNUMBER(SEARCH(K$20,Sites!$M$3:$O$3)),
SUM(_xlfn._xlws.FILTER(_xlfn._xlws.FILTER(_xlpm.hours,_xlpm.states,0),_xlpm.years),0))</f>
        <v>2115556.0164000001</v>
      </c>
      <c r="L37" s="67" cm="1">
        <f t="array" ref="L37">_xlfn.LET(_xlpm.hours,_xlfn._TRO_TRAILING(Sites!$CW:$CY),_xlpm.type,ISNUMBER(SEARCH($J$17,_xlfn._TRO_TRAILING(Sites!$C:$C))),_xlpm.states,ISNUMBER(SEARCH($J$19,_xlfn._TRO_TRAILING(Sites!$D:$D))),
_xlpm.years,ISNUMBER(SEARCH(L$20,Sites!$M$3:$O$3)),
SUM(_xlfn._xlws.FILTER(_xlfn._xlws.FILTER(_xlpm.hours,_xlpm.states,0),_xlpm.years),0))</f>
        <v>3070178.6968919998</v>
      </c>
      <c r="N37" s="67" cm="1">
        <f t="array" ref="N37">_xlfn.LET(_xlpm.hours,_xlfn._TRO_TRAILING(Sites!$CW:$CY),_xlpm.type,ISNUMBER(SEARCH($N$17,_xlfn._TRO_TRAILING(Sites!$C:$C))),_xlpm.states,ISNUMBER(SEARCH($N$19,_xlfn._TRO_TRAILING(Sites!$D:$D))),
_xlpm.years,ISNUMBER(SEARCH(N$20,Sites!$M$3:$O$3)),_xlpm.mna,ISNUMBER(SEARCH("M&amp;A",_xlfn._TRO_TRAILING(Sites!$D:$D))),
SUM(_xlfn._xlws.FILTER(_xlfn._xlws.FILTER(_xlpm.hours,_xlpm.mna,0),_xlpm.years),0))</f>
        <v>0</v>
      </c>
      <c r="O37" s="67" cm="1">
        <f t="array" ref="O37">_xlfn.LET(_xlpm.hours,_xlfn._TRO_TRAILING(Sites!$CW:$CY),_xlpm.type,ISNUMBER(SEARCH($N$17,_xlfn._TRO_TRAILING(Sites!$C:$C))),_xlpm.states,ISNUMBER(SEARCH($N$19,_xlfn._TRO_TRAILING(Sites!$D:$D))),
_xlpm.years,ISNUMBER(SEARCH(O$20,Sites!$M$3:$O$3)),_xlpm.mna,ISNUMBER(SEARCH("M&amp;A",_xlfn._TRO_TRAILING(Sites!$D:$D))),
SUM(_xlfn._xlws.FILTER(_xlfn._xlws.FILTER(_xlpm.hours,_xlpm.mna,0),_xlpm.years),0))</f>
        <v>0</v>
      </c>
      <c r="P37" s="67" cm="1">
        <f t="array" ref="P37">_xlfn.LET(_xlpm.hours,_xlfn._TRO_TRAILING(Sites!$CW:$CY),_xlpm.type,ISNUMBER(SEARCH($N$17,_xlfn._TRO_TRAILING(Sites!$C:$C))),_xlpm.states,ISNUMBER(SEARCH($N$19,_xlfn._TRO_TRAILING(Sites!$D:$D))),
_xlpm.years,ISNUMBER(SEARCH(P$20,Sites!$M$3:$O$3)),_xlpm.mna,ISNUMBER(SEARCH("M&amp;A",_xlfn._TRO_TRAILING(Sites!$D:$D))),
SUM(_xlfn._xlws.FILTER(_xlfn._xlws.FILTER(_xlpm.hours,_xlpm.mna,0),_xlpm.years),0))</f>
        <v>0</v>
      </c>
      <c r="R37" s="67" cm="1">
        <f t="array" ref="R37">_xlfn.LET(_xlpm.hours,_xlfn._TRO_TRAILING(Sites!$CW:$CY),_xlpm.type,ISNUMBER(SEARCH($R$17,_xlfn._TRO_TRAILING(Sites!$C:$C))),
_xlpm.states,ISNUMBER(SEARCH($R$19,_xlfn._TRO_TRAILING(Sites!$D:$D))),
_xlpm.years,ISNUMBER(SEARCH(R$20,Sites!$M$3:$O$3)),
SUM(_xlfn._xlws.FILTER(_xlfn._xlws.FILTER(_xlpm.hours,_xlpm.states*_xlpm.type,0),_xlpm.years),0))</f>
        <v>0</v>
      </c>
      <c r="S37" s="67" cm="1">
        <f t="array" ref="S37">_xlfn.LET(_xlpm.hours,_xlfn._TRO_TRAILING(Sites!$CW:$CY),_xlpm.type,ISNUMBER(SEARCH($R$17,_xlfn._TRO_TRAILING(Sites!$C:$C))),
_xlpm.states,ISNUMBER(SEARCH($R$19,_xlfn._TRO_TRAILING(Sites!$D:$D))),
_xlpm.years,ISNUMBER(SEARCH(S$20,Sites!$M$3:$O$3)),
SUM(_xlfn._xlws.FILTER(_xlfn._xlws.FILTER(_xlpm.hours,_xlpm.states*_xlpm.type,0),_xlpm.years),0))</f>
        <v>0</v>
      </c>
      <c r="T37" s="67" cm="1">
        <f t="array" ref="T37">_xlfn.LET(_xlpm.hours,_xlfn._TRO_TRAILING(Sites!$CW:$CY),_xlpm.type,ISNUMBER(SEARCH($R$17,_xlfn._TRO_TRAILING(Sites!$C:$C))),
_xlpm.states,ISNUMBER(SEARCH($R$19,_xlfn._TRO_TRAILING(Sites!$D:$D))),
_xlpm.years,ISNUMBER(SEARCH(T$20,Sites!$M$3:$O$3)),
SUM(_xlfn._xlws.FILTER(_xlfn._xlws.FILTER(_xlpm.hours,_xlpm.states*_xlpm.type,0),_xlpm.years),0))</f>
        <v>0</v>
      </c>
      <c r="V37" s="67" cm="1">
        <f t="array" ref="V37">_xlfn.LET(_xlpm.hours,_xlfn._TRO_TRAILING(Sites!$CW:$CY),_xlpm.type,ISNUMBER(SEARCH($V$17,_xlfn._TRO_TRAILING(Sites!$C:$C))),
_xlpm.states,ISNUMBER(SEARCH($V$19,_xlfn._TRO_TRAILING(Sites!$D:$D))),
_xlpm.years,ISNUMBER(SEARCH(V$20,Sites!$M$3:$O$3)),
SUM(_xlfn._xlws.FILTER(_xlfn._xlws.FILTER(_xlpm.hours,_xlpm.states*_xlpm.type,0),_xlpm.years),0))</f>
        <v>1228937.8799999999</v>
      </c>
      <c r="W37" s="67" cm="1">
        <f t="array" ref="W37">_xlfn.LET(_xlpm.hours,_xlfn._TRO_TRAILING(Sites!$CW:$CY),_xlpm.type,ISNUMBER(SEARCH($V$17,_xlfn._TRO_TRAILING(Sites!$C:$C))),
_xlpm.states,ISNUMBER(SEARCH($V$19,_xlfn._TRO_TRAILING(Sites!$D:$D))),
_xlpm.years,ISNUMBER(SEARCH(W$20,Sites!$M$3:$O$3)),
SUM(_xlfn._xlws.FILTER(_xlfn._xlws.FILTER(_xlpm.hours,_xlpm.states*_xlpm.type,0),_xlpm.years),0))</f>
        <v>2115556.0164000001</v>
      </c>
      <c r="X37" s="67" cm="1">
        <f t="array" ref="X37">_xlfn.LET(_xlpm.hours,_xlfn._TRO_TRAILING(Sites!$CW:$CY),_xlpm.type,ISNUMBER(SEARCH($V$17,_xlfn._TRO_TRAILING(Sites!$C:$C))),
_xlpm.states,ISNUMBER(SEARCH($V$19,_xlfn._TRO_TRAILING(Sites!$D:$D))),
_xlpm.years,ISNUMBER(SEARCH(X$20,Sites!$M$3:$O$3)),
SUM(_xlfn._xlws.FILTER(_xlfn._xlws.FILTER(_xlpm.hours,_xlpm.states*_xlpm.type,0),_xlpm.years),0))</f>
        <v>3070178.6968919998</v>
      </c>
    </row>
    <row r="38" spans="2:24" outlineLevel="1" x14ac:dyDescent="0.25">
      <c r="B38" s="39" t="s">
        <v>31</v>
      </c>
      <c r="F38" s="67">
        <f t="shared" si="27"/>
        <v>621440.04</v>
      </c>
      <c r="G38" s="67">
        <f t="shared" si="28"/>
        <v>1137697.6416</v>
      </c>
      <c r="H38" s="67">
        <f t="shared" si="29"/>
        <v>1682039.4672640001</v>
      </c>
      <c r="J38" s="67" cm="1">
        <f t="array" ref="J38">_xlfn.LET(_xlpm.hours,_xlfn._TRO_TRAILING(Sites!$DA:$DC),_xlpm.type,ISNUMBER(SEARCH($J$17,_xlfn._TRO_TRAILING(Sites!$C:$C))),_xlpm.states,ISNUMBER(SEARCH($J$19,_xlfn._TRO_TRAILING(Sites!$D:$D))),
_xlpm.years,ISNUMBER(SEARCH(J$20,Sites!$M$3:$O$3)),
SUM(_xlfn._xlws.FILTER(_xlfn._xlws.FILTER(_xlpm.hours,_xlpm.states,0),_xlpm.years),0))</f>
        <v>621440.04</v>
      </c>
      <c r="K38" s="67" cm="1">
        <f t="array" ref="K38">_xlfn.LET(_xlpm.hours,_xlfn._TRO_TRAILING(Sites!$DA:$DC),_xlpm.type,ISNUMBER(SEARCH($J$17,_xlfn._TRO_TRAILING(Sites!$C:$C))),_xlpm.states,ISNUMBER(SEARCH($J$19,_xlfn._TRO_TRAILING(Sites!$D:$D))),
_xlpm.years,ISNUMBER(SEARCH(K$20,Sites!$M$3:$O$3)),
SUM(_xlfn._xlws.FILTER(_xlfn._xlws.FILTER(_xlpm.hours,_xlpm.states,0),_xlpm.years),0))</f>
        <v>1137697.6416</v>
      </c>
      <c r="L38" s="67" cm="1">
        <f t="array" ref="L38">_xlfn.LET(_xlpm.hours,_xlfn._TRO_TRAILING(Sites!$DA:$DC),_xlpm.type,ISNUMBER(SEARCH($J$17,_xlfn._TRO_TRAILING(Sites!$C:$C))),_xlpm.states,ISNUMBER(SEARCH($J$19,_xlfn._TRO_TRAILING(Sites!$D:$D))),
_xlpm.years,ISNUMBER(SEARCH(L$20,Sites!$M$3:$O$3)),
SUM(_xlfn._xlws.FILTER(_xlfn._xlws.FILTER(_xlpm.hours,_xlpm.states,0),_xlpm.years),0))</f>
        <v>1682039.4672640001</v>
      </c>
      <c r="N38" s="67" cm="1">
        <f t="array" ref="N38">_xlfn.LET(_xlpm.hours,_xlfn._TRO_TRAILING(Sites!$DA:$DC),_xlpm.type,ISNUMBER(SEARCH($N$17,_xlfn._TRO_TRAILING(Sites!$C:$C))),_xlpm.states,ISNUMBER(SEARCH($N$19,_xlfn._TRO_TRAILING(Sites!$D:$D))),
_xlpm.years,ISNUMBER(SEARCH(N$20,Sites!$M$3:$O$3)),_xlpm.mna,ISNUMBER(SEARCH("M&amp;A",_xlfn._TRO_TRAILING(Sites!$D:$D))),
SUM(_xlfn._xlws.FILTER(_xlfn._xlws.FILTER(_xlpm.hours,_xlpm.mna,0),_xlpm.years),0))</f>
        <v>0</v>
      </c>
      <c r="O38" s="67" cm="1">
        <f t="array" ref="O38">_xlfn.LET(_xlpm.hours,_xlfn._TRO_TRAILING(Sites!$DA:$DC),_xlpm.type,ISNUMBER(SEARCH($N$17,_xlfn._TRO_TRAILING(Sites!$C:$C))),_xlpm.states,ISNUMBER(SEARCH($N$19,_xlfn._TRO_TRAILING(Sites!$D:$D))),
_xlpm.years,ISNUMBER(SEARCH(O$20,Sites!$M$3:$O$3)),_xlpm.mna,ISNUMBER(SEARCH("M&amp;A",_xlfn._TRO_TRAILING(Sites!$D:$D))),
SUM(_xlfn._xlws.FILTER(_xlfn._xlws.FILTER(_xlpm.hours,_xlpm.mna,0),_xlpm.years),0))</f>
        <v>0</v>
      </c>
      <c r="P38" s="67" cm="1">
        <f t="array" ref="P38">_xlfn.LET(_xlpm.hours,_xlfn._TRO_TRAILING(Sites!$DA:$DC),_xlpm.type,ISNUMBER(SEARCH($N$17,_xlfn._TRO_TRAILING(Sites!$C:$C))),_xlpm.states,ISNUMBER(SEARCH($N$19,_xlfn._TRO_TRAILING(Sites!$D:$D))),
_xlpm.years,ISNUMBER(SEARCH(P$20,Sites!$M$3:$O$3)),_xlpm.mna,ISNUMBER(SEARCH("M&amp;A",_xlfn._TRO_TRAILING(Sites!$D:$D))),
SUM(_xlfn._xlws.FILTER(_xlfn._xlws.FILTER(_xlpm.hours,_xlpm.mna,0),_xlpm.years),0))</f>
        <v>0</v>
      </c>
      <c r="R38" s="67" cm="1">
        <f t="array" ref="R38">_xlfn.LET(_xlpm.hours,_xlfn._TRO_TRAILING(Sites!$DA:$DC),_xlpm.type,ISNUMBER(SEARCH($R$17,_xlfn._TRO_TRAILING(Sites!$C:$C))),
_xlpm.states,ISNUMBER(SEARCH($R$19,_xlfn._TRO_TRAILING(Sites!$D:$D))),
_xlpm.years,ISNUMBER(SEARCH(R$20,Sites!$M$3:$O$3)),
SUM(_xlfn._xlws.FILTER(_xlfn._xlws.FILTER(_xlpm.hours,_xlpm.states*_xlpm.type,0),_xlpm.years),0))</f>
        <v>0</v>
      </c>
      <c r="S38" s="67" cm="1">
        <f t="array" ref="S38">_xlfn.LET(_xlpm.hours,_xlfn._TRO_TRAILING(Sites!$DA:$DC),_xlpm.type,ISNUMBER(SEARCH($R$17,_xlfn._TRO_TRAILING(Sites!$C:$C))),
_xlpm.states,ISNUMBER(SEARCH($R$19,_xlfn._TRO_TRAILING(Sites!$D:$D))),
_xlpm.years,ISNUMBER(SEARCH(S$20,Sites!$M$3:$O$3)),
SUM(_xlfn._xlws.FILTER(_xlfn._xlws.FILTER(_xlpm.hours,_xlpm.states*_xlpm.type,0),_xlpm.years),0))</f>
        <v>0</v>
      </c>
      <c r="T38" s="67" cm="1">
        <f t="array" ref="T38">_xlfn.LET(_xlpm.hours,_xlfn._TRO_TRAILING(Sites!$DA:$DC),_xlpm.type,ISNUMBER(SEARCH($R$17,_xlfn._TRO_TRAILING(Sites!$C:$C))),
_xlpm.states,ISNUMBER(SEARCH($R$19,_xlfn._TRO_TRAILING(Sites!$D:$D))),
_xlpm.years,ISNUMBER(SEARCH(T$20,Sites!$M$3:$O$3)),
SUM(_xlfn._xlws.FILTER(_xlfn._xlws.FILTER(_xlpm.hours,_xlpm.states*_xlpm.type,0),_xlpm.years),0))</f>
        <v>0</v>
      </c>
      <c r="V38" s="67" cm="1">
        <f t="array" ref="V38">_xlfn.LET(_xlpm.hours,_xlfn._TRO_TRAILING(Sites!$DA:$DC),_xlpm.type,ISNUMBER(SEARCH($V$17,_xlfn._TRO_TRAILING(Sites!$C:$C))),
_xlpm.states,ISNUMBER(SEARCH($V$19,_xlfn._TRO_TRAILING(Sites!$D:$D))),
_xlpm.years,ISNUMBER(SEARCH(V$20,Sites!$M$3:$O$3)),
SUM(_xlfn._xlws.FILTER(_xlfn._xlws.FILTER(_xlpm.hours,_xlpm.states*_xlpm.type,0),_xlpm.years),0))</f>
        <v>621440.04</v>
      </c>
      <c r="W38" s="67" cm="1">
        <f t="array" ref="W38">_xlfn.LET(_xlpm.hours,_xlfn._TRO_TRAILING(Sites!$DA:$DC),_xlpm.type,ISNUMBER(SEARCH($V$17,_xlfn._TRO_TRAILING(Sites!$C:$C))),
_xlpm.states,ISNUMBER(SEARCH($V$19,_xlfn._TRO_TRAILING(Sites!$D:$D))),
_xlpm.years,ISNUMBER(SEARCH(W$20,Sites!$M$3:$O$3)),
SUM(_xlfn._xlws.FILTER(_xlfn._xlws.FILTER(_xlpm.hours,_xlpm.states*_xlpm.type,0),_xlpm.years),0))</f>
        <v>1137697.6416</v>
      </c>
      <c r="X38" s="67" cm="1">
        <f t="array" ref="X38">_xlfn.LET(_xlpm.hours,_xlfn._TRO_TRAILING(Sites!$DA:$DC),_xlpm.type,ISNUMBER(SEARCH($V$17,_xlfn._TRO_TRAILING(Sites!$C:$C))),
_xlpm.states,ISNUMBER(SEARCH($V$19,_xlfn._TRO_TRAILING(Sites!$D:$D))),
_xlpm.years,ISNUMBER(SEARCH(X$20,Sites!$M$3:$O$3)),
SUM(_xlfn._xlws.FILTER(_xlfn._xlws.FILTER(_xlpm.hours,_xlpm.states*_xlpm.type,0),_xlpm.years),0))</f>
        <v>1682039.4672640001</v>
      </c>
    </row>
    <row r="39" spans="2:24" outlineLevel="1" x14ac:dyDescent="0.25">
      <c r="B39" s="39" t="s">
        <v>34</v>
      </c>
      <c r="F39" s="67">
        <f t="shared" si="27"/>
        <v>110846.52119999999</v>
      </c>
      <c r="G39" s="67">
        <f t="shared" si="28"/>
        <v>237173.14420799998</v>
      </c>
      <c r="H39" s="67">
        <f t="shared" si="29"/>
        <v>362083.70273920009</v>
      </c>
      <c r="J39" s="67" cm="1">
        <f t="array" ref="J39">_xlfn.LET(_xlpm.hours,_xlfn._TRO_TRAILING(Sites!$DE:$DG),_xlpm.type,ISNUMBER(SEARCH($J$17,_xlfn._TRO_TRAILING(Sites!$C:$C))),_xlpm.states,ISNUMBER(SEARCH($J$19,_xlfn._TRO_TRAILING(Sites!$D:$D))),
_xlpm.years,ISNUMBER(SEARCH(J$20,Sites!$M$3:$O$3)),
SUM(_xlfn._xlws.FILTER(_xlfn._xlws.FILTER(_xlpm.hours,_xlpm.states,0),_xlpm.years),0))</f>
        <v>110846.52119999999</v>
      </c>
      <c r="K39" s="67" cm="1">
        <f t="array" ref="K39">_xlfn.LET(_xlpm.hours,_xlfn._TRO_TRAILING(Sites!$DE:$DG),_xlpm.type,ISNUMBER(SEARCH($J$17,_xlfn._TRO_TRAILING(Sites!$C:$C))),_xlpm.states,ISNUMBER(SEARCH($J$19,_xlfn._TRO_TRAILING(Sites!$D:$D))),
_xlpm.years,ISNUMBER(SEARCH(K$20,Sites!$M$3:$O$3)),
SUM(_xlfn._xlws.FILTER(_xlfn._xlws.FILTER(_xlpm.hours,_xlpm.states,0),_xlpm.years),0))</f>
        <v>237173.14420799998</v>
      </c>
      <c r="L39" s="67" cm="1">
        <f t="array" ref="L39">_xlfn.LET(_xlpm.hours,_xlfn._TRO_TRAILING(Sites!$DE:$DG),_xlpm.type,ISNUMBER(SEARCH($J$17,_xlfn._TRO_TRAILING(Sites!$C:$C))),_xlpm.states,ISNUMBER(SEARCH($J$19,_xlfn._TRO_TRAILING(Sites!$D:$D))),
_xlpm.years,ISNUMBER(SEARCH(L$20,Sites!$M$3:$O$3)),
SUM(_xlfn._xlws.FILTER(_xlfn._xlws.FILTER(_xlpm.hours,_xlpm.states,0),_xlpm.years),0))</f>
        <v>362083.70273920009</v>
      </c>
      <c r="N39" s="67" cm="1">
        <f t="array" ref="N39">_xlfn.LET(_xlpm.hours,_xlfn._TRO_TRAILING(Sites!$DE:$DG),_xlpm.type,ISNUMBER(SEARCH($N$17,_xlfn._TRO_TRAILING(Sites!$C:$C))),_xlpm.states,ISNUMBER(SEARCH($N$19,_xlfn._TRO_TRAILING(Sites!$D:$D))),
_xlpm.years,ISNUMBER(SEARCH(N$20,Sites!$M$3:$O$3)),_xlpm.mna,ISNUMBER(SEARCH("M&amp;A",_xlfn._TRO_TRAILING(Sites!$D:$D))),
SUM(_xlfn._xlws.FILTER(_xlfn._xlws.FILTER(_xlpm.hours,_xlpm.mna,0),_xlpm.years),0))</f>
        <v>0</v>
      </c>
      <c r="O39" s="67" cm="1">
        <f t="array" ref="O39">_xlfn.LET(_xlpm.hours,_xlfn._TRO_TRAILING(Sites!$DE:$DG),_xlpm.type,ISNUMBER(SEARCH($N$17,_xlfn._TRO_TRAILING(Sites!$C:$C))),_xlpm.states,ISNUMBER(SEARCH($N$19,_xlfn._TRO_TRAILING(Sites!$D:$D))),
_xlpm.years,ISNUMBER(SEARCH(O$20,Sites!$M$3:$O$3)),_xlpm.mna,ISNUMBER(SEARCH("M&amp;A",_xlfn._TRO_TRAILING(Sites!$D:$D))),
SUM(_xlfn._xlws.FILTER(_xlfn._xlws.FILTER(_xlpm.hours,_xlpm.mna,0),_xlpm.years),0))</f>
        <v>0</v>
      </c>
      <c r="P39" s="67" cm="1">
        <f t="array" ref="P39">_xlfn.LET(_xlpm.hours,_xlfn._TRO_TRAILING(Sites!$DE:$DG),_xlpm.type,ISNUMBER(SEARCH($N$17,_xlfn._TRO_TRAILING(Sites!$C:$C))),_xlpm.states,ISNUMBER(SEARCH($N$19,_xlfn._TRO_TRAILING(Sites!$D:$D))),
_xlpm.years,ISNUMBER(SEARCH(P$20,Sites!$M$3:$O$3)),_xlpm.mna,ISNUMBER(SEARCH("M&amp;A",_xlfn._TRO_TRAILING(Sites!$D:$D))),
SUM(_xlfn._xlws.FILTER(_xlfn._xlws.FILTER(_xlpm.hours,_xlpm.mna,0),_xlpm.years),0))</f>
        <v>0</v>
      </c>
      <c r="R39" s="67" cm="1">
        <f t="array" ref="R39">_xlfn.LET(_xlpm.hours,_xlfn._TRO_TRAILING(Sites!$DE:$DG),_xlpm.type,ISNUMBER(SEARCH($R$17,_xlfn._TRO_TRAILING(Sites!$C:$C))),
_xlpm.states,ISNUMBER(SEARCH($R$19,_xlfn._TRO_TRAILING(Sites!$D:$D))),
_xlpm.years,ISNUMBER(SEARCH(R$20,Sites!$M$3:$O$3)),
SUM(_xlfn._xlws.FILTER(_xlfn._xlws.FILTER(_xlpm.hours,_xlpm.states*_xlpm.type,0),_xlpm.years),0))</f>
        <v>29933.749599999999</v>
      </c>
      <c r="S39" s="67" cm="1">
        <f t="array" ref="S39">_xlfn.LET(_xlpm.hours,_xlfn._TRO_TRAILING(Sites!$DE:$DG),_xlpm.type,ISNUMBER(SEARCH($R$17,_xlfn._TRO_TRAILING(Sites!$C:$C))),
_xlpm.states,ISNUMBER(SEARCH($R$19,_xlfn._TRO_TRAILING(Sites!$D:$D))),
_xlpm.years,ISNUMBER(SEARCH(S$20,Sites!$M$3:$O$3)),
SUM(_xlfn._xlws.FILTER(_xlfn._xlws.FILTER(_xlpm.hours,_xlpm.states*_xlpm.type,0),_xlpm.years),0))</f>
        <v>80932.448896000002</v>
      </c>
      <c r="T39" s="67" cm="1">
        <f t="array" ref="T39">_xlfn.LET(_xlpm.hours,_xlfn._TRO_TRAILING(Sites!$DE:$DG),_xlpm.type,ISNUMBER(SEARCH($R$17,_xlfn._TRO_TRAILING(Sites!$C:$C))),
_xlpm.states,ISNUMBER(SEARCH($R$19,_xlfn._TRO_TRAILING(Sites!$D:$D))),
_xlpm.years,ISNUMBER(SEARCH(T$20,Sites!$M$3:$O$3)),
SUM(_xlfn._xlws.FILTER(_xlfn._xlws.FILTER(_xlpm.hours,_xlpm.states*_xlpm.type,0),_xlpm.years),0))</f>
        <v>122869.02559360002</v>
      </c>
      <c r="V39" s="67" cm="1">
        <f t="array" ref="V39">_xlfn.LET(_xlpm.hours,_xlfn._TRO_TRAILING(Sites!$DE:$DG),_xlpm.type,ISNUMBER(SEARCH($V$17,_xlfn._TRO_TRAILING(Sites!$C:$C))),
_xlpm.states,ISNUMBER(SEARCH($V$19,_xlfn._TRO_TRAILING(Sites!$D:$D))),
_xlpm.years,ISNUMBER(SEARCH(V$20,Sites!$M$3:$O$3)),
SUM(_xlfn._xlws.FILTER(_xlfn._xlws.FILTER(_xlpm.hours,_xlpm.states*_xlpm.type,0),_xlpm.years),0))</f>
        <v>80912.771600000007</v>
      </c>
      <c r="W39" s="67" cm="1">
        <f t="array" ref="W39">_xlfn.LET(_xlpm.hours,_xlfn._TRO_TRAILING(Sites!$DE:$DG),_xlpm.type,ISNUMBER(SEARCH($V$17,_xlfn._TRO_TRAILING(Sites!$C:$C))),
_xlpm.states,ISNUMBER(SEARCH($V$19,_xlfn._TRO_TRAILING(Sites!$D:$D))),
_xlpm.years,ISNUMBER(SEARCH(W$20,Sites!$M$3:$O$3)),
SUM(_xlfn._xlws.FILTER(_xlfn._xlws.FILTER(_xlpm.hours,_xlpm.states*_xlpm.type,0),_xlpm.years),0))</f>
        <v>156240.69531199997</v>
      </c>
      <c r="X39" s="67" cm="1">
        <f t="array" ref="X39">_xlfn.LET(_xlpm.hours,_xlfn._TRO_TRAILING(Sites!$DE:$DG),_xlpm.type,ISNUMBER(SEARCH($V$17,_xlfn._TRO_TRAILING(Sites!$C:$C))),
_xlpm.states,ISNUMBER(SEARCH($V$19,_xlfn._TRO_TRAILING(Sites!$D:$D))),
_xlpm.years,ISNUMBER(SEARCH(X$20,Sites!$M$3:$O$3)),
SUM(_xlfn._xlws.FILTER(_xlfn._xlws.FILTER(_xlpm.hours,_xlpm.states*_xlpm.type,0),_xlpm.years),0))</f>
        <v>239214.67714560003</v>
      </c>
    </row>
    <row r="40" spans="2:24" outlineLevel="1" x14ac:dyDescent="0.25">
      <c r="B40" s="39" t="s">
        <v>36</v>
      </c>
      <c r="F40" s="67">
        <f t="shared" si="27"/>
        <v>577500</v>
      </c>
      <c r="G40" s="67">
        <f t="shared" si="28"/>
        <v>995520</v>
      </c>
      <c r="H40" s="67">
        <f t="shared" si="29"/>
        <v>1396216.7999999998</v>
      </c>
      <c r="J40" s="67" cm="1">
        <f t="array" ref="J40">_xlfn.LET(_xlpm.hours,_xlfn._TRO_TRAILING(Sites!$DI:$DK),_xlpm.type,ISNUMBER(SEARCH($J$17,_xlfn._TRO_TRAILING(Sites!$C:$C))),_xlpm.states,ISNUMBER(SEARCH($J$19,_xlfn._TRO_TRAILING(Sites!$D:$D))),
_xlpm.years,ISNUMBER(SEARCH(J$20,Sites!$M$3:$O$3)),
SUM(_xlfn._xlws.FILTER(_xlfn._xlws.FILTER(_xlpm.hours,_xlpm.states,0),_xlpm.years),0))</f>
        <v>577500</v>
      </c>
      <c r="K40" s="67" cm="1">
        <f t="array" ref="K40">_xlfn.LET(_xlpm.hours,_xlfn._TRO_TRAILING(Sites!$DI:$DK),_xlpm.type,ISNUMBER(SEARCH($J$17,_xlfn._TRO_TRAILING(Sites!$C:$C))),_xlpm.states,ISNUMBER(SEARCH($J$19,_xlfn._TRO_TRAILING(Sites!$D:$D))),
_xlpm.years,ISNUMBER(SEARCH(K$20,Sites!$M$3:$O$3)),
SUM(_xlfn._xlws.FILTER(_xlfn._xlws.FILTER(_xlpm.hours,_xlpm.states,0),_xlpm.years),0))</f>
        <v>995520</v>
      </c>
      <c r="L40" s="67" cm="1">
        <f t="array" ref="L40">_xlfn.LET(_xlpm.hours,_xlfn._TRO_TRAILING(Sites!$DI:$DK),_xlpm.type,ISNUMBER(SEARCH($J$17,_xlfn._TRO_TRAILING(Sites!$C:$C))),_xlpm.states,ISNUMBER(SEARCH($J$19,_xlfn._TRO_TRAILING(Sites!$D:$D))),
_xlpm.years,ISNUMBER(SEARCH(L$20,Sites!$M$3:$O$3)),
SUM(_xlfn._xlws.FILTER(_xlfn._xlws.FILTER(_xlpm.hours,_xlpm.states,0),_xlpm.years),0))</f>
        <v>1396216.7999999998</v>
      </c>
      <c r="N40" s="67" cm="1">
        <f t="array" ref="N40">_xlfn.LET(_xlpm.hours,_xlfn._TRO_TRAILING(Sites!$DI:$DK),_xlpm.type,ISNUMBER(SEARCH($N$17,_xlfn._TRO_TRAILING(Sites!$C:$C))),_xlpm.states,ISNUMBER(SEARCH($N$19,_xlfn._TRO_TRAILING(Sites!$D:$D))),
_xlpm.years,ISNUMBER(SEARCH(N$20,Sites!$M$3:$O$3)),_xlpm.mna,ISNUMBER(SEARCH("M&amp;A",_xlfn._TRO_TRAILING(Sites!$D:$D))),
SUM(_xlfn._xlws.FILTER(_xlfn._xlws.FILTER(_xlpm.hours,_xlpm.mna,0),_xlpm.years),0))</f>
        <v>0</v>
      </c>
      <c r="O40" s="67" cm="1">
        <f t="array" ref="O40">_xlfn.LET(_xlpm.hours,_xlfn._TRO_TRAILING(Sites!$DI:$DK),_xlpm.type,ISNUMBER(SEARCH($N$17,_xlfn._TRO_TRAILING(Sites!$C:$C))),_xlpm.states,ISNUMBER(SEARCH($N$19,_xlfn._TRO_TRAILING(Sites!$D:$D))),
_xlpm.years,ISNUMBER(SEARCH(O$20,Sites!$M$3:$O$3)),_xlpm.mna,ISNUMBER(SEARCH("M&amp;A",_xlfn._TRO_TRAILING(Sites!$D:$D))),
SUM(_xlfn._xlws.FILTER(_xlfn._xlws.FILTER(_xlpm.hours,_xlpm.mna,0),_xlpm.years),0))</f>
        <v>0</v>
      </c>
      <c r="P40" s="67" cm="1">
        <f t="array" ref="P40">_xlfn.LET(_xlpm.hours,_xlfn._TRO_TRAILING(Sites!$DI:$DK),_xlpm.type,ISNUMBER(SEARCH($N$17,_xlfn._TRO_TRAILING(Sites!$C:$C))),_xlpm.states,ISNUMBER(SEARCH($N$19,_xlfn._TRO_TRAILING(Sites!$D:$D))),
_xlpm.years,ISNUMBER(SEARCH(P$20,Sites!$M$3:$O$3)),_xlpm.mna,ISNUMBER(SEARCH("M&amp;A",_xlfn._TRO_TRAILING(Sites!$D:$D))),
SUM(_xlfn._xlws.FILTER(_xlfn._xlws.FILTER(_xlpm.hours,_xlpm.mna,0),_xlpm.years),0))</f>
        <v>0</v>
      </c>
      <c r="R40" s="67" cm="1">
        <f t="array" ref="R40">_xlfn.LET(_xlpm.hours,_xlfn._TRO_TRAILING(Sites!$DI:$DK),_xlpm.type,ISNUMBER(SEARCH($R$17,_xlfn._TRO_TRAILING(Sites!$C:$C))),
_xlpm.states,ISNUMBER(SEARCH($R$19,_xlfn._TRO_TRAILING(Sites!$D:$D))),
_xlpm.years,ISNUMBER(SEARCH(R$20,Sites!$M$3:$O$3)),
SUM(_xlfn._xlws.FILTER(_xlfn._xlws.FILTER(_xlpm.hours,_xlpm.states*_xlpm.type,0),_xlpm.years),0))</f>
        <v>0</v>
      </c>
      <c r="S40" s="67" cm="1">
        <f t="array" ref="S40">_xlfn.LET(_xlpm.hours,_xlfn._TRO_TRAILING(Sites!$DI:$DK),_xlpm.type,ISNUMBER(SEARCH($R$17,_xlfn._TRO_TRAILING(Sites!$C:$C))),
_xlpm.states,ISNUMBER(SEARCH($R$19,_xlfn._TRO_TRAILING(Sites!$D:$D))),
_xlpm.years,ISNUMBER(SEARCH(S$20,Sites!$M$3:$O$3)),
SUM(_xlfn._xlws.FILTER(_xlfn._xlws.FILTER(_xlpm.hours,_xlpm.states*_xlpm.type,0),_xlpm.years),0))</f>
        <v>0</v>
      </c>
      <c r="T40" s="67" cm="1">
        <f t="array" ref="T40">_xlfn.LET(_xlpm.hours,_xlfn._TRO_TRAILING(Sites!$DI:$DK),_xlpm.type,ISNUMBER(SEARCH($R$17,_xlfn._TRO_TRAILING(Sites!$C:$C))),
_xlpm.states,ISNUMBER(SEARCH($R$19,_xlfn._TRO_TRAILING(Sites!$D:$D))),
_xlpm.years,ISNUMBER(SEARCH(T$20,Sites!$M$3:$O$3)),
SUM(_xlfn._xlws.FILTER(_xlfn._xlws.FILTER(_xlpm.hours,_xlpm.states*_xlpm.type,0),_xlpm.years),0))</f>
        <v>0</v>
      </c>
      <c r="V40" s="67" cm="1">
        <f t="array" ref="V40">_xlfn.LET(_xlpm.hours,_xlfn._TRO_TRAILING(Sites!$DI:$DK),_xlpm.type,ISNUMBER(SEARCH($V$17,_xlfn._TRO_TRAILING(Sites!$C:$C))),
_xlpm.states,ISNUMBER(SEARCH($V$19,_xlfn._TRO_TRAILING(Sites!$D:$D))),
_xlpm.years,ISNUMBER(SEARCH(V$20,Sites!$M$3:$O$3)),
SUM(_xlfn._xlws.FILTER(_xlfn._xlws.FILTER(_xlpm.hours,_xlpm.states*_xlpm.type,0),_xlpm.years),0))</f>
        <v>577500</v>
      </c>
      <c r="W40" s="67" cm="1">
        <f t="array" ref="W40">_xlfn.LET(_xlpm.hours,_xlfn._TRO_TRAILING(Sites!$DI:$DK),_xlpm.type,ISNUMBER(SEARCH($V$17,_xlfn._TRO_TRAILING(Sites!$C:$C))),
_xlpm.states,ISNUMBER(SEARCH($V$19,_xlfn._TRO_TRAILING(Sites!$D:$D))),
_xlpm.years,ISNUMBER(SEARCH(W$20,Sites!$M$3:$O$3)),
SUM(_xlfn._xlws.FILTER(_xlfn._xlws.FILTER(_xlpm.hours,_xlpm.states*_xlpm.type,0),_xlpm.years),0))</f>
        <v>995520</v>
      </c>
      <c r="X40" s="67" cm="1">
        <f t="array" ref="X40">_xlfn.LET(_xlpm.hours,_xlfn._TRO_TRAILING(Sites!$DI:$DK),_xlpm.type,ISNUMBER(SEARCH($V$17,_xlfn._TRO_TRAILING(Sites!$C:$C))),
_xlpm.states,ISNUMBER(SEARCH($V$19,_xlfn._TRO_TRAILING(Sites!$D:$D))),
_xlpm.years,ISNUMBER(SEARCH(X$20,Sites!$M$3:$O$3)),
SUM(_xlfn._xlws.FILTER(_xlfn._xlws.FILTER(_xlpm.hours,_xlpm.states*_xlpm.type,0),_xlpm.years),0))</f>
        <v>1396216.7999999998</v>
      </c>
    </row>
    <row r="41" spans="2:24" outlineLevel="1" x14ac:dyDescent="0.25">
      <c r="B41" s="39" t="s">
        <v>38</v>
      </c>
      <c r="F41" s="67">
        <f t="shared" si="27"/>
        <v>1093800.5</v>
      </c>
      <c r="G41" s="67">
        <f t="shared" si="28"/>
        <v>2847953.22</v>
      </c>
      <c r="H41" s="67">
        <f t="shared" si="29"/>
        <v>4441086.8136</v>
      </c>
      <c r="J41" s="67" cm="1">
        <f t="array" ref="J41">_xlfn.LET(_xlpm.hours,_xlfn._TRO_TRAILING(Sites!$DM:$DO),_xlpm.type,ISNUMBER(SEARCH($J$17,_xlfn._TRO_TRAILING(Sites!$C:$C))),_xlpm.states,ISNUMBER(SEARCH($J$19,_xlfn._TRO_TRAILING(Sites!$D:$D))),
_xlpm.years,ISNUMBER(SEARCH(J$20,Sites!$M$3:$O$3)),
SUM(_xlfn._xlws.FILTER(_xlfn._xlws.FILTER(_xlpm.hours,_xlpm.states,0),_xlpm.years),0))</f>
        <v>1093800.5</v>
      </c>
      <c r="K41" s="67" cm="1">
        <f t="array" ref="K41">_xlfn.LET(_xlpm.hours,_xlfn._TRO_TRAILING(Sites!$DM:$DO),_xlpm.type,ISNUMBER(SEARCH($J$17,_xlfn._TRO_TRAILING(Sites!$C:$C))),_xlpm.states,ISNUMBER(SEARCH($J$19,_xlfn._TRO_TRAILING(Sites!$D:$D))),
_xlpm.years,ISNUMBER(SEARCH(K$20,Sites!$M$3:$O$3)),
SUM(_xlfn._xlws.FILTER(_xlfn._xlws.FILTER(_xlpm.hours,_xlpm.states,0),_xlpm.years),0))</f>
        <v>2847953.22</v>
      </c>
      <c r="L41" s="67" cm="1">
        <f t="array" ref="L41">_xlfn.LET(_xlpm.hours,_xlfn._TRO_TRAILING(Sites!$DM:$DO),_xlpm.type,ISNUMBER(SEARCH($J$17,_xlfn._TRO_TRAILING(Sites!$C:$C))),_xlpm.states,ISNUMBER(SEARCH($J$19,_xlfn._TRO_TRAILING(Sites!$D:$D))),
_xlpm.years,ISNUMBER(SEARCH(L$20,Sites!$M$3:$O$3)),
SUM(_xlfn._xlws.FILTER(_xlfn._xlws.FILTER(_xlpm.hours,_xlpm.states,0),_xlpm.years),0))</f>
        <v>4441086.8136</v>
      </c>
      <c r="N41" s="67" cm="1">
        <f t="array" ref="N41">_xlfn.LET(_xlpm.hours,_xlfn._TRO_TRAILING(Sites!$DM:$DO),_xlpm.type,ISNUMBER(SEARCH($N$17,_xlfn._TRO_TRAILING(Sites!$C:$C))),_xlpm.states,ISNUMBER(SEARCH($N$19,_xlfn._TRO_TRAILING(Sites!$D:$D))),
_xlpm.years,ISNUMBER(SEARCH(N$20,Sites!$M$3:$O$3)),_xlpm.mna,ISNUMBER(SEARCH("M&amp;A",_xlfn._TRO_TRAILING(Sites!$D:$D))),
SUM(_xlfn._xlws.FILTER(_xlfn._xlws.FILTER(_xlpm.hours,_xlpm.mna,0),_xlpm.years),0))</f>
        <v>0</v>
      </c>
      <c r="O41" s="67" cm="1">
        <f t="array" ref="O41">_xlfn.LET(_xlpm.hours,_xlfn._TRO_TRAILING(Sites!$DM:$DO),_xlpm.type,ISNUMBER(SEARCH($N$17,_xlfn._TRO_TRAILING(Sites!$C:$C))),_xlpm.states,ISNUMBER(SEARCH($N$19,_xlfn._TRO_TRAILING(Sites!$D:$D))),
_xlpm.years,ISNUMBER(SEARCH(O$20,Sites!$M$3:$O$3)),_xlpm.mna,ISNUMBER(SEARCH("M&amp;A",_xlfn._TRO_TRAILING(Sites!$D:$D))),
SUM(_xlfn._xlws.FILTER(_xlfn._xlws.FILTER(_xlpm.hours,_xlpm.mna,0),_xlpm.years),0))</f>
        <v>0</v>
      </c>
      <c r="P41" s="67" cm="1">
        <f t="array" ref="P41">_xlfn.LET(_xlpm.hours,_xlfn._TRO_TRAILING(Sites!$DM:$DO),_xlpm.type,ISNUMBER(SEARCH($N$17,_xlfn._TRO_TRAILING(Sites!$C:$C))),_xlpm.states,ISNUMBER(SEARCH($N$19,_xlfn._TRO_TRAILING(Sites!$D:$D))),
_xlpm.years,ISNUMBER(SEARCH(P$20,Sites!$M$3:$O$3)),_xlpm.mna,ISNUMBER(SEARCH("M&amp;A",_xlfn._TRO_TRAILING(Sites!$D:$D))),
SUM(_xlfn._xlws.FILTER(_xlfn._xlws.FILTER(_xlpm.hours,_xlpm.mna,0),_xlpm.years),0))</f>
        <v>0</v>
      </c>
      <c r="R41" s="67" cm="1">
        <f t="array" ref="R41">_xlfn.LET(_xlpm.hours,_xlfn._TRO_TRAILING(Sites!$DM:$DO),_xlpm.type,ISNUMBER(SEARCH($R$17,_xlfn._TRO_TRAILING(Sites!$C:$C))),
_xlpm.states,ISNUMBER(SEARCH($R$19,_xlfn._TRO_TRAILING(Sites!$D:$D))),
_xlpm.years,ISNUMBER(SEARCH(R$20,Sites!$M$3:$O$3)),
SUM(_xlfn._xlws.FILTER(_xlfn._xlws.FILTER(_xlpm.hours,_xlpm.states*_xlpm.type,0),_xlpm.years),0))</f>
        <v>203950</v>
      </c>
      <c r="S41" s="67" cm="1">
        <f t="array" ref="S41">_xlfn.LET(_xlpm.hours,_xlfn._TRO_TRAILING(Sites!$DM:$DO),_xlpm.type,ISNUMBER(SEARCH($R$17,_xlfn._TRO_TRAILING(Sites!$C:$C))),
_xlpm.states,ISNUMBER(SEARCH($R$19,_xlfn._TRO_TRAILING(Sites!$D:$D))),
_xlpm.years,ISNUMBER(SEARCH(S$20,Sites!$M$3:$O$3)),
SUM(_xlfn._xlws.FILTER(_xlfn._xlws.FILTER(_xlpm.hours,_xlpm.states*_xlpm.type,0),_xlpm.years),0))</f>
        <v>597709.79999999993</v>
      </c>
      <c r="T41" s="67" cm="1">
        <f t="array" ref="T41">_xlfn.LET(_xlpm.hours,_xlfn._TRO_TRAILING(Sites!$DM:$DO),_xlpm.type,ISNUMBER(SEARCH($R$17,_xlfn._TRO_TRAILING(Sites!$C:$C))),
_xlpm.states,ISNUMBER(SEARCH($R$19,_xlfn._TRO_TRAILING(Sites!$D:$D))),
_xlpm.years,ISNUMBER(SEARCH(T$20,Sites!$M$3:$O$3)),
SUM(_xlfn._xlws.FILTER(_xlfn._xlws.FILTER(_xlpm.hours,_xlpm.states*_xlpm.type,0),_xlpm.years),0))</f>
        <v>991667.66399999987</v>
      </c>
      <c r="V41" s="67" cm="1">
        <f t="array" ref="V41">_xlfn.LET(_xlpm.hours,_xlfn._TRO_TRAILING(Sites!$DM:$DO),_xlpm.type,ISNUMBER(SEARCH($V$17,_xlfn._TRO_TRAILING(Sites!$C:$C))),
_xlpm.states,ISNUMBER(SEARCH($V$19,_xlfn._TRO_TRAILING(Sites!$D:$D))),
_xlpm.years,ISNUMBER(SEARCH(V$20,Sites!$M$3:$O$3)),
SUM(_xlfn._xlws.FILTER(_xlfn._xlws.FILTER(_xlpm.hours,_xlpm.states*_xlpm.type,0),_xlpm.years),0))</f>
        <v>889850.5</v>
      </c>
      <c r="W41" s="67" cm="1">
        <f t="array" ref="W41">_xlfn.LET(_xlpm.hours,_xlfn._TRO_TRAILING(Sites!$DM:$DO),_xlpm.type,ISNUMBER(SEARCH($V$17,_xlfn._TRO_TRAILING(Sites!$C:$C))),
_xlpm.states,ISNUMBER(SEARCH($V$19,_xlfn._TRO_TRAILING(Sites!$D:$D))),
_xlpm.years,ISNUMBER(SEARCH(W$20,Sites!$M$3:$O$3)),
SUM(_xlfn._xlws.FILTER(_xlfn._xlws.FILTER(_xlpm.hours,_xlpm.states*_xlpm.type,0),_xlpm.years),0))</f>
        <v>2250243.4200000004</v>
      </c>
      <c r="X41" s="67" cm="1">
        <f t="array" ref="X41">_xlfn.LET(_xlpm.hours,_xlfn._TRO_TRAILING(Sites!$DM:$DO),_xlpm.type,ISNUMBER(SEARCH($V$17,_xlfn._TRO_TRAILING(Sites!$C:$C))),
_xlpm.states,ISNUMBER(SEARCH($V$19,_xlfn._TRO_TRAILING(Sites!$D:$D))),
_xlpm.years,ISNUMBER(SEARCH(X$20,Sites!$M$3:$O$3)),
SUM(_xlfn._xlws.FILTER(_xlfn._xlws.FILTER(_xlpm.hours,_xlpm.states*_xlpm.type,0),_xlpm.years),0))</f>
        <v>3449419.1496000011</v>
      </c>
    </row>
    <row r="42" spans="2:24" outlineLevel="1" x14ac:dyDescent="0.25">
      <c r="B42" s="39" t="s">
        <v>40</v>
      </c>
      <c r="F42" s="67">
        <f t="shared" si="27"/>
        <v>462000</v>
      </c>
      <c r="G42" s="67">
        <f t="shared" si="28"/>
        <v>831600</v>
      </c>
      <c r="H42" s="67">
        <f t="shared" si="29"/>
        <v>1243620</v>
      </c>
      <c r="J42" s="67" cm="1">
        <f t="array" ref="J42">_xlfn.LET(_xlpm.hours,_xlfn._TRO_TRAILING(Sites!$DQ:$DS),_xlpm.type,ISNUMBER(SEARCH($J$17,_xlfn._TRO_TRAILING(Sites!$C:$C))),_xlpm.states,ISNUMBER(SEARCH($J$19,_xlfn._TRO_TRAILING(Sites!$D:$D))),
_xlpm.years,ISNUMBER(SEARCH(J$20,Sites!$M$3:$O$3)),
SUM(_xlfn._xlws.FILTER(_xlfn._xlws.FILTER(_xlpm.hours,_xlpm.states,0),_xlpm.years),0))</f>
        <v>462000</v>
      </c>
      <c r="K42" s="67" cm="1">
        <f t="array" ref="K42">_xlfn.LET(_xlpm.hours,_xlfn._TRO_TRAILING(Sites!$DQ:$DS),_xlpm.type,ISNUMBER(SEARCH($J$17,_xlfn._TRO_TRAILING(Sites!$C:$C))),_xlpm.states,ISNUMBER(SEARCH($J$19,_xlfn._TRO_TRAILING(Sites!$D:$D))),
_xlpm.years,ISNUMBER(SEARCH(K$20,Sites!$M$3:$O$3)),
SUM(_xlfn._xlws.FILTER(_xlfn._xlws.FILTER(_xlpm.hours,_xlpm.states,0),_xlpm.years),0))</f>
        <v>831600</v>
      </c>
      <c r="L42" s="67" cm="1">
        <f t="array" ref="L42">_xlfn.LET(_xlpm.hours,_xlfn._TRO_TRAILING(Sites!$DQ:$DS),_xlpm.type,ISNUMBER(SEARCH($J$17,_xlfn._TRO_TRAILING(Sites!$C:$C))),_xlpm.states,ISNUMBER(SEARCH($J$19,_xlfn._TRO_TRAILING(Sites!$D:$D))),
_xlpm.years,ISNUMBER(SEARCH(L$20,Sites!$M$3:$O$3)),
SUM(_xlfn._xlws.FILTER(_xlfn._xlws.FILTER(_xlpm.hours,_xlpm.states,0),_xlpm.years),0))</f>
        <v>1243620</v>
      </c>
      <c r="N42" s="67" cm="1">
        <f t="array" ref="N42">_xlfn.LET(_xlpm.hours,_xlfn._TRO_TRAILING(Sites!$DQ:$DS),_xlpm.type,ISNUMBER(SEARCH($N$17,_xlfn._TRO_TRAILING(Sites!$C:$C))),_xlpm.states,ISNUMBER(SEARCH($N$19,_xlfn._TRO_TRAILING(Sites!$D:$D))),
_xlpm.years,ISNUMBER(SEARCH(N$20,Sites!$M$3:$O$3)),_xlpm.mna,ISNUMBER(SEARCH("M&amp;A",_xlfn._TRO_TRAILING(Sites!$D:$D))),
SUM(_xlfn._xlws.FILTER(_xlfn._xlws.FILTER(_xlpm.hours,_xlpm.mna,0),_xlpm.years),0))</f>
        <v>0</v>
      </c>
      <c r="O42" s="67" cm="1">
        <f t="array" ref="O42">_xlfn.LET(_xlpm.hours,_xlfn._TRO_TRAILING(Sites!$DQ:$DS),_xlpm.type,ISNUMBER(SEARCH($N$17,_xlfn._TRO_TRAILING(Sites!$C:$C))),_xlpm.states,ISNUMBER(SEARCH($N$19,_xlfn._TRO_TRAILING(Sites!$D:$D))),
_xlpm.years,ISNUMBER(SEARCH(O$20,Sites!$M$3:$O$3)),_xlpm.mna,ISNUMBER(SEARCH("M&amp;A",_xlfn._TRO_TRAILING(Sites!$D:$D))),
SUM(_xlfn._xlws.FILTER(_xlfn._xlws.FILTER(_xlpm.hours,_xlpm.mna,0),_xlpm.years),0))</f>
        <v>0</v>
      </c>
      <c r="P42" s="67" cm="1">
        <f t="array" ref="P42">_xlfn.LET(_xlpm.hours,_xlfn._TRO_TRAILING(Sites!$DQ:$DS),_xlpm.type,ISNUMBER(SEARCH($N$17,_xlfn._TRO_TRAILING(Sites!$C:$C))),_xlpm.states,ISNUMBER(SEARCH($N$19,_xlfn._TRO_TRAILING(Sites!$D:$D))),
_xlpm.years,ISNUMBER(SEARCH(P$20,Sites!$M$3:$O$3)),_xlpm.mna,ISNUMBER(SEARCH("M&amp;A",_xlfn._TRO_TRAILING(Sites!$D:$D))),
SUM(_xlfn._xlws.FILTER(_xlfn._xlws.FILTER(_xlpm.hours,_xlpm.mna,0),_xlpm.years),0))</f>
        <v>0</v>
      </c>
      <c r="R42" s="67" cm="1">
        <f t="array" ref="R42">_xlfn.LET(_xlpm.hours,_xlfn._TRO_TRAILING(Sites!$DQ:$DS),_xlpm.type,ISNUMBER(SEARCH($R$17,_xlfn._TRO_TRAILING(Sites!$C:$C))),
_xlpm.states,ISNUMBER(SEARCH($R$19,_xlfn._TRO_TRAILING(Sites!$D:$D))),
_xlpm.years,ISNUMBER(SEARCH(R$20,Sites!$M$3:$O$3)),
SUM(_xlfn._xlws.FILTER(_xlfn._xlws.FILTER(_xlpm.hours,_xlpm.states*_xlpm.type,0),_xlpm.years),0))</f>
        <v>0</v>
      </c>
      <c r="S42" s="67" cm="1">
        <f t="array" ref="S42">_xlfn.LET(_xlpm.hours,_xlfn._TRO_TRAILING(Sites!$DQ:$DS),_xlpm.type,ISNUMBER(SEARCH($R$17,_xlfn._TRO_TRAILING(Sites!$C:$C))),
_xlpm.states,ISNUMBER(SEARCH($R$19,_xlfn._TRO_TRAILING(Sites!$D:$D))),
_xlpm.years,ISNUMBER(SEARCH(S$20,Sites!$M$3:$O$3)),
SUM(_xlfn._xlws.FILTER(_xlfn._xlws.FILTER(_xlpm.hours,_xlpm.states*_xlpm.type,0),_xlpm.years),0))</f>
        <v>0</v>
      </c>
      <c r="T42" s="67" cm="1">
        <f t="array" ref="T42">_xlfn.LET(_xlpm.hours,_xlfn._TRO_TRAILING(Sites!$DQ:$DS),_xlpm.type,ISNUMBER(SEARCH($R$17,_xlfn._TRO_TRAILING(Sites!$C:$C))),
_xlpm.states,ISNUMBER(SEARCH($R$19,_xlfn._TRO_TRAILING(Sites!$D:$D))),
_xlpm.years,ISNUMBER(SEARCH(T$20,Sites!$M$3:$O$3)),
SUM(_xlfn._xlws.FILTER(_xlfn._xlws.FILTER(_xlpm.hours,_xlpm.states*_xlpm.type,0),_xlpm.years),0))</f>
        <v>0</v>
      </c>
      <c r="V42" s="67" cm="1">
        <f t="array" ref="V42">_xlfn.LET(_xlpm.hours,_xlfn._TRO_TRAILING(Sites!$DQ:$DS),_xlpm.type,ISNUMBER(SEARCH($V$17,_xlfn._TRO_TRAILING(Sites!$C:$C))),
_xlpm.states,ISNUMBER(SEARCH($V$19,_xlfn._TRO_TRAILING(Sites!$D:$D))),
_xlpm.years,ISNUMBER(SEARCH(V$20,Sites!$M$3:$O$3)),
SUM(_xlfn._xlws.FILTER(_xlfn._xlws.FILTER(_xlpm.hours,_xlpm.states*_xlpm.type,0),_xlpm.years),0))</f>
        <v>462000</v>
      </c>
      <c r="W42" s="67" cm="1">
        <f t="array" ref="W42">_xlfn.LET(_xlpm.hours,_xlfn._TRO_TRAILING(Sites!$DQ:$DS),_xlpm.type,ISNUMBER(SEARCH($V$17,_xlfn._TRO_TRAILING(Sites!$C:$C))),
_xlpm.states,ISNUMBER(SEARCH($V$19,_xlfn._TRO_TRAILING(Sites!$D:$D))),
_xlpm.years,ISNUMBER(SEARCH(W$20,Sites!$M$3:$O$3)),
SUM(_xlfn._xlws.FILTER(_xlfn._xlws.FILTER(_xlpm.hours,_xlpm.states*_xlpm.type,0),_xlpm.years),0))</f>
        <v>831600</v>
      </c>
      <c r="X42" s="67" cm="1">
        <f t="array" ref="X42">_xlfn.LET(_xlpm.hours,_xlfn._TRO_TRAILING(Sites!$DQ:$DS),_xlpm.type,ISNUMBER(SEARCH($V$17,_xlfn._TRO_TRAILING(Sites!$C:$C))),
_xlpm.states,ISNUMBER(SEARCH($V$19,_xlfn._TRO_TRAILING(Sites!$D:$D))),
_xlpm.years,ISNUMBER(SEARCH(X$20,Sites!$M$3:$O$3)),
SUM(_xlfn._xlws.FILTER(_xlfn._xlws.FILTER(_xlpm.hours,_xlpm.states*_xlpm.type,0),_xlpm.years),0))</f>
        <v>1243620</v>
      </c>
    </row>
    <row r="43" spans="2:24" outlineLevel="1" x14ac:dyDescent="0.25">
      <c r="B43" s="39" t="s">
        <v>41</v>
      </c>
      <c r="F43" s="67">
        <f t="shared" si="27"/>
        <v>885172.34999999986</v>
      </c>
      <c r="G43" s="67">
        <f t="shared" si="28"/>
        <v>756172.35</v>
      </c>
      <c r="H43" s="67">
        <f t="shared" si="29"/>
        <v>756172.35</v>
      </c>
      <c r="J43" s="67" cm="1">
        <f t="array" ref="J43">_xlfn.LET(_xlpm.hours,_xlfn._TRO_TRAILING(Sites!$DU:$DW),_xlpm.type,ISNUMBER(SEARCH($J$17,_xlfn._TRO_TRAILING(Sites!$C:$C))),_xlpm.states,ISNUMBER(SEARCH($J$19,_xlfn._TRO_TRAILING(Sites!$D:$D))),
_xlpm.years,ISNUMBER(SEARCH(J$20,Sites!$M$3:$O$3)),
SUM(_xlfn._xlws.FILTER(_xlfn._xlws.FILTER(_xlpm.hours,_xlpm.states,0),_xlpm.years),0))</f>
        <v>885172.34999999986</v>
      </c>
      <c r="K43" s="67" cm="1">
        <f t="array" ref="K43">_xlfn.LET(_xlpm.hours,_xlfn._TRO_TRAILING(Sites!$DU:$DW),_xlpm.type,ISNUMBER(SEARCH($J$17,_xlfn._TRO_TRAILING(Sites!$C:$C))),_xlpm.states,ISNUMBER(SEARCH($J$19,_xlfn._TRO_TRAILING(Sites!$D:$D))),
_xlpm.years,ISNUMBER(SEARCH(K$20,Sites!$M$3:$O$3)),
SUM(_xlfn._xlws.FILTER(_xlfn._xlws.FILTER(_xlpm.hours,_xlpm.states,0),_xlpm.years),0))</f>
        <v>756172.35</v>
      </c>
      <c r="L43" s="67" cm="1">
        <f t="array" ref="L43">_xlfn.LET(_xlpm.hours,_xlfn._TRO_TRAILING(Sites!$DU:$DW),_xlpm.type,ISNUMBER(SEARCH($J$17,_xlfn._TRO_TRAILING(Sites!$C:$C))),_xlpm.states,ISNUMBER(SEARCH($J$19,_xlfn._TRO_TRAILING(Sites!$D:$D))),
_xlpm.years,ISNUMBER(SEARCH(L$20,Sites!$M$3:$O$3)),
SUM(_xlfn._xlws.FILTER(_xlfn._xlws.FILTER(_xlpm.hours,_xlpm.states,0),_xlpm.years),0))</f>
        <v>756172.35</v>
      </c>
      <c r="N43" s="67" cm="1">
        <f t="array" ref="N43">_xlfn.LET(_xlpm.hours,_xlfn._TRO_TRAILING(Sites!$DU:$DW),_xlpm.type,ISNUMBER(SEARCH($N$17,_xlfn._TRO_TRAILING(Sites!$C:$C))),_xlpm.states,ISNUMBER(SEARCH($N$19,_xlfn._TRO_TRAILING(Sites!$D:$D))),
_xlpm.years,ISNUMBER(SEARCH(N$20,Sites!$M$3:$O$3)),_xlpm.mna,ISNUMBER(SEARCH("M&amp;A",_xlfn._TRO_TRAILING(Sites!$D:$D))),
SUM(_xlfn._xlws.FILTER(_xlfn._xlws.FILTER(_xlpm.hours,_xlpm.mna,0),_xlpm.years),0))</f>
        <v>0</v>
      </c>
      <c r="O43" s="67" cm="1">
        <f t="array" ref="O43">_xlfn.LET(_xlpm.hours,_xlfn._TRO_TRAILING(Sites!$DU:$DW),_xlpm.type,ISNUMBER(SEARCH($N$17,_xlfn._TRO_TRAILING(Sites!$C:$C))),_xlpm.states,ISNUMBER(SEARCH($N$19,_xlfn._TRO_TRAILING(Sites!$D:$D))),
_xlpm.years,ISNUMBER(SEARCH(O$20,Sites!$M$3:$O$3)),_xlpm.mna,ISNUMBER(SEARCH("M&amp;A",_xlfn._TRO_TRAILING(Sites!$D:$D))),
SUM(_xlfn._xlws.FILTER(_xlfn._xlws.FILTER(_xlpm.hours,_xlpm.mna,0),_xlpm.years),0))</f>
        <v>0</v>
      </c>
      <c r="P43" s="67" cm="1">
        <f t="array" ref="P43">_xlfn.LET(_xlpm.hours,_xlfn._TRO_TRAILING(Sites!$DU:$DW),_xlpm.type,ISNUMBER(SEARCH($N$17,_xlfn._TRO_TRAILING(Sites!$C:$C))),_xlpm.states,ISNUMBER(SEARCH($N$19,_xlfn._TRO_TRAILING(Sites!$D:$D))),
_xlpm.years,ISNUMBER(SEARCH(P$20,Sites!$M$3:$O$3)),_xlpm.mna,ISNUMBER(SEARCH("M&amp;A",_xlfn._TRO_TRAILING(Sites!$D:$D))),
SUM(_xlfn._xlws.FILTER(_xlfn._xlws.FILTER(_xlpm.hours,_xlpm.mna,0),_xlpm.years),0))</f>
        <v>0</v>
      </c>
      <c r="R43" s="67" cm="1">
        <f t="array" ref="R43">_xlfn.LET(_xlpm.hours,_xlfn._TRO_TRAILING(Sites!$DU:$DW),_xlpm.type,ISNUMBER(SEARCH($R$17,_xlfn._TRO_TRAILING(Sites!$C:$C))),
_xlpm.states,ISNUMBER(SEARCH($R$19,_xlfn._TRO_TRAILING(Sites!$D:$D))),
_xlpm.years,ISNUMBER(SEARCH(R$20,Sites!$M$3:$O$3)),
SUM(_xlfn._xlws.FILTER(_xlfn._xlws.FILTER(_xlpm.hours,_xlpm.states*_xlpm.type,0),_xlpm.years),0))</f>
        <v>0</v>
      </c>
      <c r="S43" s="67" cm="1">
        <f t="array" ref="S43">_xlfn.LET(_xlpm.hours,_xlfn._TRO_TRAILING(Sites!$DU:$DW),_xlpm.type,ISNUMBER(SEARCH($R$17,_xlfn._TRO_TRAILING(Sites!$C:$C))),
_xlpm.states,ISNUMBER(SEARCH($R$19,_xlfn._TRO_TRAILING(Sites!$D:$D))),
_xlpm.years,ISNUMBER(SEARCH(S$20,Sites!$M$3:$O$3)),
SUM(_xlfn._xlws.FILTER(_xlfn._xlws.FILTER(_xlpm.hours,_xlpm.states*_xlpm.type,0),_xlpm.years),0))</f>
        <v>0</v>
      </c>
      <c r="T43" s="67" cm="1">
        <f t="array" ref="T43">_xlfn.LET(_xlpm.hours,_xlfn._TRO_TRAILING(Sites!$DU:$DW),_xlpm.type,ISNUMBER(SEARCH($R$17,_xlfn._TRO_TRAILING(Sites!$C:$C))),
_xlpm.states,ISNUMBER(SEARCH($R$19,_xlfn._TRO_TRAILING(Sites!$D:$D))),
_xlpm.years,ISNUMBER(SEARCH(T$20,Sites!$M$3:$O$3)),
SUM(_xlfn._xlws.FILTER(_xlfn._xlws.FILTER(_xlpm.hours,_xlpm.states*_xlpm.type,0),_xlpm.years),0))</f>
        <v>0</v>
      </c>
      <c r="V43" s="67" cm="1">
        <f t="array" ref="V43">_xlfn.LET(_xlpm.hours,_xlfn._TRO_TRAILING(Sites!$DU:$DW),_xlpm.type,ISNUMBER(SEARCH($V$17,_xlfn._TRO_TRAILING(Sites!$C:$C))),
_xlpm.states,ISNUMBER(SEARCH($V$19,_xlfn._TRO_TRAILING(Sites!$D:$D))),
_xlpm.years,ISNUMBER(SEARCH(V$20,Sites!$M$3:$O$3)),
SUM(_xlfn._xlws.FILTER(_xlfn._xlws.FILTER(_xlpm.hours,_xlpm.states*_xlpm.type,0),_xlpm.years),0))</f>
        <v>885172.34999999986</v>
      </c>
      <c r="W43" s="67" cm="1">
        <f t="array" ref="W43">_xlfn.LET(_xlpm.hours,_xlfn._TRO_TRAILING(Sites!$DU:$DW),_xlpm.type,ISNUMBER(SEARCH($V$17,_xlfn._TRO_TRAILING(Sites!$C:$C))),
_xlpm.states,ISNUMBER(SEARCH($V$19,_xlfn._TRO_TRAILING(Sites!$D:$D))),
_xlpm.years,ISNUMBER(SEARCH(W$20,Sites!$M$3:$O$3)),
SUM(_xlfn._xlws.FILTER(_xlfn._xlws.FILTER(_xlpm.hours,_xlpm.states*_xlpm.type,0),_xlpm.years),0))</f>
        <v>756172.35</v>
      </c>
      <c r="X43" s="67" cm="1">
        <f t="array" ref="X43">_xlfn.LET(_xlpm.hours,_xlfn._TRO_TRAILING(Sites!$DU:$DW),_xlpm.type,ISNUMBER(SEARCH($V$17,_xlfn._TRO_TRAILING(Sites!$C:$C))),
_xlpm.states,ISNUMBER(SEARCH($V$19,_xlfn._TRO_TRAILING(Sites!$D:$D))),
_xlpm.years,ISNUMBER(SEARCH(X$20,Sites!$M$3:$O$3)),
SUM(_xlfn._xlws.FILTER(_xlfn._xlws.FILTER(_xlpm.hours,_xlpm.states*_xlpm.type,0),_xlpm.years),0))</f>
        <v>756172.35</v>
      </c>
    </row>
    <row r="44" spans="2:24" outlineLevel="1" x14ac:dyDescent="0.25">
      <c r="B44" s="39" t="s">
        <v>42</v>
      </c>
      <c r="F44" s="67">
        <f t="shared" si="27"/>
        <v>6049941.3467392977</v>
      </c>
      <c r="G44" s="67">
        <f t="shared" si="28"/>
        <v>10616473.355829461</v>
      </c>
      <c r="H44" s="67">
        <f t="shared" si="29"/>
        <v>14045631.43687655</v>
      </c>
      <c r="J44" s="67" cm="1">
        <f t="array" ref="J44">_xlfn.LET(_xlpm.hours,_xlfn._TRO_TRAILING(Sites!$DY:$EA),_xlpm.type,ISNUMBER(SEARCH($J$17,_xlfn._TRO_TRAILING(Sites!$C:$C))),_xlpm.states,ISNUMBER(SEARCH($J$19,_xlfn._TRO_TRAILING(Sites!$D:$D))),
_xlpm.years,ISNUMBER(SEARCH(J$20,Sites!$M$3:$O$3)),
SUM(_xlfn._xlws.FILTER(_xlfn._xlws.FILTER(_xlpm.hours,_xlpm.states,0),_xlpm.years),0))</f>
        <v>6049941.3467392977</v>
      </c>
      <c r="K44" s="67" cm="1">
        <f t="array" ref="K44">_xlfn.LET(_xlpm.hours,_xlfn._TRO_TRAILING(Sites!$DY:$EA),_xlpm.type,ISNUMBER(SEARCH($J$17,_xlfn._TRO_TRAILING(Sites!$C:$C))),_xlpm.states,ISNUMBER(SEARCH($J$19,_xlfn._TRO_TRAILING(Sites!$D:$D))),
_xlpm.years,ISNUMBER(SEARCH(K$20,Sites!$M$3:$O$3)),
SUM(_xlfn._xlws.FILTER(_xlfn._xlws.FILTER(_xlpm.hours,_xlpm.states,0),_xlpm.years),0))</f>
        <v>10616473.355829461</v>
      </c>
      <c r="L44" s="67" cm="1">
        <f t="array" ref="L44">_xlfn.LET(_xlpm.hours,_xlfn._TRO_TRAILING(Sites!$DY:$EA),_xlpm.type,ISNUMBER(SEARCH($J$17,_xlfn._TRO_TRAILING(Sites!$C:$C))),_xlpm.states,ISNUMBER(SEARCH($J$19,_xlfn._TRO_TRAILING(Sites!$D:$D))),
_xlpm.years,ISNUMBER(SEARCH(L$20,Sites!$M$3:$O$3)),
SUM(_xlfn._xlws.FILTER(_xlfn._xlws.FILTER(_xlpm.hours,_xlpm.states,0),_xlpm.years),0))</f>
        <v>14045631.43687655</v>
      </c>
      <c r="N44" s="67" cm="1">
        <f t="array" ref="N44">_xlfn.LET(_xlpm.hours,_xlfn._TRO_TRAILING(Sites!$DY:$EA),_xlpm.type,ISNUMBER(SEARCH($N$17,_xlfn._TRO_TRAILING(Sites!$C:$C))),_xlpm.states,ISNUMBER(SEARCH($N$19,_xlfn._TRO_TRAILING(Sites!$D:$D))),
_xlpm.years,ISNUMBER(SEARCH(N$20,Sites!$M$3:$O$3)),_xlpm.mna,ISNUMBER(SEARCH("M&amp;A",_xlfn._TRO_TRAILING(Sites!$D:$D))),
SUM(_xlfn._xlws.FILTER(_xlfn._xlws.FILTER(_xlpm.hours,_xlpm.mna,0),_xlpm.years),0))</f>
        <v>0</v>
      </c>
      <c r="O44" s="67" cm="1">
        <f t="array" ref="O44">_xlfn.LET(_xlpm.hours,_xlfn._TRO_TRAILING(Sites!$DY:$EA),_xlpm.type,ISNUMBER(SEARCH($N$17,_xlfn._TRO_TRAILING(Sites!$C:$C))),_xlpm.states,ISNUMBER(SEARCH($N$19,_xlfn._TRO_TRAILING(Sites!$D:$D))),
_xlpm.years,ISNUMBER(SEARCH(O$20,Sites!$M$3:$O$3)),_xlpm.mna,ISNUMBER(SEARCH("M&amp;A",_xlfn._TRO_TRAILING(Sites!$D:$D))),
SUM(_xlfn._xlws.FILTER(_xlfn._xlws.FILTER(_xlpm.hours,_xlpm.mna,0),_xlpm.years),0))</f>
        <v>0</v>
      </c>
      <c r="P44" s="67" cm="1">
        <f t="array" ref="P44">_xlfn.LET(_xlpm.hours,_xlfn._TRO_TRAILING(Sites!$DY:$EA),_xlpm.type,ISNUMBER(SEARCH($N$17,_xlfn._TRO_TRAILING(Sites!$C:$C))),_xlpm.states,ISNUMBER(SEARCH($N$19,_xlfn._TRO_TRAILING(Sites!$D:$D))),
_xlpm.years,ISNUMBER(SEARCH(P$20,Sites!$M$3:$O$3)),_xlpm.mna,ISNUMBER(SEARCH("M&amp;A",_xlfn._TRO_TRAILING(Sites!$D:$D))),
SUM(_xlfn._xlws.FILTER(_xlfn._xlws.FILTER(_xlpm.hours,_xlpm.mna,0),_xlpm.years),0))</f>
        <v>0</v>
      </c>
      <c r="R44" s="67" cm="1">
        <f t="array" ref="R44">_xlfn.LET(_xlpm.hours,_xlfn._TRO_TRAILING(Sites!$DY:$EA),_xlpm.type,ISNUMBER(SEARCH($R$17,_xlfn._TRO_TRAILING(Sites!$C:$C))),
_xlpm.states,ISNUMBER(SEARCH($R$19,_xlfn._TRO_TRAILING(Sites!$D:$D))),
_xlpm.years,ISNUMBER(SEARCH(R$20,Sites!$M$3:$O$3)),
SUM(_xlfn._xlws.FILTER(_xlfn._xlws.FILTER(_xlpm.hours,_xlpm.states*_xlpm.type,0),_xlpm.years),0))</f>
        <v>717373.39687691419</v>
      </c>
      <c r="S44" s="67" cm="1">
        <f t="array" ref="S44">_xlfn.LET(_xlpm.hours,_xlfn._TRO_TRAILING(Sites!$DY:$EA),_xlpm.type,ISNUMBER(SEARCH($R$17,_xlfn._TRO_TRAILING(Sites!$C:$C))),
_xlpm.states,ISNUMBER(SEARCH($R$19,_xlfn._TRO_TRAILING(Sites!$D:$D))),
_xlpm.years,ISNUMBER(SEARCH(S$20,Sites!$M$3:$O$3)),
SUM(_xlfn._xlws.FILTER(_xlfn._xlws.FILTER(_xlpm.hours,_xlpm.states*_xlpm.type,0),_xlpm.years),0))</f>
        <v>1423821.187189332</v>
      </c>
      <c r="T44" s="67" cm="1">
        <f t="array" ref="T44">_xlfn.LET(_xlpm.hours,_xlfn._TRO_TRAILING(Sites!$DY:$EA),_xlpm.type,ISNUMBER(SEARCH($R$17,_xlfn._TRO_TRAILING(Sites!$C:$C))),
_xlpm.states,ISNUMBER(SEARCH($R$19,_xlfn._TRO_TRAILING(Sites!$D:$D))),
_xlpm.years,ISNUMBER(SEARCH(T$20,Sites!$M$3:$O$3)),
SUM(_xlfn._xlws.FILTER(_xlfn._xlws.FILTER(_xlpm.hours,_xlpm.states*_xlpm.type,0),_xlpm.years),0))</f>
        <v>2132075.4674536581</v>
      </c>
      <c r="V44" s="67" cm="1">
        <f t="array" ref="V44">_xlfn.LET(_xlpm.hours,_xlfn._TRO_TRAILING(Sites!$DY:$EA),_xlpm.type,ISNUMBER(SEARCH($V$17,_xlfn._TRO_TRAILING(Sites!$C:$C))),
_xlpm.states,ISNUMBER(SEARCH($V$19,_xlfn._TRO_TRAILING(Sites!$D:$D))),
_xlpm.years,ISNUMBER(SEARCH(V$20,Sites!$M$3:$O$3)),
SUM(_xlfn._xlws.FILTER(_xlfn._xlws.FILTER(_xlpm.hours,_xlpm.states*_xlpm.type,0),_xlpm.years),0))</f>
        <v>5332567.9498623842</v>
      </c>
      <c r="W44" s="67" cm="1">
        <f t="array" ref="W44">_xlfn.LET(_xlpm.hours,_xlfn._TRO_TRAILING(Sites!$DY:$EA),_xlpm.type,ISNUMBER(SEARCH($V$17,_xlfn._TRO_TRAILING(Sites!$C:$C))),
_xlpm.states,ISNUMBER(SEARCH($V$19,_xlfn._TRO_TRAILING(Sites!$D:$D))),
_xlpm.years,ISNUMBER(SEARCH(W$20,Sites!$M$3:$O$3)),
SUM(_xlfn._xlws.FILTER(_xlfn._xlws.FILTER(_xlpm.hours,_xlpm.states*_xlpm.type,0),_xlpm.years),0))</f>
        <v>9192652.1686401293</v>
      </c>
      <c r="X44" s="67" cm="1">
        <f t="array" ref="X44">_xlfn.LET(_xlpm.hours,_xlfn._TRO_TRAILING(Sites!$DY:$EA),_xlpm.type,ISNUMBER(SEARCH($V$17,_xlfn._TRO_TRAILING(Sites!$C:$C))),
_xlpm.states,ISNUMBER(SEARCH($V$19,_xlfn._TRO_TRAILING(Sites!$D:$D))),
_xlpm.years,ISNUMBER(SEARCH(X$20,Sites!$M$3:$O$3)),
SUM(_xlfn._xlws.FILTER(_xlfn._xlws.FILTER(_xlpm.hours,_xlpm.states*_xlpm.type,0),_xlpm.years),0))</f>
        <v>11913555.969422892</v>
      </c>
    </row>
    <row r="45" spans="2:24" x14ac:dyDescent="0.25">
      <c r="B45" s="1" t="s">
        <v>272</v>
      </c>
      <c r="F45" s="13">
        <f>SUM(F35:F44)</f>
        <v>46210557.23776681</v>
      </c>
      <c r="G45" s="13">
        <f>SUM(G35:G44)</f>
        <v>102885174.91443028</v>
      </c>
      <c r="H45" s="13">
        <f>SUM(H35:H44)</f>
        <v>155050947.69637358</v>
      </c>
      <c r="J45" s="13">
        <f>SUM(J35:J44)</f>
        <v>26365942.837766804</v>
      </c>
      <c r="K45" s="13">
        <f>SUM(K35:K44)</f>
        <v>61448931.714430302</v>
      </c>
      <c r="L45" s="13">
        <f>SUM(L35:L44)</f>
        <v>96745016.496373579</v>
      </c>
      <c r="N45" s="13">
        <f>SUM(N35:N44)</f>
        <v>19844614.400000002</v>
      </c>
      <c r="O45" s="13">
        <f>SUM(O35:O44)</f>
        <v>41436243.199999988</v>
      </c>
      <c r="P45" s="13">
        <f>SUM(P35:P44)</f>
        <v>58305931.200000003</v>
      </c>
      <c r="R45" s="13">
        <f>SUM(R35:R44)</f>
        <v>2445237.0388362347</v>
      </c>
      <c r="S45" s="13">
        <f>SUM(S35:S44)</f>
        <v>6870115.0835425435</v>
      </c>
      <c r="T45" s="13">
        <f>SUM(T35:T44)</f>
        <v>11734568.508092809</v>
      </c>
      <c r="V45" s="13">
        <f>SUM(V35:V44)</f>
        <v>23920705.79893057</v>
      </c>
      <c r="W45" s="13">
        <f>SUM(W35:W44)</f>
        <v>54578816.630887762</v>
      </c>
      <c r="X45" s="13">
        <f>SUM(X35:X44)</f>
        <v>85010447.988280818</v>
      </c>
    </row>
    <row r="47" spans="2:24" x14ac:dyDescent="0.25">
      <c r="B47" s="1" t="s">
        <v>48</v>
      </c>
      <c r="F47" s="74">
        <f>F32-F45</f>
        <v>19790941.572073199</v>
      </c>
      <c r="G47" s="74">
        <f>G32-G45</f>
        <v>59353640.540473476</v>
      </c>
      <c r="H47" s="74">
        <f>H32-H45</f>
        <v>84806034.000902951</v>
      </c>
      <c r="J47" s="74">
        <f>J32-J45</f>
        <v>4714893.4070065282</v>
      </c>
      <c r="K47" s="74">
        <f>K32-K45</f>
        <v>25710541.469250754</v>
      </c>
      <c r="L47" s="74">
        <f>L32-L45</f>
        <v>37579025.336873636</v>
      </c>
      <c r="N47" s="74">
        <f>N32-N45</f>
        <v>15076048.165066663</v>
      </c>
      <c r="O47" s="74">
        <f>O32-O45</f>
        <v>33643099.071222663</v>
      </c>
      <c r="P47" s="74">
        <f>P32-P45</f>
        <v>47227008.664029315</v>
      </c>
      <c r="R47" s="74">
        <f>R32-R45</f>
        <v>986885.93529709894</v>
      </c>
      <c r="S47" s="74">
        <f>S32-S45</f>
        <v>4380291.5637321239</v>
      </c>
      <c r="T47" s="74">
        <f>T32-T45</f>
        <v>7752288.9524098523</v>
      </c>
      <c r="V47" s="74">
        <f>V32-V45</f>
        <v>6658381.0278528184</v>
      </c>
      <c r="W47" s="74">
        <f>W32-W45</f>
        <v>29147051.012846336</v>
      </c>
      <c r="X47" s="74">
        <f>X32-X45</f>
        <v>40947840.021600157</v>
      </c>
    </row>
    <row r="48" spans="2:24" x14ac:dyDescent="0.25">
      <c r="B48" s="110" t="s">
        <v>273</v>
      </c>
      <c r="F48" s="109">
        <f>F47/F32</f>
        <v>0.29985594159147511</v>
      </c>
      <c r="G48" s="109">
        <f>G47/G32</f>
        <v>0.36584118525551945</v>
      </c>
      <c r="H48" s="109">
        <f>H47/H32</f>
        <v>0.35356917026470647</v>
      </c>
      <c r="J48" s="109">
        <f>J47/J32</f>
        <v>0.15169776546148761</v>
      </c>
      <c r="K48" s="109">
        <f>K47/K32</f>
        <v>0.29498275437103677</v>
      </c>
      <c r="L48" s="109">
        <f>L47/L32</f>
        <v>0.2797639560572861</v>
      </c>
      <c r="N48" s="109">
        <f>N47/N32</f>
        <v>0.43172285568682717</v>
      </c>
      <c r="O48" s="109">
        <f>O47/O32</f>
        <v>0.44810061001450474</v>
      </c>
      <c r="P48" s="109">
        <f>P47/P32</f>
        <v>0.44750964698678447</v>
      </c>
      <c r="R48" s="109">
        <f>R47/R32</f>
        <v>0.28754387378741975</v>
      </c>
      <c r="S48" s="109">
        <f>S47/S32</f>
        <v>0.3893451766735222</v>
      </c>
      <c r="T48" s="109">
        <f>T47/T32</f>
        <v>0.39782140184084269</v>
      </c>
      <c r="V48" s="109">
        <f>IFERROR(V47/V32,"")</f>
        <v>0.21774296484291755</v>
      </c>
      <c r="W48" s="109">
        <f t="shared" ref="W48:X48" si="30">IFERROR(W47/W32,"")</f>
        <v>0.34812480100978271</v>
      </c>
      <c r="X48" s="109">
        <f t="shared" si="30"/>
        <v>0.32509047771741661</v>
      </c>
    </row>
    <row r="49" spans="2:24" x14ac:dyDescent="0.25">
      <c r="B49" s="1"/>
      <c r="F49" s="74"/>
      <c r="G49" s="74"/>
      <c r="H49" s="74"/>
      <c r="J49" s="74"/>
      <c r="K49" s="74"/>
      <c r="L49" s="74"/>
      <c r="N49" s="74"/>
      <c r="O49" s="74"/>
      <c r="P49" s="74"/>
    </row>
    <row r="50" spans="2:24" x14ac:dyDescent="0.25">
      <c r="B50" s="110"/>
      <c r="F50" s="109"/>
      <c r="G50" s="109"/>
      <c r="H50" s="109"/>
      <c r="J50" s="109"/>
      <c r="K50" s="109"/>
      <c r="L50" s="109"/>
      <c r="N50" s="109"/>
      <c r="O50" s="109"/>
      <c r="P50" s="109"/>
    </row>
    <row r="51" spans="2:24" x14ac:dyDescent="0.25">
      <c r="B51" t="s">
        <v>57</v>
      </c>
      <c r="C51" s="12"/>
      <c r="D51" s="12"/>
      <c r="F51" s="67">
        <f t="shared" ref="F51" si="31">J51+N51</f>
        <v>10326666.666666668</v>
      </c>
      <c r="G51" s="67">
        <f t="shared" ref="G51" si="32">K51+O51</f>
        <v>6949500</v>
      </c>
      <c r="H51" s="67">
        <f t="shared" ref="H51" si="33">L51+P51</f>
        <v>7925333.333333333</v>
      </c>
      <c r="J51" s="67" cm="1">
        <f t="array" ref="J51">_xlfn.LET(_xlpm.hours,_xlfn._TRO_TRAILING(Sites!$AO:$AQ),_xlpm.type,ISNUMBER(SEARCH($J$17,_xlfn._TRO_TRAILING(Sites!$C:$C))),_xlpm.states,ISNUMBER(SEARCH($J$19,_xlfn._TRO_TRAILING(Sites!$D:$D))),
_xlpm.years,ISNUMBER(SEARCH(J$20,Sites!$M$3:$O$3)),
SUM(_xlfn._xlws.FILTER(_xlfn._xlws.FILTER(_xlpm.hours,_xlpm.states,0),_xlpm.years),0))</f>
        <v>9426666.6666666679</v>
      </c>
      <c r="K51" s="67" cm="1">
        <f t="array" ref="K51">_xlfn.LET(_xlpm.hours,_xlfn._TRO_TRAILING(Sites!$AO:$AQ),_xlpm.type,ISNUMBER(SEARCH($J$17,_xlfn._TRO_TRAILING(Sites!$C:$C))),_xlpm.states,ISNUMBER(SEARCH($J$19,_xlfn._TRO_TRAILING(Sites!$D:$D))),
_xlpm.years,ISNUMBER(SEARCH(K$20,Sites!$M$3:$O$3)),
SUM(_xlfn._xlws.FILTER(_xlfn._xlws.FILTER(_xlpm.hours,_xlpm.states,0),_xlpm.years),0))</f>
        <v>6349500</v>
      </c>
      <c r="L51" s="67" cm="1">
        <f t="array" ref="L51">_xlfn.LET(_xlpm.hours,_xlfn._TRO_TRAILING(Sites!$AO:$AQ),_xlpm.type,ISNUMBER(SEARCH($J$17,_xlfn._TRO_TRAILING(Sites!$C:$C))),_xlpm.states,ISNUMBER(SEARCH($J$19,_xlfn._TRO_TRAILING(Sites!$D:$D))),
_xlpm.years,ISNUMBER(SEARCH(L$20,Sites!$M$3:$O$3)),
SUM(_xlfn._xlws.FILTER(_xlfn._xlws.FILTER(_xlpm.hours,_xlpm.states,0),_xlpm.years),0))</f>
        <v>7525333.333333333</v>
      </c>
      <c r="N51" s="53" cm="1">
        <f t="array" ref="N51">_xlfn.LET(_xlpm.hours,_xlfn._TRO_TRAILING(Sites!$AO:$AQ),
_xlpm.states,ISNUMBER(SEARCH($N$19,_xlfn._TRO_TRAILING(Sites!$D:$D))),
_xlpm.years,ISNUMBER(SEARCH(N$20,Sites!$M$3:$O$3)),
SUM(_xlfn._xlws.FILTER(_xlfn._xlws.FILTER(_xlpm.hours,_xlpm.states,0),_xlpm.years),0))</f>
        <v>900000</v>
      </c>
      <c r="O51" s="53" cm="1">
        <f t="array" ref="O51">_xlfn.LET(_xlpm.hours,_xlfn._TRO_TRAILING(Sites!$AO:$AQ),
_xlpm.states,ISNUMBER(SEARCH($N$19,_xlfn._TRO_TRAILING(Sites!$D:$D))),
_xlpm.years,ISNUMBER(SEARCH(O$20,Sites!$M$3:$O$3)),
SUM(_xlfn._xlws.FILTER(_xlfn._xlws.FILTER(_xlpm.hours,_xlpm.states,0),_xlpm.years),0))</f>
        <v>600000</v>
      </c>
      <c r="P51" s="53" cm="1">
        <f t="array" ref="P51">_xlfn.LET(_xlpm.hours,_xlfn._TRO_TRAILING(Sites!$AO:$AQ),
_xlpm.states,ISNUMBER(SEARCH($N$19,_xlfn._TRO_TRAILING(Sites!$D:$D))),
_xlpm.years,ISNUMBER(SEARCH(P$20,Sites!$M$3:$O$3)),
SUM(_xlfn._xlws.FILTER(_xlfn._xlws.FILTER(_xlpm.hours,_xlpm.states,0),_xlpm.years),0))</f>
        <v>400000</v>
      </c>
      <c r="R51" s="67" cm="1">
        <f t="array" ref="R51">_xlfn.LET(_xlpm.hours,_xlfn._TRO_TRAILING(Sites!$AO:$AQ),_xlpm.type,ISNUMBER(SEARCH($R$17,_xlfn._TRO_TRAILING(Sites!$C:$C))),
_xlpm.states,ISNUMBER(SEARCH($R$19,_xlfn._TRO_TRAILING(Sites!$D:$D))),
_xlpm.years,ISNUMBER(SEARCH(R$20,Sites!$M$3:$O$3)),
SUM(_xlfn._xlws.FILTER(_xlfn._xlws.FILTER(_xlpm.hours,_xlpm.states*_xlpm.type,0),_xlpm.years),0))</f>
        <v>0</v>
      </c>
      <c r="S51" s="67" cm="1">
        <f t="array" ref="S51">_xlfn.LET(_xlpm.hours,_xlfn._TRO_TRAILING(Sites!$AO:$AQ),_xlpm.type,ISNUMBER(SEARCH($R$17,_xlfn._TRO_TRAILING(Sites!$C:$C))),
_xlpm.states,ISNUMBER(SEARCH($R$19,_xlfn._TRO_TRAILING(Sites!$D:$D))),
_xlpm.years,ISNUMBER(SEARCH(S$20,Sites!$M$3:$O$3)),
SUM(_xlfn._xlws.FILTER(_xlfn._xlws.FILTER(_xlpm.hours,_xlpm.states*_xlpm.type,0),_xlpm.years),0))</f>
        <v>0</v>
      </c>
      <c r="T51" s="67" cm="1">
        <f t="array" ref="T51">_xlfn.LET(_xlpm.hours,_xlfn._TRO_TRAILING(Sites!$AO:$AQ),_xlpm.type,ISNUMBER(SEARCH($R$17,_xlfn._TRO_TRAILING(Sites!$C:$C))),
_xlpm.states,ISNUMBER(SEARCH($R$19,_xlfn._TRO_TRAILING(Sites!$D:$D))),
_xlpm.years,ISNUMBER(SEARCH(T$20,Sites!$M$3:$O$3)),
SUM(_xlfn._xlws.FILTER(_xlfn._xlws.FILTER(_xlpm.hours,_xlpm.states*_xlpm.type,0),_xlpm.years),0))</f>
        <v>0</v>
      </c>
      <c r="V51" s="67" cm="1">
        <f t="array" ref="V51">_xlfn.LET(_xlpm.hours,_xlfn._TRO_TRAILING(Sites!$AO:$AQ),_xlpm.type,ISNUMBER(SEARCH($V$17,_xlfn._TRO_TRAILING(Sites!$C:$C))),
_xlpm.states,ISNUMBER(SEARCH($V$19,_xlfn._TRO_TRAILING(Sites!$D:$D))),
_xlpm.years,ISNUMBER(SEARCH(V$20,Sites!$M$3:$O$3)),
SUM(_xlfn._xlws.FILTER(_xlfn._xlws.FILTER(_xlpm.hours,_xlpm.states*_xlpm.type,0),_xlpm.years),0))</f>
        <v>9426666.6666666679</v>
      </c>
      <c r="W51" s="67" cm="1">
        <f t="array" ref="W51">_xlfn.LET(_xlpm.hours,_xlfn._TRO_TRAILING(Sites!$AO:$AQ),_xlpm.type,ISNUMBER(SEARCH($V$17,_xlfn._TRO_TRAILING(Sites!$C:$C))),
_xlpm.states,ISNUMBER(SEARCH($V$19,_xlfn._TRO_TRAILING(Sites!$D:$D))),
_xlpm.years,ISNUMBER(SEARCH(W$20,Sites!$M$3:$O$3)),
SUM(_xlfn._xlws.FILTER(_xlfn._xlws.FILTER(_xlpm.hours,_xlpm.states*_xlpm.type,0),_xlpm.years),0))</f>
        <v>6349500</v>
      </c>
      <c r="X51" s="67" cm="1">
        <f t="array" ref="X51">_xlfn.LET(_xlpm.hours,_xlfn._TRO_TRAILING(Sites!$AO:$AQ),_xlpm.type,ISNUMBER(SEARCH($V$17,_xlfn._TRO_TRAILING(Sites!$C:$C))),
_xlpm.states,ISNUMBER(SEARCH($V$19,_xlfn._TRO_TRAILING(Sites!$D:$D))),
_xlpm.years,ISNUMBER(SEARCH(X$20,Sites!$M$3:$O$3)),
SUM(_xlfn._xlws.FILTER(_xlfn._xlws.FILTER(_xlpm.hours,_xlpm.states*_xlpm.type,0),_xlpm.years),0))</f>
        <v>7525333.333333333</v>
      </c>
    </row>
    <row r="52" spans="2:24" x14ac:dyDescent="0.25">
      <c r="B52" t="s">
        <v>469</v>
      </c>
      <c r="C52" s="12"/>
      <c r="D52" s="12"/>
      <c r="F52" s="67">
        <f t="shared" ref="F52" si="34">J52+N52</f>
        <v>-31306526.586418658</v>
      </c>
      <c r="G52" s="67">
        <f t="shared" ref="G52" si="35">K52+O52</f>
        <v>-66155766.523246199</v>
      </c>
      <c r="H52" s="67">
        <f t="shared" ref="H52" si="36">L52+P52</f>
        <v>-95687500.277806222</v>
      </c>
      <c r="J52" s="67" cm="1">
        <f t="array" ref="J52">_xlfn.LET(_xlpm.hours,_xlfn._TRO_TRAILING(Sites!$EG:$EI),_xlpm.type,ISNUMBER(SEARCH($J$17,_xlfn._TRO_TRAILING(Sites!$C:$C))),_xlpm.states,ISNUMBER(SEARCH($J$19,_xlfn._TRO_TRAILING(Sites!$D:$D))),
_xlpm.years,ISNUMBER(SEARCH(J$20,Sites!$M$3:$O$3)),
SUM(_xlfn._xlws.FILTER(_xlfn._xlws.FILTER(_xlpm.hours,_xlpm.states,0),_xlpm.years),0))</f>
        <v>-5814442.9139199983</v>
      </c>
      <c r="K52" s="67" cm="1">
        <f t="array" ref="K52">_xlfn.LET(_xlpm.hours,_xlfn._TRO_TRAILING(Sites!$EG:$EI),_xlpm.type,ISNUMBER(SEARCH($J$17,_xlfn._TRO_TRAILING(Sites!$C:$C))),_xlpm.states,ISNUMBER(SEARCH($J$19,_xlfn._TRO_TRAILING(Sites!$D:$D))),
_xlpm.years,ISNUMBER(SEARCH(K$20,Sites!$M$3:$O$3)),
SUM(_xlfn._xlws.FILTER(_xlfn._xlws.FILTER(_xlpm.hours,_xlpm.states,0),_xlpm.years),0))</f>
        <v>-11347846.66525365</v>
      </c>
      <c r="L52" s="67" cm="1">
        <f t="array" ref="L52">_xlfn.LET(_xlpm.hours,_xlfn._TRO_TRAILING(Sites!$EG:$EI),_xlpm.type,ISNUMBER(SEARCH($J$17,_xlfn._TRO_TRAILING(Sites!$C:$C))),_xlpm.states,ISNUMBER(SEARCH($J$19,_xlfn._TRO_TRAILING(Sites!$D:$D))),
_xlpm.years,ISNUMBER(SEARCH(L$20,Sites!$M$3:$O$3)),
SUM(_xlfn._xlws.FILTER(_xlfn._xlws.FILTER(_xlpm.hours,_xlpm.states,0),_xlpm.years),0))</f>
        <v>-18648454.177064821</v>
      </c>
      <c r="N52" s="67" cm="1">
        <f t="array" ref="N52">_xlfn.LET(_xlpm.hours,_xlfn._TRO_TRAILING(Sites!$EG:$EI),_xlpm.type,ISNUMBER(SEARCH($N$19,_xlfn._TRO_TRAILING(Sites!$C:$C))),
_xlpm.states,ISNUMBER(SEARCH($N$19,_xlfn._TRO_TRAILING(Sites!$D:$D))),
_xlpm.years,ISNUMBER(SEARCH(N$20,Sites!$M$3:$O$3)),
SUM(_xlfn._xlws.FILTER(_xlfn._xlws.FILTER(_xlpm.hours,_xlpm.states,0),_xlpm.years),0))</f>
        <v>-25492083.672498658</v>
      </c>
      <c r="O52" s="67" cm="1">
        <f t="array" ref="O52">_xlfn.LET(_xlpm.hours,_xlfn._TRO_TRAILING(Sites!$EG:$EI),_xlpm.type,ISNUMBER(SEARCH($N$19,_xlfn._TRO_TRAILING(Sites!$C:$C))),
_xlpm.states,ISNUMBER(SEARCH($N$19,_xlfn._TRO_TRAILING(Sites!$D:$D))),
_xlpm.years,ISNUMBER(SEARCH(O$20,Sites!$M$3:$O$3)),
SUM(_xlfn._xlws.FILTER(_xlfn._xlws.FILTER(_xlpm.hours,_xlpm.states,0),_xlpm.years),0))</f>
        <v>-54807919.857992545</v>
      </c>
      <c r="P52" s="67" cm="1">
        <f t="array" ref="P52">_xlfn.LET(_xlpm.hours,_xlfn._TRO_TRAILING(Sites!$EG:$EI),_xlpm.type,ISNUMBER(SEARCH($N$19,_xlfn._TRO_TRAILING(Sites!$C:$C))),
_xlpm.states,ISNUMBER(SEARCH($N$19,_xlfn._TRO_TRAILING(Sites!$D:$D))),
_xlpm.years,ISNUMBER(SEARCH(P$20,Sites!$M$3:$O$3)),
SUM(_xlfn._xlws.FILTER(_xlfn._xlws.FILTER(_xlpm.hours,_xlpm.states,0),_xlpm.years),0))</f>
        <v>-77039046.100741401</v>
      </c>
      <c r="R52" s="67" cm="1">
        <f t="array" ref="R52">_xlfn.LET(_xlpm.hours,_xlfn._TRO_TRAILING(Sites!$EG:$EI),_xlpm.type,ISNUMBER(SEARCH($R$17,_xlfn._TRO_TRAILING(Sites!$C:$C))),
_xlpm.states,ISNUMBER(SEARCH($R$19,_xlfn._TRO_TRAILING(Sites!$D:$D))),
_xlpm.years,ISNUMBER(SEARCH(R$20,Sites!$M$3:$O$3)),
SUM(_xlfn._xlws.FILTER(_xlfn._xlws.FILTER(_xlpm.hours,_xlpm.states,0),_xlpm.years),0))</f>
        <v>-5814442.9139199983</v>
      </c>
      <c r="S52" s="67" cm="1">
        <f t="array" ref="S52">_xlfn.LET(_xlpm.hours,_xlfn._TRO_TRAILING(Sites!$EG:$EI),_xlpm.type,ISNUMBER(SEARCH($R$17,_xlfn._TRO_TRAILING(Sites!$C:$C))),
_xlpm.states,ISNUMBER(SEARCH($R$19,_xlfn._TRO_TRAILING(Sites!$D:$D))),
_xlpm.years,ISNUMBER(SEARCH(S$20,Sites!$M$3:$O$3)),
SUM(_xlfn._xlws.FILTER(_xlfn._xlws.FILTER(_xlpm.hours,_xlpm.states,0),_xlpm.years),0))</f>
        <v>-11347846.66525365</v>
      </c>
      <c r="T52" s="67" cm="1">
        <f t="array" ref="T52">_xlfn.LET(_xlpm.hours,_xlfn._TRO_TRAILING(Sites!$EG:$EI),_xlpm.type,ISNUMBER(SEARCH($R$17,_xlfn._TRO_TRAILING(Sites!$C:$C))),
_xlpm.states,ISNUMBER(SEARCH($R$19,_xlfn._TRO_TRAILING(Sites!$D:$D))),
_xlpm.years,ISNUMBER(SEARCH(T$20,Sites!$M$3:$O$3)),
SUM(_xlfn._xlws.FILTER(_xlfn._xlws.FILTER(_xlpm.hours,_xlpm.states,0),_xlpm.years),0))</f>
        <v>-18648454.177064821</v>
      </c>
      <c r="V52" s="67" cm="1">
        <f t="array" ref="V52">_xlfn.LET(_xlpm.hours,_xlfn._TRO_TRAILING(Sites!$EG:$EI),_xlpm.type,ISNUMBER(SEARCH('JV1'!$V$17,_xlfn._TRO_TRAILING(Sites!$C:$C))),
_xlpm.states,ISNUMBER(SEARCH($V$19,_xlfn._TRO_TRAILING(Sites!$D:$D))),
_xlpm.years,ISNUMBER(SEARCH(V$20,Sites!$EG$3:$EI$3)),
SUM(_xlfn._xlws.FILTER(_xlfn._xlws.FILTER(_xlpm.hours,_xlpm.states,0),_xlpm.years),0))</f>
        <v>-5814442.9139199983</v>
      </c>
      <c r="W52" s="67" cm="1">
        <f t="array" ref="W52">_xlfn.LET(_xlpm.hours,_xlfn._TRO_TRAILING(Sites!$EG:$EI),_xlpm.type,ISNUMBER(SEARCH('JV1'!$V$17,_xlfn._TRO_TRAILING(Sites!$C:$C))),
_xlpm.states,ISNUMBER(SEARCH($V$19,_xlfn._TRO_TRAILING(Sites!$D:$D))),
_xlpm.years,ISNUMBER(SEARCH(W$20,Sites!$EG$3:$EI$3)),
SUM(_xlfn._xlws.FILTER(_xlfn._xlws.FILTER(_xlpm.hours,_xlpm.states,0),_xlpm.years),0))</f>
        <v>-11347846.66525365</v>
      </c>
      <c r="X52" s="67" cm="1">
        <f t="array" ref="X52">_xlfn.LET(_xlpm.hours,_xlfn._TRO_TRAILING(Sites!$EG:$EI),_xlpm.type,ISNUMBER(SEARCH('JV1'!$V$17,_xlfn._TRO_TRAILING(Sites!$C:$C))),
_xlpm.states,ISNUMBER(SEARCH($V$19,_xlfn._TRO_TRAILING(Sites!$D:$D))),
_xlpm.years,ISNUMBER(SEARCH(X$20,Sites!$EG$3:$EI$3)),
SUM(_xlfn._xlws.FILTER(_xlfn._xlws.FILTER(_xlpm.hours,_xlpm.states,0),_xlpm.years),0))</f>
        <v>-18648454.177064821</v>
      </c>
    </row>
    <row r="53" spans="2:24" x14ac:dyDescent="0.25">
      <c r="K53" s="67"/>
      <c r="L53" s="67"/>
      <c r="O53" s="67"/>
      <c r="P53" s="67"/>
    </row>
    <row r="54" spans="2:24" x14ac:dyDescent="0.25">
      <c r="B54" s="1" t="s">
        <v>276</v>
      </c>
      <c r="F54" s="13">
        <f t="shared" ref="F54:G54" si="37">F47-F51+F52</f>
        <v>-21842251.681012128</v>
      </c>
      <c r="G54" s="13">
        <f t="shared" si="37"/>
        <v>-13751625.982772723</v>
      </c>
      <c r="H54" s="13">
        <f>H47-H51+H52</f>
        <v>-18806799.6102366</v>
      </c>
      <c r="J54" s="13">
        <f t="shared" ref="J54:K54" si="38">J47-J51+J52</f>
        <v>-10526216.173580138</v>
      </c>
      <c r="K54" s="13">
        <f t="shared" si="38"/>
        <v>8013194.8039971031</v>
      </c>
      <c r="L54" s="13">
        <f>L47-L51+L52</f>
        <v>11405237.826475482</v>
      </c>
      <c r="N54" s="13">
        <f t="shared" ref="N54:O54" si="39">N47-N51+N52</f>
        <v>-11316035.507431995</v>
      </c>
      <c r="O54" s="13">
        <f t="shared" si="39"/>
        <v>-21764820.786769882</v>
      </c>
      <c r="P54" s="13">
        <f>P47-P51+P52</f>
        <v>-30212037.436712086</v>
      </c>
      <c r="R54" s="13">
        <f t="shared" ref="R54:S54" si="40">R47-R51+R52</f>
        <v>-4827556.9786228994</v>
      </c>
      <c r="S54" s="13">
        <f t="shared" si="40"/>
        <v>-6967555.1015215265</v>
      </c>
      <c r="T54" s="13">
        <f>T47-T51+T52</f>
        <v>-10896165.224654969</v>
      </c>
      <c r="V54" s="13">
        <f t="shared" ref="V54:W54" si="41">V47-V51+V52</f>
        <v>-8582728.5527338479</v>
      </c>
      <c r="W54" s="13">
        <f t="shared" si="41"/>
        <v>11449704.347592685</v>
      </c>
      <c r="X54" s="13">
        <f>X47-X51+X52</f>
        <v>14774052.511202004</v>
      </c>
    </row>
    <row r="55" spans="2:24" x14ac:dyDescent="0.25">
      <c r="B55" t="s">
        <v>277</v>
      </c>
      <c r="F55" s="145">
        <f>SUM(F54:$F$54)</f>
        <v>-21842251.681012128</v>
      </c>
      <c r="G55" s="145">
        <f>SUM($F54:G$54)</f>
        <v>-35593877.663784847</v>
      </c>
      <c r="H55" s="145">
        <f>SUM($F54:H$54)</f>
        <v>-54400677.274021447</v>
      </c>
      <c r="J55" s="145">
        <f>SUM(J54:$N$54)</f>
        <v>-2423819.0505395476</v>
      </c>
      <c r="K55" s="145">
        <f>SUM(K54:$N$54)</f>
        <v>8102397.1230405904</v>
      </c>
      <c r="L55" s="145">
        <f>SUM(L54:$N$54)</f>
        <v>89202.31904348731</v>
      </c>
      <c r="N55" s="145">
        <f>SUM($N54:N$54)</f>
        <v>-11316035.507431995</v>
      </c>
      <c r="O55" s="145">
        <f>SUM($N54:O$54)</f>
        <v>-33080856.294201877</v>
      </c>
      <c r="P55" s="145">
        <f>SUM($N54:P$54)</f>
        <v>-63292893.730913967</v>
      </c>
      <c r="R55" s="145">
        <f>SUM($R54:R$54)</f>
        <v>-4827556.9786228994</v>
      </c>
      <c r="S55" s="145">
        <f>SUM($R54:S$54)</f>
        <v>-11795112.080144426</v>
      </c>
      <c r="T55" s="145">
        <f>SUM($R54:T$54)</f>
        <v>-22691277.304799393</v>
      </c>
      <c r="V55" s="145">
        <f>SUM(V54:$V$54)</f>
        <v>-8582728.5527338479</v>
      </c>
      <c r="W55" s="145">
        <f>SUM($V54:W$54)</f>
        <v>2866975.7948588375</v>
      </c>
      <c r="X55" s="145">
        <f>SUM($V54:X$54)</f>
        <v>17641028.306060843</v>
      </c>
    </row>
    <row r="56" spans="2:24" x14ac:dyDescent="0.25">
      <c r="E56" s="12"/>
      <c r="F56" s="12"/>
      <c r="G56" s="12"/>
      <c r="H56" s="12"/>
      <c r="J56" s="12"/>
      <c r="K56" s="109"/>
      <c r="L56" s="109"/>
      <c r="N56" s="12"/>
      <c r="O56" s="109"/>
      <c r="P56" s="109"/>
      <c r="R56" s="12"/>
      <c r="S56" s="12"/>
      <c r="T56" s="12"/>
      <c r="V56" s="12"/>
      <c r="W56" s="12"/>
      <c r="X56" s="12"/>
    </row>
    <row r="57" spans="2:24" x14ac:dyDescent="0.25">
      <c r="F57" s="95"/>
      <c r="J57" s="95"/>
      <c r="N57" s="95"/>
    </row>
    <row r="58" spans="2:24" x14ac:dyDescent="0.25">
      <c r="J58" s="95"/>
      <c r="N58" s="95"/>
    </row>
    <row r="59" spans="2:24" x14ac:dyDescent="0.25">
      <c r="J59" s="95"/>
      <c r="N59" s="95"/>
    </row>
    <row r="61" spans="2:24" x14ac:dyDescent="0.25">
      <c r="F61" s="95"/>
    </row>
  </sheetData>
  <printOptions horizontalCentered="1" verticalCentered="1"/>
  <pageMargins left="0" right="0" top="0" bottom="0" header="0" footer="0"/>
  <pageSetup paperSize="5" scale="73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6A39E-10D9-4861-B208-416EB0DA1E4A}">
  <sheetPr>
    <tabColor theme="9" tint="0.79998168889431442"/>
    <pageSetUpPr fitToPage="1"/>
  </sheetPr>
  <dimension ref="A1:AT65"/>
  <sheetViews>
    <sheetView workbookViewId="0">
      <pane xSplit="5" ySplit="20" topLeftCell="F45" activePane="bottomRight" state="frozen"/>
      <selection pane="topRight"/>
      <selection pane="bottomLeft"/>
      <selection pane="bottomRight" activeCell="B52" sqref="B52"/>
    </sheetView>
  </sheetViews>
  <sheetFormatPr defaultRowHeight="15" outlineLevelRow="1" outlineLevelCol="1" x14ac:dyDescent="0.25"/>
  <cols>
    <col min="1" max="1" width="9.140625" customWidth="1"/>
    <col min="2" max="2" width="26.5703125" bestFit="1" customWidth="1"/>
    <col min="3" max="5" width="9.140625" customWidth="1"/>
    <col min="6" max="6" width="17.42578125" bestFit="1" customWidth="1"/>
    <col min="7" max="7" width="13.7109375" customWidth="1" outlineLevel="1"/>
    <col min="8" max="8" width="14.42578125" customWidth="1" outlineLevel="1"/>
    <col min="9" max="9" width="9.140625" customWidth="1"/>
    <col min="10" max="10" width="12.5703125" bestFit="1" customWidth="1"/>
    <col min="11" max="12" width="13.85546875" customWidth="1" outlineLevel="1"/>
    <col min="13" max="13" width="9.140625" customWidth="1"/>
    <col min="14" max="14" width="14.28515625" bestFit="1" customWidth="1" collapsed="1"/>
    <col min="15" max="16" width="13.85546875" customWidth="1" outlineLevel="1"/>
    <col min="17" max="17" width="9.140625" customWidth="1"/>
    <col min="18" max="18" width="11.5703125" bestFit="1" customWidth="1"/>
    <col min="19" max="20" width="13.85546875" customWidth="1" outlineLevel="1"/>
    <col min="21" max="21" width="9.140625" customWidth="1"/>
    <col min="22" max="24" width="12.5703125" customWidth="1" outlineLevel="1"/>
    <col min="25" max="25" width="3.7109375" customWidth="1" outlineLevel="1"/>
    <col min="26" max="28" width="12.5703125" customWidth="1" outlineLevel="1"/>
    <col min="29" max="29" width="3.7109375" customWidth="1" outlineLevel="1"/>
    <col min="30" max="31" width="12.28515625" customWidth="1" outlineLevel="1"/>
    <col min="32" max="32" width="12.5703125" customWidth="1" outlineLevel="1"/>
    <col min="33" max="33" width="9.140625" customWidth="1"/>
    <col min="34" max="36" width="13.42578125" customWidth="1" outlineLevel="1"/>
    <col min="37" max="37" width="3.7109375" customWidth="1" outlineLevel="1"/>
    <col min="38" max="40" width="13.42578125" customWidth="1" outlineLevel="1"/>
    <col min="41" max="41" width="3.7109375" customWidth="1" outlineLevel="1"/>
    <col min="42" max="44" width="13.42578125" customWidth="1" outlineLevel="1"/>
    <col min="45" max="45" width="9.140625" customWidth="1"/>
  </cols>
  <sheetData>
    <row r="1" spans="1:44" x14ac:dyDescent="0.25">
      <c r="A1" s="95"/>
      <c r="B1" s="3"/>
      <c r="C1" s="3"/>
      <c r="D1" s="55" t="s">
        <v>390</v>
      </c>
      <c r="E1" s="118"/>
      <c r="F1" s="118">
        <f>SUM('JV2'!J1,'JV2'!N1,'JV2'!R1)</f>
        <v>455</v>
      </c>
      <c r="G1" s="118">
        <f>SUM('JV2'!K1,'JV2'!O1,'JV2'!S1)</f>
        <v>620</v>
      </c>
      <c r="H1" s="118">
        <f>SUM('JV2'!L1,'JV2'!P1,'JV2'!T1)</f>
        <v>748</v>
      </c>
      <c r="J1" s="53" cm="1">
        <f t="array" ref="J1">_xlfn.LET(_xlpm.hours,_xlfn._TRO_TRAILING(Sites!$Y:$AA),
_xlpm.states,ISNUMBER(SEARCH($J$19,_xlfn._TRO_TRAILING(Sites!$D:$D))),
_xlpm.years,ISNUMBER(SEARCH(J$20,Sites!$Y$3:$AA$3)),
SUM(_xlfn._xlws.FILTER(_xlfn._xlws.FILTER(_xlpm.hours,_xlpm.states,0),_xlpm.years),0))</f>
        <v>206</v>
      </c>
      <c r="K1" s="53" cm="1">
        <f t="array" ref="K1">_xlfn.LET(_xlpm.hours,_xlfn._TRO_TRAILING(Sites!$Y:$AA),
_xlpm.states,ISNUMBER(SEARCH($J$19,_xlfn._TRO_TRAILING(Sites!$D:$D))),
_xlpm.years,ISNUMBER(SEARCH(K$20,Sites!$Y$3:$AA$3)),
SUM(_xlfn._xlws.FILTER(_xlfn._xlws.FILTER(_xlpm.hours,_xlpm.states,0),_xlpm.years),0))</f>
        <v>243</v>
      </c>
      <c r="L1" s="53" cm="1">
        <f t="array" ref="L1">_xlfn.LET(_xlpm.hours,_xlfn._TRO_TRAILING(Sites!$Y:$AA),
_xlpm.states,ISNUMBER(SEARCH($J$19,_xlfn._TRO_TRAILING(Sites!$D:$D))),
_xlpm.years,ISNUMBER(SEARCH(L$20,Sites!$Y$3:$AA$3)),
SUM(_xlfn._xlws.FILTER(_xlfn._xlws.FILTER(_xlpm.hours,_xlpm.states,0),_xlpm.years),0))</f>
        <v>289</v>
      </c>
      <c r="N1" s="53" cm="1">
        <f t="array" ref="N1">_xlfn.LET(_xlpm.hours,_xlfn._TRO_TRAILING(Sites!$Y:$AA),
_xlpm.states,ISNUMBER(SEARCH($N$19,_xlfn._TRO_TRAILING(Sites!$D:$D))),
_xlpm.years,ISNUMBER(SEARCH(N$20,Sites!$Y$3:$AA$3)),
SUM(_xlfn._xlws.FILTER(_xlfn._xlws.FILTER(_xlpm.hours,_xlpm.states,0),_xlpm.years),0))</f>
        <v>192</v>
      </c>
      <c r="O1" s="53" cm="1">
        <f t="array" ref="O1">_xlfn.LET(_xlpm.hours,_xlfn._TRO_TRAILING(Sites!$Y:$AA),
_xlpm.states,ISNUMBER(SEARCH($N$19,_xlfn._TRO_TRAILING(Sites!$D:$D))),
_xlpm.years,ISNUMBER(SEARCH(O$20,Sites!$Y$3:$AA$3)),
SUM(_xlfn._xlws.FILTER(_xlfn._xlws.FILTER(_xlpm.hours,_xlpm.states,0),_xlpm.years),0))</f>
        <v>296</v>
      </c>
      <c r="P1" s="53" cm="1">
        <f t="array" ref="P1">_xlfn.LET(_xlpm.hours,_xlfn._TRO_TRAILING(Sites!$Y:$AA),
_xlpm.states,ISNUMBER(SEARCH($N$19,_xlfn._TRO_TRAILING(Sites!$D:$D))),
_xlpm.years,ISNUMBER(SEARCH(P$20,Sites!$Y$3:$AA$3)),
SUM(_xlfn._xlws.FILTER(_xlfn._xlws.FILTER(_xlpm.hours,_xlpm.states,0),_xlpm.years),0))</f>
        <v>374</v>
      </c>
      <c r="R1" s="53" cm="1">
        <f t="array" ref="R1">_xlfn.LET(_xlpm.hours,_xlfn._TRO_TRAILING(Sites!$Y:$AA),
_xlpm.states,ISNUMBER(SEARCH($R$19,_xlfn._TRO_TRAILING(Sites!$D:$D))),
_xlpm.years,ISNUMBER(SEARCH(R$20,Sites!$Y$3:$AA$3)),
SUM(_xlfn._xlws.FILTER(_xlfn._xlws.FILTER(_xlpm.hours,_xlpm.states,0),_xlpm.years),0))</f>
        <v>57</v>
      </c>
      <c r="S1" s="53" cm="1">
        <f t="array" ref="S1">_xlfn.LET(_xlpm.hours,_xlfn._TRO_TRAILING(Sites!$Y:$AA),
_xlpm.states,ISNUMBER(SEARCH($R$19,_xlfn._TRO_TRAILING(Sites!$D:$D))),
_xlpm.years,ISNUMBER(SEARCH(S$20,Sites!$Y$3:$AA$3)),
SUM(_xlfn._xlws.FILTER(_xlfn._xlws.FILTER(_xlpm.hours,_xlpm.states,0),_xlpm.years),0))</f>
        <v>81</v>
      </c>
      <c r="T1" s="53" cm="1">
        <f t="array" ref="T1">_xlfn.LET(_xlpm.hours,_xlfn._TRO_TRAILING(Sites!$Y:$AA),
_xlpm.states,ISNUMBER(SEARCH($R$19,_xlfn._TRO_TRAILING(Sites!$D:$D))),
_xlpm.years,ISNUMBER(SEARCH(T$20,Sites!$Y$3:$AA$3)),
SUM(_xlfn._xlws.FILTER(_xlfn._xlws.FILTER(_xlpm.hours,_xlpm.states,0),_xlpm.years),0))</f>
        <v>85</v>
      </c>
      <c r="V1" s="125" cm="1">
        <f t="array" ref="V1">_xlfn.LET(_xlpm.hours,_xlfn._TRO_TRAILING(Sites!$Y:$AA),_xlpm.type,ISNUMBER(SEARCH($V$17,_xlfn._TRO_TRAILING(Sites!$C:$C))),
_xlpm.states,ISNUMBER(SEARCH($V$19,_xlfn._TRO_TRAILING(Sites!$D:$D))),
_xlpm.years,ISNUMBER(SEARCH(V$20,Sites!$AC$3:$AE$3)),
SUM(_xlfn._xlws.FILTER(_xlfn._xlws.FILTER(_xlpm.hours,_xlpm.states*_xlpm.type,0),_xlpm.years),0))</f>
        <v>100</v>
      </c>
      <c r="W1" s="125" cm="1">
        <f t="array" ref="W1">_xlfn.LET(_xlpm.hours,_xlfn._TRO_TRAILING(Sites!$Y:$AA),_xlpm.type,ISNUMBER(SEARCH($V$17,_xlfn._TRO_TRAILING(Sites!$C:$C))),
_xlpm.states,ISNUMBER(SEARCH($V$19,_xlfn._TRO_TRAILING(Sites!$D:$D))),
_xlpm.years,ISNUMBER(SEARCH(W$20,Sites!$AC$3:$AE$3)),
SUM(_xlfn._xlws.FILTER(_xlfn._xlws.FILTER(_xlpm.hours,_xlpm.states*_xlpm.type,0),_xlpm.years),0))</f>
        <v>100</v>
      </c>
      <c r="X1" s="125" cm="1">
        <f t="array" ref="X1">_xlfn.LET(_xlpm.hours,_xlfn._TRO_TRAILING(Sites!$Y:$AA),_xlpm.type,ISNUMBER(SEARCH($V$17,_xlfn._TRO_TRAILING(Sites!$C:$C))),
_xlpm.states,ISNUMBER(SEARCH($V$19,_xlfn._TRO_TRAILING(Sites!$D:$D))),
_xlpm.years,ISNUMBER(SEARCH(X$20,Sites!$AC$3:$AE$3)),
SUM(_xlfn._xlws.FILTER(_xlfn._xlws.FILTER(_xlpm.hours,_xlpm.states*_xlpm.type,0),_xlpm.years),0))</f>
        <v>100</v>
      </c>
      <c r="Z1" s="125" cm="1">
        <f t="array" ref="Z1">_xlfn.LET(_xlpm.hours,_xlfn._TRO_TRAILING(Sites!$Y:$AA),_xlpm.type,ISNUMBER(SEARCH($V$17,_xlfn._TRO_TRAILING(Sites!$C:$C))),
_xlpm.states,ISNUMBER(SEARCH($Z$19,_xlfn._TRO_TRAILING(Sites!$D:$D))),
_xlpm.years,ISNUMBER(SEARCH(Z$20,Sites!$AC$3:$AE$3)),
SUM(_xlfn._xlws.FILTER(_xlfn._xlws.FILTER(_xlpm.hours,_xlpm.states*_xlpm.type,0),_xlpm.years),0))</f>
        <v>129</v>
      </c>
      <c r="AA1" s="125" cm="1">
        <f t="array" ref="AA1">_xlfn.LET(_xlpm.hours,_xlfn._TRO_TRAILING(Sites!$Y:$AA),_xlpm.type,ISNUMBER(SEARCH($V$17,_xlfn._TRO_TRAILING(Sites!$C:$C))),
_xlpm.states,ISNUMBER(SEARCH($Z$19,_xlfn._TRO_TRAILING(Sites!$D:$D))),
_xlpm.years,ISNUMBER(SEARCH(AA$20,Sites!$AC$3:$AE$3)),
SUM(_xlfn._xlws.FILTER(_xlfn._xlws.FILTER(_xlpm.hours,_xlpm.states*_xlpm.type,0),_xlpm.years),0))</f>
        <v>162</v>
      </c>
      <c r="AB1" s="125" cm="1">
        <f t="array" ref="AB1">_xlfn.LET(_xlpm.hours,_xlfn._TRO_TRAILING(Sites!$Y:$AA),_xlpm.type,ISNUMBER(SEARCH($V$17,_xlfn._TRO_TRAILING(Sites!$C:$C))),
_xlpm.states,ISNUMBER(SEARCH($Z$19,_xlfn._TRO_TRAILING(Sites!$D:$D))),
_xlpm.years,ISNUMBER(SEARCH(AB$20,Sites!$AC$3:$AE$3)),
SUM(_xlfn._xlws.FILTER(_xlfn._xlws.FILTER(_xlpm.hours,_xlpm.states*_xlpm.type,0),_xlpm.years),0))</f>
        <v>195</v>
      </c>
      <c r="AD1" s="125" cm="1">
        <f t="array" ref="AD1">_xlfn.LET(_xlpm.hours,_xlfn._TRO_TRAILING(Sites!$Y:$AA),_xlpm.type,ISNUMBER(SEARCH($V$17,_xlfn._TRO_TRAILING(Sites!$C:$C))),
_xlpm.states,ISNUMBER(SEARCH($AD$19,_xlfn._TRO_TRAILING(Sites!$D:$D))),
_xlpm.years,ISNUMBER(SEARCH(AD$20,Sites!$AC$3:$AE$3)),
SUM(_xlfn._xlws.FILTER(_xlfn._xlws.FILTER(_xlpm.hours,_xlpm.states*_xlpm.type,0),_xlpm.years),0))</f>
        <v>57</v>
      </c>
      <c r="AE1" s="125" cm="1">
        <f t="array" ref="AE1">_xlfn.LET(_xlpm.hours,_xlfn._TRO_TRAILING(Sites!$Y:$AA),_xlpm.type,ISNUMBER(SEARCH($V$17,_xlfn._TRO_TRAILING(Sites!$C:$C))),
_xlpm.states,ISNUMBER(SEARCH($AD$19,_xlfn._TRO_TRAILING(Sites!$D:$D))),
_xlpm.years,ISNUMBER(SEARCH(AE$20,Sites!$AC$3:$AE$3)),
SUM(_xlfn._xlws.FILTER(_xlfn._xlws.FILTER(_xlpm.hours,_xlpm.states*_xlpm.type,0),_xlpm.years),0))</f>
        <v>81</v>
      </c>
      <c r="AF1" s="125" cm="1">
        <f t="array" ref="AF1">_xlfn.LET(_xlpm.hours,_xlfn._TRO_TRAILING(Sites!$Y:$AA),_xlpm.type,ISNUMBER(SEARCH($V$17,_xlfn._TRO_TRAILING(Sites!$C:$C))),
_xlpm.states,ISNUMBER(SEARCH($AD$19,_xlfn._TRO_TRAILING(Sites!$D:$D))),
_xlpm.years,ISNUMBER(SEARCH(AF$20,Sites!$AC$3:$AE$3)),
SUM(_xlfn._xlws.FILTER(_xlfn._xlws.FILTER(_xlpm.hours,_xlpm.states*_xlpm.type,0),_xlpm.years),0))</f>
        <v>85</v>
      </c>
      <c r="AH1" s="125" cm="1">
        <f t="array" ref="AH1">_xlfn.LET(_xlpm.hours,_xlfn._TRO_TRAILING(Sites!$Y:$AA),_xlpm.type,ISNUMBER(SEARCH($AH$17,_xlfn._TRO_TRAILING(Sites!$C:$C))),
_xlpm.states,ISNUMBER(SEARCH($AH$19,_xlfn._TRO_TRAILING(Sites!$D:$D))),
_xlpm.years,ISNUMBER(SEARCH(AH$20,Sites!$AC$3:$AE$3)),
SUM(_xlfn._xlws.FILTER(_xlfn._xlws.FILTER(_xlpm.hours,_xlpm.states*_xlpm.type,0),_xlpm.years),0))</f>
        <v>106</v>
      </c>
      <c r="AI1" s="125" cm="1">
        <f t="array" ref="AI1">_xlfn.LET(_xlpm.hours,_xlfn._TRO_TRAILING(Sites!$Y:$AA),_xlpm.type,ISNUMBER(SEARCH($AH$17,_xlfn._TRO_TRAILING(Sites!$C:$C))),
_xlpm.states,ISNUMBER(SEARCH($AH$19,_xlfn._TRO_TRAILING(Sites!$D:$D))),
_xlpm.years,ISNUMBER(SEARCH(AI$20,Sites!$AC$3:$AE$3)),
SUM(_xlfn._xlws.FILTER(_xlfn._xlws.FILTER(_xlpm.hours,_xlpm.states*_xlpm.type,0),_xlpm.years),0))</f>
        <v>143</v>
      </c>
      <c r="AJ1" s="125" cm="1">
        <f t="array" ref="AJ1">_xlfn.LET(_xlpm.hours,_xlfn._TRO_TRAILING(Sites!$Y:$AA),_xlpm.type,ISNUMBER(SEARCH($AH$17,_xlfn._TRO_TRAILING(Sites!$C:$C))),
_xlpm.states,ISNUMBER(SEARCH($AH$19,_xlfn._TRO_TRAILING(Sites!$D:$D))),
_xlpm.years,ISNUMBER(SEARCH(AJ$20,Sites!$AC$3:$AE$3)),
SUM(_xlfn._xlws.FILTER(_xlfn._xlws.FILTER(_xlpm.hours,_xlpm.states*_xlpm.type,0),_xlpm.years),0))</f>
        <v>189</v>
      </c>
      <c r="AL1" s="125" cm="1">
        <f t="array" ref="AL1">_xlfn.LET(_xlpm.hours,_xlfn._TRO_TRAILING(Sites!$Y:$AA),_xlpm.type,ISNUMBER(SEARCH($AH$17,_xlfn._TRO_TRAILING(Sites!$C:$C))),
_xlpm.states,ISNUMBER(SEARCH($AL$19,_xlfn._TRO_TRAILING(Sites!$D:$D))),
_xlpm.years,ISNUMBER(SEARCH(AL$20,Sites!$AC$3:$AE$3)),
SUM(_xlfn._xlws.FILTER(_xlfn._xlws.FILTER(_xlpm.hours,_xlpm.states*_xlpm.type,0),_xlpm.years),0))</f>
        <v>63</v>
      </c>
      <c r="AM1" s="125" cm="1">
        <f t="array" ref="AM1">_xlfn.LET(_xlpm.hours,_xlfn._TRO_TRAILING(Sites!$Y:$AA),_xlpm.type,ISNUMBER(SEARCH($AH$17,_xlfn._TRO_TRAILING(Sites!$C:$C))),
_xlpm.states,ISNUMBER(SEARCH($AL$19,_xlfn._TRO_TRAILING(Sites!$D:$D))),
_xlpm.years,ISNUMBER(SEARCH(AM$20,Sites!$AC$3:$AE$3)),
SUM(_xlfn._xlws.FILTER(_xlfn._xlws.FILTER(_xlpm.hours,_xlpm.states*_xlpm.type,0),_xlpm.years),0))</f>
        <v>134</v>
      </c>
      <c r="AN1" s="125" cm="1">
        <f t="array" ref="AN1">_xlfn.LET(_xlpm.hours,_xlfn._TRO_TRAILING(Sites!$Y:$AA),_xlpm.type,ISNUMBER(SEARCH($AH$17,_xlfn._TRO_TRAILING(Sites!$C:$C))),
_xlpm.states,ISNUMBER(SEARCH($AL$19,_xlfn._TRO_TRAILING(Sites!$D:$D))),
_xlpm.years,ISNUMBER(SEARCH(AN$20,Sites!$AC$3:$AE$3)),
SUM(_xlfn._xlws.FILTER(_xlfn._xlws.FILTER(_xlpm.hours,_xlpm.states*_xlpm.type,0),_xlpm.years),0))</f>
        <v>179</v>
      </c>
      <c r="AP1" s="125" cm="1">
        <f t="array" ref="AP1">_xlfn.LET(_xlpm.hours,_xlfn._TRO_TRAILING(Sites!$Y:$AA),_xlpm.type,ISNUMBER(SEARCH($AH$17,_xlfn._TRO_TRAILING(Sites!$C:$C))),
_xlpm.states,ISNUMBER(SEARCH($AP$19,_xlfn._TRO_TRAILING(Sites!$D:$D))),
_xlpm.years,ISNUMBER(SEARCH(AP$20,Sites!$AC$3:$AE$3)),
IFERROR(SUM(_xlfn._xlws.FILTER(_xlfn._xlws.FILTER(_xlpm.hours,_xlpm.states*_xlpm.type,0),_xlpm.years),0),0))</f>
        <v>0</v>
      </c>
      <c r="AQ1" s="125" cm="1">
        <f t="array" ref="AQ1">_xlfn.LET(_xlpm.hours,_xlfn._TRO_TRAILING(Sites!$Y:$AA),_xlpm.type,ISNUMBER(SEARCH($AH$17,_xlfn._TRO_TRAILING(Sites!$C:$C))),
_xlpm.states,ISNUMBER(SEARCH($AP$19,_xlfn._TRO_TRAILING(Sites!$D:$D))),
_xlpm.years,ISNUMBER(SEARCH(AQ$20,Sites!$AC$3:$AE$3)),
IFERROR(SUM(_xlfn._xlws.FILTER(_xlfn._xlws.FILTER(_xlpm.hours,_xlpm.states*_xlpm.type,0),_xlpm.years),0),0))</f>
        <v>0</v>
      </c>
      <c r="AR1" s="125" cm="1">
        <f t="array" ref="AR1">_xlfn.LET(_xlpm.hours,_xlfn._TRO_TRAILING(Sites!$Y:$AA),_xlpm.type,ISNUMBER(SEARCH($AH$17,_xlfn._TRO_TRAILING(Sites!$C:$C))),
_xlpm.states,ISNUMBER(SEARCH($AP$19,_xlfn._TRO_TRAILING(Sites!$D:$D))),
_xlpm.years,ISNUMBER(SEARCH(AR$20,Sites!$AC$3:$AE$3)),
IFERROR(SUM(_xlfn._xlws.FILTER(_xlfn._xlws.FILTER(_xlpm.hours,_xlpm.states*_xlpm.type,0),_xlpm.years),0),0))</f>
        <v>0</v>
      </c>
    </row>
    <row r="2" spans="1:44" hidden="1" outlineLevel="1" x14ac:dyDescent="0.25">
      <c r="B2" s="1" t="s">
        <v>269</v>
      </c>
      <c r="C2" s="3"/>
      <c r="D2" s="3"/>
      <c r="E2" s="118"/>
      <c r="F2" s="118"/>
      <c r="G2" s="118"/>
      <c r="H2" s="118"/>
      <c r="J2" s="5"/>
      <c r="K2" s="5"/>
      <c r="L2" s="5"/>
      <c r="N2" s="5"/>
      <c r="O2" s="5"/>
      <c r="P2" s="5"/>
      <c r="R2" s="5"/>
      <c r="S2" s="5"/>
      <c r="T2" s="5"/>
    </row>
    <row r="3" spans="1:44" hidden="1" outlineLevel="1" x14ac:dyDescent="0.25">
      <c r="B3" s="39" t="s">
        <v>309</v>
      </c>
      <c r="E3" s="161"/>
      <c r="F3" s="161">
        <f>SUM('JV2'!J3,'JV2'!N3,'JV2'!R3)</f>
        <v>268.21999999999997</v>
      </c>
      <c r="G3" s="161">
        <f>SUM('JV2'!K3,'JV2'!O3,'JV2'!S3)</f>
        <v>394.25000000000011</v>
      </c>
      <c r="H3" s="161">
        <f>SUM('JV2'!L3,'JV2'!P3,'JV2'!T3)</f>
        <v>495.26</v>
      </c>
      <c r="I3" s="159"/>
      <c r="J3" s="160" cm="1">
        <f t="array" ref="J3">_xlfn.LET(_xlpm.hours,_xlfn._TRO_TRAILING(Sites!$I:$K),
_xlpm.states,ISNUMBER(SEARCH($J$19,_xlfn._TRO_TRAILING(Sites!$D:$D))),
_xlpm.years,ISNUMBER(SEARCH(J$20,Sites!$I$3:$K$3)),
SUM(_xlfn._xlws.FILTER(_xlfn._xlws.FILTER(_xlpm.hours,_xlpm.states,0),_xlpm.years),0))</f>
        <v>134.51</v>
      </c>
      <c r="K3" s="160" cm="1">
        <f t="array" ref="K3">_xlfn.LET(_xlpm.hours,_xlfn._TRO_TRAILING(Sites!$I:$K),
_xlpm.states,ISNUMBER(SEARCH($J$19,_xlfn._TRO_TRAILING(Sites!$D:$D))),
_xlpm.years,ISNUMBER(SEARCH(K$20,Sites!$I$3:$K$3)),
SUM(_xlfn._xlws.FILTER(_xlfn._xlws.FILTER(_xlpm.hours,_xlpm.states,0),_xlpm.years),0))</f>
        <v>169.34</v>
      </c>
      <c r="L3" s="160" cm="1">
        <f t="array" ref="L3">_xlfn.LET(_xlpm.hours,_xlfn._TRO_TRAILING(Sites!$I:$K),
_xlpm.states,ISNUMBER(SEARCH($J$19,_xlfn._TRO_TRAILING(Sites!$D:$D))),
_xlpm.years,ISNUMBER(SEARCH(L$20,Sites!$I$3:$K$3)),
SUM(_xlfn._xlws.FILTER(_xlfn._xlws.FILTER(_xlpm.hours,_xlpm.states,0),_xlpm.years),0))</f>
        <v>212.64000000000001</v>
      </c>
      <c r="M3" s="159"/>
      <c r="N3" s="160" cm="1">
        <f t="array" ref="N3">_xlfn.LET(_xlpm.hours,_xlfn._TRO_TRAILING(Sites!$I:$K),
_xlpm.states,ISNUMBER(SEARCH($N$19,_xlfn._TRO_TRAILING(Sites!$D:$D))),
_xlpm.years,ISNUMBER(SEARCH(N$20,Sites!$I$3:$K$3)),
SUM(_xlfn._xlws.FILTER(_xlfn._xlws.FILTER(_xlpm.hours,_xlpm.states,0),_xlpm.years),0))</f>
        <v>109.44</v>
      </c>
      <c r="O3" s="160" cm="1">
        <f t="array" ref="O3">_xlfn.LET(_xlpm.hours,_xlfn._TRO_TRAILING(Sites!$I:$K),
_xlpm.states,ISNUMBER(SEARCH($N$19,_xlfn._TRO_TRAILING(Sites!$D:$D))),
_xlpm.years,ISNUMBER(SEARCH(O$20,Sites!$I$3:$K$3)),
SUM(_xlfn._xlws.FILTER(_xlfn._xlws.FILTER(_xlpm.hours,_xlpm.states,0),_xlpm.years),0))</f>
        <v>189.82000000000005</v>
      </c>
      <c r="P3" s="160" cm="1">
        <f t="array" ref="P3">_xlfn.LET(_xlpm.hours,_xlfn._TRO_TRAILING(Sites!$I:$K),
_xlpm.states,ISNUMBER(SEARCH($N$19,_xlfn._TRO_TRAILING(Sites!$D:$D))),
_xlpm.years,ISNUMBER(SEARCH(P$20,Sites!$I$3:$K$3)),
SUM(_xlfn._xlws.FILTER(_xlfn._xlws.FILTER(_xlpm.hours,_xlpm.states,0),_xlpm.years),0))</f>
        <v>245.72000000000003</v>
      </c>
      <c r="Q3" s="159"/>
      <c r="R3" s="160" cm="1">
        <f t="array" ref="R3">_xlfn.LET(_xlpm.hours,_xlfn._TRO_TRAILING(Sites!$I:$K),
_xlpm.states,ISNUMBER(SEARCH($R$19,_xlfn._TRO_TRAILING(Sites!$D:$D))),
_xlpm.years,ISNUMBER(SEARCH(R$20,Sites!$I$3:$K$3)),
SUM(_xlfn._xlws.FILTER(_xlfn._xlws.FILTER(_xlpm.hours,_xlpm.states,0),_xlpm.years),0))</f>
        <v>24.27</v>
      </c>
      <c r="S3" s="160" cm="1">
        <f t="array" ref="S3">_xlfn.LET(_xlpm.hours,_xlfn._TRO_TRAILING(Sites!$I:$K),
_xlpm.states,ISNUMBER(SEARCH($R$19,_xlfn._TRO_TRAILING(Sites!$D:$D))),
_xlpm.years,ISNUMBER(SEARCH(S$20,Sites!$I$3:$K$3)),
SUM(_xlfn._xlws.FILTER(_xlfn._xlws.FILTER(_xlpm.hours,_xlpm.states,0),_xlpm.years),0))</f>
        <v>35.090000000000003</v>
      </c>
      <c r="T3" s="160" cm="1">
        <f t="array" ref="T3">_xlfn.LET(_xlpm.hours,_xlfn._TRO_TRAILING(Sites!$I:$K),
_xlpm.states,ISNUMBER(SEARCH($R$19,_xlfn._TRO_TRAILING(Sites!$D:$D))),
_xlpm.years,ISNUMBER(SEARCH(T$20,Sites!$I$3:$K$3)),
SUM(_xlfn._xlws.FILTER(_xlfn._xlws.FILTER(_xlpm.hours,_xlpm.states,0),_xlpm.years),0))</f>
        <v>36.9</v>
      </c>
      <c r="U3" s="159"/>
      <c r="V3" s="125" cm="1">
        <f t="array" ref="V3">_xlfn.LET(_xlpm.hours,_xlfn._TRO_TRAILING(Sites!$I:$K),_xlpm.type,ISNUMBER(SEARCH($V$17,_xlfn._TRO_TRAILING(Sites!$C:$C))),
_xlpm.states,ISNUMBER(SEARCH($V$19,_xlfn._TRO_TRAILING(Sites!$D:$D))),
_xlpm.years,ISNUMBER(SEARCH(V$20,Sites!$AC$3:$AE$3)),
SUM(_xlfn._xlws.FILTER(_xlfn._xlws.FILTER(_xlpm.hours,_xlpm.states*_xlpm.type,0),_xlpm.years),0))</f>
        <v>42.209999999999994</v>
      </c>
      <c r="W3" s="125" cm="1">
        <f t="array" ref="W3">_xlfn.LET(_xlpm.hours,_xlfn._TRO_TRAILING(Sites!$I:$K),_xlpm.type,ISNUMBER(SEARCH($V$17,_xlfn._TRO_TRAILING(Sites!$C:$C))),
_xlpm.states,ISNUMBER(SEARCH($V$19,_xlfn._TRO_TRAILING(Sites!$D:$D))),
_xlpm.years,ISNUMBER(SEARCH(W$20,Sites!$AC$3:$AE$3)),
SUM(_xlfn._xlws.FILTER(_xlfn._xlws.FILTER(_xlpm.hours,_xlpm.states*_xlpm.type,0),_xlpm.years),0))</f>
        <v>42.209999999999994</v>
      </c>
      <c r="X3" s="125" cm="1">
        <f t="array" ref="X3">_xlfn.LET(_xlpm.hours,_xlfn._TRO_TRAILING(Sites!$I:$K),_xlpm.type,ISNUMBER(SEARCH($V$17,_xlfn._TRO_TRAILING(Sites!$C:$C))),
_xlpm.states,ISNUMBER(SEARCH($V$19,_xlfn._TRO_TRAILING(Sites!$D:$D))),
_xlpm.years,ISNUMBER(SEARCH(X$20,Sites!$AC$3:$AE$3)),
SUM(_xlfn._xlws.FILTER(_xlfn._xlws.FILTER(_xlpm.hours,_xlpm.states*_xlpm.type,0),_xlpm.years),0))</f>
        <v>42.209999999999994</v>
      </c>
      <c r="Y3" s="159"/>
      <c r="Z3" s="125" cm="1">
        <f t="array" ref="Z3">_xlfn.LET(_xlpm.hours,_xlfn._TRO_TRAILING(Sites!$I:$K),_xlpm.type,ISNUMBER(SEARCH($V$17,_xlfn._TRO_TRAILING(Sites!$C:$C))),
_xlpm.states,ISNUMBER(SEARCH($Z$19,_xlfn._TRO_TRAILING(Sites!$D:$D))),
_xlpm.years,ISNUMBER(SEARCH(Z$20,Sites!$AC$3:$AE$3)),
SUM(_xlfn._xlws.FILTER(_xlfn._xlws.FILTER(_xlpm.hours,_xlpm.states*_xlpm.type,0),_xlpm.years),0))</f>
        <v>52.989999999999995</v>
      </c>
      <c r="AA3" s="125" cm="1">
        <f t="array" ref="AA3">_xlfn.LET(_xlpm.hours,_xlfn._TRO_TRAILING(Sites!$I:$K),_xlpm.type,ISNUMBER(SEARCH($V$17,_xlfn._TRO_TRAILING(Sites!$C:$C))),
_xlpm.states,ISNUMBER(SEARCH($Z$19,_xlfn._TRO_TRAILING(Sites!$D:$D))),
_xlpm.years,ISNUMBER(SEARCH(AA$20,Sites!$AC$3:$AE$3)),
SUM(_xlfn._xlws.FILTER(_xlfn._xlws.FILTER(_xlpm.hours,_xlpm.states*_xlpm.type,0),_xlpm.years),0))</f>
        <v>66.540000000000006</v>
      </c>
      <c r="AB3" s="125" cm="1">
        <f t="array" ref="AB3">_xlfn.LET(_xlpm.hours,_xlfn._TRO_TRAILING(Sites!$I:$K),_xlpm.type,ISNUMBER(SEARCH($V$17,_xlfn._TRO_TRAILING(Sites!$C:$C))),
_xlpm.states,ISNUMBER(SEARCH($Z$19,_xlfn._TRO_TRAILING(Sites!$D:$D))),
_xlpm.years,ISNUMBER(SEARCH(AB$20,Sites!$AC$3:$AE$3)),
SUM(_xlfn._xlws.FILTER(_xlfn._xlws.FILTER(_xlpm.hours,_xlpm.states*_xlpm.type,0),_xlpm.years),0))</f>
        <v>80.09</v>
      </c>
      <c r="AC3" s="159"/>
      <c r="AD3" s="125" cm="1">
        <f t="array" ref="AD3">_xlfn.LET(_xlpm.hours,_xlfn._TRO_TRAILING(Sites!$I:$K),_xlpm.type,ISNUMBER(SEARCH($V$17,_xlfn._TRO_TRAILING(Sites!$C:$C))),
_xlpm.states,ISNUMBER(SEARCH($AD$19,_xlfn._TRO_TRAILING(Sites!$D:$D))),
_xlpm.years,ISNUMBER(SEARCH(AD$20,Sites!$AC$3:$AE$3)),
SUM(_xlfn._xlws.FILTER(_xlfn._xlws.FILTER(_xlpm.hours,_xlpm.states*_xlpm.type,0),_xlpm.years),0))</f>
        <v>24.27</v>
      </c>
      <c r="AE3" s="125" cm="1">
        <f t="array" ref="AE3">_xlfn.LET(_xlpm.hours,_xlfn._TRO_TRAILING(Sites!$I:$K),_xlpm.type,ISNUMBER(SEARCH($V$17,_xlfn._TRO_TRAILING(Sites!$C:$C))),
_xlpm.states,ISNUMBER(SEARCH($AD$19,_xlfn._TRO_TRAILING(Sites!$D:$D))),
_xlpm.years,ISNUMBER(SEARCH(AE$20,Sites!$AC$3:$AE$3)),
SUM(_xlfn._xlws.FILTER(_xlfn._xlws.FILTER(_xlpm.hours,_xlpm.states*_xlpm.type,0),_xlpm.years),0))</f>
        <v>35.090000000000003</v>
      </c>
      <c r="AF3" s="125" cm="1">
        <f t="array" ref="AF3">_xlfn.LET(_xlpm.hours,_xlfn._TRO_TRAILING(Sites!$I:$K),_xlpm.type,ISNUMBER(SEARCH($V$17,_xlfn._TRO_TRAILING(Sites!$C:$C))),
_xlpm.states,ISNUMBER(SEARCH($AD$19,_xlfn._TRO_TRAILING(Sites!$D:$D))),
_xlpm.years,ISNUMBER(SEARCH(AF$20,Sites!$AC$3:$AE$3)),
SUM(_xlfn._xlws.FILTER(_xlfn._xlws.FILTER(_xlpm.hours,_xlpm.states*_xlpm.type,0),_xlpm.years),0))</f>
        <v>36.9</v>
      </c>
      <c r="AG3" s="159"/>
      <c r="AH3" s="125" cm="1">
        <f t="array" ref="AH3">_xlfn.LET(_xlpm.hours,_xlfn._TRO_TRAILING(Sites!$I:$K),_xlpm.type,ISNUMBER(SEARCH($AH$17,_xlfn._TRO_TRAILING(Sites!$C:$C))),
_xlpm.states,ISNUMBER(SEARCH($AH$19,_xlfn._TRO_TRAILING(Sites!$D:$D))),
_xlpm.years,ISNUMBER(SEARCH(AH$20,Sites!$AC$3:$AE$3)),
SUM(_xlfn._xlws.FILTER(_xlfn._xlws.FILTER(_xlpm.hours,_xlpm.states*_xlpm.type,0),_xlpm.years),0))</f>
        <v>92.3</v>
      </c>
      <c r="AI3" s="125" cm="1">
        <f t="array" ref="AI3">_xlfn.LET(_xlpm.hours,_xlfn._TRO_TRAILING(Sites!$I:$K),_xlpm.type,ISNUMBER(SEARCH($AH$17,_xlfn._TRO_TRAILING(Sites!$C:$C))),
_xlpm.states,ISNUMBER(SEARCH($AH$19,_xlfn._TRO_TRAILING(Sites!$D:$D))),
_xlpm.years,ISNUMBER(SEARCH(AI$20,Sites!$AC$3:$AE$3)),
SUM(_xlfn._xlws.FILTER(_xlfn._xlws.FILTER(_xlpm.hours,_xlpm.states*_xlpm.type,0),_xlpm.years),0))</f>
        <v>127.13</v>
      </c>
      <c r="AJ3" s="125" cm="1">
        <f t="array" ref="AJ3">_xlfn.LET(_xlpm.hours,_xlfn._TRO_TRAILING(Sites!$I:$K),_xlpm.type,ISNUMBER(SEARCH($AH$17,_xlfn._TRO_TRAILING(Sites!$C:$C))),
_xlpm.states,ISNUMBER(SEARCH($AH$19,_xlfn._TRO_TRAILING(Sites!$D:$D))),
_xlpm.years,ISNUMBER(SEARCH(AJ$20,Sites!$AC$3:$AE$3)),
SUM(_xlfn._xlws.FILTER(_xlfn._xlws.FILTER(_xlpm.hours,_xlpm.states*_xlpm.type,0),_xlpm.years),0))</f>
        <v>170.43</v>
      </c>
      <c r="AK3" s="159"/>
      <c r="AL3" s="125" cm="1">
        <f t="array" ref="AL3">_xlfn.LET(_xlpm.hours,_xlfn._TRO_TRAILING(Sites!$I:$K),_xlpm.type,ISNUMBER(SEARCH($AH$17,_xlfn._TRO_TRAILING(Sites!$C:$C))),
_xlpm.states,ISNUMBER(SEARCH($AL$19,_xlfn._TRO_TRAILING(Sites!$D:$D))),
_xlpm.years,ISNUMBER(SEARCH(AL$20,Sites!$AC$3:$AE$3)),
SUM(_xlfn._xlws.FILTER(_xlfn._xlws.FILTER(_xlpm.hours,_xlpm.states*_xlpm.type,0),_xlpm.years),0))</f>
        <v>56.45</v>
      </c>
      <c r="AM3" s="125" cm="1">
        <f t="array" ref="AM3">_xlfn.LET(_xlpm.hours,_xlfn._TRO_TRAILING(Sites!$I:$K),_xlpm.type,ISNUMBER(SEARCH($AH$17,_xlfn._TRO_TRAILING(Sites!$C:$C))),
_xlpm.states,ISNUMBER(SEARCH($AL$19,_xlfn._TRO_TRAILING(Sites!$D:$D))),
_xlpm.years,ISNUMBER(SEARCH(AM$20,Sites!$AC$3:$AE$3)),
SUM(_xlfn._xlws.FILTER(_xlfn._xlws.FILTER(_xlpm.hours,_xlpm.states*_xlpm.type,0),_xlpm.years),0))</f>
        <v>123.28000000000002</v>
      </c>
      <c r="AN3" s="125" cm="1">
        <f t="array" ref="AN3">_xlfn.LET(_xlpm.hours,_xlfn._TRO_TRAILING(Sites!$I:$K),_xlpm.type,ISNUMBER(SEARCH($AH$17,_xlfn._TRO_TRAILING(Sites!$C:$C))),
_xlpm.states,ISNUMBER(SEARCH($AL$19,_xlfn._TRO_TRAILING(Sites!$D:$D))),
_xlpm.years,ISNUMBER(SEARCH(AN$20,Sites!$AC$3:$AE$3)),
SUM(_xlfn._xlws.FILTER(_xlfn._xlws.FILTER(_xlpm.hours,_xlpm.states*_xlpm.type,0),_xlpm.years),0))</f>
        <v>165.63000000000002</v>
      </c>
      <c r="AO3" s="159"/>
      <c r="AP3" s="125" cm="1">
        <f t="array" ref="AP3">_xlfn.LET(_xlpm.hours,_xlfn._TRO_TRAILING(Sites!$I:$K),_xlpm.type,ISNUMBER(SEARCH($AH$17,_xlfn._TRO_TRAILING(Sites!$C:$C))),
_xlpm.states,ISNUMBER(SEARCH($AP$19,_xlfn._TRO_TRAILING(Sites!$D:$D))),
_xlpm.years,ISNUMBER(SEARCH(AP$20,Sites!$AC$3:$AE$3)),
IFERROR(SUM(_xlfn._xlws.FILTER(_xlfn._xlws.FILTER(_xlpm.hours,_xlpm.states*_xlpm.type,0),_xlpm.years),0),0))</f>
        <v>0</v>
      </c>
      <c r="AQ3" s="125" cm="1">
        <f t="array" ref="AQ3">_xlfn.LET(_xlpm.hours,_xlfn._TRO_TRAILING(Sites!$I:$K),_xlpm.type,ISNUMBER(SEARCH($AH$17,_xlfn._TRO_TRAILING(Sites!$C:$C))),
_xlpm.states,ISNUMBER(SEARCH($AP$19,_xlfn._TRO_TRAILING(Sites!$D:$D))),
_xlpm.years,ISNUMBER(SEARCH(AQ$20,Sites!$AC$3:$AE$3)),
IFERROR(SUM(_xlfn._xlws.FILTER(_xlfn._xlws.FILTER(_xlpm.hours,_xlpm.states*_xlpm.type,0),_xlpm.years),0),0))</f>
        <v>0</v>
      </c>
      <c r="AR3" s="125" cm="1">
        <f t="array" ref="AR3">_xlfn.LET(_xlpm.hours,_xlfn._TRO_TRAILING(Sites!$I:$K),_xlpm.type,ISNUMBER(SEARCH($AH$17,_xlfn._TRO_TRAILING(Sites!$C:$C))),
_xlpm.states,ISNUMBER(SEARCH($AP$19,_xlfn._TRO_TRAILING(Sites!$D:$D))),
_xlpm.years,ISNUMBER(SEARCH(AR$20,Sites!$AC$3:$AE$3)),
IFERROR(SUM(_xlfn._xlws.FILTER(_xlfn._xlws.FILTER(_xlpm.hours,_xlpm.states*_xlpm.type,0),_xlpm.years),0),0))</f>
        <v>0</v>
      </c>
    </row>
    <row r="4" spans="1:44" hidden="1" outlineLevel="1" x14ac:dyDescent="0.25">
      <c r="B4" s="39" t="s">
        <v>310</v>
      </c>
      <c r="E4" s="161"/>
      <c r="F4" s="161">
        <f>SUM('JV2'!J4,'JV2'!N4,'JV2'!R4)</f>
        <v>51.08</v>
      </c>
      <c r="G4" s="161">
        <f>SUM('JV2'!K4,'JV2'!O4,'JV2'!S4)</f>
        <v>71.709999999999994</v>
      </c>
      <c r="H4" s="161">
        <f>SUM('JV2'!L4,'JV2'!P4,'JV2'!T4)</f>
        <v>88.08</v>
      </c>
      <c r="I4" s="159"/>
      <c r="J4" s="160" cm="1">
        <f t="array" ref="J4">_xlfn.LET(_xlpm.hours,_xlfn._TRO_TRAILING(Sites!$M:$O),
_xlpm.states,ISNUMBER(SEARCH($J$19,_xlfn._TRO_TRAILING(Sites!$D:$D))),
_xlpm.years,ISNUMBER(SEARCH(J$20,Sites!$M$3:$O$3)),
SUM(_xlfn._xlws.FILTER(_xlfn._xlws.FILTER(_xlpm.hours,_xlpm.states,0),_xlpm.years),0))</f>
        <v>25.15</v>
      </c>
      <c r="K4" s="160" cm="1">
        <f t="array" ref="K4">_xlfn.LET(_xlpm.hours,_xlfn._TRO_TRAILING(Sites!$M:$O),
_xlpm.states,ISNUMBER(SEARCH($J$19,_xlfn._TRO_TRAILING(Sites!$D:$D))),
_xlpm.years,ISNUMBER(SEARCH(K$20,Sites!$M$3:$O$3)),
SUM(_xlfn._xlws.FILTER(_xlfn._xlws.FILTER(_xlpm.hours,_xlpm.states,0),_xlpm.years),0))</f>
        <v>30.439999999999998</v>
      </c>
      <c r="L4" s="160" cm="1">
        <f t="array" ref="L4">_xlfn.LET(_xlpm.hours,_xlfn._TRO_TRAILING(Sites!$M:$O),
_xlpm.states,ISNUMBER(SEARCH($J$19,_xlfn._TRO_TRAILING(Sites!$D:$D))),
_xlpm.years,ISNUMBER(SEARCH(L$20,Sites!$M$3:$O$3)),
SUM(_xlfn._xlws.FILTER(_xlfn._xlws.FILTER(_xlpm.hours,_xlpm.states,0),_xlpm.years),0))</f>
        <v>37.019999999999996</v>
      </c>
      <c r="M4" s="159"/>
      <c r="N4" s="160" cm="1">
        <f t="array" ref="N4">_xlfn.LET(_xlpm.hours,_xlfn._TRO_TRAILING(Sites!$M:$O),
_xlpm.states,ISNUMBER(SEARCH($N$19,_xlfn._TRO_TRAILING(Sites!$D:$D))),
_xlpm.years,ISNUMBER(SEARCH(N$20,Sites!$M$3:$O$3)),
SUM(_xlfn._xlws.FILTER(_xlfn._xlws.FILTER(_xlpm.hours,_xlpm.states,0),_xlpm.years),0))</f>
        <v>20.74</v>
      </c>
      <c r="O4" s="160" cm="1">
        <f t="array" ref="O4">_xlfn.LET(_xlpm.hours,_xlfn._TRO_TRAILING(Sites!$M:$O),
_xlpm.states,ISNUMBER(SEARCH($N$19,_xlfn._TRO_TRAILING(Sites!$D:$D))),
_xlpm.years,ISNUMBER(SEARCH(O$20,Sites!$M$3:$O$3)),
SUM(_xlfn._xlws.FILTER(_xlfn._xlws.FILTER(_xlpm.hours,_xlpm.states,0),_xlpm.years),0))</f>
        <v>33.89</v>
      </c>
      <c r="P4" s="160" cm="1">
        <f t="array" ref="P4">_xlfn.LET(_xlpm.hours,_xlfn._TRO_TRAILING(Sites!$M:$O),
_xlpm.states,ISNUMBER(SEARCH($N$19,_xlfn._TRO_TRAILING(Sites!$D:$D))),
_xlpm.years,ISNUMBER(SEARCH(P$20,Sites!$M$3:$O$3)),
SUM(_xlfn._xlws.FILTER(_xlfn._xlws.FILTER(_xlpm.hours,_xlpm.states,0),_xlpm.years),0))</f>
        <v>43.31</v>
      </c>
      <c r="Q4" s="159"/>
      <c r="R4" s="160" cm="1">
        <f t="array" ref="R4">_xlfn.LET(_xlpm.hours,_xlfn._TRO_TRAILING(Sites!$M:$O),
_xlpm.states,ISNUMBER(SEARCH($R$19,_xlfn._TRO_TRAILING(Sites!$D:$D))),
_xlpm.years,ISNUMBER(SEARCH(R$20,Sites!$M$3:$O$3)),
SUM(_xlfn._xlws.FILTER(_xlfn._xlws.FILTER(_xlpm.hours,_xlpm.states,0),_xlpm.years),0))</f>
        <v>5.1899999999999995</v>
      </c>
      <c r="S4" s="160" cm="1">
        <f t="array" ref="S4">_xlfn.LET(_xlpm.hours,_xlfn._TRO_TRAILING(Sites!$M:$O),
_xlpm.states,ISNUMBER(SEARCH($R$19,_xlfn._TRO_TRAILING(Sites!$D:$D))),
_xlpm.years,ISNUMBER(SEARCH(S$20,Sites!$M$3:$O$3)),
SUM(_xlfn._xlws.FILTER(_xlfn._xlws.FILTER(_xlpm.hours,_xlpm.states,0),_xlpm.years),0))</f>
        <v>7.38</v>
      </c>
      <c r="T4" s="160" cm="1">
        <f t="array" ref="T4">_xlfn.LET(_xlpm.hours,_xlfn._TRO_TRAILING(Sites!$M:$O),
_xlpm.states,ISNUMBER(SEARCH($R$19,_xlfn._TRO_TRAILING(Sites!$D:$D))),
_xlpm.years,ISNUMBER(SEARCH(T$20,Sites!$M$3:$O$3)),
SUM(_xlfn._xlws.FILTER(_xlfn._xlws.FILTER(_xlpm.hours,_xlpm.states,0),_xlpm.years),0))</f>
        <v>7.75</v>
      </c>
      <c r="U4" s="159"/>
      <c r="V4" s="125" cm="1">
        <f t="array" ref="V4">_xlfn.LET(_xlpm.hours,_xlfn._TRO_TRAILING(Sites!$M:$O),_xlpm.type,ISNUMBER(SEARCH($V$17,_xlfn._TRO_TRAILING(Sites!$C:$C))),
_xlpm.states,ISNUMBER(SEARCH($V$19,_xlfn._TRO_TRAILING(Sites!$D:$D))),
_xlpm.years,ISNUMBER(SEARCH(V$20,Sites!$AC$3:$AE$3)),
SUM(_xlfn._xlws.FILTER(_xlfn._xlws.FILTER(_xlpm.hours,_xlpm.states*_xlpm.type,0),_xlpm.years),0))</f>
        <v>10</v>
      </c>
      <c r="W4" s="125" cm="1">
        <f t="array" ref="W4">_xlfn.LET(_xlpm.hours,_xlfn._TRO_TRAILING(Sites!$M:$O),_xlpm.type,ISNUMBER(SEARCH($V$17,_xlfn._TRO_TRAILING(Sites!$C:$C))),
_xlpm.states,ISNUMBER(SEARCH($V$19,_xlfn._TRO_TRAILING(Sites!$D:$D))),
_xlpm.years,ISNUMBER(SEARCH(W$20,Sites!$AC$3:$AE$3)),
SUM(_xlfn._xlws.FILTER(_xlfn._xlws.FILTER(_xlpm.hours,_xlpm.states*_xlpm.type,0),_xlpm.years),0))</f>
        <v>10</v>
      </c>
      <c r="X4" s="125" cm="1">
        <f t="array" ref="X4">_xlfn.LET(_xlpm.hours,_xlfn._TRO_TRAILING(Sites!$M:$O),_xlpm.type,ISNUMBER(SEARCH($V$17,_xlfn._TRO_TRAILING(Sites!$C:$C))),
_xlpm.states,ISNUMBER(SEARCH($V$19,_xlfn._TRO_TRAILING(Sites!$D:$D))),
_xlpm.years,ISNUMBER(SEARCH(X$20,Sites!$AC$3:$AE$3)),
SUM(_xlfn._xlws.FILTER(_xlfn._xlws.FILTER(_xlpm.hours,_xlpm.states*_xlpm.type,0),_xlpm.years),0))</f>
        <v>10</v>
      </c>
      <c r="Y4" s="159"/>
      <c r="Z4" s="125" cm="1">
        <f t="array" ref="Z4">_xlfn.LET(_xlpm.hours,_xlfn._TRO_TRAILING(Sites!$M:$O),_xlpm.type,ISNUMBER(SEARCH($V$17,_xlfn._TRO_TRAILING(Sites!$C:$C))),
_xlpm.states,ISNUMBER(SEARCH($Z$19,_xlfn._TRO_TRAILING(Sites!$D:$D))),
_xlpm.years,ISNUMBER(SEARCH(Z$20,Sites!$AC$3:$AE$3)),
SUM(_xlfn._xlws.FILTER(_xlfn._xlws.FILTER(_xlpm.hours,_xlpm.states*_xlpm.type,0),_xlpm.years),0))</f>
        <v>11.73</v>
      </c>
      <c r="AA4" s="125" cm="1">
        <f t="array" ref="AA4">_xlfn.LET(_xlpm.hours,_xlfn._TRO_TRAILING(Sites!$M:$O),_xlpm.type,ISNUMBER(SEARCH($V$17,_xlfn._TRO_TRAILING(Sites!$C:$C))),
_xlpm.states,ISNUMBER(SEARCH($Z$19,_xlfn._TRO_TRAILING(Sites!$D:$D))),
_xlpm.years,ISNUMBER(SEARCH(AA$20,Sites!$AC$3:$AE$3)),
SUM(_xlfn._xlws.FILTER(_xlfn._xlws.FILTER(_xlpm.hours,_xlpm.states*_xlpm.type,0),_xlpm.years),0))</f>
        <v>14.73</v>
      </c>
      <c r="AB4" s="125" cm="1">
        <f t="array" ref="AB4">_xlfn.LET(_xlpm.hours,_xlfn._TRO_TRAILING(Sites!$M:$O),_xlpm.type,ISNUMBER(SEARCH($V$17,_xlfn._TRO_TRAILING(Sites!$C:$C))),
_xlpm.states,ISNUMBER(SEARCH($Z$19,_xlfn._TRO_TRAILING(Sites!$D:$D))),
_xlpm.years,ISNUMBER(SEARCH(AB$20,Sites!$AC$3:$AE$3)),
SUM(_xlfn._xlws.FILTER(_xlfn._xlws.FILTER(_xlpm.hours,_xlpm.states*_xlpm.type,0),_xlpm.years),0))</f>
        <v>17.73</v>
      </c>
      <c r="AC4" s="159"/>
      <c r="AD4" s="125" cm="1">
        <f t="array" ref="AD4">_xlfn.LET(_xlpm.hours,_xlfn._TRO_TRAILING(Sites!$M:$O),_xlpm.type,ISNUMBER(SEARCH($V$17,_xlfn._TRO_TRAILING(Sites!$C:$C))),
_xlpm.states,ISNUMBER(SEARCH($AD$19,_xlfn._TRO_TRAILING(Sites!$D:$D))),
_xlpm.years,ISNUMBER(SEARCH(AD$20,Sites!$AC$3:$AE$3)),
SUM(_xlfn._xlws.FILTER(_xlfn._xlws.FILTER(_xlpm.hours,_xlpm.states*_xlpm.type,0),_xlpm.years),0))</f>
        <v>5.1899999999999995</v>
      </c>
      <c r="AE4" s="125" cm="1">
        <f t="array" ref="AE4">_xlfn.LET(_xlpm.hours,_xlfn._TRO_TRAILING(Sites!$M:$O),_xlpm.type,ISNUMBER(SEARCH($V$17,_xlfn._TRO_TRAILING(Sites!$C:$C))),
_xlpm.states,ISNUMBER(SEARCH($AD$19,_xlfn._TRO_TRAILING(Sites!$D:$D))),
_xlpm.years,ISNUMBER(SEARCH(AE$20,Sites!$AC$3:$AE$3)),
SUM(_xlfn._xlws.FILTER(_xlfn._xlws.FILTER(_xlpm.hours,_xlpm.states*_xlpm.type,0),_xlpm.years),0))</f>
        <v>7.38</v>
      </c>
      <c r="AF4" s="125" cm="1">
        <f t="array" ref="AF4">_xlfn.LET(_xlpm.hours,_xlfn._TRO_TRAILING(Sites!$M:$O),_xlpm.type,ISNUMBER(SEARCH($V$17,_xlfn._TRO_TRAILING(Sites!$C:$C))),
_xlpm.states,ISNUMBER(SEARCH($AD$19,_xlfn._TRO_TRAILING(Sites!$D:$D))),
_xlpm.years,ISNUMBER(SEARCH(AF$20,Sites!$AC$3:$AE$3)),
SUM(_xlfn._xlws.FILTER(_xlfn._xlws.FILTER(_xlpm.hours,_xlpm.states*_xlpm.type,0),_xlpm.years),0))</f>
        <v>7.75</v>
      </c>
      <c r="AG4" s="159"/>
      <c r="AH4" s="125" cm="1">
        <f t="array" ref="AH4">_xlfn.LET(_xlpm.hours,_xlfn._TRO_TRAILING(Sites!$M:$O),_xlpm.type,ISNUMBER(SEARCH($AH$17,_xlfn._TRO_TRAILING(Sites!$C:$C))),
_xlpm.states,ISNUMBER(SEARCH($AH$19,_xlfn._TRO_TRAILING(Sites!$D:$D))),
_xlpm.years,ISNUMBER(SEARCH(AH$20,Sites!$AC$3:$AE$3)),
SUM(_xlfn._xlws.FILTER(_xlfn._xlws.FILTER(_xlpm.hours,_xlpm.states*_xlpm.type,0),_xlpm.years),0))</f>
        <v>15.149999999999999</v>
      </c>
      <c r="AI4" s="125" cm="1">
        <f t="array" ref="AI4">_xlfn.LET(_xlpm.hours,_xlfn._TRO_TRAILING(Sites!$M:$O),_xlpm.type,ISNUMBER(SEARCH($AH$17,_xlfn._TRO_TRAILING(Sites!$C:$C))),
_xlpm.states,ISNUMBER(SEARCH($AH$19,_xlfn._TRO_TRAILING(Sites!$D:$D))),
_xlpm.years,ISNUMBER(SEARCH(AI$20,Sites!$AC$3:$AE$3)),
SUM(_xlfn._xlws.FILTER(_xlfn._xlws.FILTER(_xlpm.hours,_xlpm.states*_xlpm.type,0),_xlpm.years),0))</f>
        <v>20.439999999999998</v>
      </c>
      <c r="AJ4" s="125" cm="1">
        <f t="array" ref="AJ4">_xlfn.LET(_xlpm.hours,_xlfn._TRO_TRAILING(Sites!$M:$O),_xlpm.type,ISNUMBER(SEARCH($AH$17,_xlfn._TRO_TRAILING(Sites!$C:$C))),
_xlpm.states,ISNUMBER(SEARCH($AH$19,_xlfn._TRO_TRAILING(Sites!$D:$D))),
_xlpm.years,ISNUMBER(SEARCH(AJ$20,Sites!$AC$3:$AE$3)),
SUM(_xlfn._xlws.FILTER(_xlfn._xlws.FILTER(_xlpm.hours,_xlpm.states*_xlpm.type,0),_xlpm.years),0))</f>
        <v>27.019999999999996</v>
      </c>
      <c r="AK4" s="159"/>
      <c r="AL4" s="125" cm="1">
        <f t="array" ref="AL4">_xlfn.LET(_xlpm.hours,_xlfn._TRO_TRAILING(Sites!$M:$O),_xlpm.type,ISNUMBER(SEARCH($AH$17,_xlfn._TRO_TRAILING(Sites!$C:$C))),
_xlpm.states,ISNUMBER(SEARCH($AL$19,_xlfn._TRO_TRAILING(Sites!$D:$D))),
_xlpm.years,ISNUMBER(SEARCH(AL$20,Sites!$AC$3:$AE$3)),
SUM(_xlfn._xlws.FILTER(_xlfn._xlws.FILTER(_xlpm.hours,_xlpm.states*_xlpm.type,0),_xlpm.years),0))</f>
        <v>9.01</v>
      </c>
      <c r="AM4" s="125" cm="1">
        <f t="array" ref="AM4">_xlfn.LET(_xlpm.hours,_xlfn._TRO_TRAILING(Sites!$M:$O),_xlpm.type,ISNUMBER(SEARCH($AH$17,_xlfn._TRO_TRAILING(Sites!$C:$C))),
_xlpm.states,ISNUMBER(SEARCH($AL$19,_xlfn._TRO_TRAILING(Sites!$D:$D))),
_xlpm.years,ISNUMBER(SEARCH(AM$20,Sites!$AC$3:$AE$3)),
SUM(_xlfn._xlws.FILTER(_xlfn._xlws.FILTER(_xlpm.hours,_xlpm.states*_xlpm.type,0),_xlpm.years),0))</f>
        <v>19.159999999999997</v>
      </c>
      <c r="AN4" s="125" cm="1">
        <f t="array" ref="AN4">_xlfn.LET(_xlpm.hours,_xlfn._TRO_TRAILING(Sites!$M:$O),_xlpm.type,ISNUMBER(SEARCH($AH$17,_xlfn._TRO_TRAILING(Sites!$C:$C))),
_xlpm.states,ISNUMBER(SEARCH($AL$19,_xlfn._TRO_TRAILING(Sites!$D:$D))),
_xlpm.years,ISNUMBER(SEARCH(AN$20,Sites!$AC$3:$AE$3)),
SUM(_xlfn._xlws.FILTER(_xlfn._xlws.FILTER(_xlpm.hours,_xlpm.states*_xlpm.type,0),_xlpm.years),0))</f>
        <v>25.58</v>
      </c>
      <c r="AO4" s="159"/>
      <c r="AP4" s="125" cm="1">
        <f t="array" ref="AP4">_xlfn.LET(_xlpm.hours,_xlfn._TRO_TRAILING(Sites!$M:$O),_xlpm.type,ISNUMBER(SEARCH($AH$17,_xlfn._TRO_TRAILING(Sites!$C:$C))),
_xlpm.states,ISNUMBER(SEARCH($AP$19,_xlfn._TRO_TRAILING(Sites!$D:$D))),
_xlpm.years,ISNUMBER(SEARCH(AP$20,Sites!$AC$3:$AE$3)),
IFERROR(SUM(_xlfn._xlws.FILTER(_xlfn._xlws.FILTER(_xlpm.hours,_xlpm.states*_xlpm.type,0),_xlpm.years),0),0))</f>
        <v>0</v>
      </c>
      <c r="AQ4" s="125" cm="1">
        <f t="array" ref="AQ4">_xlfn.LET(_xlpm.hours,_xlfn._TRO_TRAILING(Sites!$M:$O),_xlpm.type,ISNUMBER(SEARCH($AH$17,_xlfn._TRO_TRAILING(Sites!$C:$C))),
_xlpm.states,ISNUMBER(SEARCH($AP$19,_xlfn._TRO_TRAILING(Sites!$D:$D))),
_xlpm.years,ISNUMBER(SEARCH(AQ$20,Sites!$AC$3:$AE$3)),
IFERROR(SUM(_xlfn._xlws.FILTER(_xlfn._xlws.FILTER(_xlpm.hours,_xlpm.states*_xlpm.type,0),_xlpm.years),0),0))</f>
        <v>0</v>
      </c>
      <c r="AR4" s="125" cm="1">
        <f t="array" ref="AR4">_xlfn.LET(_xlpm.hours,_xlfn._TRO_TRAILING(Sites!$M:$O),_xlpm.type,ISNUMBER(SEARCH($AH$17,_xlfn._TRO_TRAILING(Sites!$C:$C))),
_xlpm.states,ISNUMBER(SEARCH($AP$19,_xlfn._TRO_TRAILING(Sites!$D:$D))),
_xlpm.years,ISNUMBER(SEARCH(AR$20,Sites!$AC$3:$AE$3)),
IFERROR(SUM(_xlfn._xlws.FILTER(_xlfn._xlws.FILTER(_xlpm.hours,_xlpm.states*_xlpm.type,0),_xlpm.years),0),0))</f>
        <v>0</v>
      </c>
    </row>
    <row r="5" spans="1:44" hidden="1" outlineLevel="1" x14ac:dyDescent="0.25">
      <c r="B5" s="39" t="s">
        <v>354</v>
      </c>
      <c r="E5" s="161"/>
      <c r="F5" s="161">
        <f>SUM('JV2'!J5,'JV2'!N5,'JV2'!R5)</f>
        <v>66</v>
      </c>
      <c r="G5" s="161">
        <f>SUM('JV2'!K5,'JV2'!O5,'JV2'!S5)</f>
        <v>90</v>
      </c>
      <c r="H5" s="161">
        <f>SUM('JV2'!L5,'JV2'!P5,'JV2'!T5)</f>
        <v>106</v>
      </c>
      <c r="I5" s="159"/>
      <c r="J5" s="160" cm="1">
        <f t="array" ref="J5">_xlfn.LET(_xlpm.hours,_xlfn._TRO_TRAILING(Sites!$U:$W),
_xlpm.states,ISNUMBER(SEARCH($J$19,_xlfn._TRO_TRAILING(Sites!$D:$D))),
_xlpm.years,ISNUMBER(SEARCH(J$20,Sites!$Y$3:$AA$3)),
SUM(_xlfn._xlws.FILTER(_xlfn._xlws.FILTER(_xlpm.hours,_xlpm.states,0),_xlpm.years),0))</f>
        <v>35</v>
      </c>
      <c r="K5" s="160" cm="1">
        <f t="array" ref="K5">_xlfn.LET(_xlpm.hours,_xlfn._TRO_TRAILING(Sites!$U:$W),
_xlpm.states,ISNUMBER(SEARCH($J$19,_xlfn._TRO_TRAILING(Sites!$D:$D))),
_xlpm.years,ISNUMBER(SEARCH(K$20,Sites!$Y$3:$AA$3)),
SUM(_xlfn._xlws.FILTER(_xlfn._xlws.FILTER(_xlpm.hours,_xlpm.states,0),_xlpm.years),0))</f>
        <v>42</v>
      </c>
      <c r="L5" s="160" cm="1">
        <f t="array" ref="L5">_xlfn.LET(_xlpm.hours,_xlfn._TRO_TRAILING(Sites!$U:$W),
_xlpm.states,ISNUMBER(SEARCH($J$19,_xlfn._TRO_TRAILING(Sites!$D:$D))),
_xlpm.years,ISNUMBER(SEARCH(L$20,Sites!$Y$3:$AA$3)),
SUM(_xlfn._xlws.FILTER(_xlfn._xlws.FILTER(_xlpm.hours,_xlpm.states,0),_xlpm.years),0))</f>
        <v>51</v>
      </c>
      <c r="M5" s="159"/>
      <c r="N5" s="160" cm="1">
        <f t="array" ref="N5">_xlfn.LET(_xlpm.hours,_xlfn._TRO_TRAILING(Sites!$U:$W),
_xlpm.states,ISNUMBER(SEARCH($N$19,_xlfn._TRO_TRAILING(Sites!$D:$D))),
_xlpm.years,ISNUMBER(SEARCH(N$20,Sites!$Y$3:$AA$3)),
SUM(_xlfn._xlws.FILTER(_xlfn._xlws.FILTER(_xlpm.hours,_xlpm.states,0),_xlpm.years),0))</f>
        <v>24</v>
      </c>
      <c r="O5" s="160" cm="1">
        <f t="array" ref="O5">_xlfn.LET(_xlpm.hours,_xlfn._TRO_TRAILING(Sites!$U:$W),
_xlpm.states,ISNUMBER(SEARCH($N$19,_xlfn._TRO_TRAILING(Sites!$D:$D))),
_xlpm.years,ISNUMBER(SEARCH(O$20,Sites!$Y$3:$AA$3)),
SUM(_xlfn._xlws.FILTER(_xlfn._xlws.FILTER(_xlpm.hours,_xlpm.states,0),_xlpm.years),0))</f>
        <v>38</v>
      </c>
      <c r="P5" s="160" cm="1">
        <f t="array" ref="P5">_xlfn.LET(_xlpm.hours,_xlfn._TRO_TRAILING(Sites!$U:$W),
_xlpm.states,ISNUMBER(SEARCH($N$19,_xlfn._TRO_TRAILING(Sites!$D:$D))),
_xlpm.years,ISNUMBER(SEARCH(P$20,Sites!$Y$3:$AA$3)),
SUM(_xlfn._xlws.FILTER(_xlfn._xlws.FILTER(_xlpm.hours,_xlpm.states,0),_xlpm.years),0))</f>
        <v>46</v>
      </c>
      <c r="Q5" s="159"/>
      <c r="R5" s="160" cm="1">
        <f t="array" ref="R5">_xlfn.LET(_xlpm.hours,_xlfn._TRO_TRAILING(Sites!$U:$W),
_xlpm.states,ISNUMBER(SEARCH($R$19,_xlfn._TRO_TRAILING(Sites!$D:$D))),
_xlpm.years,ISNUMBER(SEARCH(R$20,Sites!$Y$3:$AA$3)),
SUM(_xlfn._xlws.FILTER(_xlfn._xlws.FILTER(_xlpm.hours,_xlpm.states,0),_xlpm.years),0))</f>
        <v>7</v>
      </c>
      <c r="S5" s="160" cm="1">
        <f t="array" ref="S5">_xlfn.LET(_xlpm.hours,_xlfn._TRO_TRAILING(Sites!$U:$W),
_xlpm.states,ISNUMBER(SEARCH($R$19,_xlfn._TRO_TRAILING(Sites!$D:$D))),
_xlpm.years,ISNUMBER(SEARCH(S$20,Sites!$Y$3:$AA$3)),
SUM(_xlfn._xlws.FILTER(_xlfn._xlws.FILTER(_xlpm.hours,_xlpm.states,0),_xlpm.years),0))</f>
        <v>10</v>
      </c>
      <c r="T5" s="160" cm="1">
        <f t="array" ref="T5">_xlfn.LET(_xlpm.hours,_xlfn._TRO_TRAILING(Sites!$U:$W),
_xlpm.states,ISNUMBER(SEARCH($R$19,_xlfn._TRO_TRAILING(Sites!$D:$D))),
_xlpm.years,ISNUMBER(SEARCH(T$20,Sites!$Y$3:$AA$3)),
SUM(_xlfn._xlws.FILTER(_xlfn._xlws.FILTER(_xlpm.hours,_xlpm.states,0),_xlpm.years),0))</f>
        <v>9</v>
      </c>
      <c r="U5" s="159"/>
      <c r="V5" s="125" cm="1">
        <f t="array" ref="V5">_xlfn.LET(_xlpm.hours,_xlfn._TRO_TRAILING(Sites!$U:$W),_xlpm.type,ISNUMBER(SEARCH($V$17,_xlfn._TRO_TRAILING(Sites!$C:$C))),
_xlpm.states,ISNUMBER(SEARCH($V$19,_xlfn._TRO_TRAILING(Sites!$D:$D))),
_xlpm.years,ISNUMBER(SEARCH(V$20,Sites!$AC$3:$AE$3)),
SUM(_xlfn._xlws.FILTER(_xlfn._xlws.FILTER(_xlpm.hours,_xlpm.states*_xlpm.type,0),_xlpm.years),0))</f>
        <v>10</v>
      </c>
      <c r="W5" s="125" cm="1">
        <f t="array" ref="W5">_xlfn.LET(_xlpm.hours,_xlfn._TRO_TRAILING(Sites!$U:$W),_xlpm.type,ISNUMBER(SEARCH($V$17,_xlfn._TRO_TRAILING(Sites!$C:$C))),
_xlpm.states,ISNUMBER(SEARCH($V$19,_xlfn._TRO_TRAILING(Sites!$D:$D))),
_xlpm.years,ISNUMBER(SEARCH(W$20,Sites!$AC$3:$AE$3)),
SUM(_xlfn._xlws.FILTER(_xlfn._xlws.FILTER(_xlpm.hours,_xlpm.states*_xlpm.type,0),_xlpm.years),0))</f>
        <v>9</v>
      </c>
      <c r="X5" s="125" cm="1">
        <f t="array" ref="X5">_xlfn.LET(_xlpm.hours,_xlfn._TRO_TRAILING(Sites!$U:$W),_xlpm.type,ISNUMBER(SEARCH($V$17,_xlfn._TRO_TRAILING(Sites!$C:$C))),
_xlpm.states,ISNUMBER(SEARCH($V$19,_xlfn._TRO_TRAILING(Sites!$D:$D))),
_xlpm.years,ISNUMBER(SEARCH(X$20,Sites!$AC$3:$AE$3)),
SUM(_xlfn._xlws.FILTER(_xlfn._xlws.FILTER(_xlpm.hours,_xlpm.states*_xlpm.type,0),_xlpm.years),0))</f>
        <v>9</v>
      </c>
      <c r="Y5" s="159"/>
      <c r="Z5" s="125" cm="1">
        <f t="array" ref="Z5">_xlfn.LET(_xlpm.hours,_xlfn._TRO_TRAILING(Sites!$U:$W),_xlpm.type,ISNUMBER(SEARCH($V$17,_xlfn._TRO_TRAILING(Sites!$C:$C))),
_xlpm.states,ISNUMBER(SEARCH($Z$19,_xlfn._TRO_TRAILING(Sites!$D:$D))),
_xlpm.years,ISNUMBER(SEARCH(Z$20,Sites!$AC$3:$AE$3)),
SUM(_xlfn._xlws.FILTER(_xlfn._xlws.FILTER(_xlpm.hours,_xlpm.states*_xlpm.type,0),_xlpm.years),0))</f>
        <v>6</v>
      </c>
      <c r="AA5" s="125" cm="1">
        <f t="array" ref="AA5">_xlfn.LET(_xlpm.hours,_xlfn._TRO_TRAILING(Sites!$U:$W),_xlpm.type,ISNUMBER(SEARCH($V$17,_xlfn._TRO_TRAILING(Sites!$C:$C))),
_xlpm.states,ISNUMBER(SEARCH($Z$19,_xlfn._TRO_TRAILING(Sites!$D:$D))),
_xlpm.years,ISNUMBER(SEARCH(AA$20,Sites!$AC$3:$AE$3)),
SUM(_xlfn._xlws.FILTER(_xlfn._xlws.FILTER(_xlpm.hours,_xlpm.states*_xlpm.type,0),_xlpm.years),0))</f>
        <v>7</v>
      </c>
      <c r="AB5" s="125" cm="1">
        <f t="array" ref="AB5">_xlfn.LET(_xlpm.hours,_xlfn._TRO_TRAILING(Sites!$U:$W),_xlpm.type,ISNUMBER(SEARCH($V$17,_xlfn._TRO_TRAILING(Sites!$C:$C))),
_xlpm.states,ISNUMBER(SEARCH($Z$19,_xlfn._TRO_TRAILING(Sites!$D:$D))),
_xlpm.years,ISNUMBER(SEARCH(AB$20,Sites!$AC$3:$AE$3)),
SUM(_xlfn._xlws.FILTER(_xlfn._xlws.FILTER(_xlpm.hours,_xlpm.states*_xlpm.type,0),_xlpm.years),0))</f>
        <v>7</v>
      </c>
      <c r="AC5" s="159"/>
      <c r="AD5" s="125" cm="1">
        <f t="array" ref="AD5">_xlfn.LET(_xlpm.hours,_xlfn._TRO_TRAILING(Sites!$U:$W),_xlpm.type,ISNUMBER(SEARCH($V$17,_xlfn._TRO_TRAILING(Sites!$C:$C))),
_xlpm.states,ISNUMBER(SEARCH($AD$19,_xlfn._TRO_TRAILING(Sites!$D:$D))),
_xlpm.years,ISNUMBER(SEARCH(AD$20,Sites!$AC$3:$AE$3)),
SUM(_xlfn._xlws.FILTER(_xlfn._xlws.FILTER(_xlpm.hours,_xlpm.states*_xlpm.type,0),_xlpm.years),0))</f>
        <v>7</v>
      </c>
      <c r="AE5" s="125" cm="1">
        <f t="array" ref="AE5">_xlfn.LET(_xlpm.hours,_xlfn._TRO_TRAILING(Sites!$U:$W),_xlpm.type,ISNUMBER(SEARCH($V$17,_xlfn._TRO_TRAILING(Sites!$C:$C))),
_xlpm.states,ISNUMBER(SEARCH($AD$19,_xlfn._TRO_TRAILING(Sites!$D:$D))),
_xlpm.years,ISNUMBER(SEARCH(AE$20,Sites!$AC$3:$AE$3)),
SUM(_xlfn._xlws.FILTER(_xlfn._xlws.FILTER(_xlpm.hours,_xlpm.states*_xlpm.type,0),_xlpm.years),0))</f>
        <v>10</v>
      </c>
      <c r="AF5" s="125" cm="1">
        <f t="array" ref="AF5">_xlfn.LET(_xlpm.hours,_xlfn._TRO_TRAILING(Sites!$U:$W),_xlpm.type,ISNUMBER(SEARCH($V$17,_xlfn._TRO_TRAILING(Sites!$C:$C))),
_xlpm.states,ISNUMBER(SEARCH($AD$19,_xlfn._TRO_TRAILING(Sites!$D:$D))),
_xlpm.years,ISNUMBER(SEARCH(AF$20,Sites!$AC$3:$AE$3)),
SUM(_xlfn._xlws.FILTER(_xlfn._xlws.FILTER(_xlpm.hours,_xlpm.states*_xlpm.type,0),_xlpm.years),0))</f>
        <v>9</v>
      </c>
      <c r="AG5" s="159"/>
      <c r="AH5" s="125" cm="1">
        <f t="array" ref="AH5">_xlfn.LET(_xlpm.hours,_xlfn._TRO_TRAILING(Sites!$U:$W),_xlpm.type,ISNUMBER(SEARCH($AH$17,_xlfn._TRO_TRAILING(Sites!$C:$C))),
_xlpm.states,ISNUMBER(SEARCH($AH$19,_xlfn._TRO_TRAILING(Sites!$D:$D))),
_xlpm.years,ISNUMBER(SEARCH(AH$20,Sites!$AC$3:$AE$3)),
SUM(_xlfn._xlws.FILTER(_xlfn._xlws.FILTER(_xlpm.hours,_xlpm.states*_xlpm.type,0),_xlpm.years),0))</f>
        <v>25</v>
      </c>
      <c r="AI5" s="125" cm="1">
        <f t="array" ref="AI5">_xlfn.LET(_xlpm.hours,_xlfn._TRO_TRAILING(Sites!$U:$W),_xlpm.type,ISNUMBER(SEARCH($AH$17,_xlfn._TRO_TRAILING(Sites!$C:$C))),
_xlpm.states,ISNUMBER(SEARCH($AH$19,_xlfn._TRO_TRAILING(Sites!$D:$D))),
_xlpm.years,ISNUMBER(SEARCH(AI$20,Sites!$AC$3:$AE$3)),
SUM(_xlfn._xlws.FILTER(_xlfn._xlws.FILTER(_xlpm.hours,_xlpm.states*_xlpm.type,0),_xlpm.years),0))</f>
        <v>33</v>
      </c>
      <c r="AJ5" s="125" cm="1">
        <f t="array" ref="AJ5">_xlfn.LET(_xlpm.hours,_xlfn._TRO_TRAILING(Sites!$U:$W),_xlpm.type,ISNUMBER(SEARCH($AH$17,_xlfn._TRO_TRAILING(Sites!$C:$C))),
_xlpm.states,ISNUMBER(SEARCH($AH$19,_xlfn._TRO_TRAILING(Sites!$D:$D))),
_xlpm.years,ISNUMBER(SEARCH(AJ$20,Sites!$AC$3:$AE$3)),
SUM(_xlfn._xlws.FILTER(_xlfn._xlws.FILTER(_xlpm.hours,_xlpm.states*_xlpm.type,0),_xlpm.years),0))</f>
        <v>42</v>
      </c>
      <c r="AK5" s="159"/>
      <c r="AL5" s="125" cm="1">
        <f t="array" ref="AL5">_xlfn.LET(_xlpm.hours,_xlfn._TRO_TRAILING(Sites!$U:$W),_xlpm.type,ISNUMBER(SEARCH($AH$17,_xlfn._TRO_TRAILING(Sites!$C:$C))),
_xlpm.states,ISNUMBER(SEARCH($AL$19,_xlfn._TRO_TRAILING(Sites!$D:$D))),
_xlpm.years,ISNUMBER(SEARCH(AL$20,Sites!$AC$3:$AE$3)),
SUM(_xlfn._xlws.FILTER(_xlfn._xlws.FILTER(_xlpm.hours,_xlpm.states*_xlpm.type,0),_xlpm.years),0))</f>
        <v>18</v>
      </c>
      <c r="AM5" s="125" cm="1">
        <f t="array" ref="AM5">_xlfn.LET(_xlpm.hours,_xlfn._TRO_TRAILING(Sites!$U:$W),_xlpm.type,ISNUMBER(SEARCH($AH$17,_xlfn._TRO_TRAILING(Sites!$C:$C))),
_xlpm.states,ISNUMBER(SEARCH($AL$19,_xlfn._TRO_TRAILING(Sites!$D:$D))),
_xlpm.years,ISNUMBER(SEARCH(AM$20,Sites!$AC$3:$AE$3)),
SUM(_xlfn._xlws.FILTER(_xlfn._xlws.FILTER(_xlpm.hours,_xlpm.states*_xlpm.type,0),_xlpm.years),0))</f>
        <v>31</v>
      </c>
      <c r="AN5" s="125" cm="1">
        <f t="array" ref="AN5">_xlfn.LET(_xlpm.hours,_xlfn._TRO_TRAILING(Sites!$U:$W),_xlpm.type,ISNUMBER(SEARCH($AH$17,_xlfn._TRO_TRAILING(Sites!$C:$C))),
_xlpm.states,ISNUMBER(SEARCH($AL$19,_xlfn._TRO_TRAILING(Sites!$D:$D))),
_xlpm.years,ISNUMBER(SEARCH(AN$20,Sites!$AC$3:$AE$3)),
SUM(_xlfn._xlws.FILTER(_xlfn._xlws.FILTER(_xlpm.hours,_xlpm.states*_xlpm.type,0),_xlpm.years),0))</f>
        <v>39</v>
      </c>
      <c r="AO5" s="159"/>
      <c r="AP5" s="125" cm="1">
        <f t="array" ref="AP5">_xlfn.LET(_xlpm.hours,_xlfn._TRO_TRAILING(Sites!$U:$W),_xlpm.type,ISNUMBER(SEARCH($AH$17,_xlfn._TRO_TRAILING(Sites!$C:$C))),
_xlpm.states,ISNUMBER(SEARCH($AP$19,_xlfn._TRO_TRAILING(Sites!$D:$D))),
_xlpm.years,ISNUMBER(SEARCH(AP$20,Sites!$AC$3:$AE$3)),
IFERROR(SUM(_xlfn._xlws.FILTER(_xlfn._xlws.FILTER(_xlpm.hours,_xlpm.states*_xlpm.type,0),_xlpm.years),0),0))</f>
        <v>0</v>
      </c>
      <c r="AQ5" s="125" cm="1">
        <f t="array" ref="AQ5">_xlfn.LET(_xlpm.hours,_xlfn._TRO_TRAILING(Sites!$U:$W),_xlpm.type,ISNUMBER(SEARCH($AH$17,_xlfn._TRO_TRAILING(Sites!$C:$C))),
_xlpm.states,ISNUMBER(SEARCH($AP$19,_xlfn._TRO_TRAILING(Sites!$D:$D))),
_xlpm.years,ISNUMBER(SEARCH(AQ$20,Sites!$AC$3:$AE$3)),
IFERROR(SUM(_xlfn._xlws.FILTER(_xlfn._xlws.FILTER(_xlpm.hours,_xlpm.states*_xlpm.type,0),_xlpm.years),0),0))</f>
        <v>0</v>
      </c>
      <c r="AR5" s="125" cm="1">
        <f t="array" ref="AR5">_xlfn.LET(_xlpm.hours,_xlfn._TRO_TRAILING(Sites!$U:$W),_xlpm.type,ISNUMBER(SEARCH($AH$17,_xlfn._TRO_TRAILING(Sites!$C:$C))),
_xlpm.states,ISNUMBER(SEARCH($AP$19,_xlfn._TRO_TRAILING(Sites!$D:$D))),
_xlpm.years,ISNUMBER(SEARCH(AR$20,Sites!$AC$3:$AE$3)),
IFERROR(SUM(_xlfn._xlws.FILTER(_xlfn._xlws.FILTER(_xlpm.hours,_xlpm.states*_xlpm.type,0),_xlpm.years),0),0))</f>
        <v>0</v>
      </c>
    </row>
    <row r="6" spans="1:44" hidden="1" outlineLevel="1" x14ac:dyDescent="0.25">
      <c r="B6" s="39" t="s">
        <v>257</v>
      </c>
      <c r="E6" s="125"/>
      <c r="F6" s="125"/>
      <c r="G6" s="125"/>
      <c r="H6" s="125"/>
      <c r="I6" s="159"/>
      <c r="J6" s="160"/>
      <c r="K6" s="160"/>
      <c r="L6" s="160"/>
      <c r="M6" s="159"/>
      <c r="N6" s="160"/>
      <c r="O6" s="160"/>
      <c r="P6" s="160"/>
      <c r="Q6" s="159"/>
      <c r="R6" s="160"/>
      <c r="S6" s="160"/>
      <c r="T6" s="160"/>
      <c r="U6" s="159"/>
      <c r="V6" s="125"/>
      <c r="W6" s="125"/>
      <c r="X6" s="125"/>
      <c r="Y6" s="159"/>
      <c r="Z6" s="125"/>
      <c r="AA6" s="125"/>
      <c r="AB6" s="125"/>
      <c r="AC6" s="159"/>
      <c r="AD6" s="125"/>
      <c r="AE6" s="125"/>
      <c r="AF6" s="125"/>
      <c r="AG6" s="159"/>
      <c r="AH6" s="125"/>
      <c r="AI6" s="125"/>
      <c r="AJ6" s="125"/>
      <c r="AK6" s="159"/>
      <c r="AL6" s="125"/>
      <c r="AM6" s="125"/>
      <c r="AN6" s="125"/>
      <c r="AO6" s="159"/>
      <c r="AP6" s="125"/>
      <c r="AQ6" s="125"/>
      <c r="AR6" s="125"/>
    </row>
    <row r="7" spans="1:44" collapsed="1" x14ac:dyDescent="0.25">
      <c r="B7" s="1" t="s">
        <v>270</v>
      </c>
      <c r="E7" s="159"/>
      <c r="F7" s="158">
        <f>SUM(F3:F6)</f>
        <v>385.29999999999995</v>
      </c>
      <c r="G7" s="158">
        <f>SUM(G3:G6)</f>
        <v>555.96</v>
      </c>
      <c r="H7" s="158">
        <f>SUM(H3:H6)</f>
        <v>689.34</v>
      </c>
      <c r="I7" s="159"/>
      <c r="J7" s="158">
        <f>SUM(J3:J6)</f>
        <v>194.66</v>
      </c>
      <c r="K7" s="158">
        <f>SUM(K3:K6)</f>
        <v>241.78</v>
      </c>
      <c r="L7" s="158">
        <f>SUM(L3:L6)</f>
        <v>300.66000000000003</v>
      </c>
      <c r="M7" s="159"/>
      <c r="N7" s="158">
        <f>SUM(N3:N6)</f>
        <v>154.18</v>
      </c>
      <c r="O7" s="158">
        <f>SUM(O3:O6)</f>
        <v>261.71000000000004</v>
      </c>
      <c r="P7" s="158">
        <f>SUM(P3:P6)</f>
        <v>335.03000000000003</v>
      </c>
      <c r="Q7" s="159"/>
      <c r="R7" s="158">
        <f>SUM(R3:R6)</f>
        <v>36.46</v>
      </c>
      <c r="S7" s="158">
        <f>SUM(S3:S6)</f>
        <v>52.470000000000006</v>
      </c>
      <c r="T7" s="158">
        <f>SUM(T3:T6)</f>
        <v>53.65</v>
      </c>
      <c r="U7" s="159"/>
      <c r="V7" s="130">
        <f>SUM(V3:V6)</f>
        <v>62.209999999999994</v>
      </c>
      <c r="W7" s="130">
        <f>SUM(W3:W6)</f>
        <v>61.209999999999994</v>
      </c>
      <c r="X7" s="130">
        <f>SUM(X3:X6)</f>
        <v>61.209999999999994</v>
      </c>
      <c r="Y7" s="159"/>
      <c r="Z7" s="130">
        <f>SUM(Z3:Z6)</f>
        <v>70.72</v>
      </c>
      <c r="AA7" s="130">
        <f>SUM(AA3:AA6)</f>
        <v>88.27000000000001</v>
      </c>
      <c r="AB7" s="130">
        <f>SUM(AB3:AB6)</f>
        <v>104.82000000000001</v>
      </c>
      <c r="AC7" s="159"/>
      <c r="AD7" s="130">
        <f>SUM(AD3:AD6)</f>
        <v>36.46</v>
      </c>
      <c r="AE7" s="130">
        <f>SUM(AE3:AE6)</f>
        <v>52.470000000000006</v>
      </c>
      <c r="AF7" s="130">
        <f>SUM(AF3:AF6)</f>
        <v>53.65</v>
      </c>
      <c r="AG7" s="159"/>
      <c r="AH7" s="130">
        <f>SUM(AH3:AH6)</f>
        <v>132.44999999999999</v>
      </c>
      <c r="AI7" s="130">
        <f>SUM(AI3:AI6)</f>
        <v>180.57</v>
      </c>
      <c r="AJ7" s="130">
        <f>SUM(AJ3:AJ6)</f>
        <v>239.45</v>
      </c>
      <c r="AK7" s="159"/>
      <c r="AL7" s="130">
        <f>SUM(AL3:AL6)</f>
        <v>83.460000000000008</v>
      </c>
      <c r="AM7" s="130">
        <f>SUM(AM3:AM6)</f>
        <v>173.44</v>
      </c>
      <c r="AN7" s="130">
        <f>SUM(AN3:AN6)</f>
        <v>230.21000000000004</v>
      </c>
      <c r="AO7" s="159"/>
      <c r="AP7" s="130">
        <f>SUM(AP3:AP6)</f>
        <v>0</v>
      </c>
      <c r="AQ7" s="130">
        <f>SUM(AQ3:AQ6)</f>
        <v>0</v>
      </c>
      <c r="AR7" s="130">
        <f>SUM(AR3:AR6)</f>
        <v>0</v>
      </c>
    </row>
    <row r="8" spans="1:44" x14ac:dyDescent="0.25">
      <c r="B8" s="1"/>
      <c r="E8" s="159"/>
      <c r="F8" s="158"/>
      <c r="G8" s="158"/>
      <c r="H8" s="158"/>
      <c r="I8" s="159"/>
      <c r="J8" s="158"/>
      <c r="K8" s="158"/>
      <c r="L8" s="158"/>
      <c r="M8" s="159"/>
      <c r="N8" s="158"/>
      <c r="O8" s="158"/>
      <c r="P8" s="158"/>
      <c r="Q8" s="159"/>
      <c r="R8" s="158"/>
      <c r="S8" s="158"/>
      <c r="T8" s="158"/>
      <c r="U8" s="159"/>
      <c r="V8" s="130"/>
      <c r="W8" s="130"/>
      <c r="X8" s="130"/>
      <c r="Y8" s="159"/>
      <c r="Z8" s="130"/>
      <c r="AA8" s="130"/>
      <c r="AB8" s="130"/>
      <c r="AC8" s="159"/>
      <c r="AD8" s="130"/>
      <c r="AE8" s="130"/>
      <c r="AF8" s="130"/>
      <c r="AG8" s="159"/>
      <c r="AH8" s="130"/>
      <c r="AI8" s="130"/>
      <c r="AJ8" s="130"/>
      <c r="AK8" s="159"/>
      <c r="AL8" s="130"/>
      <c r="AM8" s="130"/>
      <c r="AN8" s="130"/>
      <c r="AO8" s="159"/>
      <c r="AP8" s="130"/>
      <c r="AQ8" s="130"/>
      <c r="AR8" s="130"/>
    </row>
    <row r="9" spans="1:44" hidden="1" outlineLevel="1" x14ac:dyDescent="0.25">
      <c r="B9" s="94"/>
      <c r="E9" s="66"/>
    </row>
    <row r="10" spans="1:44" collapsed="1" x14ac:dyDescent="0.25">
      <c r="B10" s="39" t="s">
        <v>258</v>
      </c>
      <c r="E10" s="66"/>
      <c r="F10" s="66" t="e">
        <f>SUM('JV2'!J10,'JV2'!N10,'JV2'!R10)</f>
        <v>#REF!</v>
      </c>
      <c r="G10" s="66" t="e">
        <f>SUM('JV2'!K10,'JV2'!O10,'JV2'!S10)</f>
        <v>#REF!</v>
      </c>
      <c r="H10" s="66" t="e">
        <f>SUM('JV2'!L10,'JV2'!P10,'JV2'!T10)</f>
        <v>#REF!</v>
      </c>
      <c r="I10" s="115"/>
      <c r="J10" s="115" t="e">
        <f>COUNTIFS(Sites!#REF!,$J$19,Sites!#REF!,J$20)</f>
        <v>#REF!</v>
      </c>
      <c r="K10" s="115" t="e">
        <f>COUNTIFS(Sites!#REF!,$J$19,Sites!#REF!,K$20)</f>
        <v>#REF!</v>
      </c>
      <c r="L10" s="115" t="e">
        <f>COUNTIFS(Sites!#REF!,$J$19,Sites!#REF!,L$20)</f>
        <v>#REF!</v>
      </c>
      <c r="M10" s="115"/>
      <c r="N10" s="115" t="e">
        <f>COUNTIFS(Sites!#REF!,$N$19,Sites!#REF!,N$20)</f>
        <v>#REF!</v>
      </c>
      <c r="O10" s="115" t="e">
        <f>COUNTIFS(Sites!#REF!,$N$19,Sites!#REF!,O$20)</f>
        <v>#REF!</v>
      </c>
      <c r="P10" s="115" t="e">
        <f>COUNTIFS(Sites!#REF!,$N$19,Sites!#REF!,P$20)</f>
        <v>#REF!</v>
      </c>
      <c r="Q10" s="115"/>
      <c r="R10" s="115" t="e">
        <f>COUNTIFS(Sites!#REF!,$R$19,Sites!#REF!,R$20)</f>
        <v>#REF!</v>
      </c>
      <c r="S10" s="115" t="e">
        <f>COUNTIFS(Sites!#REF!,$R$19,Sites!#REF!,S$20)</f>
        <v>#REF!</v>
      </c>
      <c r="T10" s="115" t="e">
        <f>COUNTIFS(Sites!#REF!,$R$19,Sites!#REF!,T$20)</f>
        <v>#REF!</v>
      </c>
      <c r="U10" s="115"/>
      <c r="Y10" s="115"/>
      <c r="AC10" s="115"/>
      <c r="AG10" s="115"/>
      <c r="AK10" s="115"/>
      <c r="AO10" s="115"/>
    </row>
    <row r="11" spans="1:44" x14ac:dyDescent="0.25">
      <c r="B11" s="94"/>
    </row>
    <row r="12" spans="1:44" hidden="1" outlineLevel="1" x14ac:dyDescent="0.25">
      <c r="B12" s="94" t="s">
        <v>391</v>
      </c>
      <c r="E12" s="118"/>
      <c r="F12" s="118">
        <f>SUM('JV2'!J12,'JV2'!N12,'JV2'!R12)</f>
        <v>409.77011494252878</v>
      </c>
      <c r="G12" s="118">
        <f>SUM('JV2'!K12,'JV2'!O12,'JV2'!S12)</f>
        <v>574.7463054187192</v>
      </c>
      <c r="H12" s="118">
        <f>SUM('JV2'!L12,'JV2'!P12,'JV2'!T12)</f>
        <v>658.81773399014787</v>
      </c>
      <c r="J12" s="53" cm="1">
        <f t="array" ref="J12">_xlfn.LET(_xlpm.hours,_xlfn._TRO_TRAILING(Sites!$AC:$AE),
_xlpm.states,ISNUMBER(SEARCH($J$19,_xlfn._TRO_TRAILING(Sites!$D:$D))),
_xlpm.years,ISNUMBER(SEARCH(J$20,Sites!$M$3:$O$3)),
SUM(_xlfn._xlws.FILTER(_xlfn._xlws.FILTER(_xlpm.hours,_xlpm.states,0),_xlpm.years),0))</f>
        <v>208.45238095238093</v>
      </c>
      <c r="K12" s="53" cm="1">
        <f t="array" ref="K12">_xlfn.LET(_xlpm.hours,_xlfn._TRO_TRAILING(Sites!$AC:$AE),
_xlpm.states,ISNUMBER(SEARCH($J$19,_xlfn._TRO_TRAILING(Sites!$D:$D))),
_xlpm.years,ISNUMBER(SEARCH(K$20,Sites!$M$3:$O$3)),
SUM(_xlfn._xlws.FILTER(_xlfn._xlws.FILTER(_xlpm.hours,_xlpm.states,0),_xlpm.years),0))</f>
        <v>260.09523809523807</v>
      </c>
      <c r="L12" s="53" cm="1">
        <f t="array" ref="L12">_xlfn.LET(_xlpm.hours,_xlfn._TRO_TRAILING(Sites!$AC:$AE),
_xlpm.states,ISNUMBER(SEARCH($J$19,_xlfn._TRO_TRAILING(Sites!$D:$D))),
_xlpm.years,ISNUMBER(SEARCH(L$20,Sites!$M$3:$O$3)),
SUM(_xlfn._xlws.FILTER(_xlfn._xlws.FILTER(_xlpm.hours,_xlpm.states,0),_xlpm.years),0))</f>
        <v>304.5</v>
      </c>
      <c r="N12" s="53" cm="1">
        <f t="array" ref="N12">_xlfn.LET(_xlpm.hours,_xlfn._TRO_TRAILING(Sites!$AC:$AE),
_xlpm.states,ISNUMBER(SEARCH($N$19,_xlfn._TRO_TRAILING(Sites!$D:$D))),
_xlpm.years,ISNUMBER(SEARCH(N$20,Sites!$M$3:$O$3)),
SUM(_xlfn._xlws.FILTER(_xlfn._xlws.FILTER(_xlpm.hours,_xlpm.states,0),_xlpm.years),0))</f>
        <v>146.67487684729065</v>
      </c>
      <c r="O12" s="53" cm="1">
        <f t="array" ref="O12">_xlfn.LET(_xlpm.hours,_xlfn._TRO_TRAILING(Sites!$AC:$AE),
_xlpm.states,ISNUMBER(SEARCH($N$19,_xlfn._TRO_TRAILING(Sites!$D:$D))),
_xlpm.years,ISNUMBER(SEARCH(O$20,Sites!$M$3:$O$3)),
SUM(_xlfn._xlws.FILTER(_xlfn._xlws.FILTER(_xlpm.hours,_xlpm.states,0),_xlpm.years),0))</f>
        <v>235.00821018062396</v>
      </c>
      <c r="P12" s="53" cm="1">
        <f t="array" ref="P12">_xlfn.LET(_xlpm.hours,_xlfn._TRO_TRAILING(Sites!$AC:$AE),
_xlpm.states,ISNUMBER(SEARCH($N$19,_xlfn._TRO_TRAILING(Sites!$D:$D))),
_xlpm.years,ISNUMBER(SEARCH(P$20,Sites!$M$3:$O$3)),
SUM(_xlfn._xlws.FILTER(_xlfn._xlws.FILTER(_xlpm.hours,_xlpm.states,0),_xlpm.years),0))</f>
        <v>280.60344827586209</v>
      </c>
      <c r="R12" s="53" cm="1">
        <f t="array" ref="R12">_xlfn.LET(_xlpm.hours,_xlfn._TRO_TRAILING(Sites!$AC:$AE),
_xlpm.states,ISNUMBER(SEARCH($R$19,_xlfn._TRO_TRAILING(Sites!$D:$D))),
_xlpm.years,ISNUMBER(SEARCH(R$20,Sites!$M$3:$O$3)),
SUM(_xlfn._xlws.FILTER(_xlfn._xlws.FILTER(_xlpm.hours,_xlpm.states,0),_xlpm.years),0))</f>
        <v>54.642857142857146</v>
      </c>
      <c r="S12" s="53" cm="1">
        <f t="array" ref="S12">_xlfn.LET(_xlpm.hours,_xlfn._TRO_TRAILING(Sites!$AC:$AE),
_xlpm.states,ISNUMBER(SEARCH($R$19,_xlfn._TRO_TRAILING(Sites!$D:$D))),
_xlpm.years,ISNUMBER(SEARCH(S$20,Sites!$M$3:$O$3)),
SUM(_xlfn._xlws.FILTER(_xlfn._xlws.FILTER(_xlpm.hours,_xlpm.states,0),_xlpm.years),0))</f>
        <v>79.642857142857139</v>
      </c>
      <c r="T12" s="53" cm="1">
        <f t="array" ref="T12">_xlfn.LET(_xlpm.hours,_xlfn._TRO_TRAILING(Sites!$AC:$AE),
_xlpm.states,ISNUMBER(SEARCH($R$19,_xlfn._TRO_TRAILING(Sites!$D:$D))),
_xlpm.years,ISNUMBER(SEARCH(T$20,Sites!$M$3:$O$3)),
SUM(_xlfn._xlws.FILTER(_xlfn._xlws.FILTER(_xlpm.hours,_xlpm.states,0),_xlpm.years),0))</f>
        <v>73.714285714285722</v>
      </c>
      <c r="V12" s="125" cm="1">
        <f t="array" ref="V12">_xlfn.LET(_xlpm.hours,_xlfn._TRO_TRAILING(Sites!$AC:$AE),_xlpm.type,ISNUMBER(SEARCH($V$17,_xlfn._TRO_TRAILING(Sites!$C:$C))),
_xlpm.states,ISNUMBER(SEARCH($V$19,_xlfn._TRO_TRAILING(Sites!$D:$D))),
_xlpm.years,ISNUMBER(SEARCH(V$20,Sites!$AC$3:$AE$3)),
SUM(_xlfn._xlws.FILTER(_xlfn._xlws.FILTER(_xlpm.hours,_xlpm.states*_xlpm.type,0),_xlpm.years),0))</f>
        <v>82.333333333333343</v>
      </c>
      <c r="W12" s="125" cm="1">
        <f t="array" ref="W12">_xlfn.LET(_xlpm.hours,_xlfn._TRO_TRAILING(Sites!$AC:$AE),_xlpm.type,ISNUMBER(SEARCH($V$17,_xlfn._TRO_TRAILING(Sites!$C:$C))),
_xlpm.states,ISNUMBER(SEARCH($V$19,_xlfn._TRO_TRAILING(Sites!$D:$D))),
_xlpm.years,ISNUMBER(SEARCH(W$20,Sites!$AC$3:$AE$3)),
SUM(_xlfn._xlws.FILTER(_xlfn._xlws.FILTER(_xlpm.hours,_xlpm.states*_xlpm.type,0),_xlpm.years),0))</f>
        <v>83</v>
      </c>
      <c r="X12" s="125" cm="1">
        <f t="array" ref="X12">_xlfn.LET(_xlpm.hours,_xlfn._TRO_TRAILING(Sites!$AC:$AE),_xlpm.type,ISNUMBER(SEARCH($V$17,_xlfn._TRO_TRAILING(Sites!$C:$C))),
_xlpm.states,ISNUMBER(SEARCH($V$19,_xlfn._TRO_TRAILING(Sites!$D:$D))),
_xlpm.years,ISNUMBER(SEARCH(X$20,Sites!$AC$3:$AE$3)),
SUM(_xlfn._xlws.FILTER(_xlfn._xlws.FILTER(_xlpm.hours,_xlpm.states*_xlpm.type,0),_xlpm.years),0))</f>
        <v>96</v>
      </c>
      <c r="Z12" s="125" cm="1">
        <f t="array" ref="Z12">_xlfn.LET(_xlpm.hours,_xlfn._TRO_TRAILING(Sites!$AC:$AE),_xlpm.type,ISNUMBER(SEARCH($V$17,_xlfn._TRO_TRAILING(Sites!$C:$C))),
_xlpm.states,ISNUMBER(SEARCH($Z$19,_xlfn._TRO_TRAILING(Sites!$D:$D))),
_xlpm.years,ISNUMBER(SEARCH(Z$20,Sites!$AC$3:$AE$3)),
SUM(_xlfn._xlws.FILTER(_xlfn._xlws.FILTER(_xlpm.hours,_xlpm.states*_xlpm.type,0),_xlpm.years),0))</f>
        <v>81.103448275862078</v>
      </c>
      <c r="AA12" s="125" cm="1">
        <f t="array" ref="AA12">_xlfn.LET(_xlpm.hours,_xlfn._TRO_TRAILING(Sites!$AC:$AE),_xlpm.type,ISNUMBER(SEARCH($V$17,_xlfn._TRO_TRAILING(Sites!$C:$C))),
_xlpm.states,ISNUMBER(SEARCH($Z$19,_xlfn._TRO_TRAILING(Sites!$D:$D))),
_xlpm.years,ISNUMBER(SEARCH(AA$20,Sites!$AC$3:$AE$3)),
SUM(_xlfn._xlws.FILTER(_xlfn._xlws.FILTER(_xlpm.hours,_xlpm.states*_xlpm.type,0),_xlpm.years),0))</f>
        <v>81.103448275862078</v>
      </c>
      <c r="AB12" s="125" cm="1">
        <f t="array" ref="AB12">_xlfn.LET(_xlpm.hours,_xlfn._TRO_TRAILING(Sites!$AC:$AE),_xlpm.type,ISNUMBER(SEARCH($V$17,_xlfn._TRO_TRAILING(Sites!$C:$C))),
_xlpm.states,ISNUMBER(SEARCH($Z$19,_xlfn._TRO_TRAILING(Sites!$D:$D))),
_xlpm.years,ISNUMBER(SEARCH(AB$20,Sites!$AC$3:$AE$3)),
SUM(_xlfn._xlws.FILTER(_xlfn._xlws.FILTER(_xlpm.hours,_xlpm.states*_xlpm.type,0),_xlpm.years),0))</f>
        <v>81.103448275862078</v>
      </c>
      <c r="AD12" s="125" cm="1">
        <f t="array" ref="AD12">_xlfn.LET(_xlpm.hours,_xlfn._TRO_TRAILING(Sites!$AC:$AE),_xlpm.type,ISNUMBER(SEARCH($V$17,_xlfn._TRO_TRAILING(Sites!$C:$C))),
_xlpm.states,ISNUMBER(SEARCH($AD$19,_xlfn._TRO_TRAILING(Sites!$D:$D))),
_xlpm.years,ISNUMBER(SEARCH(AD$20,Sites!$AC$3:$AE$3)),
SUM(_xlfn._xlws.FILTER(_xlfn._xlws.FILTER(_xlpm.hours,_xlpm.states*_xlpm.type,0),_xlpm.years),0))</f>
        <v>54.642857142857146</v>
      </c>
      <c r="AE12" s="125" cm="1">
        <f t="array" ref="AE12">_xlfn.LET(_xlpm.hours,_xlfn._TRO_TRAILING(Sites!$AC:$AE),_xlpm.type,ISNUMBER(SEARCH($V$17,_xlfn._TRO_TRAILING(Sites!$C:$C))),
_xlpm.states,ISNUMBER(SEARCH($AD$19,_xlfn._TRO_TRAILING(Sites!$D:$D))),
_xlpm.years,ISNUMBER(SEARCH(AE$20,Sites!$AC$3:$AE$3)),
SUM(_xlfn._xlws.FILTER(_xlfn._xlws.FILTER(_xlpm.hours,_xlpm.states*_xlpm.type,0),_xlpm.years),0))</f>
        <v>79.642857142857139</v>
      </c>
      <c r="AF12" s="125" cm="1">
        <f t="array" ref="AF12">_xlfn.LET(_xlpm.hours,_xlfn._TRO_TRAILING(Sites!$AC:$AE),_xlpm.type,ISNUMBER(SEARCH($V$17,_xlfn._TRO_TRAILING(Sites!$C:$C))),
_xlpm.states,ISNUMBER(SEARCH($AD$19,_xlfn._TRO_TRAILING(Sites!$D:$D))),
_xlpm.years,ISNUMBER(SEARCH(AF$20,Sites!$AC$3:$AE$3)),
SUM(_xlfn._xlws.FILTER(_xlfn._xlws.FILTER(_xlpm.hours,_xlpm.states*_xlpm.type,0),_xlpm.years),0))</f>
        <v>73.714285714285722</v>
      </c>
      <c r="AH12" s="125" cm="1">
        <f t="array" ref="AH12">_xlfn.LET(_xlpm.hours,_xlfn._TRO_TRAILING(Sites!$AC:$AE),_xlpm.type,ISNUMBER(SEARCH($AH$17,_xlfn._TRO_TRAILING(Sites!$C:$C))),
_xlpm.states,ISNUMBER(SEARCH($AH$19,_xlfn._TRO_TRAILING(Sites!$D:$D))),
_xlpm.years,ISNUMBER(SEARCH(AH$20,Sites!$AC$3:$AE$3)),
SUM(_xlfn._xlws.FILTER(_xlfn._xlws.FILTER(_xlpm.hours,_xlpm.states*_xlpm.type,0),_xlpm.years),0))</f>
        <v>126.11904761904762</v>
      </c>
      <c r="AI12" s="125" cm="1">
        <f t="array" ref="AI12">_xlfn.LET(_xlpm.hours,_xlfn._TRO_TRAILING(Sites!$AC:$AE),_xlpm.type,ISNUMBER(SEARCH($AH$17,_xlfn._TRO_TRAILING(Sites!$C:$C))),
_xlpm.states,ISNUMBER(SEARCH($AH$19,_xlfn._TRO_TRAILING(Sites!$D:$D))),
_xlpm.years,ISNUMBER(SEARCH(AI$20,Sites!$AC$3:$AE$3)),
SUM(_xlfn._xlws.FILTER(_xlfn._xlws.FILTER(_xlpm.hours,_xlpm.states*_xlpm.type,0),_xlpm.years),0))</f>
        <v>177.0952380952381</v>
      </c>
      <c r="AJ12" s="125" cm="1">
        <f t="array" ref="AJ12">_xlfn.LET(_xlpm.hours,_xlfn._TRO_TRAILING(Sites!$AC:$AE),_xlpm.type,ISNUMBER(SEARCH($AH$17,_xlfn._TRO_TRAILING(Sites!$C:$C))),
_xlpm.states,ISNUMBER(SEARCH($AH$19,_xlfn._TRO_TRAILING(Sites!$D:$D))),
_xlpm.years,ISNUMBER(SEARCH(AJ$20,Sites!$AC$3:$AE$3)),
SUM(_xlfn._xlws.FILTER(_xlfn._xlws.FILTER(_xlpm.hours,_xlpm.states*_xlpm.type,0),_xlpm.years),0))</f>
        <v>208.5</v>
      </c>
      <c r="AL12" s="125" cm="1">
        <f t="array" ref="AL12">_xlfn.LET(_xlpm.hours,_xlfn._TRO_TRAILING(Sites!$AC:$AE),_xlpm.type,ISNUMBER(SEARCH($AH$17,_xlfn._TRO_TRAILING(Sites!$C:$C))),
_xlpm.states,ISNUMBER(SEARCH($AL$19,_xlfn._TRO_TRAILING(Sites!$D:$D))),
_xlpm.years,ISNUMBER(SEARCH(AL$20,Sites!$AC$3:$AE$3)),
SUM(_xlfn._xlws.FILTER(_xlfn._xlws.FILTER(_xlpm.hours,_xlpm.states*_xlpm.type,0),_xlpm.years),0))</f>
        <v>65.571428571428569</v>
      </c>
      <c r="AM12" s="125" cm="1">
        <f t="array" ref="AM12">_xlfn.LET(_xlpm.hours,_xlfn._TRO_TRAILING(Sites!$AC:$AE),_xlpm.type,ISNUMBER(SEARCH($AH$17,_xlfn._TRO_TRAILING(Sites!$C:$C))),
_xlpm.states,ISNUMBER(SEARCH($AL$19,_xlfn._TRO_TRAILING(Sites!$D:$D))),
_xlpm.years,ISNUMBER(SEARCH(AM$20,Sites!$AC$3:$AE$3)),
SUM(_xlfn._xlws.FILTER(_xlfn._xlws.FILTER(_xlpm.hours,_xlpm.states*_xlpm.type,0),_xlpm.years),0))</f>
        <v>153.90476190476193</v>
      </c>
      <c r="AN12" s="125" cm="1">
        <f t="array" ref="AN12">_xlfn.LET(_xlpm.hours,_xlfn._TRO_TRAILING(Sites!$AC:$AE),_xlpm.type,ISNUMBER(SEARCH($AH$17,_xlfn._TRO_TRAILING(Sites!$C:$C))),
_xlpm.states,ISNUMBER(SEARCH($AL$19,_xlfn._TRO_TRAILING(Sites!$D:$D))),
_xlpm.years,ISNUMBER(SEARCH(AN$20,Sites!$AC$3:$AE$3)),
SUM(_xlfn._xlws.FILTER(_xlfn._xlws.FILTER(_xlpm.hours,_xlpm.states*_xlpm.type,0),_xlpm.years),0))</f>
        <v>199.5</v>
      </c>
      <c r="AP12" s="125" cm="1">
        <f t="array" ref="AP12">_xlfn.LET(_xlpm.hours,_xlfn._TRO_TRAILING(Sites!$AC:$AE),_xlpm.type,ISNUMBER(SEARCH($AH$17,_xlfn._TRO_TRAILING(Sites!$C:$C))),
_xlpm.states,ISNUMBER(SEARCH($AP$19,_xlfn._TRO_TRAILING(Sites!$D:$D))),
_xlpm.years,ISNUMBER(SEARCH(AP$20,Sites!$AC$3:$AE$3)),
IFERROR(SUM(_xlfn._xlws.FILTER(_xlfn._xlws.FILTER(_xlpm.hours,_xlpm.states*_xlpm.type,0),_xlpm.years),0),0))</f>
        <v>0</v>
      </c>
      <c r="AQ12" s="125" cm="1">
        <f t="array" ref="AQ12">_xlfn.LET(_xlpm.hours,_xlfn._TRO_TRAILING(Sites!$AC:$AE),_xlpm.type,ISNUMBER(SEARCH($AH$17,_xlfn._TRO_TRAILING(Sites!$C:$C))),
_xlpm.states,ISNUMBER(SEARCH($AP$19,_xlfn._TRO_TRAILING(Sites!$D:$D))),
_xlpm.years,ISNUMBER(SEARCH(AQ$20,Sites!$AC$3:$AE$3)),
IFERROR(SUM(_xlfn._xlws.FILTER(_xlfn._xlws.FILTER(_xlpm.hours,_xlpm.states*_xlpm.type,0),_xlpm.years),0),0))</f>
        <v>0</v>
      </c>
      <c r="AR12" s="125" cm="1">
        <f t="array" ref="AR12">_xlfn.LET(_xlpm.hours,_xlfn._TRO_TRAILING(Sites!$AC:$AE),_xlpm.type,ISNUMBER(SEARCH($AH$17,_xlfn._TRO_TRAILING(Sites!$C:$C))),
_xlpm.states,ISNUMBER(SEARCH($AP$19,_xlfn._TRO_TRAILING(Sites!$D:$D))),
_xlpm.years,ISNUMBER(SEARCH(AR$20,Sites!$AC$3:$AE$3)),
IFERROR(SUM(_xlfn._xlws.FILTER(_xlfn._xlws.FILTER(_xlpm.hours,_xlpm.states*_xlpm.type,0),_xlpm.years),0),0))</f>
        <v>0</v>
      </c>
    </row>
    <row r="13" spans="1:44" hidden="1" outlineLevel="1" x14ac:dyDescent="0.25">
      <c r="B13" s="94" t="s">
        <v>392</v>
      </c>
      <c r="E13" s="118"/>
      <c r="F13" s="118">
        <f>SUM('JV2'!J13,'JV2'!N13,'JV2'!R13)</f>
        <v>290.83333333333331</v>
      </c>
      <c r="G13" s="118">
        <f>SUM('JV2'!K13,'JV2'!O13,'JV2'!S13)</f>
        <v>428</v>
      </c>
      <c r="H13" s="118">
        <f>SUM('JV2'!L13,'JV2'!P13,'JV2'!T13)</f>
        <v>545</v>
      </c>
      <c r="J13" s="53" cm="1">
        <f t="array" ref="J13">_xlfn.LET(_xlpm.hours,_xlfn._TRO_TRAILING(Sites!$AG:$AI),
_xlpm.states,ISNUMBER(SEARCH($J$19,_xlfn._TRO_TRAILING(Sites!$D:$D))),
_xlpm.years,ISNUMBER(SEARCH(J$20,Sites!$M$3:$O$3)),
SUM(_xlfn._xlws.FILTER(_xlfn._xlws.FILTER(_xlpm.hours,_xlpm.states,0),_xlpm.years),0))</f>
        <v>170.83333333333331</v>
      </c>
      <c r="K13" s="53" cm="1">
        <f t="array" ref="K13">_xlfn.LET(_xlpm.hours,_xlfn._TRO_TRAILING(Sites!$AG:$AI),
_xlpm.states,ISNUMBER(SEARCH($J$19,_xlfn._TRO_TRAILING(Sites!$D:$D))),
_xlpm.years,ISNUMBER(SEARCH(K$20,Sites!$M$3:$O$3)),
SUM(_xlfn._xlws.FILTER(_xlfn._xlws.FILTER(_xlpm.hours,_xlpm.states,0),_xlpm.years),0))</f>
        <v>228.66666666666666</v>
      </c>
      <c r="L13" s="53" cm="1">
        <f t="array" ref="L13">_xlfn.LET(_xlpm.hours,_xlfn._TRO_TRAILING(Sites!$AG:$AI),
_xlpm.states,ISNUMBER(SEARCH($J$19,_xlfn._TRO_TRAILING(Sites!$D:$D))),
_xlpm.years,ISNUMBER(SEARCH(L$20,Sites!$M$3:$O$3)),
SUM(_xlfn._xlws.FILTER(_xlfn._xlws.FILTER(_xlpm.hours,_xlpm.states,0),_xlpm.years),0))</f>
        <v>264.5</v>
      </c>
      <c r="N13" s="53" cm="1">
        <f t="array" ref="N13">_xlfn.LET(_xlpm.hours,_xlfn._TRO_TRAILING(Sites!$AG:$AI),
_xlpm.states,ISNUMBER(SEARCH($N$19,_xlfn._TRO_TRAILING(Sites!$D:$D))),
_xlpm.years,ISNUMBER(SEARCH(N$20,Sites!$M$3:$O$3)),
SUM(_xlfn._xlws.FILTER(_xlfn._xlws.FILTER(_xlpm.hours,_xlpm.states,0),_xlpm.years),0))</f>
        <v>85</v>
      </c>
      <c r="O13" s="53" cm="1">
        <f t="array" ref="O13">_xlfn.LET(_xlpm.hours,_xlfn._TRO_TRAILING(Sites!$AG:$AI),
_xlpm.states,ISNUMBER(SEARCH($N$19,_xlfn._TRO_TRAILING(Sites!$D:$D))),
_xlpm.years,ISNUMBER(SEARCH(O$20,Sites!$M$3:$O$3)),
SUM(_xlfn._xlws.FILTER(_xlfn._xlws.FILTER(_xlpm.hours,_xlpm.states,0),_xlpm.years),0))</f>
        <v>140.33333333333334</v>
      </c>
      <c r="P13" s="53" cm="1">
        <f t="array" ref="P13">_xlfn.LET(_xlpm.hours,_xlfn._TRO_TRAILING(Sites!$AG:$AI),
_xlpm.states,ISNUMBER(SEARCH($N$19,_xlfn._TRO_TRAILING(Sites!$D:$D))),
_xlpm.years,ISNUMBER(SEARCH(P$20,Sites!$M$3:$O$3)),
SUM(_xlfn._xlws.FILTER(_xlfn._xlws.FILTER(_xlpm.hours,_xlpm.states,0),_xlpm.years),0))</f>
        <v>208.5</v>
      </c>
      <c r="R13" s="53" cm="1">
        <f t="array" ref="R13">_xlfn.LET(_xlpm.hours,_xlfn._TRO_TRAILING(Sites!$AG:$AI),
_xlpm.states,ISNUMBER(SEARCH($R$19,_xlfn._TRO_TRAILING(Sites!$D:$D))),
_xlpm.years,ISNUMBER(SEARCH(R$20,Sites!$M$3:$O$3)),
SUM(_xlfn._xlws.FILTER(_xlfn._xlws.FILTER(_xlpm.hours,_xlpm.states,0),_xlpm.years),0))</f>
        <v>35</v>
      </c>
      <c r="S13" s="53" cm="1">
        <f t="array" ref="S13">_xlfn.LET(_xlpm.hours,_xlfn._TRO_TRAILING(Sites!$AG:$AI),
_xlpm.states,ISNUMBER(SEARCH($R$19,_xlfn._TRO_TRAILING(Sites!$D:$D))),
_xlpm.years,ISNUMBER(SEARCH(S$20,Sites!$M$3:$O$3)),
SUM(_xlfn._xlws.FILTER(_xlfn._xlws.FILTER(_xlpm.hours,_xlpm.states,0),_xlpm.years),0))</f>
        <v>59</v>
      </c>
      <c r="T13" s="53" cm="1">
        <f t="array" ref="T13">_xlfn.LET(_xlpm.hours,_xlfn._TRO_TRAILING(Sites!$AG:$AI),
_xlpm.states,ISNUMBER(SEARCH($R$19,_xlfn._TRO_TRAILING(Sites!$D:$D))),
_xlpm.years,ISNUMBER(SEARCH(T$20,Sites!$M$3:$O$3)),
SUM(_xlfn._xlws.FILTER(_xlfn._xlws.FILTER(_xlpm.hours,_xlpm.states,0),_xlpm.years),0))</f>
        <v>72</v>
      </c>
      <c r="V13" s="125" cm="1">
        <f t="array" ref="V13">_xlfn.LET(_xlpm.hours,_xlfn._TRO_TRAILING(Sites!$AG:$AI),_xlpm.type,ISNUMBER(SEARCH($V$17,_xlfn._TRO_TRAILING(Sites!$C:$C))),
_xlpm.states,ISNUMBER(SEARCH($V$19,_xlfn._TRO_TRAILING(Sites!$D:$D))),
_xlpm.years,ISNUMBER(SEARCH(V$20,Sites!$AC$3:$AE$3)),
SUM(_xlfn._xlws.FILTER(_xlfn._xlws.FILTER(_xlpm.hours,_xlpm.states*_xlpm.type,0),_xlpm.years),0))</f>
        <v>59</v>
      </c>
      <c r="W13" s="125" cm="1">
        <f t="array" ref="W13">_xlfn.LET(_xlpm.hours,_xlfn._TRO_TRAILING(Sites!$AG:$AI),_xlpm.type,ISNUMBER(SEARCH($V$17,_xlfn._TRO_TRAILING(Sites!$C:$C))),
_xlpm.states,ISNUMBER(SEARCH($V$19,_xlfn._TRO_TRAILING(Sites!$D:$D))),
_xlpm.years,ISNUMBER(SEARCH(W$20,Sites!$AC$3:$AE$3)),
SUM(_xlfn._xlws.FILTER(_xlfn._xlws.FILTER(_xlpm.hours,_xlpm.states*_xlpm.type,0),_xlpm.years),0))</f>
        <v>83</v>
      </c>
      <c r="X13" s="125" cm="1">
        <f t="array" ref="X13">_xlfn.LET(_xlpm.hours,_xlfn._TRO_TRAILING(Sites!$AG:$AI),_xlpm.type,ISNUMBER(SEARCH($V$17,_xlfn._TRO_TRAILING(Sites!$C:$C))),
_xlpm.states,ISNUMBER(SEARCH($V$19,_xlfn._TRO_TRAILING(Sites!$D:$D))),
_xlpm.years,ISNUMBER(SEARCH(X$20,Sites!$AC$3:$AE$3)),
SUM(_xlfn._xlws.FILTER(_xlfn._xlws.FILTER(_xlpm.hours,_xlpm.states*_xlpm.type,0),_xlpm.years),0))</f>
        <v>96</v>
      </c>
      <c r="Z13" s="125" cm="1">
        <f t="array" ref="Z13">_xlfn.LET(_xlpm.hours,_xlfn._TRO_TRAILING(Sites!$AG:$AI),_xlpm.type,ISNUMBER(SEARCH($V$17,_xlfn._TRO_TRAILING(Sites!$C:$C))),
_xlpm.states,ISNUMBER(SEARCH($Z$19,_xlfn._TRO_TRAILING(Sites!$D:$D))),
_xlpm.years,ISNUMBER(SEARCH(Z$20,Sites!$AC$3:$AE$3)),
SUM(_xlfn._xlws.FILTER(_xlfn._xlws.FILTER(_xlpm.hours,_xlpm.states*_xlpm.type,0),_xlpm.years),0))</f>
        <v>48</v>
      </c>
      <c r="AA13" s="125" cm="1">
        <f t="array" ref="AA13">_xlfn.LET(_xlpm.hours,_xlfn._TRO_TRAILING(Sites!$AG:$AI),_xlpm.type,ISNUMBER(SEARCH($V$17,_xlfn._TRO_TRAILING(Sites!$C:$C))),
_xlpm.states,ISNUMBER(SEARCH($Z$19,_xlfn._TRO_TRAILING(Sites!$D:$D))),
_xlpm.years,ISNUMBER(SEARCH(AA$20,Sites!$AC$3:$AE$3)),
SUM(_xlfn._xlws.FILTER(_xlfn._xlws.FILTER(_xlpm.hours,_xlpm.states*_xlpm.type,0),_xlpm.years),0))</f>
        <v>48</v>
      </c>
      <c r="AB13" s="125" cm="1">
        <f t="array" ref="AB13">_xlfn.LET(_xlpm.hours,_xlfn._TRO_TRAILING(Sites!$AG:$AI),_xlpm.type,ISNUMBER(SEARCH($V$17,_xlfn._TRO_TRAILING(Sites!$C:$C))),
_xlpm.states,ISNUMBER(SEARCH($Z$19,_xlfn._TRO_TRAILING(Sites!$D:$D))),
_xlpm.years,ISNUMBER(SEARCH(AB$20,Sites!$AC$3:$AE$3)),
SUM(_xlfn._xlws.FILTER(_xlfn._xlws.FILTER(_xlpm.hours,_xlpm.states*_xlpm.type,0),_xlpm.years),0))</f>
        <v>48</v>
      </c>
      <c r="AD13" s="125" cm="1">
        <f t="array" ref="AD13">_xlfn.LET(_xlpm.hours,_xlfn._TRO_TRAILING(Sites!$AG:$AI),_xlpm.type,ISNUMBER(SEARCH($V$17,_xlfn._TRO_TRAILING(Sites!$C:$C))),
_xlpm.states,ISNUMBER(SEARCH($AD$19,_xlfn._TRO_TRAILING(Sites!$D:$D))),
_xlpm.years,ISNUMBER(SEARCH(AD$20,Sites!$AC$3:$AE$3)),
SUM(_xlfn._xlws.FILTER(_xlfn._xlws.FILTER(_xlpm.hours,_xlpm.states*_xlpm.type,0),_xlpm.years),0))</f>
        <v>35</v>
      </c>
      <c r="AE13" s="125" cm="1">
        <f t="array" ref="AE13">_xlfn.LET(_xlpm.hours,_xlfn._TRO_TRAILING(Sites!$AG:$AI),_xlpm.type,ISNUMBER(SEARCH($V$17,_xlfn._TRO_TRAILING(Sites!$C:$C))),
_xlpm.states,ISNUMBER(SEARCH($AD$19,_xlfn._TRO_TRAILING(Sites!$D:$D))),
_xlpm.years,ISNUMBER(SEARCH(AE$20,Sites!$AC$3:$AE$3)),
SUM(_xlfn._xlws.FILTER(_xlfn._xlws.FILTER(_xlpm.hours,_xlpm.states*_xlpm.type,0),_xlpm.years),0))</f>
        <v>59</v>
      </c>
      <c r="AF13" s="125" cm="1">
        <f t="array" ref="AF13">_xlfn.LET(_xlpm.hours,_xlfn._TRO_TRAILING(Sites!$AG:$AI),_xlpm.type,ISNUMBER(SEARCH($V$17,_xlfn._TRO_TRAILING(Sites!$C:$C))),
_xlpm.states,ISNUMBER(SEARCH($AD$19,_xlfn._TRO_TRAILING(Sites!$D:$D))),
_xlpm.years,ISNUMBER(SEARCH(AF$20,Sites!$AC$3:$AE$3)),
SUM(_xlfn._xlws.FILTER(_xlfn._xlws.FILTER(_xlpm.hours,_xlpm.states*_xlpm.type,0),_xlpm.years),0))</f>
        <v>72</v>
      </c>
      <c r="AH13" s="125" cm="1">
        <f t="array" ref="AH13">_xlfn.LET(_xlpm.hours,_xlfn._TRO_TRAILING(Sites!$AG:$AI),_xlpm.type,ISNUMBER(SEARCH($AH$17,_xlfn._TRO_TRAILING(Sites!$C:$C))),
_xlpm.states,ISNUMBER(SEARCH($AH$19,_xlfn._TRO_TRAILING(Sites!$D:$D))),
_xlpm.years,ISNUMBER(SEARCH(AH$20,Sites!$AC$3:$AE$3)),
SUM(_xlfn._xlws.FILTER(_xlfn._xlws.FILTER(_xlpm.hours,_xlpm.states*_xlpm.type,0),_xlpm.years),0))</f>
        <v>111.83333333333333</v>
      </c>
      <c r="AI13" s="125" cm="1">
        <f t="array" ref="AI13">_xlfn.LET(_xlpm.hours,_xlfn._TRO_TRAILING(Sites!$AG:$AI),_xlpm.type,ISNUMBER(SEARCH($AH$17,_xlfn._TRO_TRAILING(Sites!$C:$C))),
_xlpm.states,ISNUMBER(SEARCH($AH$19,_xlfn._TRO_TRAILING(Sites!$D:$D))),
_xlpm.years,ISNUMBER(SEARCH(AI$20,Sites!$AC$3:$AE$3)),
SUM(_xlfn._xlws.FILTER(_xlfn._xlws.FILTER(_xlpm.hours,_xlpm.states*_xlpm.type,0),_xlpm.years),0))</f>
        <v>145.66666666666666</v>
      </c>
      <c r="AJ13" s="125" cm="1">
        <f t="array" ref="AJ13">_xlfn.LET(_xlpm.hours,_xlfn._TRO_TRAILING(Sites!$AG:$AI),_xlpm.type,ISNUMBER(SEARCH($AH$17,_xlfn._TRO_TRAILING(Sites!$C:$C))),
_xlpm.states,ISNUMBER(SEARCH($AH$19,_xlfn._TRO_TRAILING(Sites!$D:$D))),
_xlpm.years,ISNUMBER(SEARCH(AJ$20,Sites!$AC$3:$AE$3)),
SUM(_xlfn._xlws.FILTER(_xlfn._xlws.FILTER(_xlpm.hours,_xlpm.states*_xlpm.type,0),_xlpm.years),0))</f>
        <v>168.5</v>
      </c>
      <c r="AL13" s="125" cm="1">
        <f t="array" ref="AL13">_xlfn.LET(_xlpm.hours,_xlfn._TRO_TRAILING(Sites!$AG:$AI),_xlpm.type,ISNUMBER(SEARCH($AH$17,_xlfn._TRO_TRAILING(Sites!$C:$C))),
_xlpm.states,ISNUMBER(SEARCH($AL$19,_xlfn._TRO_TRAILING(Sites!$D:$D))),
_xlpm.years,ISNUMBER(SEARCH(AL$20,Sites!$AC$3:$AE$3)),
SUM(_xlfn._xlws.FILTER(_xlfn._xlws.FILTER(_xlpm.hours,_xlpm.states*_xlpm.type,0),_xlpm.years),0))</f>
        <v>37</v>
      </c>
      <c r="AM13" s="125" cm="1">
        <f t="array" ref="AM13">_xlfn.LET(_xlpm.hours,_xlfn._TRO_TRAILING(Sites!$AG:$AI),_xlpm.type,ISNUMBER(SEARCH($AH$17,_xlfn._TRO_TRAILING(Sites!$C:$C))),
_xlpm.states,ISNUMBER(SEARCH($AL$19,_xlfn._TRO_TRAILING(Sites!$D:$D))),
_xlpm.years,ISNUMBER(SEARCH(AM$20,Sites!$AC$3:$AE$3)),
SUM(_xlfn._xlws.FILTER(_xlfn._xlws.FILTER(_xlpm.hours,_xlpm.states*_xlpm.type,0),_xlpm.years),0))</f>
        <v>92.333333333333343</v>
      </c>
      <c r="AN13" s="125" cm="1">
        <f t="array" ref="AN13">_xlfn.LET(_xlpm.hours,_xlfn._TRO_TRAILING(Sites!$AG:$AI),_xlpm.type,ISNUMBER(SEARCH($AH$17,_xlfn._TRO_TRAILING(Sites!$C:$C))),
_xlpm.states,ISNUMBER(SEARCH($AL$19,_xlfn._TRO_TRAILING(Sites!$D:$D))),
_xlpm.years,ISNUMBER(SEARCH(AN$20,Sites!$AC$3:$AE$3)),
SUM(_xlfn._xlws.FILTER(_xlfn._xlws.FILTER(_xlpm.hours,_xlpm.states*_xlpm.type,0),_xlpm.years),0))</f>
        <v>160.5</v>
      </c>
      <c r="AP13" s="125" cm="1">
        <f t="array" ref="AP13">_xlfn.LET(_xlpm.hours,_xlfn._TRO_TRAILING(Sites!$AG:$AI),_xlpm.type,ISNUMBER(SEARCH($AH$17,_xlfn._TRO_TRAILING(Sites!$C:$C))),
_xlpm.states,ISNUMBER(SEARCH($AP$19,_xlfn._TRO_TRAILING(Sites!$D:$D))),
_xlpm.years,ISNUMBER(SEARCH(AP$20,Sites!$AC$3:$AE$3)),
IFERROR(SUM(_xlfn._xlws.FILTER(_xlfn._xlws.FILTER(_xlpm.hours,_xlpm.states*_xlpm.type,0),_xlpm.years),0),0))</f>
        <v>0</v>
      </c>
      <c r="AQ13" s="125" cm="1">
        <f t="array" ref="AQ13">_xlfn.LET(_xlpm.hours,_xlfn._TRO_TRAILING(Sites!$AG:$AI),_xlpm.type,ISNUMBER(SEARCH($AH$17,_xlfn._TRO_TRAILING(Sites!$C:$C))),
_xlpm.states,ISNUMBER(SEARCH($AP$19,_xlfn._TRO_TRAILING(Sites!$D:$D))),
_xlpm.years,ISNUMBER(SEARCH(AQ$20,Sites!$AC$3:$AE$3)),
IFERROR(SUM(_xlfn._xlws.FILTER(_xlfn._xlws.FILTER(_xlpm.hours,_xlpm.states*_xlpm.type,0),_xlpm.years),0),0))</f>
        <v>0</v>
      </c>
      <c r="AR13" s="125" cm="1">
        <f t="array" ref="AR13">_xlfn.LET(_xlpm.hours,_xlfn._TRO_TRAILING(Sites!$AG:$AI),_xlpm.type,ISNUMBER(SEARCH($AH$17,_xlfn._TRO_TRAILING(Sites!$C:$C))),
_xlpm.states,ISNUMBER(SEARCH($AP$19,_xlfn._TRO_TRAILING(Sites!$D:$D))),
_xlpm.years,ISNUMBER(SEARCH(AR$20,Sites!$AC$3:$AE$3)),
IFERROR(SUM(_xlfn._xlws.FILTER(_xlfn._xlws.FILTER(_xlpm.hours,_xlpm.states*_xlpm.type,0),_xlpm.years),0),0))</f>
        <v>0</v>
      </c>
    </row>
    <row r="14" spans="1:44" hidden="1" outlineLevel="1" x14ac:dyDescent="0.25">
      <c r="B14" s="94" t="s">
        <v>393</v>
      </c>
      <c r="E14" s="118"/>
      <c r="F14" s="118" cm="1">
        <f t="array" ref="F14">_xlfn.LET(_xlpm.hours,_xlfn._TRO_TRAILING(Sites!$AK:$AM),
_xlpm.states,ISNUMBER(SEARCH($F$19,_xlfn._TRO_TRAILING(Sites!$B:$B))),
_xlpm.years,ISNUMBER(SEARCH(F$20,Sites!$M$3:$O$3)),
SUM(_xlfn._xlws.FILTER(_xlfn._xlws.FILTER(_xlpm.hours,_xlpm.states,0),_xlpm.years),0))</f>
        <v>745.83333333333326</v>
      </c>
      <c r="G14" s="118" cm="1">
        <f t="array" ref="G14">_xlfn.LET(_xlpm.hours,_xlfn._TRO_TRAILING(Sites!$AK:$AM),
_xlpm.states,ISNUMBER(SEARCH($F$19,_xlfn._TRO_TRAILING(Sites!$B:$B))),
_xlpm.years,ISNUMBER(SEARCH(G$20,Sites!$M$3:$O$3)),
SUM(_xlfn._xlws.FILTER(_xlfn._xlws.FILTER(_xlpm.hours,_xlpm.states,0),_xlpm.years),0))</f>
        <v>1048</v>
      </c>
      <c r="H14" s="118" cm="1">
        <f t="array" ref="H14">_xlfn.LET(_xlpm.hours,_xlfn._TRO_TRAILING(Sites!$AK:$AM),
_xlpm.states,ISNUMBER(SEARCH($F$19,_xlfn._TRO_TRAILING(Sites!$B:$B))),
_xlpm.years,ISNUMBER(SEARCH(H$20,Sites!$M$3:$O$3)),
SUM(_xlfn._xlws.FILTER(_xlfn._xlws.FILTER(_xlpm.hours,_xlpm.states,0),_xlpm.years),0))</f>
        <v>1293</v>
      </c>
      <c r="J14" s="53" cm="1">
        <f t="array" ref="J14">_xlfn.LET(_xlpm.hours,_xlfn._TRO_TRAILING(Sites!$AK:$AM),
_xlpm.states,ISNUMBER(SEARCH($J$19,_xlfn._TRO_TRAILING(Sites!$D:$D))),
_xlpm.years,ISNUMBER(SEARCH(J$20,Sites!$M$3:$O$3)),
SUM(_xlfn._xlws.FILTER(_xlfn._xlws.FILTER(_xlpm.hours,_xlpm.states,0),_xlpm.years),0))</f>
        <v>376.83333333333331</v>
      </c>
      <c r="K14" s="53" cm="1">
        <f t="array" ref="K14">_xlfn.LET(_xlpm.hours,_xlfn._TRO_TRAILING(Sites!$AK:$AM),
_xlpm.states,ISNUMBER(SEARCH($J$19,_xlfn._TRO_TRAILING(Sites!$D:$D))),
_xlpm.years,ISNUMBER(SEARCH(K$20,Sites!$M$3:$O$3)),
SUM(_xlfn._xlws.FILTER(_xlfn._xlws.FILTER(_xlpm.hours,_xlpm.states,0),_xlpm.years),0))</f>
        <v>471.66666666666669</v>
      </c>
      <c r="L14" s="53" cm="1">
        <f t="array" ref="L14">_xlfn.LET(_xlpm.hours,_xlfn._TRO_TRAILING(Sites!$AK:$AM),
_xlpm.states,ISNUMBER(SEARCH($J$19,_xlfn._TRO_TRAILING(Sites!$D:$D))),
_xlpm.years,ISNUMBER(SEARCH(L$20,Sites!$M$3:$O$3)),
SUM(_xlfn._xlws.FILTER(_xlfn._xlws.FILTER(_xlpm.hours,_xlpm.states,0),_xlpm.years),0))</f>
        <v>553.5</v>
      </c>
      <c r="N14" s="53" cm="1">
        <f t="array" ref="N14">_xlfn.LET(_xlpm.hours,_xlfn._TRO_TRAILING(Sites!$AK:$AM),
_xlpm.states,ISNUMBER(SEARCH($N$19,_xlfn._TRO_TRAILING(Sites!$D:$D))),
_xlpm.years,ISNUMBER(SEARCH(N$20,Sites!$M$3:$O$3)),
SUM(_xlfn._xlws.FILTER(_xlfn._xlws.FILTER(_xlpm.hours,_xlpm.states,0),_xlpm.years),0))</f>
        <v>277</v>
      </c>
      <c r="O14" s="53" cm="1">
        <f t="array" ref="O14">_xlfn.LET(_xlpm.hours,_xlfn._TRO_TRAILING(Sites!$AK:$AM),
_xlpm.states,ISNUMBER(SEARCH($N$19,_xlfn._TRO_TRAILING(Sites!$D:$D))),
_xlpm.years,ISNUMBER(SEARCH(O$20,Sites!$M$3:$O$3)),
SUM(_xlfn._xlws.FILTER(_xlfn._xlws.FILTER(_xlpm.hours,_xlpm.states,0),_xlpm.years),0))</f>
        <v>436.33333333333337</v>
      </c>
      <c r="P14" s="53" cm="1">
        <f t="array" ref="P14">_xlfn.LET(_xlpm.hours,_xlfn._TRO_TRAILING(Sites!$AK:$AM),
_xlpm.states,ISNUMBER(SEARCH($N$19,_xlfn._TRO_TRAILING(Sites!$D:$D))),
_xlpm.years,ISNUMBER(SEARCH(P$20,Sites!$M$3:$O$3)),
SUM(_xlfn._xlws.FILTER(_xlfn._xlws.FILTER(_xlpm.hours,_xlpm.states,0),_xlpm.years),0))</f>
        <v>582.5</v>
      </c>
      <c r="R14" s="53" cm="1">
        <f t="array" ref="R14">_xlfn.LET(_xlpm.hours,_xlfn._TRO_TRAILING(Sites!$AK:$AM),
_xlpm.states,ISNUMBER(SEARCH($R$19,_xlfn._TRO_TRAILING(Sites!$D:$D))),
_xlpm.years,ISNUMBER(SEARCH(R$20,Sites!$M$3:$O$3)),
SUM(_xlfn._xlws.FILTER(_xlfn._xlws.FILTER(_xlpm.hours,_xlpm.states,0),_xlpm.years),0))</f>
        <v>92</v>
      </c>
      <c r="S14" s="53" cm="1">
        <f t="array" ref="S14">_xlfn.LET(_xlpm.hours,_xlfn._TRO_TRAILING(Sites!$AK:$AM),
_xlpm.states,ISNUMBER(SEARCH($R$19,_xlfn._TRO_TRAILING(Sites!$D:$D))),
_xlpm.years,ISNUMBER(SEARCH(S$20,Sites!$M$3:$O$3)),
SUM(_xlfn._xlws.FILTER(_xlfn._xlws.FILTER(_xlpm.hours,_xlpm.states,0),_xlpm.years),0))</f>
        <v>140</v>
      </c>
      <c r="T14" s="53" cm="1">
        <f t="array" ref="T14">_xlfn.LET(_xlpm.hours,_xlfn._TRO_TRAILING(Sites!$AK:$AM),
_xlpm.states,ISNUMBER(SEARCH($R$19,_xlfn._TRO_TRAILING(Sites!$D:$D))),
_xlpm.years,ISNUMBER(SEARCH(T$20,Sites!$M$3:$O$3)),
SUM(_xlfn._xlws.FILTER(_xlfn._xlws.FILTER(_xlpm.hours,_xlpm.states,0),_xlpm.years),0))</f>
        <v>157</v>
      </c>
      <c r="V14" s="125" cm="1">
        <f t="array" ref="V14">_xlfn.LET(_xlpm.hours,_xlfn._TRO_TRAILING(Sites!$AK:$AM),_xlpm.type,ISNUMBER(SEARCH($V$17,_xlfn._TRO_TRAILING(Sites!$C:$C))),
_xlpm.states,ISNUMBER(SEARCH($V$19,_xlfn._TRO_TRAILING(Sites!$D:$D))),
_xlpm.years,ISNUMBER(SEARCH(V$20,Sites!$AC$3:$AE$3)),
SUM(_xlfn._xlws.FILTER(_xlfn._xlws.FILTER(_xlpm.hours,_xlpm.states*_xlpm.type,0),_xlpm.years),0))</f>
        <v>159</v>
      </c>
      <c r="W14" s="125" cm="1">
        <f t="array" ref="W14">_xlfn.LET(_xlpm.hours,_xlfn._TRO_TRAILING(Sites!$AK:$AM),_xlpm.type,ISNUMBER(SEARCH($V$17,_xlfn._TRO_TRAILING(Sites!$C:$C))),
_xlpm.states,ISNUMBER(SEARCH($V$19,_xlfn._TRO_TRAILING(Sites!$D:$D))),
_xlpm.years,ISNUMBER(SEARCH(W$20,Sites!$AC$3:$AE$3)),
SUM(_xlfn._xlws.FILTER(_xlfn._xlws.FILTER(_xlpm.hours,_xlpm.states*_xlpm.type,0),_xlpm.years),0))</f>
        <v>183</v>
      </c>
      <c r="X14" s="125" cm="1">
        <f t="array" ref="X14">_xlfn.LET(_xlpm.hours,_xlfn._TRO_TRAILING(Sites!$AK:$AM),_xlpm.type,ISNUMBER(SEARCH($V$17,_xlfn._TRO_TRAILING(Sites!$C:$C))),
_xlpm.states,ISNUMBER(SEARCH($V$19,_xlfn._TRO_TRAILING(Sites!$D:$D))),
_xlpm.years,ISNUMBER(SEARCH(X$20,Sites!$AC$3:$AE$3)),
SUM(_xlfn._xlws.FILTER(_xlfn._xlws.FILTER(_xlpm.hours,_xlpm.states*_xlpm.type,0),_xlpm.years),0))</f>
        <v>196</v>
      </c>
      <c r="Z14" s="125" cm="1">
        <f t="array" ref="Z14">_xlfn.LET(_xlpm.hours,_xlfn._TRO_TRAILING(Sites!$AK:$AM),_xlpm.type,ISNUMBER(SEARCH($V$17,_xlfn._TRO_TRAILING(Sites!$C:$C))),
_xlpm.states,ISNUMBER(SEARCH($Z$19,_xlfn._TRO_TRAILING(Sites!$D:$D))),
_xlpm.years,ISNUMBER(SEARCH(Z$20,Sites!$AC$3:$AE$3)),
SUM(_xlfn._xlws.FILTER(_xlfn._xlws.FILTER(_xlpm.hours,_xlpm.states*_xlpm.type,0),_xlpm.years),0))</f>
        <v>177</v>
      </c>
      <c r="AA14" s="125" cm="1">
        <f t="array" ref="AA14">_xlfn.LET(_xlpm.hours,_xlfn._TRO_TRAILING(Sites!$AK:$AM),_xlpm.type,ISNUMBER(SEARCH($V$17,_xlfn._TRO_TRAILING(Sites!$C:$C))),
_xlpm.states,ISNUMBER(SEARCH($Z$19,_xlfn._TRO_TRAILING(Sites!$D:$D))),
_xlpm.years,ISNUMBER(SEARCH(AA$20,Sites!$AC$3:$AE$3)),
SUM(_xlfn._xlws.FILTER(_xlfn._xlws.FILTER(_xlpm.hours,_xlpm.states*_xlpm.type,0),_xlpm.years),0))</f>
        <v>210</v>
      </c>
      <c r="AB14" s="125" cm="1">
        <f t="array" ref="AB14">_xlfn.LET(_xlpm.hours,_xlfn._TRO_TRAILING(Sites!$AK:$AM),_xlpm.type,ISNUMBER(SEARCH($V$17,_xlfn._TRO_TRAILING(Sites!$C:$C))),
_xlpm.states,ISNUMBER(SEARCH($Z$19,_xlfn._TRO_TRAILING(Sites!$D:$D))),
_xlpm.years,ISNUMBER(SEARCH(AB$20,Sites!$AC$3:$AE$3)),
SUM(_xlfn._xlws.FILTER(_xlfn._xlws.FILTER(_xlpm.hours,_xlpm.states*_xlpm.type,0),_xlpm.years),0))</f>
        <v>243</v>
      </c>
      <c r="AD14" s="125" cm="1">
        <f t="array" ref="AD14">_xlfn.LET(_xlpm.hours,_xlfn._TRO_TRAILING(Sites!$AK:$AM),_xlpm.type,ISNUMBER(SEARCH($V$17,_xlfn._TRO_TRAILING(Sites!$C:$C))),
_xlpm.states,ISNUMBER(SEARCH($AD$19,_xlfn._TRO_TRAILING(Sites!$D:$D))),
_xlpm.years,ISNUMBER(SEARCH(AD$20,Sites!$AC$3:$AE$3)),
SUM(_xlfn._xlws.FILTER(_xlfn._xlws.FILTER(_xlpm.hours,_xlpm.states*_xlpm.type,0),_xlpm.years),0))</f>
        <v>92</v>
      </c>
      <c r="AE14" s="125" cm="1">
        <f t="array" ref="AE14">_xlfn.LET(_xlpm.hours,_xlfn._TRO_TRAILING(Sites!$AK:$AM),_xlpm.type,ISNUMBER(SEARCH($V$17,_xlfn._TRO_TRAILING(Sites!$C:$C))),
_xlpm.states,ISNUMBER(SEARCH($AD$19,_xlfn._TRO_TRAILING(Sites!$D:$D))),
_xlpm.years,ISNUMBER(SEARCH(AE$20,Sites!$AC$3:$AE$3)),
SUM(_xlfn._xlws.FILTER(_xlfn._xlws.FILTER(_xlpm.hours,_xlpm.states*_xlpm.type,0),_xlpm.years),0))</f>
        <v>140</v>
      </c>
      <c r="AF14" s="125" cm="1">
        <f t="array" ref="AF14">_xlfn.LET(_xlpm.hours,_xlfn._TRO_TRAILING(Sites!$AK:$AM),_xlpm.type,ISNUMBER(SEARCH($V$17,_xlfn._TRO_TRAILING(Sites!$C:$C))),
_xlpm.states,ISNUMBER(SEARCH($AD$19,_xlfn._TRO_TRAILING(Sites!$D:$D))),
_xlpm.years,ISNUMBER(SEARCH(AF$20,Sites!$AC$3:$AE$3)),
SUM(_xlfn._xlws.FILTER(_xlfn._xlws.FILTER(_xlpm.hours,_xlpm.states*_xlpm.type,0),_xlpm.years),0))</f>
        <v>157</v>
      </c>
      <c r="AH14" s="125" cm="1">
        <f t="array" ref="AH14">_xlfn.LET(_xlpm.hours,_xlfn._TRO_TRAILING(Sites!$AK:$AM),_xlpm.type,ISNUMBER(SEARCH($AH$17,_xlfn._TRO_TRAILING(Sites!$C:$C))),
_xlpm.states,ISNUMBER(SEARCH($AH$19,_xlfn._TRO_TRAILING(Sites!$D:$D))),
_xlpm.years,ISNUMBER(SEARCH(AH$20,Sites!$AC$3:$AE$3)),
SUM(_xlfn._xlws.FILTER(_xlfn._xlws.FILTER(_xlpm.hours,_xlpm.states*_xlpm.type,0),_xlpm.years),0))</f>
        <v>217.83333333333331</v>
      </c>
      <c r="AI14" s="125" cm="1">
        <f t="array" ref="AI14">_xlfn.LET(_xlpm.hours,_xlfn._TRO_TRAILING(Sites!$AK:$AM),_xlpm.type,ISNUMBER(SEARCH($AH$17,_xlfn._TRO_TRAILING(Sites!$C:$C))),
_xlpm.states,ISNUMBER(SEARCH($AH$19,_xlfn._TRO_TRAILING(Sites!$D:$D))),
_xlpm.years,ISNUMBER(SEARCH(AI$20,Sites!$AC$3:$AE$3)),
SUM(_xlfn._xlws.FILTER(_xlfn._xlws.FILTER(_xlpm.hours,_xlpm.states*_xlpm.type,0),_xlpm.years),0))</f>
        <v>288.66666666666669</v>
      </c>
      <c r="AJ14" s="125" cm="1">
        <f t="array" ref="AJ14">_xlfn.LET(_xlpm.hours,_xlfn._TRO_TRAILING(Sites!$AK:$AM),_xlpm.type,ISNUMBER(SEARCH($AH$17,_xlfn._TRO_TRAILING(Sites!$C:$C))),
_xlpm.states,ISNUMBER(SEARCH($AH$19,_xlfn._TRO_TRAILING(Sites!$D:$D))),
_xlpm.years,ISNUMBER(SEARCH(AJ$20,Sites!$AC$3:$AE$3)),
SUM(_xlfn._xlws.FILTER(_xlfn._xlws.FILTER(_xlpm.hours,_xlpm.states*_xlpm.type,0),_xlpm.years),0))</f>
        <v>357.5</v>
      </c>
      <c r="AL14" s="125" cm="1">
        <f t="array" ref="AL14">_xlfn.LET(_xlpm.hours,_xlfn._TRO_TRAILING(Sites!$AK:$AM),_xlpm.type,ISNUMBER(SEARCH($AH$17,_xlfn._TRO_TRAILING(Sites!$C:$C))),
_xlpm.states,ISNUMBER(SEARCH($AL$19,_xlfn._TRO_TRAILING(Sites!$D:$D))),
_xlpm.years,ISNUMBER(SEARCH(AL$20,Sites!$AC$3:$AE$3)),
SUM(_xlfn._xlws.FILTER(_xlfn._xlws.FILTER(_xlpm.hours,_xlpm.states*_xlpm.type,0),_xlpm.years),0))</f>
        <v>100</v>
      </c>
      <c r="AM14" s="125" cm="1">
        <f t="array" ref="AM14">_xlfn.LET(_xlpm.hours,_xlfn._TRO_TRAILING(Sites!$AK:$AM),_xlpm.type,ISNUMBER(SEARCH($AH$17,_xlfn._TRO_TRAILING(Sites!$C:$C))),
_xlpm.states,ISNUMBER(SEARCH($AL$19,_xlfn._TRO_TRAILING(Sites!$D:$D))),
_xlpm.years,ISNUMBER(SEARCH(AM$20,Sites!$AC$3:$AE$3)),
SUM(_xlfn._xlws.FILTER(_xlfn._xlws.FILTER(_xlpm.hours,_xlpm.states*_xlpm.type,0),_xlpm.years),0))</f>
        <v>226.33333333333334</v>
      </c>
      <c r="AN14" s="125" cm="1">
        <f t="array" ref="AN14">_xlfn.LET(_xlpm.hours,_xlfn._TRO_TRAILING(Sites!$AK:$AM),_xlpm.type,ISNUMBER(SEARCH($AH$17,_xlfn._TRO_TRAILING(Sites!$C:$C))),
_xlpm.states,ISNUMBER(SEARCH($AL$19,_xlfn._TRO_TRAILING(Sites!$D:$D))),
_xlpm.years,ISNUMBER(SEARCH(AN$20,Sites!$AC$3:$AE$3)),
SUM(_xlfn._xlws.FILTER(_xlfn._xlws.FILTER(_xlpm.hours,_xlpm.states*_xlpm.type,0),_xlpm.years),0))</f>
        <v>339.5</v>
      </c>
      <c r="AP14" s="125" cm="1">
        <f t="array" ref="AP14">_xlfn.LET(_xlpm.hours,_xlfn._TRO_TRAILING(Sites!$AK:$AM),_xlpm.type,ISNUMBER(SEARCH($AH$17,_xlfn._TRO_TRAILING(Sites!$C:$C))),
_xlpm.states,ISNUMBER(SEARCH($AP$19,_xlfn._TRO_TRAILING(Sites!$D:$D))),
_xlpm.years,ISNUMBER(SEARCH(AP$20,Sites!$AC$3:$AE$3)),
IFERROR(SUM(_xlfn._xlws.FILTER(_xlfn._xlws.FILTER(_xlpm.hours,_xlpm.states*_xlpm.type,0),_xlpm.years),0),0))</f>
        <v>0</v>
      </c>
      <c r="AQ14" s="125" cm="1">
        <f t="array" ref="AQ14">_xlfn.LET(_xlpm.hours,_xlfn._TRO_TRAILING(Sites!$AK:$AM),_xlpm.type,ISNUMBER(SEARCH($AH$17,_xlfn._TRO_TRAILING(Sites!$C:$C))),
_xlpm.states,ISNUMBER(SEARCH($AP$19,_xlfn._TRO_TRAILING(Sites!$D:$D))),
_xlpm.years,ISNUMBER(SEARCH(AQ$20,Sites!$AC$3:$AE$3)),
IFERROR(SUM(_xlfn._xlws.FILTER(_xlfn._xlws.FILTER(_xlpm.hours,_xlpm.states*_xlpm.type,0),_xlpm.years),0),0))</f>
        <v>0</v>
      </c>
      <c r="AR14" s="125" cm="1">
        <f t="array" ref="AR14">_xlfn.LET(_xlpm.hours,_xlfn._TRO_TRAILING(Sites!$AK:$AM),_xlpm.type,ISNUMBER(SEARCH($AH$17,_xlfn._TRO_TRAILING(Sites!$C:$C))),
_xlpm.states,ISNUMBER(SEARCH($AP$19,_xlfn._TRO_TRAILING(Sites!$D:$D))),
_xlpm.years,ISNUMBER(SEARCH(AR$20,Sites!$AC$3:$AE$3)),
IFERROR(SUM(_xlfn._xlws.FILTER(_xlfn._xlws.FILTER(_xlpm.hours,_xlpm.states*_xlpm.type,0),_xlpm.years),0),0))</f>
        <v>0</v>
      </c>
    </row>
    <row r="15" spans="1:44" hidden="1" outlineLevel="1" x14ac:dyDescent="0.25"/>
    <row r="16" spans="1:44" collapsed="1" x14ac:dyDescent="0.25">
      <c r="B16" s="2" t="s">
        <v>394</v>
      </c>
      <c r="D16" s="2"/>
      <c r="E16" s="71"/>
      <c r="F16" s="157">
        <f t="shared" ref="F16:H16" si="0">IFERROR(SUM(F21:F25)/F18,0)</f>
        <v>98.583914374575897</v>
      </c>
      <c r="G16" s="157">
        <f t="shared" si="0"/>
        <v>101.52455646672681</v>
      </c>
      <c r="H16" s="157">
        <f t="shared" si="0"/>
        <v>101.42525470647988</v>
      </c>
      <c r="I16" s="157"/>
      <c r="J16" s="157">
        <f>IFERROR(SUM(J21:J25)/J18,0)</f>
        <v>100.46610410006868</v>
      </c>
      <c r="K16" s="157">
        <f t="shared" ref="K16:L16" si="1">IFERROR(SUM(K21:K25)/K18,0)</f>
        <v>103.40802978636377</v>
      </c>
      <c r="L16" s="157">
        <f t="shared" si="1"/>
        <v>103.24310118765673</v>
      </c>
      <c r="M16" s="157"/>
      <c r="N16" s="157">
        <f>IFERROR(SUM(N21:N25)/N18,0)</f>
        <v>94.706648862783453</v>
      </c>
      <c r="O16" s="157">
        <f t="shared" ref="O16:P16" si="2">IFERROR(SUM(O21:O25)/O18,0)</f>
        <v>98.569256724735808</v>
      </c>
      <c r="P16" s="157">
        <f t="shared" si="2"/>
        <v>98.913458376508231</v>
      </c>
      <c r="Q16" s="157"/>
      <c r="R16" s="157">
        <f>IFERROR(SUM(R21:R25)/R18,0)</f>
        <v>103.7613841167355</v>
      </c>
      <c r="S16" s="157">
        <f t="shared" ref="S16:T16" si="3">IFERROR(SUM(S21:S25)/S18,0)</f>
        <v>106.87422564023758</v>
      </c>
      <c r="T16" s="157">
        <f t="shared" si="3"/>
        <v>106.87422564023757</v>
      </c>
      <c r="U16" s="157"/>
      <c r="V16" s="157">
        <f>IFERROR(SUM(V21:V25)/V18,0)</f>
        <v>102.51013353564046</v>
      </c>
      <c r="W16" s="157">
        <f t="shared" ref="W16:X16" si="4">IFERROR(SUM(W21:W25)/W18,0)</f>
        <v>105.58543754170969</v>
      </c>
      <c r="X16" s="157">
        <f t="shared" si="4"/>
        <v>105.58543754170969</v>
      </c>
      <c r="Y16" s="157"/>
      <c r="Z16" s="157">
        <f>IFERROR(SUM(Z21:Z25)/Z18,0)</f>
        <v>92.076851645144629</v>
      </c>
      <c r="AA16" s="157">
        <f t="shared" ref="AA16:AB16" si="5">IFERROR(SUM(AA21:AA25)/AA18,0)</f>
        <v>94.839157194498966</v>
      </c>
      <c r="AB16" s="157">
        <f t="shared" si="5"/>
        <v>94.839157194498981</v>
      </c>
      <c r="AC16" s="157"/>
      <c r="AD16" s="157">
        <f>IFERROR(SUM(AD21:AD25)/AD18,0)</f>
        <v>103.7613841167355</v>
      </c>
      <c r="AE16" s="157">
        <f t="shared" ref="AE16:AF16" si="6">IFERROR(SUM(AE21:AE25)/AE18,0)</f>
        <v>106.87422564023758</v>
      </c>
      <c r="AF16" s="157">
        <f t="shared" si="6"/>
        <v>106.87422564023757</v>
      </c>
      <c r="AG16" s="157"/>
      <c r="AH16" s="157">
        <f>IFERROR(SUM(AH21:AH25)/AH18,0)</f>
        <v>99.545179570044127</v>
      </c>
      <c r="AI16" s="157">
        <f t="shared" ref="AI16:AJ16" si="7">IFERROR(SUM(AI21:AI25)/AI18,0)</f>
        <v>102.55450890080714</v>
      </c>
      <c r="AJ16" s="157">
        <f t="shared" si="7"/>
        <v>102.55183175688548</v>
      </c>
      <c r="AK16" s="157"/>
      <c r="AL16" s="157">
        <f>IFERROR(SUM(AL21:AL25)/AL18,0)</f>
        <v>98.251005825292054</v>
      </c>
      <c r="AM16" s="157">
        <f t="shared" ref="AM16:AN16" si="8">IFERROR(SUM(AM21:AM25)/AM18,0)</f>
        <v>101.19853600005082</v>
      </c>
      <c r="AN16" s="157">
        <f t="shared" si="8"/>
        <v>101.19853600005084</v>
      </c>
      <c r="AO16" s="157"/>
      <c r="AP16" s="157">
        <f>IFERROR(SUM(AP21:AP25)/AP18,0)</f>
        <v>0</v>
      </c>
      <c r="AQ16" s="157">
        <f t="shared" ref="AQ16:AR16" si="9">IFERROR(SUM(AQ21:AQ25)/AQ18,0)</f>
        <v>0</v>
      </c>
      <c r="AR16" s="157">
        <f t="shared" si="9"/>
        <v>0</v>
      </c>
    </row>
    <row r="17" spans="2:44" x14ac:dyDescent="0.25">
      <c r="F17" s="136" t="s">
        <v>356</v>
      </c>
      <c r="G17" s="137"/>
      <c r="H17" s="136"/>
      <c r="J17" s="136" t="s">
        <v>356</v>
      </c>
      <c r="K17" s="136"/>
      <c r="L17" s="136"/>
      <c r="M17" s="136"/>
      <c r="N17" s="136"/>
      <c r="O17" s="136"/>
      <c r="P17" s="136"/>
      <c r="Q17" s="136"/>
      <c r="R17" s="136"/>
      <c r="S17" s="136"/>
      <c r="T17" s="136"/>
      <c r="V17" s="136" t="s">
        <v>344</v>
      </c>
      <c r="W17" s="136"/>
      <c r="X17" s="136"/>
      <c r="Y17" s="136"/>
      <c r="Z17" s="136"/>
      <c r="AA17" s="136"/>
      <c r="AB17" s="136"/>
      <c r="AC17" s="136"/>
      <c r="AD17" s="136"/>
      <c r="AE17" s="136"/>
      <c r="AF17" s="136"/>
      <c r="AH17" s="136" t="s">
        <v>61</v>
      </c>
      <c r="AI17" s="136"/>
      <c r="AJ17" s="136"/>
      <c r="AK17" s="136"/>
      <c r="AL17" s="136"/>
      <c r="AM17" s="136"/>
      <c r="AN17" s="136"/>
      <c r="AO17" s="136"/>
      <c r="AP17" s="136"/>
      <c r="AQ17" s="136"/>
      <c r="AR17" s="136"/>
    </row>
    <row r="18" spans="2:44" x14ac:dyDescent="0.25">
      <c r="B18" s="2" t="s">
        <v>53</v>
      </c>
      <c r="C18" s="3"/>
      <c r="D18" s="57"/>
      <c r="E18" s="53"/>
      <c r="F18" s="53">
        <f>SUM('JV2'!J18,'JV2'!N18,'JV2'!R18)</f>
        <v>325391.14666666661</v>
      </c>
      <c r="G18" s="53">
        <f>SUM('JV2'!K18,'JV2'!O18,'JV2'!S18)</f>
        <v>484685.22666666663</v>
      </c>
      <c r="H18" s="53">
        <f>SUM('JV2'!L18,'JV2'!P18,'JV2'!T18)</f>
        <v>635203.36</v>
      </c>
      <c r="J18" s="53" cm="1">
        <f t="array" ref="J18">_xlfn.LET(_xlpm.hours,_xlfn._TRO_TRAILING(Sites!$D:$G),_xlpm.states,ISNUMBER(SEARCH($J$19,_xlfn._TRO_TRAILING(Sites!$D:$D))),
_xlpm.years,ISNUMBER(SEARCH(J$20,Sites!$D$3:$G$3)),SUM(_xlfn._xlws.FILTER(_xlfn._xlws.FILTER(_xlpm.hours,_xlpm.states,0),_xlpm.years),0))</f>
        <v>173195.14666666667</v>
      </c>
      <c r="K18" s="53" cm="1">
        <f t="array" ref="K18">_xlfn.LET(_xlpm.hours,_xlfn._TRO_TRAILING(Sites!$D:$G),
_xlpm.states,ISNUMBER(SEARCH($J$19,_xlfn._TRO_TRAILING(Sites!$D:$D))),
_xlpm.years,ISNUMBER(SEARCH(K$20,Sites!$D$3:$G$3)),
SUM(_xlfn._xlws.FILTER(_xlfn._xlws.FILTER(_xlpm.hours,_xlpm.states,0),_xlpm.years),0))</f>
        <v>219997.06666666665</v>
      </c>
      <c r="L18" s="53" cm="1">
        <f t="array" ref="L18">_xlfn.LET(_xlpm.hours,_xlfn._TRO_TRAILING(Sites!$D:$G),
_xlpm.states,ISNUMBER(SEARCH($J$19,_xlfn._TRO_TRAILING(Sites!$D:$D))),
_xlpm.years,ISNUMBER(SEARCH(L$20,Sites!$D$3:$G$3)),
SUM(_xlfn._xlws.FILTER(_xlfn._xlws.FILTER(_xlpm.hours,_xlpm.states,0),_xlpm.years),0))</f>
        <v>271873.65333333332</v>
      </c>
      <c r="N18" s="53" cm="1">
        <f t="array" ref="N18">_xlfn.LET(_xlpm.hours,_xlfn._TRO_TRAILING(Sites!$D:$G),_xlpm.states,ISNUMBER(SEARCH($N$19,_xlfn._TRO_TRAILING(Sites!$D:$D))),
_xlpm.years,ISNUMBER(SEARCH(N$20,Sites!$D$3:$G$3)),SUM(_xlfn._xlws.FILTER(_xlfn._xlws.FILTER(_xlpm.hours,_xlpm.states,0),_xlpm.years),0))</f>
        <v>123026.93333333331</v>
      </c>
      <c r="O18" s="53" cm="1">
        <f t="array" ref="O18">_xlfn.LET(_xlpm.hours,_xlfn._TRO_TRAILING(Sites!$D:$G),_xlpm.states,ISNUMBER(SEARCH($N$19,_xlfn._TRO_TRAILING(Sites!$D:$D))),
_xlpm.years,ISNUMBER(SEARCH(O$20,Sites!$D$3:$G$3)),SUM(_xlfn._xlws.FILTER(_xlfn._xlws.FILTER(_xlpm.hours,_xlpm.states,0),_xlpm.years),0))</f>
        <v>220392.47999999995</v>
      </c>
      <c r="P18" s="53" cm="1">
        <f t="array" ref="P18">_xlfn.LET(_xlpm.hours,_xlfn._TRO_TRAILING(Sites!$D:$G),_xlpm.states,ISNUMBER(SEARCH($N$19,_xlfn._TRO_TRAILING(Sites!$D:$D))),
_xlpm.years,ISNUMBER(SEARCH(P$20,Sites!$D$3:$G$3)),SUM(_xlfn._xlws.FILTER(_xlfn._xlws.FILTER(_xlpm.hours,_xlpm.states,0),_xlpm.years),0))</f>
        <v>310773.75999999995</v>
      </c>
      <c r="R18" s="53" cm="1">
        <f t="array" ref="R18">_xlfn.LET(_xlpm.hours,_xlfn._TRO_TRAILING(Sites!$D:$G),_xlpm.states,ISNUMBER(SEARCH($R$19,_xlfn._TRO_TRAILING(Sites!$D:$D))),
_xlpm.years,ISNUMBER(SEARCH(R$20,Sites!$D$3:$G$3)),SUM(_xlfn._xlws.FILTER(_xlfn._xlws.FILTER(_xlpm.hours,_xlpm.states,0),_xlpm.years),0))</f>
        <v>29169.066666666669</v>
      </c>
      <c r="S18" s="53" cm="1">
        <f t="array" ref="S18">_xlfn.LET(_xlpm.hours,_xlfn._TRO_TRAILING(Sites!$D:$G),_xlpm.states,ISNUMBER(SEARCH($R$19,_xlfn._TRO_TRAILING(Sites!$D:$D))),
_xlpm.years,ISNUMBER(SEARCH(S$20,Sites!$D$3:$G$3)),SUM(_xlfn._xlws.FILTER(_xlfn._xlws.FILTER(_xlpm.hours,_xlpm.states,0),_xlpm.years),0))</f>
        <v>44295.68</v>
      </c>
      <c r="T18" s="53" cm="1">
        <f t="array" ref="T18">_xlfn.LET(_xlpm.hours,_xlfn._TRO_TRAILING(Sites!$D:$G),_xlpm.states,ISNUMBER(SEARCH($R$19,_xlfn._TRO_TRAILING(Sites!$D:$D))),
_xlpm.years,ISNUMBER(SEARCH(T$20,Sites!$D$3:$G$3)),SUM(_xlfn._xlws.FILTER(_xlfn._xlws.FILTER(_xlpm.hours,_xlpm.states,0),_xlpm.years),0))</f>
        <v>52555.94666666667</v>
      </c>
      <c r="V18" s="53" cm="1">
        <f t="array" ref="V18">_xlfn.LET(_xlpm.hours,_xlfn._TRO_TRAILING(Sites!$D:$G),_xlpm.type,ISNUMBER(SEARCH($V$17,_xlfn._TRO_TRAILING(Sites!$C:$C))),_xlpm.states,ISNUMBER(SEARCH($V$19,_xlfn._TRO_TRAILING(Sites!$D:$D))),
_xlpm.years,ISNUMBER(SEARCH(V$20,Sites!$D$3:$G$3)),SUM(_xlfn._xlws.FILTER(_xlfn._xlws.FILTER(_xlpm.hours,_xlpm.states*_xlpm.type,0),_xlpm.years),0))</f>
        <v>53794.986666666671</v>
      </c>
      <c r="W18" s="53" cm="1">
        <f t="array" ref="W18">_xlfn.LET(_xlpm.hours,_xlfn._TRO_TRAILING(Sites!$D:$G),_xlpm.type,ISNUMBER(SEARCH($V$17,_xlfn._TRO_TRAILING(Sites!$C:$C))),_xlpm.states,ISNUMBER(SEARCH($V$19,_xlfn._TRO_TRAILING(Sites!$D:$D))),
_xlpm.years,ISNUMBER(SEARCH(W$20,Sites!$D$3:$G$3)),SUM(_xlfn._xlws.FILTER(_xlfn._xlws.FILTER(_xlpm.hours,_xlpm.states*_xlpm.type,0),_xlpm.years),0))</f>
        <v>61952</v>
      </c>
      <c r="X18" s="53" cm="1">
        <f t="array" ref="X18">_xlfn.LET(_xlpm.hours,_xlfn._TRO_TRAILING(Sites!$D:$G),_xlpm.type,ISNUMBER(SEARCH($V$17,_xlfn._TRO_TRAILING(Sites!$C:$C))),_xlpm.states,ISNUMBER(SEARCH($V$19,_xlfn._TRO_TRAILING(Sites!$D:$D))),
_xlpm.years,ISNUMBER(SEARCH(X$20,Sites!$D$3:$G$3)),SUM(_xlfn._xlws.FILTER(_xlfn._xlws.FILTER(_xlpm.hours,_xlpm.states*_xlpm.type,0),_xlpm.years),0))</f>
        <v>61952</v>
      </c>
      <c r="Z18" s="53" cm="1">
        <f t="array" ref="Z18">_xlfn.LET(_xlpm.hours,_xlfn._TRO_TRAILING(Sites!$D:$G),_xlpm.type,ISNUMBER(SEARCH($V$17,_xlfn._TRO_TRAILING(Sites!$C:$C))),_xlpm.states,ISNUMBER(SEARCH($Z$19,_xlfn._TRO_TRAILING(Sites!$D:$D))),
_xlpm.years,ISNUMBER(SEARCH(Z$20,Sites!$D$3:$G$3)),SUM(_xlfn._xlws.FILTER(_xlfn._xlws.FILTER(_xlpm.hours,_xlpm.states*_xlpm.type,0),_xlpm.years),0))</f>
        <v>70625.279999999999</v>
      </c>
      <c r="AA18" s="53" cm="1">
        <f t="array" ref="AA18">_xlfn.LET(_xlpm.hours,_xlfn._TRO_TRAILING(Sites!$D:$G),_xlpm.type,ISNUMBER(SEARCH($V$17,_xlfn._TRO_TRAILING(Sites!$C:$C))),_xlpm.states,ISNUMBER(SEARCH($Z$19,_xlfn._TRO_TRAILING(Sites!$D:$D))),
_xlpm.years,ISNUMBER(SEARCH(AA$20,Sites!$D$3:$G$3)),SUM(_xlfn._xlws.FILTER(_xlfn._xlws.FILTER(_xlpm.hours,_xlpm.states*_xlpm.type,0),_xlpm.years),0))</f>
        <v>91121.066666666666</v>
      </c>
      <c r="AB18" s="53" cm="1">
        <f t="array" ref="AB18">_xlfn.LET(_xlpm.hours,_xlfn._TRO_TRAILING(Sites!$D:$G),_xlpm.type,ISNUMBER(SEARCH($V$17,_xlfn._TRO_TRAILING(Sites!$C:$C))),_xlpm.states,ISNUMBER(SEARCH($Z$19,_xlfn._TRO_TRAILING(Sites!$D:$D))),
_xlpm.years,ISNUMBER(SEARCH(AB$20,Sites!$D$3:$G$3)),SUM(_xlfn._xlws.FILTER(_xlfn._xlws.FILTER(_xlpm.hours,_xlpm.states*_xlpm.type,0),_xlpm.years),0))</f>
        <v>111668.48</v>
      </c>
      <c r="AD18" s="53" cm="1">
        <f t="array" ref="AD18">_xlfn.LET(_xlpm.hours,_xlfn._TRO_TRAILING(Sites!$D:$G),_xlpm.type,ISNUMBER(SEARCH($V$17,_xlfn._TRO_TRAILING(Sites!$C:$C))),_xlpm.states,ISNUMBER(SEARCH($AD$19,_xlfn._TRO_TRAILING(Sites!$D:$D))),
_xlpm.years,ISNUMBER(SEARCH(AD$20,Sites!$D$3:$G$3)),SUM(_xlfn._xlws.FILTER(_xlfn._xlws.FILTER(_xlpm.hours,_xlpm.states*_xlpm.type,0),_xlpm.years),0))</f>
        <v>29169.066666666669</v>
      </c>
      <c r="AE18" s="53" cm="1">
        <f t="array" ref="AE18">_xlfn.LET(_xlpm.hours,_xlfn._TRO_TRAILING(Sites!$D:$G),_xlpm.type,ISNUMBER(SEARCH($V$17,_xlfn._TRO_TRAILING(Sites!$C:$C))),_xlpm.states,ISNUMBER(SEARCH($AD$19,_xlfn._TRO_TRAILING(Sites!$D:$D))),
_xlpm.years,ISNUMBER(SEARCH(AE$20,Sites!$D$3:$G$3)),SUM(_xlfn._xlws.FILTER(_xlfn._xlws.FILTER(_xlpm.hours,_xlpm.states*_xlpm.type,0),_xlpm.years),0))</f>
        <v>44295.68</v>
      </c>
      <c r="AF18" s="53" cm="1">
        <f t="array" ref="AF18">_xlfn.LET(_xlpm.hours,_xlfn._TRO_TRAILING(Sites!$D:$G),_xlpm.type,ISNUMBER(SEARCH($V$17,_xlfn._TRO_TRAILING(Sites!$C:$C))),_xlpm.states,ISNUMBER(SEARCH($AD$19,_xlfn._TRO_TRAILING(Sites!$D:$D))),
_xlpm.years,ISNUMBER(SEARCH(AF$20,Sites!$D$3:$G$3)),SUM(_xlfn._xlws.FILTER(_xlfn._xlws.FILTER(_xlpm.hours,_xlpm.states*_xlpm.type,0),_xlpm.years),0))</f>
        <v>52555.94666666667</v>
      </c>
      <c r="AH18" s="53" cm="1">
        <f t="array" ref="AH18">_xlfn.LET(_xlpm.hours,_xlfn._TRO_TRAILING(Sites!$D:$G),_xlpm.type,ISNUMBER(SEARCH($AH$17,_xlfn._TRO_TRAILING(Sites!$C:$C))),_xlpm.states,ISNUMBER(SEARCH($AH$19,_xlfn._TRO_TRAILING(Sites!$D:$D))),
_xlpm.years,ISNUMBER(SEARCH(AH$20,Sites!$D$3:$G$3)),SUM(_xlfn._xlws.FILTER(_xlfn._xlws.FILTER(_xlpm.hours,_xlpm.states*_xlpm.type,0),_xlpm.years),0))</f>
        <v>119400.16</v>
      </c>
      <c r="AI18" s="53" cm="1">
        <f t="array" ref="AI18">_xlfn.LET(_xlpm.hours,_xlfn._TRO_TRAILING(Sites!$D:$G),_xlpm.type,ISNUMBER(SEARCH($AH$17,_xlfn._TRO_TRAILING(Sites!$C:$C))),_xlpm.states,ISNUMBER(SEARCH($AH$19,_xlfn._TRO_TRAILING(Sites!$D:$D))),
_xlpm.years,ISNUMBER(SEARCH(AI$20,Sites!$D$3:$G$3)),SUM(_xlfn._xlws.FILTER(_xlfn._xlws.FILTER(_xlpm.hours,_xlpm.states*_xlpm.type,0),_xlpm.years),0))</f>
        <v>158045.06666666665</v>
      </c>
      <c r="AJ18" s="53" cm="1">
        <f t="array" ref="AJ18">_xlfn.LET(_xlpm.hours,_xlfn._TRO_TRAILING(Sites!$D:$G),_xlpm.type,ISNUMBER(SEARCH($AH$17,_xlfn._TRO_TRAILING(Sites!$C:$C))),_xlpm.states,ISNUMBER(SEARCH($AH$19,_xlfn._TRO_TRAILING(Sites!$D:$D))),
_xlpm.years,ISNUMBER(SEARCH(AJ$20,Sites!$D$3:$G$3)),SUM(_xlfn._xlws.FILTER(_xlfn._xlws.FILTER(_xlpm.hours,_xlpm.states*_xlpm.type,0),_xlpm.years),0))</f>
        <v>209921.65333333335</v>
      </c>
      <c r="AL18" s="53" cm="1">
        <f t="array" ref="AL18">_xlfn.LET(_xlpm.hours,_xlfn._TRO_TRAILING(Sites!$D:$G),_xlpm.type,ISNUMBER(SEARCH($AH$17,_xlfn._TRO_TRAILING(Sites!$C:$C))),_xlpm.states,ISNUMBER(SEARCH($AL$19,_xlfn._TRO_TRAILING(Sites!$D:$D))),
_xlpm.years,ISNUMBER(SEARCH(AL$20,Sites!$D$3:$G$3)),SUM(_xlfn._xlws.FILTER(_xlfn._xlws.FILTER(_xlpm.hours,_xlpm.states*_xlpm.type,0),_xlpm.years),0))</f>
        <v>52401.653333333306</v>
      </c>
      <c r="AM18" s="53" cm="1">
        <f t="array" ref="AM18">_xlfn.LET(_xlpm.hours,_xlfn._TRO_TRAILING(Sites!$D:$G),_xlpm.type,ISNUMBER(SEARCH($AH$17,_xlfn._TRO_TRAILING(Sites!$C:$C))),_xlpm.states,ISNUMBER(SEARCH($AL$19,_xlfn._TRO_TRAILING(Sites!$D:$D))),
_xlpm.years,ISNUMBER(SEARCH(AM$20,Sites!$D$3:$G$3)),SUM(_xlfn._xlws.FILTER(_xlfn._xlws.FILTER(_xlpm.hours,_xlpm.states*_xlpm.type,0),_xlpm.years),0))</f>
        <v>129271.41333333329</v>
      </c>
      <c r="AN18" s="53" cm="1">
        <f t="array" ref="AN18">_xlfn.LET(_xlpm.hours,_xlfn._TRO_TRAILING(Sites!$D:$G),_xlpm.type,ISNUMBER(SEARCH($AH$17,_xlfn._TRO_TRAILING(Sites!$C:$C))),_xlpm.states,ISNUMBER(SEARCH($AL$19,_xlfn._TRO_TRAILING(Sites!$D:$D))),
_xlpm.years,ISNUMBER(SEARCH(AN$20,Sites!$D$3:$G$3)),SUM(_xlfn._xlws.FILTER(_xlfn._xlws.FILTER(_xlpm.hours,_xlpm.states*_xlpm.type,0),_xlpm.years),0))</f>
        <v>199105.27999999991</v>
      </c>
      <c r="AP18" s="53" cm="1">
        <f t="array" ref="AP18">_xlfn.LET(_xlpm.hours,_xlfn._TRO_TRAILING(Sites!$D:$G),_xlpm.type,ISNUMBER(SEARCH($AH$17,_xlfn._TRO_TRAILING(Sites!$C:$C))),_xlpm.states,ISNUMBER(SEARCH($AP$19,_xlfn._TRO_TRAILING(Sites!$D:$D))),
_xlpm.years,ISNUMBER(SEARCH(AP$20,Sites!$D$3:$G$3)),
IFERROR(SUM(_xlfn._xlws.FILTER(_xlfn._xlws.FILTER(_xlpm.hours,_xlpm.states*_xlpm.type,0),_xlpm.years),0),0))</f>
        <v>0</v>
      </c>
      <c r="AQ18" s="53" cm="1">
        <f t="array" ref="AQ18">_xlfn.LET(_xlpm.hours,_xlfn._TRO_TRAILING(Sites!$D:$G),_xlpm.type,ISNUMBER(SEARCH($AH$17,_xlfn._TRO_TRAILING(Sites!$C:$C))),_xlpm.states,ISNUMBER(SEARCH($AP$19,_xlfn._TRO_TRAILING(Sites!$D:$D))),
_xlpm.years,ISNUMBER(SEARCH(AQ$20,Sites!$D$3:$G$3)),
IFERROR(SUM(_xlfn._xlws.FILTER(_xlfn._xlws.FILTER(_xlpm.hours,_xlpm.states*_xlpm.type,0),_xlpm.years),0),0))</f>
        <v>0</v>
      </c>
      <c r="AR18" s="53" cm="1">
        <f t="array" ref="AR18">_xlfn.LET(_xlpm.hours,_xlfn._TRO_TRAILING(Sites!$D:$G),_xlpm.type,ISNUMBER(SEARCH($AH$17,_xlfn._TRO_TRAILING(Sites!$C:$C))),_xlpm.states,ISNUMBER(SEARCH($AP$19,_xlfn._TRO_TRAILING(Sites!$D:$D))),
_xlpm.years,ISNUMBER(SEARCH(AR$20,Sites!$D$3:$G$3)),
IFERROR(SUM(_xlfn._xlws.FILTER(_xlfn._xlws.FILTER(_xlpm.hours,_xlpm.states*_xlpm.type,0),_xlpm.years),0),0))</f>
        <v>0</v>
      </c>
    </row>
    <row r="19" spans="2:44" x14ac:dyDescent="0.25">
      <c r="F19" s="70" t="s">
        <v>15</v>
      </c>
      <c r="G19" s="70"/>
      <c r="H19" s="70"/>
      <c r="J19" s="70" t="s">
        <v>32</v>
      </c>
      <c r="K19" s="70"/>
      <c r="L19" s="70"/>
      <c r="N19" s="70" t="s">
        <v>35</v>
      </c>
      <c r="O19" s="70"/>
      <c r="P19" s="70"/>
      <c r="R19" s="70" t="s">
        <v>37</v>
      </c>
      <c r="S19" s="70"/>
      <c r="T19" s="70"/>
      <c r="V19" s="138" t="s">
        <v>32</v>
      </c>
      <c r="W19" s="138"/>
      <c r="X19" s="138"/>
      <c r="Z19" s="140" t="s">
        <v>35</v>
      </c>
      <c r="AA19" s="140"/>
      <c r="AB19" s="140"/>
      <c r="AD19" s="139" t="s">
        <v>37</v>
      </c>
      <c r="AE19" s="139"/>
      <c r="AF19" s="139"/>
      <c r="AH19" s="138" t="s">
        <v>32</v>
      </c>
      <c r="AI19" s="138"/>
      <c r="AJ19" s="138"/>
      <c r="AL19" s="140" t="s">
        <v>35</v>
      </c>
      <c r="AM19" s="140"/>
      <c r="AN19" s="140"/>
      <c r="AP19" s="139" t="s">
        <v>37</v>
      </c>
      <c r="AQ19" s="139"/>
      <c r="AR19" s="139"/>
    </row>
    <row r="20" spans="2:44" x14ac:dyDescent="0.25">
      <c r="B20" s="1" t="s">
        <v>21</v>
      </c>
      <c r="D20" s="64"/>
      <c r="E20" s="3"/>
      <c r="F20" s="76" cm="1">
        <f t="array" ref="F20:H20">_xlfn.ANCHORARRAY('JV1'!$F$20)</f>
        <v>2026</v>
      </c>
      <c r="G20" s="76">
        <v>2027</v>
      </c>
      <c r="H20" s="76">
        <v>2028</v>
      </c>
      <c r="J20" s="76" cm="1">
        <f t="array" ref="J20:L20">_xlfn.ANCHORARRAY('JV1'!$N$20)</f>
        <v>2026</v>
      </c>
      <c r="K20" s="76">
        <v>2027</v>
      </c>
      <c r="L20" s="76">
        <v>2028</v>
      </c>
      <c r="N20" s="76" cm="1">
        <f t="array" ref="N20:P20">_xlfn.ANCHORARRAY('JV1'!$N$20)</f>
        <v>2026</v>
      </c>
      <c r="O20" s="76">
        <v>2027</v>
      </c>
      <c r="P20" s="76">
        <v>2028</v>
      </c>
      <c r="R20" s="76" cm="1">
        <f t="array" ref="R20:T20">_xlfn.ANCHORARRAY('JV1'!$N$20)</f>
        <v>2026</v>
      </c>
      <c r="S20" s="76">
        <v>2027</v>
      </c>
      <c r="T20" s="76">
        <v>2028</v>
      </c>
      <c r="V20" s="76" cm="1">
        <f t="array" ref="V20:X20">_xlfn.ANCHORARRAY('JV1'!$F$20)</f>
        <v>2026</v>
      </c>
      <c r="W20" s="76">
        <v>2027</v>
      </c>
      <c r="X20" s="76">
        <v>2028</v>
      </c>
      <c r="Z20" s="76" cm="1">
        <f t="array" ref="Z20:AB20">_xlfn.ANCHORARRAY('JV1'!$F$20)</f>
        <v>2026</v>
      </c>
      <c r="AA20" s="76">
        <v>2027</v>
      </c>
      <c r="AB20" s="76">
        <v>2028</v>
      </c>
      <c r="AD20" s="76" cm="1">
        <f t="array" ref="AD20:AF20">_xlfn.ANCHORARRAY('JV1'!$F$20)</f>
        <v>2026</v>
      </c>
      <c r="AE20" s="76">
        <v>2027</v>
      </c>
      <c r="AF20" s="76">
        <v>2028</v>
      </c>
      <c r="AH20" s="76" cm="1">
        <f t="array" ref="AH20:AJ20">_xlfn.ANCHORARRAY('JV1'!$F$20)</f>
        <v>2026</v>
      </c>
      <c r="AI20" s="76">
        <v>2027</v>
      </c>
      <c r="AJ20" s="76">
        <v>2028</v>
      </c>
      <c r="AL20" s="76" cm="1">
        <f t="array" ref="AL20:AN20">_xlfn.ANCHORARRAY('JV1'!$F$20)</f>
        <v>2026</v>
      </c>
      <c r="AM20" s="76">
        <v>2027</v>
      </c>
      <c r="AN20" s="76">
        <v>2028</v>
      </c>
      <c r="AP20" s="76" cm="1">
        <f t="array" ref="AP20:AR20">_xlfn.ANCHORARRAY('JV1'!$F$20)</f>
        <v>2026</v>
      </c>
      <c r="AQ20" s="76">
        <v>2027</v>
      </c>
      <c r="AR20" s="76">
        <v>2028</v>
      </c>
    </row>
    <row r="21" spans="2:44" outlineLevel="1" x14ac:dyDescent="0.25">
      <c r="B21" s="39" t="s">
        <v>379</v>
      </c>
      <c r="D21" s="105"/>
      <c r="F21" s="67">
        <f>J21+N21+R21</f>
        <v>23859318.424889993</v>
      </c>
      <c r="G21" s="67">
        <f t="shared" ref="G21:G31" si="10">K21+O21+S21</f>
        <v>36315874.53917639</v>
      </c>
      <c r="H21" s="67">
        <f t="shared" ref="H21:H31" si="11">L21+P21+T21</f>
        <v>47329927.726866871</v>
      </c>
      <c r="J21" s="67">
        <f>V21+AH21</f>
        <v>12769116.314291999</v>
      </c>
      <c r="K21" s="67">
        <f t="shared" ref="K21:K31" si="12">W21+AI21</f>
        <v>16676196.0075828</v>
      </c>
      <c r="L21" s="67">
        <f t="shared" ref="L21:L31" si="13">X21+AJ21</f>
        <v>20539698.420936238</v>
      </c>
      <c r="N21" s="67">
        <f t="shared" ref="N21:P31" si="14">Z21+AL21</f>
        <v>8721319.5198479984</v>
      </c>
      <c r="O21" s="67">
        <f t="shared" si="14"/>
        <v>15934410.742656587</v>
      </c>
      <c r="P21" s="67">
        <f t="shared" si="14"/>
        <v>22394002.488753632</v>
      </c>
      <c r="R21" s="67">
        <f t="shared" ref="R21:T31" si="15">AD21+AP21</f>
        <v>2368882.590749999</v>
      </c>
      <c r="S21" s="67">
        <f t="shared" si="15"/>
        <v>3705267.7889369987</v>
      </c>
      <c r="T21" s="67">
        <f t="shared" si="15"/>
        <v>4396226.8171769986</v>
      </c>
      <c r="V21" s="67" cm="1">
        <f t="array" ref="V21">_xlfn.LET(_xlpm.hours,_xlfn._TRO_TRAILING(Sites!$BE:$BG),_xlpm.type,ISNUMBER(SEARCH($V$17,_xlfn._TRO_TRAILING(Sites!$C:$C))),
_xlpm.states,ISNUMBER(SEARCH($V$19,_xlfn._TRO_TRAILING(Sites!$D:$D))),
_xlpm.years,ISNUMBER(SEARCH(V$20,Sites!$M$3:$O$3)),
SUM(_xlfn._xlws.FILTER(_xlfn._xlws.FILTER(_xlpm.hours,_xlpm.states*_xlpm.type,0),_xlpm.years),0))</f>
        <v>4135803.4649879988</v>
      </c>
      <c r="W21" s="67" cm="1">
        <f t="array" ref="W21">_xlfn.LET(_xlpm.hours,_xlfn._TRO_TRAILING(Sites!$BE:$BG),_xlpm.type,ISNUMBER(SEARCH($V$17,_xlfn._TRO_TRAILING(Sites!$C:$C))),
_xlpm.states,ISNUMBER(SEARCH($V$19,_xlfn._TRO_TRAILING(Sites!$D:$D))),
_xlpm.years,ISNUMBER(SEARCH(W$20,Sites!$M$3:$O$3)),
SUM(_xlfn._xlws.FILTER(_xlfn._xlws.FILTER(_xlpm.hours,_xlpm.states*_xlpm.type,0),_xlpm.years),0))</f>
        <v>4905809.1005039997</v>
      </c>
      <c r="X21" s="67" cm="1">
        <f t="array" ref="X21">_xlfn.LET(_xlpm.hours,_xlfn._TRO_TRAILING(Sites!$BE:$BG),_xlpm.type,ISNUMBER(SEARCH($V$17,_xlfn._TRO_TRAILING(Sites!$C:$C))),
_xlpm.states,ISNUMBER(SEARCH($V$19,_xlfn._TRO_TRAILING(Sites!$D:$D))),
_xlpm.years,ISNUMBER(SEARCH(X$20,Sites!$M$3:$O$3)),
SUM(_xlfn._xlws.FILTER(_xlfn._xlws.FILTER(_xlpm.hours,_xlpm.states*_xlpm.type,0),_xlpm.years),0))</f>
        <v>4905809.1005039997</v>
      </c>
      <c r="Z21" s="67" cm="1">
        <f t="array" ref="Z21">_xlfn.LET(_xlpm.hours,_xlfn._TRO_TRAILING(Sites!$BE:$BG),_xlpm.type,ISNUMBER(SEARCH($V$17,_xlfn._TRO_TRAILING(Sites!$C:$C))),
_xlpm.states,ISNUMBER(SEARCH($Z$19,_xlfn._TRO_TRAILING(Sites!$D:$D))),
_xlpm.years,ISNUMBER(SEARCH(Z$20,Sites!$M$3:$O$3)),
SUM(_xlfn._xlws.FILTER(_xlfn._xlws.FILTER(_xlpm.hours,_xlpm.states*_xlpm.type,0),_xlpm.years),0))</f>
        <v>5136795.1586015997</v>
      </c>
      <c r="AA21" s="67" cm="1">
        <f t="array" ref="AA21">_xlfn.LET(_xlpm.hours,_xlfn._TRO_TRAILING(Sites!$BE:$BG),_xlpm.type,ISNUMBER(SEARCH($V$17,_xlfn._TRO_TRAILING(Sites!$C:$C))),
_xlpm.states,ISNUMBER(SEARCH($Z$19,_xlfn._TRO_TRAILING(Sites!$D:$D))),
_xlpm.years,ISNUMBER(SEARCH(AA$20,Sites!$M$3:$O$3)),
SUM(_xlfn._xlws.FILTER(_xlfn._xlws.FILTER(_xlpm.hours,_xlpm.states*_xlpm.type,0),_xlpm.years),0))</f>
        <v>6826342.6597805396</v>
      </c>
      <c r="AB21" s="67" cm="1">
        <f t="array" ref="AB21">_xlfn.LET(_xlpm.hours,_xlfn._TRO_TRAILING(Sites!$BE:$BG),_xlpm.type,ISNUMBER(SEARCH($V$17,_xlfn._TRO_TRAILING(Sites!$C:$C))),
_xlpm.states,ISNUMBER(SEARCH($Z$19,_xlfn._TRO_TRAILING(Sites!$D:$D))),
_xlpm.years,ISNUMBER(SEARCH(AB$20,Sites!$M$3:$O$3)),
SUM(_xlfn._xlws.FILTER(_xlfn._xlws.FILTER(_xlpm.hours,_xlpm.states*_xlpm.type,0),_xlpm.years),0))</f>
        <v>8365653.9224392679</v>
      </c>
      <c r="AD21" s="67" cm="1">
        <f t="array" ref="AD21">_xlfn.LET(_xlpm.hours,_xlfn._TRO_TRAILING(Sites!$BE:$BG),_xlpm.type,ISNUMBER(SEARCH($V$17,_xlfn._TRO_TRAILING(Sites!$C:$C))),
_xlpm.states,ISNUMBER(SEARCH($AD$19,_xlfn._TRO_TRAILING(Sites!$D:$D))),
_xlpm.years,ISNUMBER(SEARCH(AD$20,Sites!$M$3:$O$3)),
SUM(_xlfn._xlws.FILTER(_xlfn._xlws.FILTER(_xlpm.hours,_xlpm.states*_xlpm.type,0),_xlpm.years),0))</f>
        <v>2368882.590749999</v>
      </c>
      <c r="AE21" s="67" cm="1">
        <f t="array" ref="AE21">_xlfn.LET(_xlpm.hours,_xlfn._TRO_TRAILING(Sites!$BE:$BG),_xlpm.type,ISNUMBER(SEARCH($V$17,_xlfn._TRO_TRAILING(Sites!$C:$C))),
_xlpm.states,ISNUMBER(SEARCH($AD$19,_xlfn._TRO_TRAILING(Sites!$D:$D))),
_xlpm.years,ISNUMBER(SEARCH(AE$20,Sites!$M$3:$O$3)),
SUM(_xlfn._xlws.FILTER(_xlfn._xlws.FILTER(_xlpm.hours,_xlpm.states*_xlpm.type,0),_xlpm.years),0))</f>
        <v>3705267.7889369987</v>
      </c>
      <c r="AF21" s="67" cm="1">
        <f t="array" ref="AF21">_xlfn.LET(_xlpm.hours,_xlfn._TRO_TRAILING(Sites!$BE:$BG),_xlpm.type,ISNUMBER(SEARCH($V$17,_xlfn._TRO_TRAILING(Sites!$C:$C))),
_xlpm.states,ISNUMBER(SEARCH($AD$19,_xlfn._TRO_TRAILING(Sites!$D:$D))),
_xlpm.years,ISNUMBER(SEARCH(AF$20,Sites!$M$3:$O$3)),
SUM(_xlfn._xlws.FILTER(_xlfn._xlws.FILTER(_xlpm.hours,_xlpm.states*_xlpm.type,0),_xlpm.years),0))</f>
        <v>4396226.8171769986</v>
      </c>
      <c r="AH21" s="67" cm="1">
        <f t="array" ref="AH21">_xlfn.LET(_xlpm.hours,_xlfn._TRO_TRAILING(Sites!$BE:$BG),_xlpm.type,ISNUMBER(SEARCH($AH$17,_xlfn._TRO_TRAILING(Sites!$C:$C))),
_xlpm.states,ISNUMBER(SEARCH($AH$19,_xlfn._TRO_TRAILING(Sites!$D:$D))),
_xlpm.years,ISNUMBER(SEARCH(AH$20,Sites!$M$3:$O$3)),
SUM(_xlfn._xlws.FILTER(_xlfn._xlws.FILTER(_xlpm.hours,_xlpm.states*_xlpm.type,0),_xlpm.years),0))</f>
        <v>8633312.8493039999</v>
      </c>
      <c r="AI21" s="67" cm="1">
        <f t="array" ref="AI21">_xlfn.LET(_xlpm.hours,_xlfn._TRO_TRAILING(Sites!$BE:$BG),_xlpm.type,ISNUMBER(SEARCH($AH$17,_xlfn._TRO_TRAILING(Sites!$C:$C))),
_xlpm.states,ISNUMBER(SEARCH($AH$19,_xlfn._TRO_TRAILING(Sites!$D:$D))),
_xlpm.years,ISNUMBER(SEARCH(AI$20,Sites!$M$3:$O$3)),
SUM(_xlfn._xlws.FILTER(_xlfn._xlws.FILTER(_xlpm.hours,_xlpm.states*_xlpm.type,0),_xlpm.years),0))</f>
        <v>11770386.907078801</v>
      </c>
      <c r="AJ21" s="67" cm="1">
        <f t="array" ref="AJ21">_xlfn.LET(_xlpm.hours,_xlfn._TRO_TRAILING(Sites!$BE:$BG),_xlpm.type,ISNUMBER(SEARCH($AH$17,_xlfn._TRO_TRAILING(Sites!$C:$C))),
_xlpm.states,ISNUMBER(SEARCH($AH$19,_xlfn._TRO_TRAILING(Sites!$D:$D))),
_xlpm.years,ISNUMBER(SEARCH(AJ$20,Sites!$M$3:$O$3)),
SUM(_xlfn._xlws.FILTER(_xlfn._xlws.FILTER(_xlpm.hours,_xlpm.states*_xlpm.type,0),_xlpm.years),0))</f>
        <v>15633889.320432238</v>
      </c>
      <c r="AL21" s="67" cm="1">
        <f t="array" ref="AL21">_xlfn.LET(_xlpm.hours,_xlfn._TRO_TRAILING(Sites!$BE:$BG),_xlpm.type,ISNUMBER(SEARCH($AH$17,_xlfn._TRO_TRAILING(Sites!$C:$C))),
_xlpm.states,ISNUMBER(SEARCH($AL$19,_xlfn._TRO_TRAILING(Sites!$D:$D))),
_xlpm.years,ISNUMBER(SEARCH(AL$20,Sites!$M$3:$O$3)),
SUM(_xlfn._xlws.FILTER(_xlfn._xlws.FILTER(_xlpm.hours,_xlpm.states*_xlpm.type,0),_xlpm.years),0))</f>
        <v>3584524.3612463991</v>
      </c>
      <c r="AM21" s="67" cm="1">
        <f t="array" ref="AM21">_xlfn.LET(_xlpm.hours,_xlfn._TRO_TRAILING(Sites!$BE:$BG),_xlpm.type,ISNUMBER(SEARCH($AH$17,_xlfn._TRO_TRAILING(Sites!$C:$C))),
_xlpm.states,ISNUMBER(SEARCH($AL$19,_xlfn._TRO_TRAILING(Sites!$D:$D))),
_xlpm.years,ISNUMBER(SEARCH(AM$20,Sites!$M$3:$O$3)),
SUM(_xlfn._xlws.FILTER(_xlfn._xlws.FILTER(_xlpm.hours,_xlpm.states*_xlpm.type,0),_xlpm.years),0))</f>
        <v>9108068.0828760471</v>
      </c>
      <c r="AN21" s="67" cm="1">
        <f t="array" ref="AN21">_xlfn.LET(_xlpm.hours,_xlfn._TRO_TRAILING(Sites!$BE:$BG),_xlpm.type,ISNUMBER(SEARCH($AH$17,_xlfn._TRO_TRAILING(Sites!$C:$C))),
_xlpm.states,ISNUMBER(SEARCH($AL$19,_xlfn._TRO_TRAILING(Sites!$D:$D))),
_xlpm.years,ISNUMBER(SEARCH(AN$20,Sites!$M$3:$O$3)),
SUM(_xlfn._xlws.FILTER(_xlfn._xlws.FILTER(_xlpm.hours,_xlpm.states*_xlpm.type,0),_xlpm.years),0))</f>
        <v>14028348.566314366</v>
      </c>
      <c r="AP21" s="67" cm="1">
        <f t="array" ref="AP21">_xlfn.LET(_xlpm.hours,_xlfn._TRO_TRAILING(Sites!$BE:$BG),_xlpm.type,ISNUMBER(SEARCH($AH$17,_xlfn._TRO_TRAILING(Sites!$C:$C))),
_xlpm.states,ISNUMBER(SEARCH($AP$19,_xlfn._TRO_TRAILING(Sites!$D:$D))),
_xlpm.years,ISNUMBER(SEARCH(AP$20,Sites!$AK$3:$AM$3)),
IFERROR(SUM(_xlfn._xlws.FILTER(_xlfn._xlws.FILTER(_xlpm.hours,_xlpm.states*_xlpm.type,0),_xlpm.years),0),0))</f>
        <v>0</v>
      </c>
      <c r="AQ21" s="67" cm="1">
        <f t="array" ref="AQ21">_xlfn.LET(_xlpm.hours,_xlfn._TRO_TRAILING(Sites!$BE:$BG),_xlpm.type,ISNUMBER(SEARCH($AH$17,_xlfn._TRO_TRAILING(Sites!$C:$C))),
_xlpm.states,ISNUMBER(SEARCH($AP$19,_xlfn._TRO_TRAILING(Sites!$D:$D))),
_xlpm.years,ISNUMBER(SEARCH(AQ$20,Sites!$AK$3:$AM$3)),
IFERROR(SUM(_xlfn._xlws.FILTER(_xlfn._xlws.FILTER(_xlpm.hours,_xlpm.states*_xlpm.type,0),_xlpm.years),0),0))</f>
        <v>0</v>
      </c>
      <c r="AR21" s="67" cm="1">
        <f t="array" ref="AR21">_xlfn.LET(_xlpm.hours,_xlfn._TRO_TRAILING(Sites!$BE:$BG),_xlpm.type,ISNUMBER(SEARCH($AH$17,_xlfn._TRO_TRAILING(Sites!$C:$C))),
_xlpm.states,ISNUMBER(SEARCH($AP$19,_xlfn._TRO_TRAILING(Sites!$D:$D))),
_xlpm.years,ISNUMBER(SEARCH(AR$20,Sites!$AK$3:$AM$3)),
IFERROR(SUM(_xlfn._xlws.FILTER(_xlfn._xlws.FILTER(_xlpm.hours,_xlpm.states*_xlpm.type,0),_xlpm.years),0),0))</f>
        <v>0</v>
      </c>
    </row>
    <row r="22" spans="2:44" outlineLevel="1" x14ac:dyDescent="0.25">
      <c r="B22" s="39" t="s">
        <v>380</v>
      </c>
      <c r="D22" s="105"/>
      <c r="F22" s="67">
        <f t="shared" ref="F22:F31" si="16">J22+N22+R22</f>
        <v>1257164.7347306665</v>
      </c>
      <c r="G22" s="67">
        <f t="shared" si="10"/>
        <v>2523278.4293114664</v>
      </c>
      <c r="H22" s="67">
        <f t="shared" si="11"/>
        <v>3721681.6895398395</v>
      </c>
      <c r="J22" s="67">
        <f t="shared" ref="J22:J31" si="17">V22+AH22</f>
        <v>569904.2768639999</v>
      </c>
      <c r="K22" s="67">
        <f t="shared" si="12"/>
        <v>776989.54686079989</v>
      </c>
      <c r="L22" s="67">
        <f t="shared" si="13"/>
        <v>1032027.9761958397</v>
      </c>
      <c r="N22" s="67">
        <f t="shared" si="14"/>
        <v>687260.45786666649</v>
      </c>
      <c r="O22" s="67">
        <f t="shared" si="14"/>
        <v>1746288.8824506665</v>
      </c>
      <c r="P22" s="67">
        <f t="shared" si="14"/>
        <v>2689653.7133439998</v>
      </c>
      <c r="R22" s="67">
        <f t="shared" si="15"/>
        <v>0</v>
      </c>
      <c r="S22" s="67">
        <f t="shared" si="15"/>
        <v>0</v>
      </c>
      <c r="T22" s="67">
        <f t="shared" si="15"/>
        <v>0</v>
      </c>
      <c r="V22" s="67" cm="1">
        <f t="array" ref="V22">_xlfn.LET(_xlpm.hours,_xlfn._TRO_TRAILING(Sites!$BI:$BK),_xlpm.type,ISNUMBER(SEARCH($V$17,_xlfn._TRO_TRAILING(Sites!$C:$C))),
_xlpm.states,ISNUMBER(SEARCH($V$19,_xlfn._TRO_TRAILING(Sites!$D:$D))),
_xlpm.years,ISNUMBER(SEARCH(V$20,Sites!$M$3:$O$3)),
SUM(_xlfn._xlws.FILTER(_xlfn._xlws.FILTER(_xlpm.hours,_xlpm.states*_xlpm.type,0),_xlpm.years),0))</f>
        <v>0</v>
      </c>
      <c r="W22" s="67" cm="1">
        <f t="array" ref="W22">_xlfn.LET(_xlpm.hours,_xlfn._TRO_TRAILING(Sites!$BI:$BK),_xlpm.type,ISNUMBER(SEARCH($V$17,_xlfn._TRO_TRAILING(Sites!$C:$C))),
_xlpm.states,ISNUMBER(SEARCH($V$19,_xlfn._TRO_TRAILING(Sites!$D:$D))),
_xlpm.years,ISNUMBER(SEARCH(W$20,Sites!$M$3:$O$3)),
SUM(_xlfn._xlws.FILTER(_xlfn._xlws.FILTER(_xlpm.hours,_xlpm.states*_xlpm.type,0),_xlpm.years),0))</f>
        <v>0</v>
      </c>
      <c r="X22" s="67" cm="1">
        <f t="array" ref="X22">_xlfn.LET(_xlpm.hours,_xlfn._TRO_TRAILING(Sites!$BI:$BK),_xlpm.type,ISNUMBER(SEARCH($V$17,_xlfn._TRO_TRAILING(Sites!$C:$C))),
_xlpm.states,ISNUMBER(SEARCH($V$19,_xlfn._TRO_TRAILING(Sites!$D:$D))),
_xlpm.years,ISNUMBER(SEARCH(X$20,Sites!$M$3:$O$3)),
SUM(_xlfn._xlws.FILTER(_xlfn._xlws.FILTER(_xlpm.hours,_xlpm.states*_xlpm.type,0),_xlpm.years),0))</f>
        <v>0</v>
      </c>
      <c r="Z22" s="67" cm="1">
        <f t="array" ref="Z22">_xlfn.LET(_xlpm.hours,_xlfn._TRO_TRAILING(Sites!$BI:$BK),_xlpm.type,ISNUMBER(SEARCH($V$17,_xlfn._TRO_TRAILING(Sites!$C:$C))),
_xlpm.states,ISNUMBER(SEARCH($Z$19,_xlfn._TRO_TRAILING(Sites!$D:$D))),
_xlpm.years,ISNUMBER(SEARCH(Z$20,Sites!$M$3:$O$3)),
SUM(_xlfn._xlws.FILTER(_xlfn._xlws.FILTER(_xlpm.hours,_xlpm.states*_xlpm.type,0),_xlpm.years),0))</f>
        <v>0</v>
      </c>
      <c r="AA22" s="67" cm="1">
        <f t="array" ref="AA22">_xlfn.LET(_xlpm.hours,_xlfn._TRO_TRAILING(Sites!$BI:$BK),_xlpm.type,ISNUMBER(SEARCH($V$17,_xlfn._TRO_TRAILING(Sites!$C:$C))),
_xlpm.states,ISNUMBER(SEARCH($Z$19,_xlfn._TRO_TRAILING(Sites!$D:$D))),
_xlpm.years,ISNUMBER(SEARCH(AA$20,Sites!$M$3:$O$3)),
SUM(_xlfn._xlws.FILTER(_xlfn._xlws.FILTER(_xlpm.hours,_xlpm.states*_xlpm.type,0),_xlpm.years),0))</f>
        <v>0</v>
      </c>
      <c r="AB22" s="67" cm="1">
        <f t="array" ref="AB22">_xlfn.LET(_xlpm.hours,_xlfn._TRO_TRAILING(Sites!$BI:$BK),_xlpm.type,ISNUMBER(SEARCH($V$17,_xlfn._TRO_TRAILING(Sites!$C:$C))),
_xlpm.states,ISNUMBER(SEARCH($Z$19,_xlfn._TRO_TRAILING(Sites!$D:$D))),
_xlpm.years,ISNUMBER(SEARCH(AB$20,Sites!$M$3:$O$3)),
SUM(_xlfn._xlws.FILTER(_xlfn._xlws.FILTER(_xlpm.hours,_xlpm.states*_xlpm.type,0),_xlpm.years),0))</f>
        <v>0</v>
      </c>
      <c r="AD22" s="67" cm="1">
        <f t="array" ref="AD22">_xlfn.LET(_xlpm.hours,_xlfn._TRO_TRAILING(Sites!$BI:$BK),_xlpm.type,ISNUMBER(SEARCH($V$17,_xlfn._TRO_TRAILING(Sites!$C:$C))),
_xlpm.states,ISNUMBER(SEARCH($AD$19,_xlfn._TRO_TRAILING(Sites!$D:$D))),
_xlpm.years,ISNUMBER(SEARCH(AD$20,Sites!$M$3:$O$3)),
SUM(_xlfn._xlws.FILTER(_xlfn._xlws.FILTER(_xlpm.hours,_xlpm.states*_xlpm.type,0),_xlpm.years),0))</f>
        <v>0</v>
      </c>
      <c r="AE22" s="67" cm="1">
        <f t="array" ref="AE22">_xlfn.LET(_xlpm.hours,_xlfn._TRO_TRAILING(Sites!$BI:$BK),_xlpm.type,ISNUMBER(SEARCH($V$17,_xlfn._TRO_TRAILING(Sites!$C:$C))),
_xlpm.states,ISNUMBER(SEARCH($AD$19,_xlfn._TRO_TRAILING(Sites!$D:$D))),
_xlpm.years,ISNUMBER(SEARCH(AE$20,Sites!$M$3:$O$3)),
SUM(_xlfn._xlws.FILTER(_xlfn._xlws.FILTER(_xlpm.hours,_xlpm.states*_xlpm.type,0),_xlpm.years),0))</f>
        <v>0</v>
      </c>
      <c r="AF22" s="67" cm="1">
        <f t="array" ref="AF22">_xlfn.LET(_xlpm.hours,_xlfn._TRO_TRAILING(Sites!$BI:$BK),_xlpm.type,ISNUMBER(SEARCH($V$17,_xlfn._TRO_TRAILING(Sites!$C:$C))),
_xlpm.states,ISNUMBER(SEARCH($AD$19,_xlfn._TRO_TRAILING(Sites!$D:$D))),
_xlpm.years,ISNUMBER(SEARCH(AF$20,Sites!$M$3:$O$3)),
SUM(_xlfn._xlws.FILTER(_xlfn._xlws.FILTER(_xlpm.hours,_xlpm.states*_xlpm.type,0),_xlpm.years),0))</f>
        <v>0</v>
      </c>
      <c r="AH22" s="67" cm="1">
        <f t="array" ref="AH22">_xlfn.LET(_xlpm.hours,_xlfn._TRO_TRAILING(Sites!$BI:$BK),_xlpm.type,ISNUMBER(SEARCH($AH$17,_xlfn._TRO_TRAILING(Sites!$C:$C))),
_xlpm.states,ISNUMBER(SEARCH($AH$19,_xlfn._TRO_TRAILING(Sites!$D:$D))),
_xlpm.years,ISNUMBER(SEARCH(AH$20,Sites!$M$3:$O$3)),
SUM(_xlfn._xlws.FILTER(_xlfn._xlws.FILTER(_xlpm.hours,_xlpm.states*_xlpm.type,0),_xlpm.years),0))</f>
        <v>569904.2768639999</v>
      </c>
      <c r="AI22" s="67" cm="1">
        <f t="array" ref="AI22">_xlfn.LET(_xlpm.hours,_xlfn._TRO_TRAILING(Sites!$BI:$BK),_xlpm.type,ISNUMBER(SEARCH($AH$17,_xlfn._TRO_TRAILING(Sites!$C:$C))),
_xlpm.states,ISNUMBER(SEARCH($AH$19,_xlfn._TRO_TRAILING(Sites!$D:$D))),
_xlpm.years,ISNUMBER(SEARCH(AI$20,Sites!$M$3:$O$3)),
SUM(_xlfn._xlws.FILTER(_xlfn._xlws.FILTER(_xlpm.hours,_xlpm.states*_xlpm.type,0),_xlpm.years),0))</f>
        <v>776989.54686079989</v>
      </c>
      <c r="AJ22" s="67" cm="1">
        <f t="array" ref="AJ22">_xlfn.LET(_xlpm.hours,_xlfn._TRO_TRAILING(Sites!$BI:$BK),_xlpm.type,ISNUMBER(SEARCH($AH$17,_xlfn._TRO_TRAILING(Sites!$C:$C))),
_xlpm.states,ISNUMBER(SEARCH($AH$19,_xlfn._TRO_TRAILING(Sites!$D:$D))),
_xlpm.years,ISNUMBER(SEARCH(AJ$20,Sites!$M$3:$O$3)),
SUM(_xlfn._xlws.FILTER(_xlfn._xlws.FILTER(_xlpm.hours,_xlpm.states*_xlpm.type,0),_xlpm.years),0))</f>
        <v>1032027.9761958397</v>
      </c>
      <c r="AL22" s="67" cm="1">
        <f t="array" ref="AL22">_xlfn.LET(_xlpm.hours,_xlfn._TRO_TRAILING(Sites!$BI:$BK),_xlpm.type,ISNUMBER(SEARCH($AH$17,_xlfn._TRO_TRAILING(Sites!$C:$C))),
_xlpm.states,ISNUMBER(SEARCH($AL$19,_xlfn._TRO_TRAILING(Sites!$D:$D))),
_xlpm.years,ISNUMBER(SEARCH(AL$20,Sites!$M$3:$O$3)),
SUM(_xlfn._xlws.FILTER(_xlfn._xlws.FILTER(_xlpm.hours,_xlpm.states*_xlpm.type,0),_xlpm.years),0))</f>
        <v>687260.45786666649</v>
      </c>
      <c r="AM22" s="67" cm="1">
        <f t="array" ref="AM22">_xlfn.LET(_xlpm.hours,_xlfn._TRO_TRAILING(Sites!$BI:$BK),_xlpm.type,ISNUMBER(SEARCH($AH$17,_xlfn._TRO_TRAILING(Sites!$C:$C))),
_xlpm.states,ISNUMBER(SEARCH($AL$19,_xlfn._TRO_TRAILING(Sites!$D:$D))),
_xlpm.years,ISNUMBER(SEARCH(AM$20,Sites!$M$3:$O$3)),
SUM(_xlfn._xlws.FILTER(_xlfn._xlws.FILTER(_xlpm.hours,_xlpm.states*_xlpm.type,0),_xlpm.years),0))</f>
        <v>1746288.8824506665</v>
      </c>
      <c r="AN22" s="67" cm="1">
        <f t="array" ref="AN22">_xlfn.LET(_xlpm.hours,_xlfn._TRO_TRAILING(Sites!$BI:$BK),_xlpm.type,ISNUMBER(SEARCH($AH$17,_xlfn._TRO_TRAILING(Sites!$C:$C))),
_xlpm.states,ISNUMBER(SEARCH($AL$19,_xlfn._TRO_TRAILING(Sites!$D:$D))),
_xlpm.years,ISNUMBER(SEARCH(AN$20,Sites!$M$3:$O$3)),
SUM(_xlfn._xlws.FILTER(_xlfn._xlws.FILTER(_xlpm.hours,_xlpm.states*_xlpm.type,0),_xlpm.years),0))</f>
        <v>2689653.7133439998</v>
      </c>
      <c r="AP22" s="67" cm="1">
        <f t="array" ref="AP22">_xlfn.LET(_xlpm.hours,_xlfn._TRO_TRAILING(Sites!$BI:$BK),_xlpm.type,ISNUMBER(SEARCH($AH$17,_xlfn._TRO_TRAILING(Sites!$C:$C))),
_xlpm.states,ISNUMBER(SEARCH($AP$19,_xlfn._TRO_TRAILING(Sites!$D:$D))),
_xlpm.years,ISNUMBER(SEARCH(AP$20,Sites!$AK$3:$AM$3)),
IFERROR(SUM(_xlfn._xlws.FILTER(_xlfn._xlws.FILTER(_xlpm.hours,_xlpm.states*_xlpm.type,0),_xlpm.years),0),0))</f>
        <v>0</v>
      </c>
      <c r="AQ22" s="67" cm="1">
        <f t="array" ref="AQ22">_xlfn.LET(_xlpm.hours,_xlfn._TRO_TRAILING(Sites!$BI:$BK),_xlpm.type,ISNUMBER(SEARCH($AH$17,_xlfn._TRO_TRAILING(Sites!$C:$C))),
_xlpm.states,ISNUMBER(SEARCH($AP$19,_xlfn._TRO_TRAILING(Sites!$D:$D))),
_xlpm.years,ISNUMBER(SEARCH(AQ$20,Sites!$AK$3:$AM$3)),
IFERROR(SUM(_xlfn._xlws.FILTER(_xlfn._xlws.FILTER(_xlpm.hours,_xlpm.states*_xlpm.type,0),_xlpm.years),0),0))</f>
        <v>0</v>
      </c>
      <c r="AR22" s="67" cm="1">
        <f t="array" ref="AR22">_xlfn.LET(_xlpm.hours,_xlfn._TRO_TRAILING(Sites!$BI:$BK),_xlpm.type,ISNUMBER(SEARCH($AH$17,_xlfn._TRO_TRAILING(Sites!$C:$C))),
_xlpm.states,ISNUMBER(SEARCH($AP$19,_xlfn._TRO_TRAILING(Sites!$D:$D))),
_xlpm.years,ISNUMBER(SEARCH(AR$20,Sites!$AK$3:$AM$3)),
IFERROR(SUM(_xlfn._xlws.FILTER(_xlfn._xlws.FILTER(_xlpm.hours,_xlpm.states*_xlpm.type,0),_xlpm.years),0),0))</f>
        <v>0</v>
      </c>
    </row>
    <row r="23" spans="2:44" outlineLevel="1" x14ac:dyDescent="0.25">
      <c r="B23" s="39" t="s">
        <v>381</v>
      </c>
      <c r="D23" s="105"/>
      <c r="F23" s="67">
        <f t="shared" si="16"/>
        <v>5705986.4343924001</v>
      </c>
      <c r="G23" s="67">
        <f t="shared" si="10"/>
        <v>8539680.4134071041</v>
      </c>
      <c r="H23" s="67">
        <f t="shared" si="11"/>
        <v>11082579.749760482</v>
      </c>
      <c r="J23" s="67">
        <f t="shared" si="17"/>
        <v>3433445.1197279999</v>
      </c>
      <c r="K23" s="67">
        <f t="shared" si="12"/>
        <v>4489881.8072004002</v>
      </c>
      <c r="L23" s="67">
        <f t="shared" si="13"/>
        <v>5543564.2835695203</v>
      </c>
      <c r="N23" s="67">
        <f t="shared" si="14"/>
        <v>1794187.2456143999</v>
      </c>
      <c r="O23" s="67">
        <f t="shared" si="14"/>
        <v>3301585.1106629046</v>
      </c>
      <c r="P23" s="67">
        <f t="shared" si="14"/>
        <v>4651274.9784711609</v>
      </c>
      <c r="R23" s="67">
        <f t="shared" si="15"/>
        <v>478354.06904999993</v>
      </c>
      <c r="S23" s="67">
        <f t="shared" si="15"/>
        <v>748213.49554380006</v>
      </c>
      <c r="T23" s="67">
        <f t="shared" si="15"/>
        <v>887740.48771980009</v>
      </c>
      <c r="V23" s="67" cm="1">
        <f t="array" ref="V23">_xlfn.LET(_xlpm.hours,_xlfn._TRO_TRAILING(Sites!$BM:$BO),_xlpm.type,ISNUMBER(SEARCH($V$17,_xlfn._TRO_TRAILING(Sites!$C:$C))),
_xlpm.states,ISNUMBER(SEARCH($V$19,_xlfn._TRO_TRAILING(Sites!$D:$D))),
_xlpm.years,ISNUMBER(SEARCH(V$20,Sites!$M$3:$O$3)),
SUM(_xlfn._xlws.FILTER(_xlfn._xlws.FILTER(_xlpm.hours,_xlpm.states*_xlpm.type,0),_xlpm.years),0))</f>
        <v>1078905.2517359999</v>
      </c>
      <c r="W23" s="67" cm="1">
        <f t="array" ref="W23">_xlfn.LET(_xlpm.hours,_xlfn._TRO_TRAILING(Sites!$BM:$BO),_xlpm.type,ISNUMBER(SEARCH($V$17,_xlfn._TRO_TRAILING(Sites!$C:$C))),
_xlpm.states,ISNUMBER(SEARCH($V$19,_xlfn._TRO_TRAILING(Sites!$D:$D))),
_xlpm.years,ISNUMBER(SEARCH(W$20,Sites!$M$3:$O$3)),
SUM(_xlfn._xlws.FILTER(_xlfn._xlws.FILTER(_xlpm.hours,_xlpm.states*_xlpm.type,0),_xlpm.years),0))</f>
        <v>1279776.2870879997</v>
      </c>
      <c r="X23" s="67" cm="1">
        <f t="array" ref="X23">_xlfn.LET(_xlpm.hours,_xlfn._TRO_TRAILING(Sites!$BM:$BO),_xlpm.type,ISNUMBER(SEARCH($V$17,_xlfn._TRO_TRAILING(Sites!$C:$C))),
_xlpm.states,ISNUMBER(SEARCH($V$19,_xlfn._TRO_TRAILING(Sites!$D:$D))),
_xlpm.years,ISNUMBER(SEARCH(X$20,Sites!$M$3:$O$3)),
SUM(_xlfn._xlws.FILTER(_xlfn._xlws.FILTER(_xlpm.hours,_xlpm.states*_xlpm.type,0),_xlpm.years),0))</f>
        <v>1279776.2870879997</v>
      </c>
      <c r="Z23" s="67" cm="1">
        <f t="array" ref="Z23">_xlfn.LET(_xlpm.hours,_xlfn._TRO_TRAILING(Sites!$BM:$BO),_xlpm.type,ISNUMBER(SEARCH($V$17,_xlfn._TRO_TRAILING(Sites!$C:$C))),
_xlpm.states,ISNUMBER(SEARCH($Z$19,_xlfn._TRO_TRAILING(Sites!$D:$D))),
_xlpm.years,ISNUMBER(SEARCH(Z$20,Sites!$M$3:$O$3)),
SUM(_xlfn._xlws.FILTER(_xlfn._xlws.FILTER(_xlpm.hours,_xlpm.states*_xlpm.type,0),_xlpm.years),0))</f>
        <v>1037382.9890111999</v>
      </c>
      <c r="AA23" s="67" cm="1">
        <f t="array" ref="AA23">_xlfn.LET(_xlpm.hours,_xlfn._TRO_TRAILING(Sites!$BM:$BO),_xlpm.type,ISNUMBER(SEARCH($V$17,_xlfn._TRO_TRAILING(Sites!$C:$C))),
_xlpm.states,ISNUMBER(SEARCH($Z$19,_xlfn._TRO_TRAILING(Sites!$D:$D))),
_xlpm.years,ISNUMBER(SEARCH(AA$20,Sites!$M$3:$O$3)),
SUM(_xlfn._xlws.FILTER(_xlfn._xlws.FILTER(_xlpm.hours,_xlpm.states*_xlpm.type,0),_xlpm.years),0))</f>
        <v>1378589.4772462801</v>
      </c>
      <c r="AB23" s="67" cm="1">
        <f t="array" ref="AB23">_xlfn.LET(_xlpm.hours,_xlfn._TRO_TRAILING(Sites!$BM:$BO),_xlpm.type,ISNUMBER(SEARCH($V$17,_xlfn._TRO_TRAILING(Sites!$C:$C))),
_xlpm.states,ISNUMBER(SEARCH($Z$19,_xlfn._TRO_TRAILING(Sites!$D:$D))),
_xlpm.years,ISNUMBER(SEARCH(AB$20,Sites!$M$3:$O$3)),
SUM(_xlfn._xlws.FILTER(_xlfn._xlws.FILTER(_xlpm.hours,_xlpm.states*_xlpm.type,0),_xlpm.years),0))</f>
        <v>1689455.5463363761</v>
      </c>
      <c r="AD23" s="67" cm="1">
        <f t="array" ref="AD23">_xlfn.LET(_xlpm.hours,_xlfn._TRO_TRAILING(Sites!$BM:$BO),_xlpm.type,ISNUMBER(SEARCH($V$17,_xlfn._TRO_TRAILING(Sites!$C:$C))),
_xlpm.states,ISNUMBER(SEARCH($AD$19,_xlfn._TRO_TRAILING(Sites!$D:$D))),
_xlpm.years,ISNUMBER(SEARCH(AD$20,Sites!$M$3:$O$3)),
SUM(_xlfn._xlws.FILTER(_xlfn._xlws.FILTER(_xlpm.hours,_xlpm.states*_xlpm.type,0),_xlpm.years),0))</f>
        <v>478354.06904999993</v>
      </c>
      <c r="AE23" s="67" cm="1">
        <f t="array" ref="AE23">_xlfn.LET(_xlpm.hours,_xlfn._TRO_TRAILING(Sites!$BM:$BO),_xlpm.type,ISNUMBER(SEARCH($V$17,_xlfn._TRO_TRAILING(Sites!$C:$C))),
_xlpm.states,ISNUMBER(SEARCH($AD$19,_xlfn._TRO_TRAILING(Sites!$D:$D))),
_xlpm.years,ISNUMBER(SEARCH(AE$20,Sites!$M$3:$O$3)),
SUM(_xlfn._xlws.FILTER(_xlfn._xlws.FILTER(_xlpm.hours,_xlpm.states*_xlpm.type,0),_xlpm.years),0))</f>
        <v>748213.49554380006</v>
      </c>
      <c r="AF23" s="67" cm="1">
        <f t="array" ref="AF23">_xlfn.LET(_xlpm.hours,_xlfn._TRO_TRAILING(Sites!$BM:$BO),_xlpm.type,ISNUMBER(SEARCH($V$17,_xlfn._TRO_TRAILING(Sites!$C:$C))),
_xlpm.states,ISNUMBER(SEARCH($AD$19,_xlfn._TRO_TRAILING(Sites!$D:$D))),
_xlpm.years,ISNUMBER(SEARCH(AF$20,Sites!$M$3:$O$3)),
SUM(_xlfn._xlws.FILTER(_xlfn._xlws.FILTER(_xlpm.hours,_xlpm.states*_xlpm.type,0),_xlpm.years),0))</f>
        <v>887740.48771980009</v>
      </c>
      <c r="AH23" s="67" cm="1">
        <f t="array" ref="AH23">_xlfn.LET(_xlpm.hours,_xlfn._TRO_TRAILING(Sites!$BM:$BO),_xlpm.type,ISNUMBER(SEARCH($AH$17,_xlfn._TRO_TRAILING(Sites!$C:$C))),
_xlpm.states,ISNUMBER(SEARCH($AH$19,_xlfn._TRO_TRAILING(Sites!$D:$D))),
_xlpm.years,ISNUMBER(SEARCH(AH$20,Sites!$M$3:$O$3)),
SUM(_xlfn._xlws.FILTER(_xlfn._xlws.FILTER(_xlpm.hours,_xlpm.states*_xlpm.type,0),_xlpm.years),0))</f>
        <v>2354539.8679920002</v>
      </c>
      <c r="AI23" s="67" cm="1">
        <f t="array" ref="AI23">_xlfn.LET(_xlpm.hours,_xlfn._TRO_TRAILING(Sites!$BM:$BO),_xlpm.type,ISNUMBER(SEARCH($AH$17,_xlfn._TRO_TRAILING(Sites!$C:$C))),
_xlpm.states,ISNUMBER(SEARCH($AH$19,_xlfn._TRO_TRAILING(Sites!$D:$D))),
_xlpm.years,ISNUMBER(SEARCH(AI$20,Sites!$M$3:$O$3)),
SUM(_xlfn._xlws.FILTER(_xlfn._xlws.FILTER(_xlpm.hours,_xlpm.states*_xlpm.type,0),_xlpm.years),0))</f>
        <v>3210105.5201123999</v>
      </c>
      <c r="AJ23" s="67" cm="1">
        <f t="array" ref="AJ23">_xlfn.LET(_xlpm.hours,_xlfn._TRO_TRAILING(Sites!$BM:$BO),_xlpm.type,ISNUMBER(SEARCH($AH$17,_xlfn._TRO_TRAILING(Sites!$C:$C))),
_xlpm.states,ISNUMBER(SEARCH($AH$19,_xlfn._TRO_TRAILING(Sites!$D:$D))),
_xlpm.years,ISNUMBER(SEARCH(AJ$20,Sites!$M$3:$O$3)),
SUM(_xlfn._xlws.FILTER(_xlfn._xlws.FILTER(_xlpm.hours,_xlpm.states*_xlpm.type,0),_xlpm.years),0))</f>
        <v>4263787.9964815201</v>
      </c>
      <c r="AL23" s="67" cm="1">
        <f t="array" ref="AL23">_xlfn.LET(_xlpm.hours,_xlfn._TRO_TRAILING(Sites!$BM:$BO),_xlpm.type,ISNUMBER(SEARCH($AH$17,_xlfn._TRO_TRAILING(Sites!$C:$C))),
_xlpm.states,ISNUMBER(SEARCH($AL$19,_xlfn._TRO_TRAILING(Sites!$D:$D))),
_xlpm.years,ISNUMBER(SEARCH(AL$20,Sites!$M$3:$O$3)),
SUM(_xlfn._xlws.FILTER(_xlfn._xlws.FILTER(_xlpm.hours,_xlpm.states*_xlpm.type,0),_xlpm.years),0))</f>
        <v>756804.25660319999</v>
      </c>
      <c r="AM23" s="67" cm="1">
        <f t="array" ref="AM23">_xlfn.LET(_xlpm.hours,_xlfn._TRO_TRAILING(Sites!$BM:$BO),_xlpm.type,ISNUMBER(SEARCH($AH$17,_xlfn._TRO_TRAILING(Sites!$C:$C))),
_xlpm.states,ISNUMBER(SEARCH($AL$19,_xlfn._TRO_TRAILING(Sites!$D:$D))),
_xlpm.years,ISNUMBER(SEARCH(AM$20,Sites!$M$3:$O$3)),
SUM(_xlfn._xlws.FILTER(_xlfn._xlws.FILTER(_xlpm.hours,_xlpm.states*_xlpm.type,0),_xlpm.years),0))</f>
        <v>1922995.6334166245</v>
      </c>
      <c r="AN23" s="67" cm="1">
        <f t="array" ref="AN23">_xlfn.LET(_xlpm.hours,_xlfn._TRO_TRAILING(Sites!$BM:$BO),_xlpm.type,ISNUMBER(SEARCH($AH$17,_xlfn._TRO_TRAILING(Sites!$C:$C))),
_xlpm.states,ISNUMBER(SEARCH($AL$19,_xlfn._TRO_TRAILING(Sites!$D:$D))),
_xlpm.years,ISNUMBER(SEARCH(AN$20,Sites!$M$3:$O$3)),
SUM(_xlfn._xlws.FILTER(_xlfn._xlws.FILTER(_xlpm.hours,_xlpm.states*_xlpm.type,0),_xlpm.years),0))</f>
        <v>2961819.4321347848</v>
      </c>
      <c r="AP23" s="67" cm="1">
        <f t="array" ref="AP23">_xlfn.LET(_xlpm.hours,_xlfn._TRO_TRAILING(Sites!$BM:$BO),_xlpm.type,ISNUMBER(SEARCH($AH$17,_xlfn._TRO_TRAILING(Sites!$C:$C))),
_xlpm.states,ISNUMBER(SEARCH($AP$19,_xlfn._TRO_TRAILING(Sites!$D:$D))),
_xlpm.years,ISNUMBER(SEARCH(AP$20,Sites!$AK$3:$AM$3)),
IFERROR(SUM(_xlfn._xlws.FILTER(_xlfn._xlws.FILTER(_xlpm.hours,_xlpm.states*_xlpm.type,0),_xlpm.years),0),0))</f>
        <v>0</v>
      </c>
      <c r="AQ23" s="67" cm="1">
        <f t="array" ref="AQ23">_xlfn.LET(_xlpm.hours,_xlfn._TRO_TRAILING(Sites!$BM:$BO),_xlpm.type,ISNUMBER(SEARCH($AH$17,_xlfn._TRO_TRAILING(Sites!$C:$C))),
_xlpm.states,ISNUMBER(SEARCH($AP$19,_xlfn._TRO_TRAILING(Sites!$D:$D))),
_xlpm.years,ISNUMBER(SEARCH(AQ$20,Sites!$AK$3:$AM$3)),
IFERROR(SUM(_xlfn._xlws.FILTER(_xlfn._xlws.FILTER(_xlpm.hours,_xlpm.states*_xlpm.type,0),_xlpm.years),0),0))</f>
        <v>0</v>
      </c>
      <c r="AR23" s="67" cm="1">
        <f t="array" ref="AR23">_xlfn.LET(_xlpm.hours,_xlfn._TRO_TRAILING(Sites!$BM:$BO),_xlpm.type,ISNUMBER(SEARCH($AH$17,_xlfn._TRO_TRAILING(Sites!$C:$C))),
_xlpm.states,ISNUMBER(SEARCH($AP$19,_xlfn._TRO_TRAILING(Sites!$D:$D))),
_xlpm.years,ISNUMBER(SEARCH(AR$20,Sites!$AK$3:$AM$3)),
IFERROR(SUM(_xlfn._xlws.FILTER(_xlfn._xlws.FILTER(_xlpm.hours,_xlpm.states*_xlpm.type,0),_xlpm.years),0),0))</f>
        <v>0</v>
      </c>
    </row>
    <row r="24" spans="2:44" outlineLevel="1" x14ac:dyDescent="0.25">
      <c r="B24" s="39" t="s">
        <v>383</v>
      </c>
      <c r="D24" s="105"/>
      <c r="F24" s="67">
        <f t="shared" si="16"/>
        <v>423113.96522399999</v>
      </c>
      <c r="G24" s="67">
        <f t="shared" si="10"/>
        <v>621976.10215667996</v>
      </c>
      <c r="H24" s="67">
        <f t="shared" si="11"/>
        <v>781604.30892227998</v>
      </c>
      <c r="J24" s="67">
        <f t="shared" si="17"/>
        <v>189304.69537199999</v>
      </c>
      <c r="K24" s="67">
        <f t="shared" si="12"/>
        <v>242051.9857782</v>
      </c>
      <c r="L24" s="67">
        <f t="shared" si="13"/>
        <v>286256.67375396006</v>
      </c>
      <c r="N24" s="67">
        <f t="shared" si="14"/>
        <v>160216.336152</v>
      </c>
      <c r="O24" s="67">
        <f t="shared" si="14"/>
        <v>264814.34783327999</v>
      </c>
      <c r="P24" s="67">
        <f t="shared" si="14"/>
        <v>358772.17551911995</v>
      </c>
      <c r="R24" s="67">
        <f t="shared" si="15"/>
        <v>73592.93369999998</v>
      </c>
      <c r="S24" s="67">
        <f t="shared" si="15"/>
        <v>115109.76854519997</v>
      </c>
      <c r="T24" s="67">
        <f t="shared" si="15"/>
        <v>136575.45964919997</v>
      </c>
      <c r="V24" s="67" cm="1">
        <f t="array" ref="V24">_xlfn.LET(_xlpm.hours,_xlfn._TRO_TRAILING(Sites!$BQ:$BS),_xlpm.type,ISNUMBER(SEARCH($V$17,_xlfn._TRO_TRAILING(Sites!$C:$C))),
_xlpm.states,ISNUMBER(SEARCH($V$19,_xlfn._TRO_TRAILING(Sites!$D:$D))),
_xlpm.years,ISNUMBER(SEARCH(V$20,Sites!$M$3:$O$3)),
SUM(_xlfn._xlws.FILTER(_xlfn._xlws.FILTER(_xlpm.hours,_xlpm.states*_xlpm.type,0),_xlpm.years),0))</f>
        <v>90525.696456000005</v>
      </c>
      <c r="W24" s="67" cm="1">
        <f t="array" ref="W24">_xlfn.LET(_xlpm.hours,_xlfn._TRO_TRAILING(Sites!$BQ:$BS),_xlpm.type,ISNUMBER(SEARCH($V$17,_xlfn._TRO_TRAILING(Sites!$C:$C))),
_xlpm.states,ISNUMBER(SEARCH($V$19,_xlfn._TRO_TRAILING(Sites!$D:$D))),
_xlpm.years,ISNUMBER(SEARCH(W$20,Sites!$M$3:$O$3)),
SUM(_xlfn._xlws.FILTER(_xlfn._xlws.FILTER(_xlpm.hours,_xlpm.states*_xlpm.type,0),_xlpm.years),0))</f>
        <v>107379.80884800002</v>
      </c>
      <c r="X24" s="67" cm="1">
        <f t="array" ref="X24">_xlfn.LET(_xlpm.hours,_xlfn._TRO_TRAILING(Sites!$BQ:$BS),_xlpm.type,ISNUMBER(SEARCH($V$17,_xlfn._TRO_TRAILING(Sites!$C:$C))),
_xlpm.states,ISNUMBER(SEARCH($V$19,_xlfn._TRO_TRAILING(Sites!$D:$D))),
_xlpm.years,ISNUMBER(SEARCH(X$20,Sites!$M$3:$O$3)),
SUM(_xlfn._xlws.FILTER(_xlfn._xlws.FILTER(_xlpm.hours,_xlpm.states*_xlpm.type,0),_xlpm.years),0))</f>
        <v>107379.80884800002</v>
      </c>
      <c r="Z24" s="67" cm="1">
        <f t="array" ref="Z24">_xlfn.LET(_xlpm.hours,_xlfn._TRO_TRAILING(Sites!$BQ:$BS),_xlpm.type,ISNUMBER(SEARCH($V$17,_xlfn._TRO_TRAILING(Sites!$C:$C))),
_xlpm.states,ISNUMBER(SEARCH($Z$19,_xlfn._TRO_TRAILING(Sites!$D:$D))),
_xlpm.years,ISNUMBER(SEARCH(Z$20,Sites!$M$3:$O$3)),
SUM(_xlfn._xlws.FILTER(_xlfn._xlws.FILTER(_xlpm.hours,_xlpm.states*_xlpm.type,0),_xlpm.years),0))</f>
        <v>117394.72300800002</v>
      </c>
      <c r="AA24" s="67" cm="1">
        <f t="array" ref="AA24">_xlfn.LET(_xlpm.hours,_xlfn._TRO_TRAILING(Sites!$BQ:$BS),_xlpm.type,ISNUMBER(SEARCH($V$17,_xlfn._TRO_TRAILING(Sites!$C:$C))),
_xlpm.states,ISNUMBER(SEARCH($Z$19,_xlfn._TRO_TRAILING(Sites!$D:$D))),
_xlpm.years,ISNUMBER(SEARCH(AA$20,Sites!$M$3:$O$3)),
SUM(_xlfn._xlws.FILTER(_xlfn._xlws.FILTER(_xlpm.hours,_xlpm.states*_xlpm.type,0),_xlpm.years),0))</f>
        <v>156007.11746519999</v>
      </c>
      <c r="AB24" s="67" cm="1">
        <f t="array" ref="AB24">_xlfn.LET(_xlpm.hours,_xlfn._TRO_TRAILING(Sites!$BQ:$BS),_xlpm.type,ISNUMBER(SEARCH($V$17,_xlfn._TRO_TRAILING(Sites!$C:$C))),
_xlpm.states,ISNUMBER(SEARCH($Z$19,_xlfn._TRO_TRAILING(Sites!$D:$D))),
_xlpm.years,ISNUMBER(SEARCH(AB$20,Sites!$M$3:$O$3)),
SUM(_xlfn._xlws.FILTER(_xlfn._xlws.FILTER(_xlpm.hours,_xlpm.states*_xlpm.type,0),_xlpm.years),0))</f>
        <v>191186.05953383996</v>
      </c>
      <c r="AD24" s="67" cm="1">
        <f t="array" ref="AD24">_xlfn.LET(_xlpm.hours,_xlfn._TRO_TRAILING(Sites!$BQ:$BS),_xlpm.type,ISNUMBER(SEARCH($V$17,_xlfn._TRO_TRAILING(Sites!$C:$C))),
_xlpm.states,ISNUMBER(SEARCH($AD$19,_xlfn._TRO_TRAILING(Sites!$D:$D))),
_xlpm.years,ISNUMBER(SEARCH(AD$20,Sites!$M$3:$O$3)),
SUM(_xlfn._xlws.FILTER(_xlfn._xlws.FILTER(_xlpm.hours,_xlpm.states*_xlpm.type,0),_xlpm.years),0))</f>
        <v>73592.93369999998</v>
      </c>
      <c r="AE24" s="67" cm="1">
        <f t="array" ref="AE24">_xlfn.LET(_xlpm.hours,_xlfn._TRO_TRAILING(Sites!$BQ:$BS),_xlpm.type,ISNUMBER(SEARCH($V$17,_xlfn._TRO_TRAILING(Sites!$C:$C))),
_xlpm.states,ISNUMBER(SEARCH($AD$19,_xlfn._TRO_TRAILING(Sites!$D:$D))),
_xlpm.years,ISNUMBER(SEARCH(AE$20,Sites!$M$3:$O$3)),
SUM(_xlfn._xlws.FILTER(_xlfn._xlws.FILTER(_xlpm.hours,_xlpm.states*_xlpm.type,0),_xlpm.years),0))</f>
        <v>115109.76854519997</v>
      </c>
      <c r="AF24" s="67" cm="1">
        <f t="array" ref="AF24">_xlfn.LET(_xlpm.hours,_xlfn._TRO_TRAILING(Sites!$BQ:$BS),_xlpm.type,ISNUMBER(SEARCH($V$17,_xlfn._TRO_TRAILING(Sites!$C:$C))),
_xlpm.states,ISNUMBER(SEARCH($AD$19,_xlfn._TRO_TRAILING(Sites!$D:$D))),
_xlpm.years,ISNUMBER(SEARCH(AF$20,Sites!$M$3:$O$3)),
SUM(_xlfn._xlws.FILTER(_xlfn._xlws.FILTER(_xlpm.hours,_xlpm.states*_xlpm.type,0),_xlpm.years),0))</f>
        <v>136575.45964919997</v>
      </c>
      <c r="AH24" s="67" cm="1">
        <f t="array" ref="AH24">_xlfn.LET(_xlpm.hours,_xlfn._TRO_TRAILING(Sites!$BQ:$BS),_xlpm.type,ISNUMBER(SEARCH($AH$17,_xlfn._TRO_TRAILING(Sites!$C:$C))),
_xlpm.states,ISNUMBER(SEARCH($AH$19,_xlfn._TRO_TRAILING(Sites!$D:$D))),
_xlpm.years,ISNUMBER(SEARCH(AH$20,Sites!$M$3:$O$3)),
SUM(_xlfn._xlws.FILTER(_xlfn._xlws.FILTER(_xlpm.hours,_xlpm.states*_xlpm.type,0),_xlpm.years),0))</f>
        <v>98778.998915999982</v>
      </c>
      <c r="AI24" s="67" cm="1">
        <f t="array" ref="AI24">_xlfn.LET(_xlpm.hours,_xlfn._TRO_TRAILING(Sites!$BQ:$BS),_xlpm.type,ISNUMBER(SEARCH($AH$17,_xlfn._TRO_TRAILING(Sites!$C:$C))),
_xlpm.states,ISNUMBER(SEARCH($AH$19,_xlfn._TRO_TRAILING(Sites!$D:$D))),
_xlpm.years,ISNUMBER(SEARCH(AI$20,Sites!$M$3:$O$3)),
SUM(_xlfn._xlws.FILTER(_xlfn._xlws.FILTER(_xlpm.hours,_xlpm.states*_xlpm.type,0),_xlpm.years),0))</f>
        <v>134672.17693019999</v>
      </c>
      <c r="AJ24" s="67" cm="1">
        <f t="array" ref="AJ24">_xlfn.LET(_xlpm.hours,_xlfn._TRO_TRAILING(Sites!$BQ:$BS),_xlpm.type,ISNUMBER(SEARCH($AH$17,_xlfn._TRO_TRAILING(Sites!$C:$C))),
_xlpm.states,ISNUMBER(SEARCH($AH$19,_xlfn._TRO_TRAILING(Sites!$D:$D))),
_xlpm.years,ISNUMBER(SEARCH(AJ$20,Sites!$M$3:$O$3)),
SUM(_xlfn._xlws.FILTER(_xlfn._xlws.FILTER(_xlpm.hours,_xlpm.states*_xlpm.type,0),_xlpm.years),0))</f>
        <v>178876.86490596001</v>
      </c>
      <c r="AL24" s="67" cm="1">
        <f t="array" ref="AL24">_xlfn.LET(_xlpm.hours,_xlfn._TRO_TRAILING(Sites!$BQ:$BS),_xlpm.type,ISNUMBER(SEARCH($AH$17,_xlfn._TRO_TRAILING(Sites!$C:$C))),
_xlpm.states,ISNUMBER(SEARCH($AL$19,_xlfn._TRO_TRAILING(Sites!$D:$D))),
_xlpm.years,ISNUMBER(SEARCH(AL$20,Sites!$M$3:$O$3)),
SUM(_xlfn._xlws.FILTER(_xlfn._xlws.FILTER(_xlpm.hours,_xlpm.states*_xlpm.type,0),_xlpm.years),0))</f>
        <v>42821.613144000003</v>
      </c>
      <c r="AM24" s="67" cm="1">
        <f t="array" ref="AM24">_xlfn.LET(_xlpm.hours,_xlfn._TRO_TRAILING(Sites!$BQ:$BS),_xlpm.type,ISNUMBER(SEARCH($AH$17,_xlfn._TRO_TRAILING(Sites!$C:$C))),
_xlpm.states,ISNUMBER(SEARCH($AL$19,_xlfn._TRO_TRAILING(Sites!$D:$D))),
_xlpm.years,ISNUMBER(SEARCH(AM$20,Sites!$M$3:$O$3)),
SUM(_xlfn._xlws.FILTER(_xlfn._xlws.FILTER(_xlpm.hours,_xlpm.states*_xlpm.type,0),_xlpm.years),0))</f>
        <v>108807.23036808001</v>
      </c>
      <c r="AN24" s="67" cm="1">
        <f t="array" ref="AN24">_xlfn.LET(_xlpm.hours,_xlfn._TRO_TRAILING(Sites!$BQ:$BS),_xlpm.type,ISNUMBER(SEARCH($AH$17,_xlfn._TRO_TRAILING(Sites!$C:$C))),
_xlpm.states,ISNUMBER(SEARCH($AL$19,_xlfn._TRO_TRAILING(Sites!$D:$D))),
_xlpm.years,ISNUMBER(SEARCH(AN$20,Sites!$M$3:$O$3)),
SUM(_xlfn._xlws.FILTER(_xlfn._xlws.FILTER(_xlpm.hours,_xlpm.states*_xlpm.type,0),_xlpm.years),0))</f>
        <v>167586.11598528002</v>
      </c>
      <c r="AP24" s="67" cm="1">
        <f t="array" ref="AP24">_xlfn.LET(_xlpm.hours,_xlfn._TRO_TRAILING(Sites!$BQ:$BS),_xlpm.type,ISNUMBER(SEARCH($AH$17,_xlfn._TRO_TRAILING(Sites!$C:$C))),
_xlpm.states,ISNUMBER(SEARCH($AP$19,_xlfn._TRO_TRAILING(Sites!$D:$D))),
_xlpm.years,ISNUMBER(SEARCH(AP$20,Sites!$AK$3:$AM$3)),
IFERROR(SUM(_xlfn._xlws.FILTER(_xlfn._xlws.FILTER(_xlpm.hours,_xlpm.states*_xlpm.type,0),_xlpm.years),0),0))</f>
        <v>0</v>
      </c>
      <c r="AQ24" s="67" cm="1">
        <f t="array" ref="AQ24">_xlfn.LET(_xlpm.hours,_xlfn._TRO_TRAILING(Sites!$BQ:$BS),_xlpm.type,ISNUMBER(SEARCH($AH$17,_xlfn._TRO_TRAILING(Sites!$C:$C))),
_xlpm.states,ISNUMBER(SEARCH($AP$19,_xlfn._TRO_TRAILING(Sites!$D:$D))),
_xlpm.years,ISNUMBER(SEARCH(AQ$20,Sites!$AK$3:$AM$3)),
IFERROR(SUM(_xlfn._xlws.FILTER(_xlfn._xlws.FILTER(_xlpm.hours,_xlpm.states*_xlpm.type,0),_xlpm.years),0),0))</f>
        <v>0</v>
      </c>
      <c r="AR24" s="67" cm="1">
        <f t="array" ref="AR24">_xlfn.LET(_xlpm.hours,_xlfn._TRO_TRAILING(Sites!$BQ:$BS),_xlpm.type,ISNUMBER(SEARCH($AH$17,_xlfn._TRO_TRAILING(Sites!$C:$C))),
_xlpm.states,ISNUMBER(SEARCH($AP$19,_xlfn._TRO_TRAILING(Sites!$D:$D))),
_xlpm.years,ISNUMBER(SEARCH(AR$20,Sites!$AK$3:$AM$3)),
IFERROR(SUM(_xlfn._xlws.FILTER(_xlfn._xlws.FILTER(_xlpm.hours,_xlpm.states*_xlpm.type,0),_xlpm.years),0),0))</f>
        <v>0</v>
      </c>
    </row>
    <row r="25" spans="2:44" outlineLevel="1" x14ac:dyDescent="0.25">
      <c r="B25" s="39" t="s">
        <v>382</v>
      </c>
      <c r="D25" s="105"/>
      <c r="F25" s="67">
        <f t="shared" si="16"/>
        <v>832749.38199466665</v>
      </c>
      <c r="G25" s="67">
        <f t="shared" si="10"/>
        <v>1206643.1792566401</v>
      </c>
      <c r="H25" s="67">
        <f t="shared" si="11"/>
        <v>1509869.1033223467</v>
      </c>
      <c r="J25" s="67">
        <f t="shared" si="17"/>
        <v>438471.22838399996</v>
      </c>
      <c r="K25" s="67">
        <f t="shared" si="12"/>
        <v>564343.87535712007</v>
      </c>
      <c r="L25" s="67">
        <f t="shared" si="13"/>
        <v>667531.74689567997</v>
      </c>
      <c r="N25" s="67">
        <f t="shared" si="14"/>
        <v>288485.01638400002</v>
      </c>
      <c r="O25" s="67">
        <f t="shared" si="14"/>
        <v>476823.85771776002</v>
      </c>
      <c r="P25" s="67">
        <f t="shared" si="14"/>
        <v>646004.01818303997</v>
      </c>
      <c r="R25" s="67">
        <f t="shared" si="15"/>
        <v>105793.13722666664</v>
      </c>
      <c r="S25" s="67">
        <f t="shared" si="15"/>
        <v>165475.44618175997</v>
      </c>
      <c r="T25" s="67">
        <f t="shared" si="15"/>
        <v>196333.33824362664</v>
      </c>
      <c r="V25" s="67" cm="1">
        <f t="array" ref="V25">_xlfn.LET(_xlpm.hours,_xlfn._TRO_TRAILING(Sites!$BU:$BW),_xlpm.type,ISNUMBER(SEARCH($V$17,_xlfn._TRO_TRAILING(Sites!$C:$C))),
_xlpm.states,ISNUMBER(SEARCH($V$19,_xlfn._TRO_TRAILING(Sites!$D:$D))),
_xlpm.years,ISNUMBER(SEARCH(V$20,Sites!$M$3:$O$3)),
SUM(_xlfn._xlws.FILTER(_xlfn._xlws.FILTER(_xlpm.hours,_xlpm.states*_xlpm.type,0),_xlpm.years),0))</f>
        <v>209296.85356799999</v>
      </c>
      <c r="W25" s="67" cm="1">
        <f t="array" ref="W25">_xlfn.LET(_xlpm.hours,_xlfn._TRO_TRAILING(Sites!$BU:$BW),_xlpm.type,ISNUMBER(SEARCH($V$17,_xlfn._TRO_TRAILING(Sites!$C:$C))),
_xlpm.states,ISNUMBER(SEARCH($V$19,_xlfn._TRO_TRAILING(Sites!$D:$D))),
_xlpm.years,ISNUMBER(SEARCH(W$20,Sites!$M$3:$O$3)),
SUM(_xlfn._xlws.FILTER(_xlfn._xlws.FILTER(_xlpm.hours,_xlpm.states*_xlpm.type,0),_xlpm.years),0))</f>
        <v>248263.83014400001</v>
      </c>
      <c r="X25" s="67" cm="1">
        <f t="array" ref="X25">_xlfn.LET(_xlpm.hours,_xlfn._TRO_TRAILING(Sites!$BU:$BW),_xlpm.type,ISNUMBER(SEARCH($V$17,_xlfn._TRO_TRAILING(Sites!$C:$C))),
_xlpm.states,ISNUMBER(SEARCH($V$19,_xlfn._TRO_TRAILING(Sites!$D:$D))),
_xlpm.years,ISNUMBER(SEARCH(X$20,Sites!$M$3:$O$3)),
SUM(_xlfn._xlws.FILTER(_xlfn._xlws.FILTER(_xlpm.hours,_xlpm.states*_xlpm.type,0),_xlpm.years),0))</f>
        <v>248263.83014400001</v>
      </c>
      <c r="Z25" s="67" cm="1">
        <f t="array" ref="Z25">_xlfn.LET(_xlpm.hours,_xlfn._TRO_TRAILING(Sites!$BU:$BW),_xlpm.type,ISNUMBER(SEARCH($V$17,_xlfn._TRO_TRAILING(Sites!$C:$C))),
_xlpm.states,ISNUMBER(SEARCH($Z$19,_xlfn._TRO_TRAILING(Sites!$D:$D))),
_xlpm.years,ISNUMBER(SEARCH(Z$20,Sites!$M$3:$O$3)),
SUM(_xlfn._xlws.FILTER(_xlfn._xlws.FILTER(_xlpm.hours,_xlpm.states*_xlpm.type,0),_xlpm.years),0))</f>
        <v>211380.55833600002</v>
      </c>
      <c r="AA25" s="67" cm="1">
        <f t="array" ref="AA25">_xlfn.LET(_xlpm.hours,_xlfn._TRO_TRAILING(Sites!$BU:$BW),_xlpm.type,ISNUMBER(SEARCH($V$17,_xlfn._TRO_TRAILING(Sites!$C:$C))),
_xlpm.states,ISNUMBER(SEARCH($Z$19,_xlfn._TRO_TRAILING(Sites!$D:$D))),
_xlpm.years,ISNUMBER(SEARCH(AA$20,Sites!$M$3:$O$3)),
SUM(_xlfn._xlws.FILTER(_xlfn._xlws.FILTER(_xlpm.hours,_xlpm.states*_xlpm.type,0),_xlpm.years),0))</f>
        <v>280905.91083840001</v>
      </c>
      <c r="AB25" s="67" cm="1">
        <f t="array" ref="AB25">_xlfn.LET(_xlpm.hours,_xlfn._TRO_TRAILING(Sites!$BU:$BW),_xlpm.type,ISNUMBER(SEARCH($V$17,_xlfn._TRO_TRAILING(Sites!$C:$C))),
_xlpm.states,ISNUMBER(SEARCH($Z$19,_xlfn._TRO_TRAILING(Sites!$D:$D))),
_xlpm.years,ISNUMBER(SEARCH(AB$20,Sites!$M$3:$O$3)),
SUM(_xlfn._xlws.FILTER(_xlfn._xlws.FILTER(_xlpm.hours,_xlpm.states*_xlpm.type,0),_xlpm.years),0))</f>
        <v>344249.00008128001</v>
      </c>
      <c r="AD25" s="67" cm="1">
        <f t="array" ref="AD25">_xlfn.LET(_xlpm.hours,_xlfn._TRO_TRAILING(Sites!$BU:$BW),_xlpm.type,ISNUMBER(SEARCH($V$17,_xlfn._TRO_TRAILING(Sites!$C:$C))),
_xlpm.states,ISNUMBER(SEARCH($AD$19,_xlfn._TRO_TRAILING(Sites!$D:$D))),
_xlpm.years,ISNUMBER(SEARCH(AD$20,Sites!$M$3:$O$3)),
SUM(_xlfn._xlws.FILTER(_xlfn._xlws.FILTER(_xlpm.hours,_xlpm.states*_xlpm.type,0),_xlpm.years),0))</f>
        <v>105793.13722666664</v>
      </c>
      <c r="AE25" s="67" cm="1">
        <f t="array" ref="AE25">_xlfn.LET(_xlpm.hours,_xlfn._TRO_TRAILING(Sites!$BU:$BW),_xlpm.type,ISNUMBER(SEARCH($V$17,_xlfn._TRO_TRAILING(Sites!$C:$C))),
_xlpm.states,ISNUMBER(SEARCH($AD$19,_xlfn._TRO_TRAILING(Sites!$D:$D))),
_xlpm.years,ISNUMBER(SEARCH(AE$20,Sites!$M$3:$O$3)),
SUM(_xlfn._xlws.FILTER(_xlfn._xlws.FILTER(_xlpm.hours,_xlpm.states*_xlpm.type,0),_xlpm.years),0))</f>
        <v>165475.44618175997</v>
      </c>
      <c r="AF25" s="67" cm="1">
        <f t="array" ref="AF25">_xlfn.LET(_xlpm.hours,_xlfn._TRO_TRAILING(Sites!$BU:$BW),_xlpm.type,ISNUMBER(SEARCH($V$17,_xlfn._TRO_TRAILING(Sites!$C:$C))),
_xlpm.states,ISNUMBER(SEARCH($AD$19,_xlfn._TRO_TRAILING(Sites!$D:$D))),
_xlpm.years,ISNUMBER(SEARCH(AF$20,Sites!$M$3:$O$3)),
SUM(_xlfn._xlws.FILTER(_xlfn._xlws.FILTER(_xlpm.hours,_xlpm.states*_xlpm.type,0),_xlpm.years),0))</f>
        <v>196333.33824362664</v>
      </c>
      <c r="AH25" s="67" cm="1">
        <f t="array" ref="AH25">_xlfn.LET(_xlpm.hours,_xlfn._TRO_TRAILING(Sites!$BU:$BW),_xlpm.type,ISNUMBER(SEARCH($AH$17,_xlfn._TRO_TRAILING(Sites!$C:$C))),
_xlpm.states,ISNUMBER(SEARCH($AH$19,_xlfn._TRO_TRAILING(Sites!$D:$D))),
_xlpm.years,ISNUMBER(SEARCH(AH$20,Sites!$M$3:$O$3)),
SUM(_xlfn._xlws.FILTER(_xlfn._xlws.FILTER(_xlpm.hours,_xlpm.states*_xlpm.type,0),_xlpm.years),0))</f>
        <v>229174.37481599997</v>
      </c>
      <c r="AI25" s="67" cm="1">
        <f t="array" ref="AI25">_xlfn.LET(_xlpm.hours,_xlfn._TRO_TRAILING(Sites!$BU:$BW),_xlpm.type,ISNUMBER(SEARCH($AH$17,_xlfn._TRO_TRAILING(Sites!$C:$C))),
_xlpm.states,ISNUMBER(SEARCH($AH$19,_xlfn._TRO_TRAILING(Sites!$D:$D))),
_xlpm.years,ISNUMBER(SEARCH(AI$20,Sites!$M$3:$O$3)),
SUM(_xlfn._xlws.FILTER(_xlfn._xlws.FILTER(_xlpm.hours,_xlpm.states*_xlpm.type,0),_xlpm.years),0))</f>
        <v>316080.04521312</v>
      </c>
      <c r="AJ25" s="67" cm="1">
        <f t="array" ref="AJ25">_xlfn.LET(_xlpm.hours,_xlfn._TRO_TRAILING(Sites!$BU:$BW),_xlpm.type,ISNUMBER(SEARCH($AH$17,_xlfn._TRO_TRAILING(Sites!$C:$C))),
_xlpm.states,ISNUMBER(SEARCH($AH$19,_xlfn._TRO_TRAILING(Sites!$D:$D))),
_xlpm.years,ISNUMBER(SEARCH(AJ$20,Sites!$M$3:$O$3)),
SUM(_xlfn._xlws.FILTER(_xlfn._xlws.FILTER(_xlpm.hours,_xlpm.states*_xlpm.type,0),_xlpm.years),0))</f>
        <v>419267.91675168002</v>
      </c>
      <c r="AL25" s="67" cm="1">
        <f t="array" ref="AL25">_xlfn.LET(_xlpm.hours,_xlfn._TRO_TRAILING(Sites!$BU:$BW),_xlpm.type,ISNUMBER(SEARCH($AH$17,_xlfn._TRO_TRAILING(Sites!$C:$C))),
_xlpm.states,ISNUMBER(SEARCH($AL$19,_xlfn._TRO_TRAILING(Sites!$D:$D))),
_xlpm.years,ISNUMBER(SEARCH(AL$20,Sites!$M$3:$O$3)),
SUM(_xlfn._xlws.FILTER(_xlfn._xlws.FILTER(_xlpm.hours,_xlpm.states*_xlpm.type,0),_xlpm.years),0))</f>
        <v>77104.458048</v>
      </c>
      <c r="AM25" s="67" cm="1">
        <f t="array" ref="AM25">_xlfn.LET(_xlpm.hours,_xlfn._TRO_TRAILING(Sites!$BU:$BW),_xlpm.type,ISNUMBER(SEARCH($AH$17,_xlfn._TRO_TRAILING(Sites!$C:$C))),
_xlpm.states,ISNUMBER(SEARCH($AL$19,_xlfn._TRO_TRAILING(Sites!$D:$D))),
_xlpm.years,ISNUMBER(SEARCH(AM$20,Sites!$M$3:$O$3)),
SUM(_xlfn._xlws.FILTER(_xlfn._xlws.FILTER(_xlpm.hours,_xlpm.states*_xlpm.type,0),_xlpm.years),0))</f>
        <v>195917.94687936001</v>
      </c>
      <c r="AN25" s="67" cm="1">
        <f t="array" ref="AN25">_xlfn.LET(_xlpm.hours,_xlfn._TRO_TRAILING(Sites!$BU:$BW),_xlpm.type,ISNUMBER(SEARCH($AH$17,_xlfn._TRO_TRAILING(Sites!$C:$C))),
_xlpm.states,ISNUMBER(SEARCH($AL$19,_xlfn._TRO_TRAILING(Sites!$D:$D))),
_xlpm.years,ISNUMBER(SEARCH(AN$20,Sites!$M$3:$O$3)),
SUM(_xlfn._xlws.FILTER(_xlfn._xlws.FILTER(_xlpm.hours,_xlpm.states*_xlpm.type,0),_xlpm.years),0))</f>
        <v>301755.01810175995</v>
      </c>
      <c r="AP25" s="67" cm="1">
        <f t="array" ref="AP25">_xlfn.LET(_xlpm.hours,_xlfn._TRO_TRAILING(Sites!$BU:$BW),_xlpm.type,ISNUMBER(SEARCH($AH$17,_xlfn._TRO_TRAILING(Sites!$C:$C))),
_xlpm.states,ISNUMBER(SEARCH($AP$19,_xlfn._TRO_TRAILING(Sites!$D:$D))),
_xlpm.years,ISNUMBER(SEARCH(AP$20,Sites!$AK$3:$AM$3)),
IFERROR(SUM(_xlfn._xlws.FILTER(_xlfn._xlws.FILTER(_xlpm.hours,_xlpm.states*_xlpm.type,0),_xlpm.years),0),0))</f>
        <v>0</v>
      </c>
      <c r="AQ25" s="67" cm="1">
        <f t="array" ref="AQ25">_xlfn.LET(_xlpm.hours,_xlfn._TRO_TRAILING(Sites!$BU:$BW),_xlpm.type,ISNUMBER(SEARCH($AH$17,_xlfn._TRO_TRAILING(Sites!$C:$C))),
_xlpm.states,ISNUMBER(SEARCH($AP$19,_xlfn._TRO_TRAILING(Sites!$D:$D))),
_xlpm.years,ISNUMBER(SEARCH(AQ$20,Sites!$AK$3:$AM$3)),
IFERROR(SUM(_xlfn._xlws.FILTER(_xlfn._xlws.FILTER(_xlpm.hours,_xlpm.states*_xlpm.type,0),_xlpm.years),0),0))</f>
        <v>0</v>
      </c>
      <c r="AR25" s="67" cm="1">
        <f t="array" ref="AR25">_xlfn.LET(_xlpm.hours,_xlfn._TRO_TRAILING(Sites!$BU:$BW),_xlpm.type,ISNUMBER(SEARCH($AH$17,_xlfn._TRO_TRAILING(Sites!$C:$C))),
_xlpm.states,ISNUMBER(SEARCH($AP$19,_xlfn._TRO_TRAILING(Sites!$D:$D))),
_xlpm.years,ISNUMBER(SEARCH(AR$20,Sites!$AK$3:$AM$3)),
IFERROR(SUM(_xlfn._xlws.FILTER(_xlfn._xlws.FILTER(_xlpm.hours,_xlpm.states*_xlpm.type,0),_xlpm.years),0),0))</f>
        <v>0</v>
      </c>
    </row>
    <row r="26" spans="2:44" outlineLevel="1" x14ac:dyDescent="0.25">
      <c r="B26" s="39" t="s">
        <v>403</v>
      </c>
      <c r="D26" s="105"/>
      <c r="F26" s="67">
        <f t="shared" si="16"/>
        <v>0</v>
      </c>
      <c r="G26" s="67">
        <f t="shared" si="10"/>
        <v>0</v>
      </c>
      <c r="H26" s="67">
        <f t="shared" si="11"/>
        <v>0</v>
      </c>
      <c r="J26" s="67">
        <f t="shared" si="17"/>
        <v>0</v>
      </c>
      <c r="K26" s="67">
        <f t="shared" si="12"/>
        <v>0</v>
      </c>
      <c r="L26" s="67">
        <f t="shared" si="13"/>
        <v>0</v>
      </c>
      <c r="N26" s="67">
        <f t="shared" si="14"/>
        <v>0</v>
      </c>
      <c r="O26" s="67">
        <f t="shared" si="14"/>
        <v>0</v>
      </c>
      <c r="P26" s="67">
        <f t="shared" si="14"/>
        <v>0</v>
      </c>
      <c r="R26" s="67">
        <f t="shared" si="15"/>
        <v>0</v>
      </c>
      <c r="S26" s="67">
        <f t="shared" si="15"/>
        <v>0</v>
      </c>
      <c r="T26" s="67">
        <f t="shared" si="15"/>
        <v>0</v>
      </c>
      <c r="V26" s="184">
        <v>0</v>
      </c>
      <c r="W26" s="184">
        <v>0</v>
      </c>
      <c r="X26" s="184">
        <v>0</v>
      </c>
      <c r="Z26" s="184">
        <v>0</v>
      </c>
      <c r="AA26" s="184">
        <v>0</v>
      </c>
      <c r="AB26" s="184">
        <v>0</v>
      </c>
      <c r="AD26" s="184">
        <v>0</v>
      </c>
      <c r="AE26" s="184">
        <v>0</v>
      </c>
      <c r="AF26" s="184">
        <v>0</v>
      </c>
      <c r="AH26" s="184">
        <v>0</v>
      </c>
      <c r="AI26" s="184">
        <v>0</v>
      </c>
      <c r="AJ26" s="184">
        <v>0</v>
      </c>
      <c r="AL26" s="184">
        <v>0</v>
      </c>
      <c r="AM26" s="184">
        <v>0</v>
      </c>
      <c r="AN26" s="184">
        <v>0</v>
      </c>
      <c r="AP26" s="184">
        <v>0</v>
      </c>
      <c r="AQ26" s="184">
        <v>0</v>
      </c>
      <c r="AR26" s="184">
        <v>0</v>
      </c>
    </row>
    <row r="27" spans="2:44" outlineLevel="1" x14ac:dyDescent="0.25">
      <c r="B27" s="39" t="s">
        <v>404</v>
      </c>
      <c r="D27" s="105"/>
      <c r="F27" s="67">
        <f t="shared" si="16"/>
        <v>0</v>
      </c>
      <c r="G27" s="67">
        <f t="shared" si="10"/>
        <v>0</v>
      </c>
      <c r="H27" s="67">
        <f t="shared" si="11"/>
        <v>0</v>
      </c>
      <c r="J27" s="67">
        <f t="shared" si="17"/>
        <v>0</v>
      </c>
      <c r="K27" s="67">
        <f t="shared" si="12"/>
        <v>0</v>
      </c>
      <c r="L27" s="67">
        <f t="shared" si="13"/>
        <v>0</v>
      </c>
      <c r="N27" s="67">
        <f t="shared" si="14"/>
        <v>0</v>
      </c>
      <c r="O27" s="67">
        <f t="shared" si="14"/>
        <v>0</v>
      </c>
      <c r="P27" s="67">
        <f t="shared" si="14"/>
        <v>0</v>
      </c>
      <c r="R27" s="67">
        <f t="shared" si="15"/>
        <v>0</v>
      </c>
      <c r="S27" s="67">
        <f t="shared" si="15"/>
        <v>0</v>
      </c>
      <c r="T27" s="67">
        <f t="shared" si="15"/>
        <v>0</v>
      </c>
      <c r="V27" s="184">
        <v>0</v>
      </c>
      <c r="W27" s="184">
        <v>0</v>
      </c>
      <c r="X27" s="184">
        <v>0</v>
      </c>
      <c r="Z27" s="184">
        <v>0</v>
      </c>
      <c r="AA27" s="184">
        <v>0</v>
      </c>
      <c r="AB27" s="184">
        <v>0</v>
      </c>
      <c r="AD27" s="184">
        <v>0</v>
      </c>
      <c r="AE27" s="184">
        <v>0</v>
      </c>
      <c r="AF27" s="184">
        <v>0</v>
      </c>
      <c r="AH27" s="184">
        <v>0</v>
      </c>
      <c r="AI27" s="184">
        <v>0</v>
      </c>
      <c r="AJ27" s="184">
        <v>0</v>
      </c>
      <c r="AL27" s="184">
        <v>0</v>
      </c>
      <c r="AM27" s="184">
        <v>0</v>
      </c>
      <c r="AN27" s="184">
        <v>0</v>
      </c>
      <c r="AP27" s="184">
        <v>0</v>
      </c>
      <c r="AQ27" s="184">
        <v>0</v>
      </c>
      <c r="AR27" s="184">
        <v>0</v>
      </c>
    </row>
    <row r="28" spans="2:44" outlineLevel="1" x14ac:dyDescent="0.25">
      <c r="B28" s="39" t="s">
        <v>405</v>
      </c>
      <c r="D28" s="105"/>
      <c r="F28" s="67">
        <f t="shared" si="16"/>
        <v>1201312.9249333334</v>
      </c>
      <c r="G28" s="67">
        <f t="shared" si="10"/>
        <v>1787992.274007333</v>
      </c>
      <c r="H28" s="67">
        <f t="shared" si="11"/>
        <v>2467888.1423559999</v>
      </c>
      <c r="J28" s="67">
        <f t="shared" si="17"/>
        <v>749842.7845999999</v>
      </c>
      <c r="K28" s="67">
        <f t="shared" si="12"/>
        <v>1053759.256307333</v>
      </c>
      <c r="L28" s="67">
        <f t="shared" si="13"/>
        <v>1415487.4836526664</v>
      </c>
      <c r="N28" s="67">
        <f t="shared" si="14"/>
        <v>451470.1403333334</v>
      </c>
      <c r="O28" s="67">
        <f t="shared" si="14"/>
        <v>734233.01770000008</v>
      </c>
      <c r="P28" s="67">
        <f t="shared" si="14"/>
        <v>1052400.6587033332</v>
      </c>
      <c r="R28" s="67">
        <f t="shared" si="15"/>
        <v>0</v>
      </c>
      <c r="S28" s="67">
        <f t="shared" si="15"/>
        <v>0</v>
      </c>
      <c r="T28" s="67">
        <f t="shared" si="15"/>
        <v>0</v>
      </c>
      <c r="V28" s="67" cm="1">
        <f t="array" ref="V28">_xlfn.LET(_xlpm.hours,_xlfn._TRO_TRAILING(Sites!$CG:$CI),_xlpm.type,ISNUMBER(SEARCH($V$17,_xlfn._TRO_TRAILING(Sites!$C:$C))),
_xlpm.states,ISNUMBER(SEARCH($V$19,_xlfn._TRO_TRAILING(Sites!$D:$D))),
_xlpm.years,ISNUMBER(SEARCH(V$20,Sites!$M$3:$O$3)),
SUM(_xlfn._xlws.FILTER(_xlfn._xlws.FILTER(_xlpm.hours,_xlpm.states*_xlpm.type,0),_xlpm.years),0))</f>
        <v>0</v>
      </c>
      <c r="W28" s="67" cm="1">
        <f t="array" ref="W28">_xlfn.LET(_xlpm.hours,_xlfn._TRO_TRAILING(Sites!$CG:$CI),_xlpm.type,ISNUMBER(SEARCH($V$17,_xlfn._TRO_TRAILING(Sites!$C:$C))),
_xlpm.states,ISNUMBER(SEARCH($V$19,_xlfn._TRO_TRAILING(Sites!$D:$D))),
_xlpm.years,ISNUMBER(SEARCH(W$20,Sites!$M$3:$O$3)),
SUM(_xlfn._xlws.FILTER(_xlfn._xlws.FILTER(_xlpm.hours,_xlpm.states*_xlpm.type,0),_xlpm.years),0))</f>
        <v>0</v>
      </c>
      <c r="X28" s="67" cm="1">
        <f t="array" ref="X28">_xlfn.LET(_xlpm.hours,_xlfn._TRO_TRAILING(Sites!$CG:$CI),_xlpm.type,ISNUMBER(SEARCH($V$17,_xlfn._TRO_TRAILING(Sites!$C:$C))),
_xlpm.states,ISNUMBER(SEARCH($V$19,_xlfn._TRO_TRAILING(Sites!$D:$D))),
_xlpm.years,ISNUMBER(SEARCH(X$20,Sites!$M$3:$O$3)),
SUM(_xlfn._xlws.FILTER(_xlfn._xlws.FILTER(_xlpm.hours,_xlpm.states*_xlpm.type,0),_xlpm.years),0))</f>
        <v>0</v>
      </c>
      <c r="Z28" s="67" cm="1">
        <f t="array" ref="Z28">_xlfn.LET(_xlpm.hours,_xlfn._TRO_TRAILING(Sites!$CG:$CI),_xlpm.type,ISNUMBER(SEARCH($V$17,_xlfn._TRO_TRAILING(Sites!$C:$C))),
_xlpm.states,ISNUMBER(SEARCH($Z$19,_xlfn._TRO_TRAILING(Sites!$D:$D))),
_xlpm.years,ISNUMBER(SEARCH(Z$20,Sites!$M$3:$O$3)),
SUM(_xlfn._xlws.FILTER(_xlfn._xlws.FILTER(_xlpm.hours,_xlpm.states*_xlpm.type,0),_xlpm.years),0))</f>
        <v>0</v>
      </c>
      <c r="AA28" s="67" cm="1">
        <f t="array" ref="AA28">_xlfn.LET(_xlpm.hours,_xlfn._TRO_TRAILING(Sites!$CG:$CI),_xlpm.type,ISNUMBER(SEARCH($V$17,_xlfn._TRO_TRAILING(Sites!$C:$C))),
_xlpm.states,ISNUMBER(SEARCH($Z$19,_xlfn._TRO_TRAILING(Sites!$D:$D))),
_xlpm.years,ISNUMBER(SEARCH(AA$20,Sites!$M$3:$O$3)),
SUM(_xlfn._xlws.FILTER(_xlfn._xlws.FILTER(_xlpm.hours,_xlpm.states*_xlpm.type,0),_xlpm.years),0))</f>
        <v>0</v>
      </c>
      <c r="AB28" s="67" cm="1">
        <f t="array" ref="AB28">_xlfn.LET(_xlpm.hours,_xlfn._TRO_TRAILING(Sites!$CG:$CI),_xlpm.type,ISNUMBER(SEARCH($V$17,_xlfn._TRO_TRAILING(Sites!$C:$C))),
_xlpm.states,ISNUMBER(SEARCH($Z$19,_xlfn._TRO_TRAILING(Sites!$D:$D))),
_xlpm.years,ISNUMBER(SEARCH(AB$20,Sites!$M$3:$O$3)),
SUM(_xlfn._xlws.FILTER(_xlfn._xlws.FILTER(_xlpm.hours,_xlpm.states*_xlpm.type,0),_xlpm.years),0))</f>
        <v>0</v>
      </c>
      <c r="AD28" s="67" cm="1">
        <f t="array" ref="AD28">_xlfn.LET(_xlpm.hours,_xlfn._TRO_TRAILING(Sites!$CG:$CI),_xlpm.type,ISNUMBER(SEARCH($V$17,_xlfn._TRO_TRAILING(Sites!$C:$C))),
_xlpm.states,ISNUMBER(SEARCH($AD$19,_xlfn._TRO_TRAILING(Sites!$D:$D))),
_xlpm.years,ISNUMBER(SEARCH(AD$20,Sites!$M$3:$O$3)),
SUM(_xlfn._xlws.FILTER(_xlfn._xlws.FILTER(_xlpm.hours,_xlpm.states*_xlpm.type,0),_xlpm.years),0))</f>
        <v>0</v>
      </c>
      <c r="AE28" s="67" cm="1">
        <f t="array" ref="AE28">_xlfn.LET(_xlpm.hours,_xlfn._TRO_TRAILING(Sites!$CG:$CI),_xlpm.type,ISNUMBER(SEARCH($V$17,_xlfn._TRO_TRAILING(Sites!$C:$C))),
_xlpm.states,ISNUMBER(SEARCH($AD$19,_xlfn._TRO_TRAILING(Sites!$D:$D))),
_xlpm.years,ISNUMBER(SEARCH(AE$20,Sites!$M$3:$O$3)),
SUM(_xlfn._xlws.FILTER(_xlfn._xlws.FILTER(_xlpm.hours,_xlpm.states*_xlpm.type,0),_xlpm.years),0))</f>
        <v>0</v>
      </c>
      <c r="AF28" s="67" cm="1">
        <f t="array" ref="AF28">_xlfn.LET(_xlpm.hours,_xlfn._TRO_TRAILING(Sites!$CG:$CI),_xlpm.type,ISNUMBER(SEARCH($V$17,_xlfn._TRO_TRAILING(Sites!$C:$C))),
_xlpm.states,ISNUMBER(SEARCH($AD$19,_xlfn._TRO_TRAILING(Sites!$D:$D))),
_xlpm.years,ISNUMBER(SEARCH(AF$20,Sites!$M$3:$O$3)),
SUM(_xlfn._xlws.FILTER(_xlfn._xlws.FILTER(_xlpm.hours,_xlpm.states*_xlpm.type,0),_xlpm.years),0))</f>
        <v>0</v>
      </c>
      <c r="AH28" s="67" cm="1">
        <f t="array" ref="AH28">_xlfn.LET(_xlpm.hours,_xlfn._TRO_TRAILING(Sites!$CG:$CI),_xlpm.type,ISNUMBER(SEARCH($AH$17,_xlfn._TRO_TRAILING(Sites!$C:$C))),
_xlpm.states,ISNUMBER(SEARCH($AH$19,_xlfn._TRO_TRAILING(Sites!$D:$D))),
_xlpm.years,ISNUMBER(SEARCH(AH$20,Sites!$M$3:$O$3)),
SUM(_xlfn._xlws.FILTER(_xlfn._xlws.FILTER(_xlpm.hours,_xlpm.states*_xlpm.type,0),_xlpm.years),0))</f>
        <v>749842.7845999999</v>
      </c>
      <c r="AI28" s="67" cm="1">
        <f t="array" ref="AI28">_xlfn.LET(_xlpm.hours,_xlfn._TRO_TRAILING(Sites!$CG:$CI),_xlpm.type,ISNUMBER(SEARCH($AH$17,_xlfn._TRO_TRAILING(Sites!$C:$C))),
_xlpm.states,ISNUMBER(SEARCH($AH$19,_xlfn._TRO_TRAILING(Sites!$D:$D))),
_xlpm.years,ISNUMBER(SEARCH(AI$20,Sites!$M$3:$O$3)),
SUM(_xlfn._xlws.FILTER(_xlfn._xlws.FILTER(_xlpm.hours,_xlpm.states*_xlpm.type,0),_xlpm.years),0))</f>
        <v>1053759.256307333</v>
      </c>
      <c r="AJ28" s="67" cm="1">
        <f t="array" ref="AJ28">_xlfn.LET(_xlpm.hours,_xlfn._TRO_TRAILING(Sites!$CG:$CI),_xlpm.type,ISNUMBER(SEARCH($AH$17,_xlfn._TRO_TRAILING(Sites!$C:$C))),
_xlpm.states,ISNUMBER(SEARCH($AH$19,_xlfn._TRO_TRAILING(Sites!$D:$D))),
_xlpm.years,ISNUMBER(SEARCH(AJ$20,Sites!$M$3:$O$3)),
SUM(_xlfn._xlws.FILTER(_xlfn._xlws.FILTER(_xlpm.hours,_xlpm.states*_xlpm.type,0),_xlpm.years),0))</f>
        <v>1415487.4836526664</v>
      </c>
      <c r="AL28" s="67" cm="1">
        <f t="array" ref="AL28">_xlfn.LET(_xlpm.hours,_xlfn._TRO_TRAILING(Sites!$CG:$CI),_xlpm.type,ISNUMBER(SEARCH($AH$17,_xlfn._TRO_TRAILING(Sites!$C:$C))),
_xlpm.states,ISNUMBER(SEARCH($AL$19,_xlfn._TRO_TRAILING(Sites!$D:$D))),
_xlpm.years,ISNUMBER(SEARCH(AL$20,Sites!$M$3:$O$3)),
SUM(_xlfn._xlws.FILTER(_xlfn._xlws.FILTER(_xlpm.hours,_xlpm.states*_xlpm.type,0),_xlpm.years),0))</f>
        <v>451470.1403333334</v>
      </c>
      <c r="AM28" s="67" cm="1">
        <f t="array" ref="AM28">_xlfn.LET(_xlpm.hours,_xlfn._TRO_TRAILING(Sites!$CG:$CI),_xlpm.type,ISNUMBER(SEARCH($AH$17,_xlfn._TRO_TRAILING(Sites!$C:$C))),
_xlpm.states,ISNUMBER(SEARCH($AL$19,_xlfn._TRO_TRAILING(Sites!$D:$D))),
_xlpm.years,ISNUMBER(SEARCH(AM$20,Sites!$M$3:$O$3)),
SUM(_xlfn._xlws.FILTER(_xlfn._xlws.FILTER(_xlpm.hours,_xlpm.states*_xlpm.type,0),_xlpm.years),0))</f>
        <v>734233.01770000008</v>
      </c>
      <c r="AN28" s="67" cm="1">
        <f t="array" ref="AN28">_xlfn.LET(_xlpm.hours,_xlfn._TRO_TRAILING(Sites!$CG:$CI),_xlpm.type,ISNUMBER(SEARCH($AH$17,_xlfn._TRO_TRAILING(Sites!$C:$C))),
_xlpm.states,ISNUMBER(SEARCH($AL$19,_xlfn._TRO_TRAILING(Sites!$D:$D))),
_xlpm.years,ISNUMBER(SEARCH(AN$20,Sites!$M$3:$O$3)),
SUM(_xlfn._xlws.FILTER(_xlfn._xlws.FILTER(_xlpm.hours,_xlpm.states*_xlpm.type,0),_xlpm.years),0))</f>
        <v>1052400.6587033332</v>
      </c>
      <c r="AP28" s="67" cm="1">
        <f t="array" ref="AP28">_xlfn.LET(_xlpm.hours,_xlfn._TRO_TRAILING(Sites!$CG:$CI),_xlpm.type,ISNUMBER(SEARCH($AH$17,_xlfn._TRO_TRAILING(Sites!$C:$C))),
_xlpm.states,ISNUMBER(SEARCH($AP$19,_xlfn._TRO_TRAILING(Sites!$D:$D))),
_xlpm.years,ISNUMBER(SEARCH(AP$20,Sites!$AK$3:$AM$3)),
IFERROR(SUM(_xlfn._xlws.FILTER(_xlfn._xlws.FILTER(_xlpm.hours,_xlpm.states*_xlpm.type,0),_xlpm.years),0),0))</f>
        <v>0</v>
      </c>
      <c r="AQ28" s="67" cm="1">
        <f t="array" ref="AQ28">_xlfn.LET(_xlpm.hours,_xlfn._TRO_TRAILING(Sites!$CG:$CI),_xlpm.type,ISNUMBER(SEARCH($AH$17,_xlfn._TRO_TRAILING(Sites!$C:$C))),
_xlpm.states,ISNUMBER(SEARCH($AP$19,_xlfn._TRO_TRAILING(Sites!$D:$D))),
_xlpm.years,ISNUMBER(SEARCH(AQ$20,Sites!$AK$3:$AM$3)),
IFERROR(SUM(_xlfn._xlws.FILTER(_xlfn._xlws.FILTER(_xlpm.hours,_xlpm.states*_xlpm.type,0),_xlpm.years),0),0))</f>
        <v>0</v>
      </c>
      <c r="AR28" s="67" cm="1">
        <f t="array" ref="AR28">_xlfn.LET(_xlpm.hours,_xlfn._TRO_TRAILING(Sites!$CG:$CI),_xlpm.type,ISNUMBER(SEARCH($AH$17,_xlfn._TRO_TRAILING(Sites!$C:$C))),
_xlpm.states,ISNUMBER(SEARCH($AP$19,_xlfn._TRO_TRAILING(Sites!$D:$D))),
_xlpm.years,ISNUMBER(SEARCH(AR$20,Sites!$AK$3:$AM$3)),
IFERROR(SUM(_xlfn._xlws.FILTER(_xlfn._xlws.FILTER(_xlpm.hours,_xlpm.states*_xlpm.type,0),_xlpm.years),0),0))</f>
        <v>0</v>
      </c>
    </row>
    <row r="29" spans="2:44" outlineLevel="1" x14ac:dyDescent="0.25">
      <c r="B29" s="39" t="s">
        <v>406</v>
      </c>
      <c r="D29" s="105"/>
      <c r="F29" s="67">
        <f t="shared" si="16"/>
        <v>0</v>
      </c>
      <c r="G29" s="67">
        <f t="shared" si="10"/>
        <v>0</v>
      </c>
      <c r="H29" s="67">
        <f t="shared" si="11"/>
        <v>0</v>
      </c>
      <c r="J29" s="67">
        <f t="shared" si="17"/>
        <v>0</v>
      </c>
      <c r="K29" s="67">
        <f t="shared" si="12"/>
        <v>0</v>
      </c>
      <c r="L29" s="67">
        <f t="shared" si="13"/>
        <v>0</v>
      </c>
      <c r="N29" s="67">
        <f t="shared" si="14"/>
        <v>0</v>
      </c>
      <c r="O29" s="67">
        <f t="shared" si="14"/>
        <v>0</v>
      </c>
      <c r="P29" s="67">
        <f t="shared" si="14"/>
        <v>0</v>
      </c>
      <c r="R29" s="67">
        <f t="shared" si="15"/>
        <v>0</v>
      </c>
      <c r="S29" s="67">
        <f t="shared" si="15"/>
        <v>0</v>
      </c>
      <c r="T29" s="67">
        <f t="shared" si="15"/>
        <v>0</v>
      </c>
      <c r="V29" s="184">
        <v>0</v>
      </c>
      <c r="W29" s="184">
        <v>0</v>
      </c>
      <c r="X29" s="184">
        <v>0</v>
      </c>
      <c r="Z29" s="184">
        <v>0</v>
      </c>
      <c r="AA29" s="184">
        <v>0</v>
      </c>
      <c r="AB29" s="184">
        <v>0</v>
      </c>
      <c r="AD29" s="184">
        <v>0</v>
      </c>
      <c r="AE29" s="184">
        <v>0</v>
      </c>
      <c r="AF29" s="184">
        <v>0</v>
      </c>
      <c r="AH29" s="184">
        <v>0</v>
      </c>
      <c r="AI29" s="184">
        <v>0</v>
      </c>
      <c r="AJ29" s="184">
        <v>0</v>
      </c>
      <c r="AL29" s="184">
        <v>0</v>
      </c>
      <c r="AM29" s="184">
        <v>0</v>
      </c>
      <c r="AN29" s="184">
        <v>0</v>
      </c>
      <c r="AP29" s="184">
        <v>0</v>
      </c>
      <c r="AQ29" s="184">
        <v>0</v>
      </c>
      <c r="AR29" s="184">
        <v>0</v>
      </c>
    </row>
    <row r="30" spans="2:44" outlineLevel="1" x14ac:dyDescent="0.25">
      <c r="B30" s="39" t="s">
        <v>99</v>
      </c>
      <c r="D30" s="105"/>
      <c r="F30" s="67">
        <f t="shared" si="16"/>
        <v>-3993557.5039398074</v>
      </c>
      <c r="G30" s="67">
        <f t="shared" si="10"/>
        <v>-6119453.3924778737</v>
      </c>
      <c r="H30" s="67">
        <f t="shared" si="11"/>
        <v>-8027226.0864921389</v>
      </c>
      <c r="J30" s="67">
        <f t="shared" si="17"/>
        <v>-2178010.1303087994</v>
      </c>
      <c r="K30" s="67">
        <f t="shared" si="12"/>
        <v>-2856386.6974903988</v>
      </c>
      <c r="L30" s="67">
        <f t="shared" si="13"/>
        <v>-3538147.9902004693</v>
      </c>
      <c r="N30" s="67">
        <f t="shared" si="14"/>
        <v>-1452352.6459438079</v>
      </c>
      <c r="O30" s="67">
        <f t="shared" si="14"/>
        <v>-2694978.7150825439</v>
      </c>
      <c r="P30" s="67">
        <f t="shared" si="14"/>
        <v>-3815052.9639569148</v>
      </c>
      <c r="R30" s="67">
        <f t="shared" si="15"/>
        <v>-363194.72768719989</v>
      </c>
      <c r="S30" s="67">
        <f t="shared" si="15"/>
        <v>-568087.97990493104</v>
      </c>
      <c r="T30" s="67">
        <f t="shared" si="15"/>
        <v>-674025.13233475515</v>
      </c>
      <c r="V30" s="67" cm="1">
        <f t="array" ref="V30">_xlfn.LET(_xlpm.hours,_xlfn._TRO_TRAILING(Sites!$BA:$BC),_xlpm.type,ISNUMBER(SEARCH($V$17,_xlfn._TRO_TRAILING(Sites!$C:$C))),
_xlpm.states,ISNUMBER(SEARCH($V$19,_xlfn._TRO_TRAILING(Sites!$D:$D))),
_xlpm.years,ISNUMBER(SEARCH(V$20,Sites!$M$3:$O$3)),
SUM(_xlfn._xlws.FILTER(_xlfn._xlws.FILTER(_xlpm.hours,_xlpm.states*_xlpm.type,0),_xlpm.years),0))</f>
        <v>-661743.75200975989</v>
      </c>
      <c r="W30" s="67" cm="1">
        <f t="array" ref="W30">_xlfn.LET(_xlpm.hours,_xlfn._TRO_TRAILING(Sites!$BA:$BC),_xlpm.type,ISNUMBER(SEARCH($V$17,_xlfn._TRO_TRAILING(Sites!$C:$C))),
_xlpm.states,ISNUMBER(SEARCH($V$19,_xlfn._TRO_TRAILING(Sites!$D:$D))),
_xlpm.years,ISNUMBER(SEARCH(W$20,Sites!$M$3:$O$3)),
SUM(_xlfn._xlws.FILTER(_xlfn._xlws.FILTER(_xlpm.hours,_xlpm.states*_xlpm.type,0),_xlpm.years),0))</f>
        <v>-784947.48319008003</v>
      </c>
      <c r="X30" s="67" cm="1">
        <f t="array" ref="X30">_xlfn.LET(_xlpm.hours,_xlfn._TRO_TRAILING(Sites!$BA:$BC),_xlpm.type,ISNUMBER(SEARCH($V$17,_xlfn._TRO_TRAILING(Sites!$C:$C))),
_xlpm.states,ISNUMBER(SEARCH($V$19,_xlfn._TRO_TRAILING(Sites!$D:$D))),
_xlpm.years,ISNUMBER(SEARCH(X$20,Sites!$M$3:$O$3)),
SUM(_xlfn._xlws.FILTER(_xlfn._xlws.FILTER(_xlpm.hours,_xlpm.states*_xlpm.type,0),_xlpm.years),0))</f>
        <v>-784947.48319008003</v>
      </c>
      <c r="Z30" s="67" cm="1">
        <f t="array" ref="Z30">_xlfn.LET(_xlpm.hours,_xlfn._TRO_TRAILING(Sites!$BA:$BC),_xlpm.type,ISNUMBER(SEARCH($V$17,_xlfn._TRO_TRAILING(Sites!$C:$C))),
_xlpm.states,ISNUMBER(SEARCH($Z$19,_xlfn._TRO_TRAILING(Sites!$D:$D))),
_xlpm.years,ISNUMBER(SEARCH(Z$20,Sites!$M$3:$O$3)),
SUM(_xlfn._xlws.FILTER(_xlfn._xlws.FILTER(_xlpm.hours,_xlpm.states*_xlpm.type,0),_xlpm.years),0))</f>
        <v>-780354.41147481604</v>
      </c>
      <c r="AA30" s="67" cm="1">
        <f t="array" ref="AA30">_xlfn.LET(_xlpm.hours,_xlfn._TRO_TRAILING(Sites!$BA:$BC),_xlpm.type,ISNUMBER(SEARCH($V$17,_xlfn._TRO_TRAILING(Sites!$C:$C))),
_xlpm.states,ISNUMBER(SEARCH($Z$19,_xlfn._TRO_TRAILING(Sites!$D:$D))),
_xlpm.years,ISNUMBER(SEARCH(AA$20,Sites!$M$3:$O$3)),
SUM(_xlfn._xlws.FILTER(_xlfn._xlws.FILTER(_xlpm.hours,_xlpm.states*_xlpm.type,0),_xlpm.years),0))</f>
        <v>-1037021.4198396504</v>
      </c>
      <c r="AB30" s="67" cm="1">
        <f t="array" ref="AB30">_xlfn.LET(_xlpm.hours,_xlfn._TRO_TRAILING(Sites!$BA:$BC),_xlpm.type,ISNUMBER(SEARCH($V$17,_xlfn._TRO_TRAILING(Sites!$C:$C))),
_xlpm.states,ISNUMBER(SEARCH($Z$19,_xlfn._TRO_TRAILING(Sites!$D:$D))),
_xlpm.years,ISNUMBER(SEARCH(AB$20,Sites!$M$3:$O$3)),
SUM(_xlfn._xlws.FILTER(_xlfn._xlws.FILTER(_xlpm.hours,_xlpm.states*_xlpm.type,0),_xlpm.years),0))</f>
        <v>-1270865.3434068919</v>
      </c>
      <c r="AD30" s="67" cm="1">
        <f t="array" ref="AD30">_xlfn.LET(_xlpm.hours,_xlfn._TRO_TRAILING(Sites!$BA:$BC),_xlpm.type,ISNUMBER(SEARCH($V$17,_xlfn._TRO_TRAILING(Sites!$C:$C))),
_xlpm.states,ISNUMBER(SEARCH($AD$19,_xlfn._TRO_TRAILING(Sites!$D:$D))),
_xlpm.years,ISNUMBER(SEARCH(AD$20,Sites!$M$3:$O$3)),
SUM(_xlfn._xlws.FILTER(_xlfn._xlws.FILTER(_xlpm.hours,_xlpm.states*_xlpm.type,0),_xlpm.years),0))</f>
        <v>-363194.72768719989</v>
      </c>
      <c r="AE30" s="67" cm="1">
        <f t="array" ref="AE30">_xlfn.LET(_xlpm.hours,_xlfn._TRO_TRAILING(Sites!$BA:$BC),_xlpm.type,ISNUMBER(SEARCH($V$17,_xlfn._TRO_TRAILING(Sites!$C:$C))),
_xlpm.states,ISNUMBER(SEARCH($AD$19,_xlfn._TRO_TRAILING(Sites!$D:$D))),
_xlpm.years,ISNUMBER(SEARCH(AE$20,Sites!$M$3:$O$3)),
SUM(_xlfn._xlws.FILTER(_xlfn._xlws.FILTER(_xlpm.hours,_xlpm.states*_xlpm.type,0),_xlpm.years),0))</f>
        <v>-568087.97990493104</v>
      </c>
      <c r="AF30" s="67" cm="1">
        <f t="array" ref="AF30">_xlfn.LET(_xlpm.hours,_xlfn._TRO_TRAILING(Sites!$BA:$BC),_xlpm.type,ISNUMBER(SEARCH($V$17,_xlfn._TRO_TRAILING(Sites!$C:$C))),
_xlpm.states,ISNUMBER(SEARCH($AD$19,_xlfn._TRO_TRAILING(Sites!$D:$D))),
_xlpm.years,ISNUMBER(SEARCH(AF$20,Sites!$M$3:$O$3)),
SUM(_xlfn._xlws.FILTER(_xlfn._xlws.FILTER(_xlpm.hours,_xlpm.states*_xlpm.type,0),_xlpm.years),0))</f>
        <v>-674025.13233475515</v>
      </c>
      <c r="AH30" s="67" cm="1">
        <f t="array" ref="AH30">_xlfn.LET(_xlpm.hours,_xlfn._TRO_TRAILING(Sites!$BA:$BC),_xlpm.type,ISNUMBER(SEARCH($AH$17,_xlfn._TRO_TRAILING(Sites!$C:$C))),
_xlpm.states,ISNUMBER(SEARCH($AH$19,_xlfn._TRO_TRAILING(Sites!$D:$D))),
_xlpm.years,ISNUMBER(SEARCH(AH$20,Sites!$M$3:$O$3)),
SUM(_xlfn._xlws.FILTER(_xlfn._xlws.FILTER(_xlpm.hours,_xlpm.states*_xlpm.type,0),_xlpm.years),0))</f>
        <v>-1516266.3782990398</v>
      </c>
      <c r="AI30" s="67" cm="1">
        <f t="array" ref="AI30">_xlfn.LET(_xlpm.hours,_xlfn._TRO_TRAILING(Sites!$BA:$BC),_xlpm.type,ISNUMBER(SEARCH($AH$17,_xlfn._TRO_TRAILING(Sites!$C:$C))),
_xlpm.states,ISNUMBER(SEARCH($AH$19,_xlfn._TRO_TRAILING(Sites!$D:$D))),
_xlpm.years,ISNUMBER(SEARCH(AI$20,Sites!$M$3:$O$3)),
SUM(_xlfn._xlws.FILTER(_xlfn._xlws.FILTER(_xlpm.hours,_xlpm.states*_xlpm.type,0),_xlpm.years),0))</f>
        <v>-2071439.2143003186</v>
      </c>
      <c r="AJ30" s="67" cm="1">
        <f t="array" ref="AJ30">_xlfn.LET(_xlpm.hours,_xlfn._TRO_TRAILING(Sites!$BA:$BC),_xlpm.type,ISNUMBER(SEARCH($AH$17,_xlfn._TRO_TRAILING(Sites!$C:$C))),
_xlpm.states,ISNUMBER(SEARCH($AH$19,_xlfn._TRO_TRAILING(Sites!$D:$D))),
_xlpm.years,ISNUMBER(SEARCH(AJ$20,Sites!$M$3:$O$3)),
SUM(_xlfn._xlws.FILTER(_xlfn._xlws.FILTER(_xlpm.hours,_xlpm.states*_xlpm.type,0),_xlpm.years),0))</f>
        <v>-2753200.5070103891</v>
      </c>
      <c r="AL30" s="67" cm="1">
        <f t="array" ref="AL30">_xlfn.LET(_xlpm.hours,_xlfn._TRO_TRAILING(Sites!$BA:$BC),_xlpm.type,ISNUMBER(SEARCH($AH$17,_xlfn._TRO_TRAILING(Sites!$C:$C))),
_xlpm.states,ISNUMBER(SEARCH($AL$19,_xlfn._TRO_TRAILING(Sites!$D:$D))),
_xlpm.years,ISNUMBER(SEARCH(AL$20,Sites!$M$3:$O$3)),
SUM(_xlfn._xlws.FILTER(_xlfn._xlws.FILTER(_xlpm.hours,_xlpm.states*_xlpm.type,0),_xlpm.years),0))</f>
        <v>-671998.23446899187</v>
      </c>
      <c r="AM30" s="67" cm="1">
        <f t="array" ref="AM30">_xlfn.LET(_xlpm.hours,_xlfn._TRO_TRAILING(Sites!$BA:$BC),_xlpm.type,ISNUMBER(SEARCH($AH$17,_xlfn._TRO_TRAILING(Sites!$C:$C))),
_xlpm.states,ISNUMBER(SEARCH($AL$19,_xlfn._TRO_TRAILING(Sites!$D:$D))),
_xlpm.years,ISNUMBER(SEARCH(AM$20,Sites!$M$3:$O$3)),
SUM(_xlfn._xlws.FILTER(_xlfn._xlws.FILTER(_xlpm.hours,_xlpm.states*_xlpm.type,0),_xlpm.years),0))</f>
        <v>-1657957.2952428933</v>
      </c>
      <c r="AN30" s="67" cm="1">
        <f t="array" ref="AN30">_xlfn.LET(_xlpm.hours,_xlfn._TRO_TRAILING(Sites!$BA:$BC),_xlpm.type,ISNUMBER(SEARCH($AH$17,_xlfn._TRO_TRAILING(Sites!$C:$C))),
_xlpm.states,ISNUMBER(SEARCH($AL$19,_xlfn._TRO_TRAILING(Sites!$D:$D))),
_xlpm.years,ISNUMBER(SEARCH(AN$20,Sites!$M$3:$O$3)),
SUM(_xlfn._xlws.FILTER(_xlfn._xlws.FILTER(_xlpm.hours,_xlpm.states*_xlpm.type,0),_xlpm.years),0))</f>
        <v>-2544187.6205500229</v>
      </c>
      <c r="AP30" s="67" cm="1">
        <f t="array" ref="AP30">_xlfn.LET(_xlpm.hours,_xlfn._TRO_TRAILING(Sites!$BA:$BC),_xlpm.type,ISNUMBER(SEARCH($AH$17,_xlfn._TRO_TRAILING(Sites!$C:$C))),
_xlpm.states,ISNUMBER(SEARCH($AP$19,_xlfn._TRO_TRAILING(Sites!$D:$D))),
_xlpm.years,ISNUMBER(SEARCH(AP$20,Sites!$AK$3:$AM$3)),
IFERROR(SUM(_xlfn._xlws.FILTER(_xlfn._xlws.FILTER(_xlpm.hours,_xlpm.states*_xlpm.type,0),_xlpm.years),0),0))</f>
        <v>0</v>
      </c>
      <c r="AQ30" s="67" cm="1">
        <f t="array" ref="AQ30">_xlfn.LET(_xlpm.hours,_xlfn._TRO_TRAILING(Sites!$BA:$BC),_xlpm.type,ISNUMBER(SEARCH($AH$17,_xlfn._TRO_TRAILING(Sites!$C:$C))),
_xlpm.states,ISNUMBER(SEARCH($AP$19,_xlfn._TRO_TRAILING(Sites!$D:$D))),
_xlpm.years,ISNUMBER(SEARCH(AQ$20,Sites!$AK$3:$AM$3)),
IFERROR(SUM(_xlfn._xlws.FILTER(_xlfn._xlws.FILTER(_xlpm.hours,_xlpm.states*_xlpm.type,0),_xlpm.years),0),0))</f>
        <v>0</v>
      </c>
      <c r="AR30" s="67" cm="1">
        <f t="array" ref="AR30">_xlfn.LET(_xlpm.hours,_xlfn._TRO_TRAILING(Sites!$BA:$BC),_xlpm.type,ISNUMBER(SEARCH($AH$17,_xlfn._TRO_TRAILING(Sites!$C:$C))),
_xlpm.states,ISNUMBER(SEARCH($AP$19,_xlfn._TRO_TRAILING(Sites!$D:$D))),
_xlpm.years,ISNUMBER(SEARCH(AR$20,Sites!$AK$3:$AM$3)),
IFERROR(SUM(_xlfn._xlws.FILTER(_xlfn._xlws.FILTER(_xlpm.hours,_xlpm.states*_xlpm.type,0),_xlpm.years),0),0))</f>
        <v>0</v>
      </c>
    </row>
    <row r="31" spans="2:44" outlineLevel="1" x14ac:dyDescent="0.25">
      <c r="B31" s="39" t="s">
        <v>261</v>
      </c>
      <c r="C31" s="4"/>
      <c r="D31" s="105"/>
      <c r="F31" s="67">
        <f t="shared" si="16"/>
        <v>0</v>
      </c>
      <c r="G31" s="67">
        <f t="shared" si="10"/>
        <v>0</v>
      </c>
      <c r="H31" s="67">
        <f t="shared" si="11"/>
        <v>0</v>
      </c>
      <c r="J31" s="67">
        <f t="shared" si="17"/>
        <v>0</v>
      </c>
      <c r="K31" s="67">
        <f t="shared" si="12"/>
        <v>0</v>
      </c>
      <c r="L31" s="67">
        <f t="shared" si="13"/>
        <v>0</v>
      </c>
      <c r="N31" s="67">
        <f t="shared" si="14"/>
        <v>0</v>
      </c>
      <c r="O31" s="67">
        <f t="shared" si="14"/>
        <v>0</v>
      </c>
      <c r="P31" s="67">
        <f t="shared" si="14"/>
        <v>0</v>
      </c>
      <c r="R31" s="67">
        <f t="shared" si="15"/>
        <v>0</v>
      </c>
      <c r="S31" s="67">
        <f t="shared" si="15"/>
        <v>0</v>
      </c>
      <c r="T31" s="67">
        <f t="shared" si="15"/>
        <v>0</v>
      </c>
      <c r="V31" s="67" cm="1">
        <f t="array" ref="V31">_xlfn.LET(_xlpm.hours,_xlfn._TRO_TRAILING(Sites!$CO:$CQ),_xlpm.type,ISNUMBER(SEARCH($V$17,_xlfn._TRO_TRAILING(Sites!$C:$C))),
_xlpm.states,ISNUMBER(SEARCH($V$19,_xlfn._TRO_TRAILING(Sites!$D:$D))),
_xlpm.years,ISNUMBER(SEARCH(V$20,Sites!$M$3:$O$3)),
SUM(_xlfn._xlws.FILTER(_xlfn._xlws.FILTER(_xlpm.hours,_xlpm.states*_xlpm.type,0),_xlpm.years),0))</f>
        <v>0</v>
      </c>
      <c r="W31" s="67" cm="1">
        <f t="array" ref="W31">_xlfn.LET(_xlpm.hours,_xlfn._TRO_TRAILING(Sites!$CO:$CQ),_xlpm.type,ISNUMBER(SEARCH($V$17,_xlfn._TRO_TRAILING(Sites!$C:$C))),
_xlpm.states,ISNUMBER(SEARCH($V$19,_xlfn._TRO_TRAILING(Sites!$D:$D))),
_xlpm.years,ISNUMBER(SEARCH(W$20,Sites!$M$3:$O$3)),
SUM(_xlfn._xlws.FILTER(_xlfn._xlws.FILTER(_xlpm.hours,_xlpm.states*_xlpm.type,0),_xlpm.years),0))</f>
        <v>0</v>
      </c>
      <c r="X31" s="67" cm="1">
        <f t="array" ref="X31">_xlfn.LET(_xlpm.hours,_xlfn._TRO_TRAILING(Sites!$CO:$CQ),_xlpm.type,ISNUMBER(SEARCH($V$17,_xlfn._TRO_TRAILING(Sites!$C:$C))),
_xlpm.states,ISNUMBER(SEARCH($V$19,_xlfn._TRO_TRAILING(Sites!$D:$D))),
_xlpm.years,ISNUMBER(SEARCH(X$20,Sites!$M$3:$O$3)),
SUM(_xlfn._xlws.FILTER(_xlfn._xlws.FILTER(_xlpm.hours,_xlpm.states*_xlpm.type,0),_xlpm.years),0))</f>
        <v>0</v>
      </c>
      <c r="Z31" s="67" cm="1">
        <f t="array" ref="Z31">_xlfn.LET(_xlpm.hours,_xlfn._TRO_TRAILING(Sites!$CO:$CQ),_xlpm.type,ISNUMBER(SEARCH($V$17,_xlfn._TRO_TRAILING(Sites!$C:$C))),
_xlpm.states,ISNUMBER(SEARCH($Z$19,_xlfn._TRO_TRAILING(Sites!$D:$D))),
_xlpm.years,ISNUMBER(SEARCH(Z$20,Sites!$M$3:$O$3)),
SUM(_xlfn._xlws.FILTER(_xlfn._xlws.FILTER(_xlpm.hours,_xlpm.states*_xlpm.type,0),_xlpm.years),0))</f>
        <v>0</v>
      </c>
      <c r="AA31" s="67" cm="1">
        <f t="array" ref="AA31">_xlfn.LET(_xlpm.hours,_xlfn._TRO_TRAILING(Sites!$CO:$CQ),_xlpm.type,ISNUMBER(SEARCH($V$17,_xlfn._TRO_TRAILING(Sites!$C:$C))),
_xlpm.states,ISNUMBER(SEARCH($Z$19,_xlfn._TRO_TRAILING(Sites!$D:$D))),
_xlpm.years,ISNUMBER(SEARCH(AA$20,Sites!$M$3:$O$3)),
SUM(_xlfn._xlws.FILTER(_xlfn._xlws.FILTER(_xlpm.hours,_xlpm.states*_xlpm.type,0),_xlpm.years),0))</f>
        <v>0</v>
      </c>
      <c r="AB31" s="67" cm="1">
        <f t="array" ref="AB31">_xlfn.LET(_xlpm.hours,_xlfn._TRO_TRAILING(Sites!$CO:$CQ),_xlpm.type,ISNUMBER(SEARCH($V$17,_xlfn._TRO_TRAILING(Sites!$C:$C))),
_xlpm.states,ISNUMBER(SEARCH($Z$19,_xlfn._TRO_TRAILING(Sites!$D:$D))),
_xlpm.years,ISNUMBER(SEARCH(AB$20,Sites!$M$3:$O$3)),
SUM(_xlfn._xlws.FILTER(_xlfn._xlws.FILTER(_xlpm.hours,_xlpm.states*_xlpm.type,0),_xlpm.years),0))</f>
        <v>0</v>
      </c>
      <c r="AD31" s="67" cm="1">
        <f t="array" ref="AD31">_xlfn.LET(_xlpm.hours,_xlfn._TRO_TRAILING(Sites!$CO:$CQ),_xlpm.type,ISNUMBER(SEARCH($V$17,_xlfn._TRO_TRAILING(Sites!$C:$C))),
_xlpm.states,ISNUMBER(SEARCH($AD$19,_xlfn._TRO_TRAILING(Sites!$D:$D))),
_xlpm.years,ISNUMBER(SEARCH(AD$20,Sites!$M$3:$O$3)),
SUM(_xlfn._xlws.FILTER(_xlfn._xlws.FILTER(_xlpm.hours,_xlpm.states*_xlpm.type,0),_xlpm.years),0))</f>
        <v>0</v>
      </c>
      <c r="AE31" s="67" cm="1">
        <f t="array" ref="AE31">_xlfn.LET(_xlpm.hours,_xlfn._TRO_TRAILING(Sites!$CO:$CQ),_xlpm.type,ISNUMBER(SEARCH($V$17,_xlfn._TRO_TRAILING(Sites!$C:$C))),
_xlpm.states,ISNUMBER(SEARCH($AD$19,_xlfn._TRO_TRAILING(Sites!$D:$D))),
_xlpm.years,ISNUMBER(SEARCH(AE$20,Sites!$M$3:$O$3)),
SUM(_xlfn._xlws.FILTER(_xlfn._xlws.FILTER(_xlpm.hours,_xlpm.states*_xlpm.type,0),_xlpm.years),0))</f>
        <v>0</v>
      </c>
      <c r="AF31" s="67" cm="1">
        <f t="array" ref="AF31">_xlfn.LET(_xlpm.hours,_xlfn._TRO_TRAILING(Sites!$CO:$CQ),_xlpm.type,ISNUMBER(SEARCH($V$17,_xlfn._TRO_TRAILING(Sites!$C:$C))),
_xlpm.states,ISNUMBER(SEARCH($AD$19,_xlfn._TRO_TRAILING(Sites!$D:$D))),
_xlpm.years,ISNUMBER(SEARCH(AF$20,Sites!$M$3:$O$3)),
SUM(_xlfn._xlws.FILTER(_xlfn._xlws.FILTER(_xlpm.hours,_xlpm.states*_xlpm.type,0),_xlpm.years),0))</f>
        <v>0</v>
      </c>
      <c r="AH31" s="67" cm="1">
        <f t="array" ref="AH31">_xlfn.LET(_xlpm.hours,_xlfn._TRO_TRAILING(Sites!$CO:$CQ),_xlpm.type,ISNUMBER(SEARCH($AH$17,_xlfn._TRO_TRAILING(Sites!$C:$C))),
_xlpm.states,ISNUMBER(SEARCH($AH$19,_xlfn._TRO_TRAILING(Sites!$D:$D))),
_xlpm.years,ISNUMBER(SEARCH(AH$20,Sites!$M$3:$O$3)),
SUM(_xlfn._xlws.FILTER(_xlfn._xlws.FILTER(_xlpm.hours,_xlpm.states*_xlpm.type,0),_xlpm.years),0))</f>
        <v>0</v>
      </c>
      <c r="AI31" s="67" cm="1">
        <f t="array" ref="AI31">_xlfn.LET(_xlpm.hours,_xlfn._TRO_TRAILING(Sites!$CO:$CQ),_xlpm.type,ISNUMBER(SEARCH($AH$17,_xlfn._TRO_TRAILING(Sites!$C:$C))),
_xlpm.states,ISNUMBER(SEARCH($AH$19,_xlfn._TRO_TRAILING(Sites!$D:$D))),
_xlpm.years,ISNUMBER(SEARCH(AI$20,Sites!$M$3:$O$3)),
SUM(_xlfn._xlws.FILTER(_xlfn._xlws.FILTER(_xlpm.hours,_xlpm.states*_xlpm.type,0),_xlpm.years),0))</f>
        <v>0</v>
      </c>
      <c r="AJ31" s="67" cm="1">
        <f t="array" ref="AJ31">_xlfn.LET(_xlpm.hours,_xlfn._TRO_TRAILING(Sites!$CO:$CQ),_xlpm.type,ISNUMBER(SEARCH($AH$17,_xlfn._TRO_TRAILING(Sites!$C:$C))),
_xlpm.states,ISNUMBER(SEARCH($AH$19,_xlfn._TRO_TRAILING(Sites!$D:$D))),
_xlpm.years,ISNUMBER(SEARCH(AJ$20,Sites!$M$3:$O$3)),
SUM(_xlfn._xlws.FILTER(_xlfn._xlws.FILTER(_xlpm.hours,_xlpm.states*_xlpm.type,0),_xlpm.years),0))</f>
        <v>0</v>
      </c>
      <c r="AL31" s="67" cm="1">
        <f t="array" ref="AL31">_xlfn.LET(_xlpm.hours,_xlfn._TRO_TRAILING(Sites!$CO:$CQ),_xlpm.type,ISNUMBER(SEARCH($AH$17,_xlfn._TRO_TRAILING(Sites!$C:$C))),
_xlpm.states,ISNUMBER(SEARCH($AL$19,_xlfn._TRO_TRAILING(Sites!$D:$D))),
_xlpm.years,ISNUMBER(SEARCH(AL$20,Sites!$M$3:$O$3)),
SUM(_xlfn._xlws.FILTER(_xlfn._xlws.FILTER(_xlpm.hours,_xlpm.states*_xlpm.type,0),_xlpm.years),0))</f>
        <v>0</v>
      </c>
      <c r="AM31" s="67" cm="1">
        <f t="array" ref="AM31">_xlfn.LET(_xlpm.hours,_xlfn._TRO_TRAILING(Sites!$CO:$CQ),_xlpm.type,ISNUMBER(SEARCH($AH$17,_xlfn._TRO_TRAILING(Sites!$C:$C))),
_xlpm.states,ISNUMBER(SEARCH($AL$19,_xlfn._TRO_TRAILING(Sites!$D:$D))),
_xlpm.years,ISNUMBER(SEARCH(AM$20,Sites!$M$3:$O$3)),
SUM(_xlfn._xlws.FILTER(_xlfn._xlws.FILTER(_xlpm.hours,_xlpm.states*_xlpm.type,0),_xlpm.years),0))</f>
        <v>0</v>
      </c>
      <c r="AN31" s="67" cm="1">
        <f t="array" ref="AN31">_xlfn.LET(_xlpm.hours,_xlfn._TRO_TRAILING(Sites!$CO:$CQ),_xlpm.type,ISNUMBER(SEARCH($AH$17,_xlfn._TRO_TRAILING(Sites!$C:$C))),
_xlpm.states,ISNUMBER(SEARCH($AL$19,_xlfn._TRO_TRAILING(Sites!$D:$D))),
_xlpm.years,ISNUMBER(SEARCH(AN$20,Sites!$M$3:$O$3)),
SUM(_xlfn._xlws.FILTER(_xlfn._xlws.FILTER(_xlpm.hours,_xlpm.states*_xlpm.type,0),_xlpm.years),0))</f>
        <v>0</v>
      </c>
      <c r="AP31" s="67" cm="1">
        <f t="array" ref="AP31">_xlfn.LET(_xlpm.hours,_xlfn._TRO_TRAILING(Sites!$CO:$CQ),_xlpm.type,ISNUMBER(SEARCH($AH$17,_xlfn._TRO_TRAILING(Sites!$C:$C))),
_xlpm.states,ISNUMBER(SEARCH($AP$19,_xlfn._TRO_TRAILING(Sites!$D:$D))),
_xlpm.years,ISNUMBER(SEARCH(AP$20,Sites!$AK$3:$AM$3)),
IFERROR(SUM(_xlfn._xlws.FILTER(_xlfn._xlws.FILTER(_xlpm.hours,_xlpm.states*_xlpm.type,0),_xlpm.years),0),0))</f>
        <v>0</v>
      </c>
      <c r="AQ31" s="67" cm="1">
        <f t="array" ref="AQ31">_xlfn.LET(_xlpm.hours,_xlfn._TRO_TRAILING(Sites!$CO:$CQ),_xlpm.type,ISNUMBER(SEARCH($AH$17,_xlfn._TRO_TRAILING(Sites!$C:$C))),
_xlpm.states,ISNUMBER(SEARCH($AP$19,_xlfn._TRO_TRAILING(Sites!$D:$D))),
_xlpm.years,ISNUMBER(SEARCH(AQ$20,Sites!$AK$3:$AM$3)),
IFERROR(SUM(_xlfn._xlws.FILTER(_xlfn._xlws.FILTER(_xlpm.hours,_xlpm.states*_xlpm.type,0),_xlpm.years),0),0))</f>
        <v>0</v>
      </c>
      <c r="AR31" s="67" cm="1">
        <f t="array" ref="AR31">_xlfn.LET(_xlpm.hours,_xlfn._TRO_TRAILING(Sites!$CO:$CQ),_xlpm.type,ISNUMBER(SEARCH($AH$17,_xlfn._TRO_TRAILING(Sites!$C:$C))),
_xlpm.states,ISNUMBER(SEARCH($AP$19,_xlfn._TRO_TRAILING(Sites!$D:$D))),
_xlpm.years,ISNUMBER(SEARCH(AR$20,Sites!$AK$3:$AM$3)),
IFERROR(SUM(_xlfn._xlws.FILTER(_xlfn._xlws.FILTER(_xlpm.hours,_xlpm.states*_xlpm.type,0),_xlpm.years),0),0))</f>
        <v>0</v>
      </c>
    </row>
    <row r="32" spans="2:44" x14ac:dyDescent="0.25">
      <c r="B32" s="1" t="s">
        <v>271</v>
      </c>
      <c r="C32" s="15"/>
      <c r="D32" s="105"/>
      <c r="F32" s="13">
        <f>SUM(F21:F31)</f>
        <v>29286088.362225253</v>
      </c>
      <c r="G32" s="13">
        <f>SUM(G21:G31)</f>
        <v>44875991.544837743</v>
      </c>
      <c r="H32" s="13">
        <f>SUM(H21:H31)</f>
        <v>58866324.634275697</v>
      </c>
      <c r="J32" s="13">
        <f>SUM(J21:J31)</f>
        <v>15972074.288931198</v>
      </c>
      <c r="K32" s="13">
        <f>SUM(K21:K31)</f>
        <v>20946835.781596258</v>
      </c>
      <c r="L32" s="13">
        <f>SUM(L21:L31)</f>
        <v>25946418.594803438</v>
      </c>
      <c r="N32" s="13">
        <f>SUM(N21:N31)</f>
        <v>10650586.070254592</v>
      </c>
      <c r="O32" s="13">
        <f>SUM(O21:O31)</f>
        <v>19763177.243938655</v>
      </c>
      <c r="P32" s="13">
        <f>SUM(P21:P31)</f>
        <v>27977055.069017373</v>
      </c>
      <c r="R32" s="13">
        <f>SUM(R21:R31)</f>
        <v>2663428.0030394658</v>
      </c>
      <c r="S32" s="13">
        <f>SUM(S21:S31)</f>
        <v>4165978.5193028282</v>
      </c>
      <c r="T32" s="13">
        <f>SUM(T21:T31)</f>
        <v>4942850.9704548707</v>
      </c>
      <c r="V32" s="13">
        <f>SUM(V21:V31)</f>
        <v>4852787.5147382393</v>
      </c>
      <c r="W32" s="13">
        <f>SUM(W21:W31)</f>
        <v>5756281.5433939192</v>
      </c>
      <c r="X32" s="13">
        <f>SUM(X21:X31)</f>
        <v>5756281.5433939192</v>
      </c>
      <c r="Z32" s="13">
        <f>SUM(Z21:Z31)</f>
        <v>5722599.0174819846</v>
      </c>
      <c r="AA32" s="13">
        <f>SUM(AA21:AA31)</f>
        <v>7604823.7454907689</v>
      </c>
      <c r="AB32" s="13">
        <f>SUM(AB21:AB31)</f>
        <v>9319679.1849838737</v>
      </c>
      <c r="AD32" s="13">
        <f>SUM(AD21:AD31)</f>
        <v>2663428.0030394658</v>
      </c>
      <c r="AE32" s="13">
        <f>SUM(AE21:AE31)</f>
        <v>4165978.5193028282</v>
      </c>
      <c r="AF32" s="13">
        <f>SUM(AF21:AF31)</f>
        <v>4942850.9704548707</v>
      </c>
      <c r="AH32" s="13">
        <f>SUM(AH21:AH31)</f>
        <v>11119286.774192963</v>
      </c>
      <c r="AI32" s="13">
        <f>SUM(AI21:AI31)</f>
        <v>15190554.238202333</v>
      </c>
      <c r="AJ32" s="13">
        <f>SUM(AJ21:AJ31)</f>
        <v>20190137.051409516</v>
      </c>
      <c r="AL32" s="13">
        <f>SUM(AL21:AL31)</f>
        <v>4927987.0527726067</v>
      </c>
      <c r="AM32" s="13">
        <f>SUM(AM21:AM31)</f>
        <v>12158353.498447886</v>
      </c>
      <c r="AN32" s="13">
        <f>SUM(AN21:AN31)</f>
        <v>18657375.884033505</v>
      </c>
      <c r="AP32" s="13">
        <f>SUM(AP21:AP31)</f>
        <v>0</v>
      </c>
      <c r="AQ32" s="13">
        <f>SUM(AQ21:AQ31)</f>
        <v>0</v>
      </c>
      <c r="AR32" s="13">
        <f>SUM(AR21:AR31)</f>
        <v>0</v>
      </c>
    </row>
    <row r="33" spans="2:46" x14ac:dyDescent="0.25">
      <c r="F33" s="67"/>
      <c r="J33" s="67"/>
      <c r="N33" s="67"/>
      <c r="R33" s="67"/>
    </row>
    <row r="34" spans="2:46" outlineLevel="1" x14ac:dyDescent="0.25">
      <c r="B34" s="1" t="s">
        <v>118</v>
      </c>
      <c r="J34" s="12"/>
      <c r="N34" s="12"/>
      <c r="R34" s="12"/>
    </row>
    <row r="35" spans="2:46" outlineLevel="1" x14ac:dyDescent="0.25">
      <c r="B35" s="39" t="s">
        <v>23</v>
      </c>
      <c r="F35" s="67">
        <f>J35+N35+R35</f>
        <v>16413987.399531281</v>
      </c>
      <c r="G35" s="67">
        <f t="shared" ref="G35:G44" si="18">K35+O35+S35</f>
        <v>27274398.935828853</v>
      </c>
      <c r="H35" s="67">
        <f t="shared" ref="H35:H44" si="19">L35+P35+T35</f>
        <v>39510532.884172708</v>
      </c>
      <c r="J35" s="67">
        <f t="shared" ref="J35:J44" si="20">V35+AH35</f>
        <v>9219259.4861770123</v>
      </c>
      <c r="K35" s="67">
        <f t="shared" ref="K35:K44" si="21">W35+AI35</f>
        <v>13088124.561196696</v>
      </c>
      <c r="L35" s="67">
        <f t="shared" ref="L35:L44" si="22">X35+AJ35</f>
        <v>18109302.763640057</v>
      </c>
      <c r="N35" s="67">
        <f>Z35+AL35</f>
        <v>5749477.7424457632</v>
      </c>
      <c r="O35" s="67">
        <f t="shared" ref="O35:O44" si="23">AA35+AM35</f>
        <v>11832772.151278965</v>
      </c>
      <c r="P35" s="67">
        <f t="shared" ref="P35:P44" si="24">AB35+AN35</f>
        <v>18499737.167863086</v>
      </c>
      <c r="R35" s="67">
        <f t="shared" ref="R35:R44" si="25">AD35+AP35</f>
        <v>1445250.1709085044</v>
      </c>
      <c r="S35" s="67">
        <f t="shared" ref="S35:S44" si="26">AE35+AQ35</f>
        <v>2353502.2233531913</v>
      </c>
      <c r="T35" s="67">
        <f t="shared" ref="T35:T44" si="27">AF35+AR35</f>
        <v>2901492.9526695586</v>
      </c>
      <c r="V35" s="67" cm="1">
        <f t="array" ref="V35">_xlfn.LET(_xlpm.hours,_xlfn._TRO_TRAILING(Sites!$CS:$CU),_xlpm.type,ISNUMBER(SEARCH($V$17,_xlfn._TRO_TRAILING(Sites!$C:$C))),
_xlpm.states,ISNUMBER(SEARCH($V$19,_xlfn._TRO_TRAILING(Sites!$D:$D))),
_xlpm.years,ISNUMBER(SEARCH(V$20,Sites!$M$3:$O$3)),
SUM(_xlfn._xlws.FILTER(_xlfn._xlws.FILTER(_xlpm.hours,_xlpm.states*_xlpm.type,0),_xlpm.years),0))</f>
        <v>2360999.2092464315</v>
      </c>
      <c r="W35" s="67" cm="1">
        <f t="array" ref="W35">_xlfn.LET(_xlpm.hours,_xlfn._TRO_TRAILING(Sites!$CS:$CU),_xlpm.type,ISNUMBER(SEARCH($V$17,_xlfn._TRO_TRAILING(Sites!$C:$C))),
_xlpm.states,ISNUMBER(SEARCH($V$19,_xlfn._TRO_TRAILING(Sites!$D:$D))),
_xlpm.years,ISNUMBER(SEARCH(W$20,Sites!$M$3:$O$3)),
SUM(_xlfn._xlws.FILTER(_xlfn._xlws.FILTER(_xlpm.hours,_xlpm.states*_xlpm.type,0),_xlpm.years),0))</f>
        <v>2987482.3938453263</v>
      </c>
      <c r="X35" s="67" cm="1">
        <f t="array" ref="X35">_xlfn.LET(_xlpm.hours,_xlfn._TRO_TRAILING(Sites!$CS:$CU),_xlpm.type,ISNUMBER(SEARCH($V$17,_xlfn._TRO_TRAILING(Sites!$C:$C))),
_xlpm.states,ISNUMBER(SEARCH($V$19,_xlfn._TRO_TRAILING(Sites!$D:$D))),
_xlpm.years,ISNUMBER(SEARCH(X$20,Sites!$M$3:$O$3)),
SUM(_xlfn._xlws.FILTER(_xlfn._xlws.FILTER(_xlpm.hours,_xlpm.states*_xlpm.type,0),_xlpm.years),0))</f>
        <v>3309900.8453778597</v>
      </c>
      <c r="Z35" s="67" cm="1">
        <f t="array" ref="Z35">_xlfn.LET(_xlpm.hours,_xlfn._TRO_TRAILING(Sites!$CS:$CU),_xlpm.type,ISNUMBER(SEARCH($V$17,_xlfn._TRO_TRAILING(Sites!$C:$C))),
_xlpm.states,ISNUMBER(SEARCH($Z$19,_xlfn._TRO_TRAILING(Sites!$D:$D))),
_xlpm.years,ISNUMBER(SEARCH(Z$20,Sites!$M$3:$O$3)),
SUM(_xlfn._xlws.FILTER(_xlfn._xlws.FILTER(_xlpm.hours,_xlpm.states*_xlpm.type,0),_xlpm.years),0))</f>
        <v>2447395.3827309934</v>
      </c>
      <c r="AA35" s="67" cm="1">
        <f t="array" ref="AA35">_xlfn.LET(_xlpm.hours,_xlfn._TRO_TRAILING(Sites!$CS:$CU),_xlpm.type,ISNUMBER(SEARCH($V$17,_xlfn._TRO_TRAILING(Sites!$C:$C))),
_xlpm.states,ISNUMBER(SEARCH($Z$19,_xlfn._TRO_TRAILING(Sites!$D:$D))),
_xlpm.years,ISNUMBER(SEARCH(AA$20,Sites!$M$3:$O$3)),
SUM(_xlfn._xlws.FILTER(_xlfn._xlws.FILTER(_xlpm.hours,_xlpm.states*_xlpm.type,0),_xlpm.years),0))</f>
        <v>3378112.2120169029</v>
      </c>
      <c r="AB35" s="67" cm="1">
        <f t="array" ref="AB35">_xlfn.LET(_xlpm.hours,_xlfn._TRO_TRAILING(Sites!$CS:$CU),_xlpm.type,ISNUMBER(SEARCH($V$17,_xlfn._TRO_TRAILING(Sites!$C:$C))),
_xlpm.states,ISNUMBER(SEARCH($Z$19,_xlfn._TRO_TRAILING(Sites!$D:$D))),
_xlpm.years,ISNUMBER(SEARCH(AB$20,Sites!$M$3:$O$3)),
SUM(_xlfn._xlws.FILTER(_xlfn._xlws.FILTER(_xlpm.hours,_xlpm.states*_xlpm.type,0),_xlpm.years),0))</f>
        <v>4472703.3213006193</v>
      </c>
      <c r="AD35" s="67" cm="1">
        <f t="array" ref="AD35">_xlfn.LET(_xlpm.hours,_xlfn._TRO_TRAILING(Sites!$CS:$CU),_xlpm.type,ISNUMBER(SEARCH($V$17,_xlfn._TRO_TRAILING(Sites!$C:$C))),
_xlpm.states,ISNUMBER(SEARCH($AD$19,_xlfn._TRO_TRAILING(Sites!$D:$D))),
_xlpm.years,ISNUMBER(SEARCH(AD$20,Sites!$M$3:$O$3)),
SUM(_xlfn._xlws.FILTER(_xlfn._xlws.FILTER(_xlpm.hours,_xlpm.states*_xlpm.type,0),_xlpm.years),0))</f>
        <v>1445250.1709085044</v>
      </c>
      <c r="AE35" s="67" cm="1">
        <f t="array" ref="AE35">_xlfn.LET(_xlpm.hours,_xlfn._TRO_TRAILING(Sites!$CS:$CU),_xlpm.type,ISNUMBER(SEARCH($V$17,_xlfn._TRO_TRAILING(Sites!$C:$C))),
_xlpm.states,ISNUMBER(SEARCH($AD$19,_xlfn._TRO_TRAILING(Sites!$D:$D))),
_xlpm.years,ISNUMBER(SEARCH(AE$20,Sites!$M$3:$O$3)),
SUM(_xlfn._xlws.FILTER(_xlfn._xlws.FILTER(_xlpm.hours,_xlpm.states*_xlpm.type,0),_xlpm.years),0))</f>
        <v>2353502.2233531913</v>
      </c>
      <c r="AF35" s="67" cm="1">
        <f t="array" ref="AF35">_xlfn.LET(_xlpm.hours,_xlfn._TRO_TRAILING(Sites!$CS:$CU),_xlpm.type,ISNUMBER(SEARCH($V$17,_xlfn._TRO_TRAILING(Sites!$C:$C))),
_xlpm.states,ISNUMBER(SEARCH($AD$19,_xlfn._TRO_TRAILING(Sites!$D:$D))),
_xlpm.years,ISNUMBER(SEARCH(AF$20,Sites!$M$3:$O$3)),
SUM(_xlfn._xlws.FILTER(_xlfn._xlws.FILTER(_xlpm.hours,_xlpm.states*_xlpm.type,0),_xlpm.years),0))</f>
        <v>2901492.9526695586</v>
      </c>
      <c r="AH35" s="67" cm="1">
        <f t="array" ref="AH35">_xlfn.LET(_xlpm.hours,_xlfn._TRO_TRAILING(Sites!$CS:$CU),_xlpm.type,ISNUMBER(SEARCH($AH$17,_xlfn._TRO_TRAILING(Sites!$C:$C))),
_xlpm.states,ISNUMBER(SEARCH($AH$19,_xlfn._TRO_TRAILING(Sites!$D:$D))),
_xlpm.years,ISNUMBER(SEARCH(AH$20,Sites!$M$3:$O$3)),
SUM(_xlfn._xlws.FILTER(_xlfn._xlws.FILTER(_xlpm.hours,_xlpm.states*_xlpm.type,0),_xlpm.years),0))</f>
        <v>6858260.2769305799</v>
      </c>
      <c r="AI35" s="67" cm="1">
        <f t="array" ref="AI35">_xlfn.LET(_xlpm.hours,_xlfn._TRO_TRAILING(Sites!$CS:$CU),_xlpm.type,ISNUMBER(SEARCH($AH$17,_xlfn._TRO_TRAILING(Sites!$C:$C))),
_xlpm.states,ISNUMBER(SEARCH($AH$19,_xlfn._TRO_TRAILING(Sites!$D:$D))),
_xlpm.years,ISNUMBER(SEARCH(AI$20,Sites!$M$3:$O$3)),
SUM(_xlfn._xlws.FILTER(_xlfn._xlws.FILTER(_xlpm.hours,_xlpm.states*_xlpm.type,0),_xlpm.years),0))</f>
        <v>10100642.167351371</v>
      </c>
      <c r="AJ35" s="67" cm="1">
        <f t="array" ref="AJ35">_xlfn.LET(_xlpm.hours,_xlfn._TRO_TRAILING(Sites!$CS:$CU),_xlpm.type,ISNUMBER(SEARCH($AH$17,_xlfn._TRO_TRAILING(Sites!$C:$C))),
_xlpm.states,ISNUMBER(SEARCH($AH$19,_xlfn._TRO_TRAILING(Sites!$D:$D))),
_xlpm.years,ISNUMBER(SEARCH(AJ$20,Sites!$M$3:$O$3)),
SUM(_xlfn._xlws.FILTER(_xlfn._xlws.FILTER(_xlpm.hours,_xlpm.states*_xlpm.type,0),_xlpm.years),0))</f>
        <v>14799401.918262199</v>
      </c>
      <c r="AL35" s="67" cm="1">
        <f t="array" ref="AL35">_xlfn.LET(_xlpm.hours,_xlfn._TRO_TRAILING(Sites!$CS:$CU),_xlpm.type,ISNUMBER(SEARCH($AH$17,_xlfn._TRO_TRAILING(Sites!$C:$C))),
_xlpm.states,ISNUMBER(SEARCH($AL$19,_xlfn._TRO_TRAILING(Sites!$D:$D))),
_xlpm.years,ISNUMBER(SEARCH(AL$20,Sites!$M$3:$O$3)),
SUM(_xlfn._xlws.FILTER(_xlfn._xlws.FILTER(_xlpm.hours,_xlpm.states*_xlpm.type,0),_xlpm.years),0))</f>
        <v>3302082.3597147693</v>
      </c>
      <c r="AM35" s="67" cm="1">
        <f t="array" ref="AM35">_xlfn.LET(_xlpm.hours,_xlfn._TRO_TRAILING(Sites!$CS:$CU),_xlpm.type,ISNUMBER(SEARCH($AH$17,_xlfn._TRO_TRAILING(Sites!$C:$C))),
_xlpm.states,ISNUMBER(SEARCH($AL$19,_xlfn._TRO_TRAILING(Sites!$D:$D))),
_xlpm.years,ISNUMBER(SEARCH(AM$20,Sites!$M$3:$O$3)),
SUM(_xlfn._xlws.FILTER(_xlfn._xlws.FILTER(_xlpm.hours,_xlpm.states*_xlpm.type,0),_xlpm.years),0))</f>
        <v>8454659.9392620623</v>
      </c>
      <c r="AN35" s="67" cm="1">
        <f t="array" ref="AN35">_xlfn.LET(_xlpm.hours,_xlfn._TRO_TRAILING(Sites!$CS:$CU),_xlpm.type,ISNUMBER(SEARCH($AH$17,_xlfn._TRO_TRAILING(Sites!$C:$C))),
_xlpm.states,ISNUMBER(SEARCH($AL$19,_xlfn._TRO_TRAILING(Sites!$D:$D))),
_xlpm.years,ISNUMBER(SEARCH(AN$20,Sites!$M$3:$O$3)),
SUM(_xlfn._xlws.FILTER(_xlfn._xlws.FILTER(_xlpm.hours,_xlpm.states*_xlpm.type,0),_xlpm.years),0))</f>
        <v>14027033.846562466</v>
      </c>
      <c r="AP35" s="67" cm="1">
        <f t="array" ref="AP35">_xlfn.LET(_xlpm.hours,_xlfn._TRO_TRAILING(Sites!$CS:$CU),_xlpm.type,ISNUMBER(SEARCH($AH$17,_xlfn._TRO_TRAILING(Sites!$C:$C))),
_xlpm.states,ISNUMBER(SEARCH($AP$19,_xlfn._TRO_TRAILING(Sites!$D:$D))),
_xlpm.years,ISNUMBER(SEARCH(AP$20,Sites!$M$3:$O$3)),
IFERROR(SUM(_xlfn._xlws.FILTER(_xlfn._xlws.FILTER(_xlpm.hours,_xlpm.states*_xlpm.type,0),_xlpm.years),0),0))</f>
        <v>0</v>
      </c>
      <c r="AQ35" s="67" cm="1">
        <f t="array" ref="AQ35">_xlfn.LET(_xlpm.hours,_xlfn._TRO_TRAILING(Sites!$CS:$CU),_xlpm.type,ISNUMBER(SEARCH($AH$17,_xlfn._TRO_TRAILING(Sites!$C:$C))),
_xlpm.states,ISNUMBER(SEARCH($AP$19,_xlfn._TRO_TRAILING(Sites!$D:$D))),
_xlpm.years,ISNUMBER(SEARCH(AQ$20,Sites!$M$3:$O$3)),
IFERROR(SUM(_xlfn._xlws.FILTER(_xlfn._xlws.FILTER(_xlpm.hours,_xlpm.states*_xlpm.type,0),_xlpm.years),0),0))</f>
        <v>0</v>
      </c>
      <c r="AR35" s="67" cm="1">
        <f t="array" ref="AR35">_xlfn.LET(_xlpm.hours,_xlfn._TRO_TRAILING(Sites!$CS:$CU),_xlpm.type,ISNUMBER(SEARCH($AH$17,_xlfn._TRO_TRAILING(Sites!$C:$C))),
_xlpm.states,ISNUMBER(SEARCH($AP$19,_xlfn._TRO_TRAILING(Sites!$D:$D))),
_xlpm.years,ISNUMBER(SEARCH(AR$20,Sites!$M$3:$O$3)),
IFERROR(SUM(_xlfn._xlws.FILTER(_xlfn._xlws.FILTER(_xlpm.hours,_xlpm.states*_xlpm.type,0),_xlpm.years),0),0))</f>
        <v>0</v>
      </c>
    </row>
    <row r="36" spans="2:46" outlineLevel="1" x14ac:dyDescent="0.25">
      <c r="B36" s="39" t="s">
        <v>24</v>
      </c>
      <c r="F36" s="67">
        <f t="shared" ref="F36:F44" si="28">J36+N36+R36</f>
        <v>0</v>
      </c>
      <c r="G36" s="67">
        <f t="shared" si="18"/>
        <v>0</v>
      </c>
      <c r="H36" s="67">
        <f t="shared" si="19"/>
        <v>0</v>
      </c>
      <c r="J36" s="67">
        <f t="shared" si="20"/>
        <v>0</v>
      </c>
      <c r="K36" s="67">
        <f t="shared" si="21"/>
        <v>0</v>
      </c>
      <c r="L36" s="67">
        <f t="shared" si="22"/>
        <v>0</v>
      </c>
      <c r="N36" s="67">
        <f t="shared" ref="N36:N44" si="29">Z36+AL36</f>
        <v>0</v>
      </c>
      <c r="O36" s="67">
        <f t="shared" si="23"/>
        <v>0</v>
      </c>
      <c r="P36" s="67">
        <f t="shared" si="24"/>
        <v>0</v>
      </c>
      <c r="R36" s="67">
        <f t="shared" si="25"/>
        <v>0</v>
      </c>
      <c r="S36" s="67">
        <f t="shared" si="26"/>
        <v>0</v>
      </c>
      <c r="T36" s="67">
        <f t="shared" si="27"/>
        <v>0</v>
      </c>
      <c r="V36" s="67" cm="1">
        <f t="array" ref="V36">_xlfn.LET(_xlpm.hours,_xlfn._TRO_TRAILING(Sites!$EC:$EE),_xlpm.type,ISNUMBER(SEARCH($V$17,_xlfn._TRO_TRAILING(Sites!$C:$C))),
_xlpm.states,ISNUMBER(SEARCH($V$19,_xlfn._TRO_TRAILING(Sites!$D:$D))),
_xlpm.years,ISNUMBER(SEARCH(V$20,Sites!$M$3:$O$3)),
SUM(_xlfn._xlws.FILTER(_xlfn._xlws.FILTER(_xlpm.hours,_xlpm.states*_xlpm.type,0),_xlpm.years),0))</f>
        <v>0</v>
      </c>
      <c r="W36" s="67" cm="1">
        <f t="array" ref="W36">_xlfn.LET(_xlpm.hours,_xlfn._TRO_TRAILING(Sites!$EC:$EE),_xlpm.type,ISNUMBER(SEARCH($V$17,_xlfn._TRO_TRAILING(Sites!$C:$C))),
_xlpm.states,ISNUMBER(SEARCH($V$19,_xlfn._TRO_TRAILING(Sites!$D:$D))),
_xlpm.years,ISNUMBER(SEARCH(W$20,Sites!$M$3:$O$3)),
SUM(_xlfn._xlws.FILTER(_xlfn._xlws.FILTER(_xlpm.hours,_xlpm.states*_xlpm.type,0),_xlpm.years),0))</f>
        <v>0</v>
      </c>
      <c r="X36" s="67" cm="1">
        <f t="array" ref="X36">_xlfn.LET(_xlpm.hours,_xlfn._TRO_TRAILING(Sites!$EC:$EE),_xlpm.type,ISNUMBER(SEARCH($V$17,_xlfn._TRO_TRAILING(Sites!$C:$C))),
_xlpm.states,ISNUMBER(SEARCH($V$19,_xlfn._TRO_TRAILING(Sites!$D:$D))),
_xlpm.years,ISNUMBER(SEARCH(X$20,Sites!$M$3:$O$3)),
SUM(_xlfn._xlws.FILTER(_xlfn._xlws.FILTER(_xlpm.hours,_xlpm.states*_xlpm.type,0),_xlpm.years),0))</f>
        <v>0</v>
      </c>
      <c r="Z36" s="67" cm="1">
        <f t="array" ref="Z36">_xlfn.LET(_xlpm.hours,_xlfn._TRO_TRAILING(Sites!$EC:$EE),_xlpm.type,ISNUMBER(SEARCH($V$17,_xlfn._TRO_TRAILING(Sites!$C:$C))),
_xlpm.states,ISNUMBER(SEARCH($Z$19,_xlfn._TRO_TRAILING(Sites!$D:$D))),
_xlpm.years,ISNUMBER(SEARCH(Z$20,Sites!$M$3:$O$3)),
SUM(_xlfn._xlws.FILTER(_xlfn._xlws.FILTER(_xlpm.hours,_xlpm.states*_xlpm.type,0),_xlpm.years),0))</f>
        <v>0</v>
      </c>
      <c r="AA36" s="67" cm="1">
        <f t="array" ref="AA36">_xlfn.LET(_xlpm.hours,_xlfn._TRO_TRAILING(Sites!$EC:$EE),_xlpm.type,ISNUMBER(SEARCH($V$17,_xlfn._TRO_TRAILING(Sites!$C:$C))),
_xlpm.states,ISNUMBER(SEARCH($Z$19,_xlfn._TRO_TRAILING(Sites!$D:$D))),
_xlpm.years,ISNUMBER(SEARCH(AA$20,Sites!$M$3:$O$3)),
SUM(_xlfn._xlws.FILTER(_xlfn._xlws.FILTER(_xlpm.hours,_xlpm.states*_xlpm.type,0),_xlpm.years),0))</f>
        <v>0</v>
      </c>
      <c r="AB36" s="67" cm="1">
        <f t="array" ref="AB36">_xlfn.LET(_xlpm.hours,_xlfn._TRO_TRAILING(Sites!$EC:$EE),_xlpm.type,ISNUMBER(SEARCH($V$17,_xlfn._TRO_TRAILING(Sites!$C:$C))),
_xlpm.states,ISNUMBER(SEARCH($Z$19,_xlfn._TRO_TRAILING(Sites!$D:$D))),
_xlpm.years,ISNUMBER(SEARCH(AB$20,Sites!$M$3:$O$3)),
SUM(_xlfn._xlws.FILTER(_xlfn._xlws.FILTER(_xlpm.hours,_xlpm.states*_xlpm.type,0),_xlpm.years),0))</f>
        <v>0</v>
      </c>
      <c r="AD36" s="67" cm="1">
        <f t="array" ref="AD36">_xlfn.LET(_xlpm.hours,_xlfn._TRO_TRAILING(Sites!$EC:$EE),_xlpm.type,ISNUMBER(SEARCH($V$17,_xlfn._TRO_TRAILING(Sites!$C:$C))),
_xlpm.states,ISNUMBER(SEARCH($AD$19,_xlfn._TRO_TRAILING(Sites!$D:$D))),
_xlpm.years,ISNUMBER(SEARCH(AD$20,Sites!$M$3:$O$3)),
SUM(_xlfn._xlws.FILTER(_xlfn._xlws.FILTER(_xlpm.hours,_xlpm.states*_xlpm.type,0),_xlpm.years),0))</f>
        <v>0</v>
      </c>
      <c r="AE36" s="67" cm="1">
        <f t="array" ref="AE36">_xlfn.LET(_xlpm.hours,_xlfn._TRO_TRAILING(Sites!$EC:$EE),_xlpm.type,ISNUMBER(SEARCH($V$17,_xlfn._TRO_TRAILING(Sites!$C:$C))),
_xlpm.states,ISNUMBER(SEARCH($AD$19,_xlfn._TRO_TRAILING(Sites!$D:$D))),
_xlpm.years,ISNUMBER(SEARCH(AE$20,Sites!$M$3:$O$3)),
SUM(_xlfn._xlws.FILTER(_xlfn._xlws.FILTER(_xlpm.hours,_xlpm.states*_xlpm.type,0),_xlpm.years),0))</f>
        <v>0</v>
      </c>
      <c r="AF36" s="67" cm="1">
        <f t="array" ref="AF36">_xlfn.LET(_xlpm.hours,_xlfn._TRO_TRAILING(Sites!$EC:$EE),_xlpm.type,ISNUMBER(SEARCH($V$17,_xlfn._TRO_TRAILING(Sites!$C:$C))),
_xlpm.states,ISNUMBER(SEARCH($AD$19,_xlfn._TRO_TRAILING(Sites!$D:$D))),
_xlpm.years,ISNUMBER(SEARCH(AF$20,Sites!$M$3:$O$3)),
SUM(_xlfn._xlws.FILTER(_xlfn._xlws.FILTER(_xlpm.hours,_xlpm.states*_xlpm.type,0),_xlpm.years),0))</f>
        <v>0</v>
      </c>
      <c r="AH36" s="67" cm="1">
        <f t="array" ref="AH36">_xlfn.LET(_xlpm.hours,_xlfn._TRO_TRAILING(Sites!$EC:$EE),_xlpm.type,ISNUMBER(SEARCH($AH$17,_xlfn._TRO_TRAILING(Sites!$C:$C))),
_xlpm.states,ISNUMBER(SEARCH($AH$19,_xlfn._TRO_TRAILING(Sites!$D:$D))),
_xlpm.years,ISNUMBER(SEARCH(AH$20,Sites!$M$3:$O$3)),
SUM(_xlfn._xlws.FILTER(_xlfn._xlws.FILTER(_xlpm.hours,_xlpm.states*_xlpm.type,0),_xlpm.years),0))</f>
        <v>0</v>
      </c>
      <c r="AI36" s="67" cm="1">
        <f t="array" ref="AI36">_xlfn.LET(_xlpm.hours,_xlfn._TRO_TRAILING(Sites!$EC:$EE),_xlpm.type,ISNUMBER(SEARCH($AH$17,_xlfn._TRO_TRAILING(Sites!$C:$C))),
_xlpm.states,ISNUMBER(SEARCH($AH$19,_xlfn._TRO_TRAILING(Sites!$D:$D))),
_xlpm.years,ISNUMBER(SEARCH(AI$20,Sites!$M$3:$O$3)),
SUM(_xlfn._xlws.FILTER(_xlfn._xlws.FILTER(_xlpm.hours,_xlpm.states*_xlpm.type,0),_xlpm.years),0))</f>
        <v>0</v>
      </c>
      <c r="AJ36" s="67" cm="1">
        <f t="array" ref="AJ36">_xlfn.LET(_xlpm.hours,_xlfn._TRO_TRAILING(Sites!$EC:$EE),_xlpm.type,ISNUMBER(SEARCH($AH$17,_xlfn._TRO_TRAILING(Sites!$C:$C))),
_xlpm.states,ISNUMBER(SEARCH($AH$19,_xlfn._TRO_TRAILING(Sites!$D:$D))),
_xlpm.years,ISNUMBER(SEARCH(AJ$20,Sites!$M$3:$O$3)),
SUM(_xlfn._xlws.FILTER(_xlfn._xlws.FILTER(_xlpm.hours,_xlpm.states*_xlpm.type,0),_xlpm.years),0))</f>
        <v>0</v>
      </c>
      <c r="AL36" s="67" cm="1">
        <f t="array" ref="AL36">_xlfn.LET(_xlpm.hours,_xlfn._TRO_TRAILING(Sites!$EC:$EE),_xlpm.type,ISNUMBER(SEARCH($AH$17,_xlfn._TRO_TRAILING(Sites!$C:$C))),
_xlpm.states,ISNUMBER(SEARCH($AL$19,_xlfn._TRO_TRAILING(Sites!$D:$D))),
_xlpm.years,ISNUMBER(SEARCH(AL$20,Sites!$M$3:$O$3)),
SUM(_xlfn._xlws.FILTER(_xlfn._xlws.FILTER(_xlpm.hours,_xlpm.states*_xlpm.type,0),_xlpm.years),0))</f>
        <v>0</v>
      </c>
      <c r="AM36" s="67" cm="1">
        <f t="array" ref="AM36">_xlfn.LET(_xlpm.hours,_xlfn._TRO_TRAILING(Sites!$EC:$EE),_xlpm.type,ISNUMBER(SEARCH($AH$17,_xlfn._TRO_TRAILING(Sites!$C:$C))),
_xlpm.states,ISNUMBER(SEARCH($AL$19,_xlfn._TRO_TRAILING(Sites!$D:$D))),
_xlpm.years,ISNUMBER(SEARCH(AM$20,Sites!$M$3:$O$3)),
SUM(_xlfn._xlws.FILTER(_xlfn._xlws.FILTER(_xlpm.hours,_xlpm.states*_xlpm.type,0),_xlpm.years),0))</f>
        <v>0</v>
      </c>
      <c r="AN36" s="67" cm="1">
        <f t="array" ref="AN36">_xlfn.LET(_xlpm.hours,_xlfn._TRO_TRAILING(Sites!$EC:$EE),_xlpm.type,ISNUMBER(SEARCH($AH$17,_xlfn._TRO_TRAILING(Sites!$C:$C))),
_xlpm.states,ISNUMBER(SEARCH($AL$19,_xlfn._TRO_TRAILING(Sites!$D:$D))),
_xlpm.years,ISNUMBER(SEARCH(AN$20,Sites!$M$3:$O$3)),
SUM(_xlfn._xlws.FILTER(_xlfn._xlws.FILTER(_xlpm.hours,_xlpm.states*_xlpm.type,0),_xlpm.years),0))</f>
        <v>0</v>
      </c>
      <c r="AP36" s="67" cm="1">
        <f t="array" ref="AP36">_xlfn.LET(_xlpm.hours,_xlfn._TRO_TRAILING(Sites!$EC:$EE),_xlpm.type,ISNUMBER(SEARCH($AH$17,_xlfn._TRO_TRAILING(Sites!$C:$C))),
_xlpm.states,ISNUMBER(SEARCH($AP$19,_xlfn._TRO_TRAILING(Sites!$D:$D))),
_xlpm.years,ISNUMBER(SEARCH(AP$20,Sites!$M$3:$O$3)),
IFERROR(SUM(_xlfn._xlws.FILTER(_xlfn._xlws.FILTER(_xlpm.hours,_xlpm.states*_xlpm.type,0),_xlpm.years),0),0))</f>
        <v>0</v>
      </c>
      <c r="AQ36" s="67" cm="1">
        <f t="array" ref="AQ36">_xlfn.LET(_xlpm.hours,_xlfn._TRO_TRAILING(Sites!$EC:$EE),_xlpm.type,ISNUMBER(SEARCH($AH$17,_xlfn._TRO_TRAILING(Sites!$C:$C))),
_xlpm.states,ISNUMBER(SEARCH($AP$19,_xlfn._TRO_TRAILING(Sites!$D:$D))),
_xlpm.years,ISNUMBER(SEARCH(AQ$20,Sites!$M$3:$O$3)),
IFERROR(SUM(_xlfn._xlws.FILTER(_xlfn._xlws.FILTER(_xlpm.hours,_xlpm.states*_xlpm.type,0),_xlpm.years),0),0))</f>
        <v>0</v>
      </c>
      <c r="AR36" s="67" cm="1">
        <f t="array" ref="AR36">_xlfn.LET(_xlpm.hours,_xlfn._TRO_TRAILING(Sites!$EC:$EE),_xlpm.type,ISNUMBER(SEARCH($AH$17,_xlfn._TRO_TRAILING(Sites!$C:$C))),
_xlpm.states,ISNUMBER(SEARCH($AP$19,_xlfn._TRO_TRAILING(Sites!$D:$D))),
_xlpm.years,ISNUMBER(SEARCH(AR$20,Sites!$M$3:$O$3)),
IFERROR(SUM(_xlfn._xlws.FILTER(_xlfn._xlws.FILTER(_xlpm.hours,_xlpm.states*_xlpm.type,0),_xlpm.years),0),0))</f>
        <v>0</v>
      </c>
    </row>
    <row r="37" spans="2:46" outlineLevel="1" x14ac:dyDescent="0.25">
      <c r="B37" s="39" t="s">
        <v>28</v>
      </c>
      <c r="F37" s="67">
        <f t="shared" si="28"/>
        <v>463633.81999999995</v>
      </c>
      <c r="G37" s="67">
        <f t="shared" si="18"/>
        <v>777763.18670000019</v>
      </c>
      <c r="H37" s="67">
        <f t="shared" si="19"/>
        <v>1105958.619063</v>
      </c>
      <c r="J37" s="67">
        <f t="shared" si="20"/>
        <v>315947.81999999995</v>
      </c>
      <c r="K37" s="67">
        <f t="shared" si="21"/>
        <v>487358.80670000019</v>
      </c>
      <c r="L37" s="67">
        <f t="shared" si="22"/>
        <v>714258.42556300003</v>
      </c>
      <c r="N37" s="67">
        <f t="shared" si="29"/>
        <v>147686</v>
      </c>
      <c r="O37" s="67">
        <f t="shared" si="23"/>
        <v>290404.38000000006</v>
      </c>
      <c r="P37" s="67">
        <f t="shared" si="24"/>
        <v>391700.19349999994</v>
      </c>
      <c r="R37" s="67">
        <f t="shared" si="25"/>
        <v>0</v>
      </c>
      <c r="S37" s="67">
        <f t="shared" si="26"/>
        <v>0</v>
      </c>
      <c r="T37" s="67">
        <f t="shared" si="27"/>
        <v>0</v>
      </c>
      <c r="V37" s="67" cm="1">
        <f t="array" ref="V37">_xlfn.LET(_xlpm.hours,_xlfn._TRO_TRAILING(Sites!$CW:$CY),_xlpm.type,ISNUMBER(SEARCH($V$17,_xlfn._TRO_TRAILING(Sites!$C:$C))),
_xlpm.states,ISNUMBER(SEARCH($V$19,_xlfn._TRO_TRAILING(Sites!$D:$D))),
_xlpm.years,ISNUMBER(SEARCH(V$20,Sites!$M$3:$O$3)),
SUM(_xlfn._xlws.FILTER(_xlfn._xlws.FILTER(_xlpm.hours,_xlpm.states*_xlpm.type,0),_xlpm.years),0))</f>
        <v>0</v>
      </c>
      <c r="W37" s="67" cm="1">
        <f t="array" ref="W37">_xlfn.LET(_xlpm.hours,_xlfn._TRO_TRAILING(Sites!$CW:$CY),_xlpm.type,ISNUMBER(SEARCH($V$17,_xlfn._TRO_TRAILING(Sites!$C:$C))),
_xlpm.states,ISNUMBER(SEARCH($V$19,_xlfn._TRO_TRAILING(Sites!$D:$D))),
_xlpm.years,ISNUMBER(SEARCH(W$20,Sites!$M$3:$O$3)),
SUM(_xlfn._xlws.FILTER(_xlfn._xlws.FILTER(_xlpm.hours,_xlpm.states*_xlpm.type,0),_xlpm.years),0))</f>
        <v>0</v>
      </c>
      <c r="X37" s="67" cm="1">
        <f t="array" ref="X37">_xlfn.LET(_xlpm.hours,_xlfn._TRO_TRAILING(Sites!$CW:$CY),_xlpm.type,ISNUMBER(SEARCH($V$17,_xlfn._TRO_TRAILING(Sites!$C:$C))),
_xlpm.states,ISNUMBER(SEARCH($V$19,_xlfn._TRO_TRAILING(Sites!$D:$D))),
_xlpm.years,ISNUMBER(SEARCH(X$20,Sites!$M$3:$O$3)),
SUM(_xlfn._xlws.FILTER(_xlfn._xlws.FILTER(_xlpm.hours,_xlpm.states*_xlpm.type,0),_xlpm.years),0))</f>
        <v>0</v>
      </c>
      <c r="Z37" s="67" cm="1">
        <f t="array" ref="Z37">_xlfn.LET(_xlpm.hours,_xlfn._TRO_TRAILING(Sites!$CW:$CY),_xlpm.type,ISNUMBER(SEARCH($V$17,_xlfn._TRO_TRAILING(Sites!$C:$C))),
_xlpm.states,ISNUMBER(SEARCH($Z$19,_xlfn._TRO_TRAILING(Sites!$D:$D))),
_xlpm.years,ISNUMBER(SEARCH(Z$20,Sites!$M$3:$O$3)),
SUM(_xlfn._xlws.FILTER(_xlfn._xlws.FILTER(_xlpm.hours,_xlpm.states*_xlpm.type,0),_xlpm.years),0))</f>
        <v>0</v>
      </c>
      <c r="AA37" s="67" cm="1">
        <f t="array" ref="AA37">_xlfn.LET(_xlpm.hours,_xlfn._TRO_TRAILING(Sites!$CW:$CY),_xlpm.type,ISNUMBER(SEARCH($V$17,_xlfn._TRO_TRAILING(Sites!$C:$C))),
_xlpm.states,ISNUMBER(SEARCH($Z$19,_xlfn._TRO_TRAILING(Sites!$D:$D))),
_xlpm.years,ISNUMBER(SEARCH(AA$20,Sites!$M$3:$O$3)),
SUM(_xlfn._xlws.FILTER(_xlfn._xlws.FILTER(_xlpm.hours,_xlpm.states*_xlpm.type,0),_xlpm.years),0))</f>
        <v>0</v>
      </c>
      <c r="AB37" s="67" cm="1">
        <f t="array" ref="AB37">_xlfn.LET(_xlpm.hours,_xlfn._TRO_TRAILING(Sites!$CW:$CY),_xlpm.type,ISNUMBER(SEARCH($V$17,_xlfn._TRO_TRAILING(Sites!$C:$C))),
_xlpm.states,ISNUMBER(SEARCH($Z$19,_xlfn._TRO_TRAILING(Sites!$D:$D))),
_xlpm.years,ISNUMBER(SEARCH(AB$20,Sites!$M$3:$O$3)),
SUM(_xlfn._xlws.FILTER(_xlfn._xlws.FILTER(_xlpm.hours,_xlpm.states*_xlpm.type,0),_xlpm.years),0))</f>
        <v>0</v>
      </c>
      <c r="AD37" s="67" cm="1">
        <f t="array" ref="AD37">_xlfn.LET(_xlpm.hours,_xlfn._TRO_TRAILING(Sites!$CW:$CY),_xlpm.type,ISNUMBER(SEARCH($V$17,_xlfn._TRO_TRAILING(Sites!$C:$C))),
_xlpm.states,ISNUMBER(SEARCH($AD$19,_xlfn._TRO_TRAILING(Sites!$D:$D))),
_xlpm.years,ISNUMBER(SEARCH(AD$20,Sites!$M$3:$O$3)),
SUM(_xlfn._xlws.FILTER(_xlfn._xlws.FILTER(_xlpm.hours,_xlpm.states*_xlpm.type,0),_xlpm.years),0))</f>
        <v>0</v>
      </c>
      <c r="AE37" s="67" cm="1">
        <f t="array" ref="AE37">_xlfn.LET(_xlpm.hours,_xlfn._TRO_TRAILING(Sites!$CW:$CY),_xlpm.type,ISNUMBER(SEARCH($V$17,_xlfn._TRO_TRAILING(Sites!$C:$C))),
_xlpm.states,ISNUMBER(SEARCH($AD$19,_xlfn._TRO_TRAILING(Sites!$D:$D))),
_xlpm.years,ISNUMBER(SEARCH(AE$20,Sites!$M$3:$O$3)),
SUM(_xlfn._xlws.FILTER(_xlfn._xlws.FILTER(_xlpm.hours,_xlpm.states*_xlpm.type,0),_xlpm.years),0))</f>
        <v>0</v>
      </c>
      <c r="AF37" s="67" cm="1">
        <f t="array" ref="AF37">_xlfn.LET(_xlpm.hours,_xlfn._TRO_TRAILING(Sites!$CW:$CY),_xlpm.type,ISNUMBER(SEARCH($V$17,_xlfn._TRO_TRAILING(Sites!$C:$C))),
_xlpm.states,ISNUMBER(SEARCH($AD$19,_xlfn._TRO_TRAILING(Sites!$D:$D))),
_xlpm.years,ISNUMBER(SEARCH(AF$20,Sites!$M$3:$O$3)),
SUM(_xlfn._xlws.FILTER(_xlfn._xlws.FILTER(_xlpm.hours,_xlpm.states*_xlpm.type,0),_xlpm.years),0))</f>
        <v>0</v>
      </c>
      <c r="AH37" s="67" cm="1">
        <f t="array" ref="AH37">_xlfn.LET(_xlpm.hours,_xlfn._TRO_TRAILING(Sites!$CW:$CY),_xlpm.type,ISNUMBER(SEARCH($AH$17,_xlfn._TRO_TRAILING(Sites!$C:$C))),
_xlpm.states,ISNUMBER(SEARCH($AH$19,_xlfn._TRO_TRAILING(Sites!$D:$D))),
_xlpm.years,ISNUMBER(SEARCH(AH$20,Sites!$M$3:$O$3)),
SUM(_xlfn._xlws.FILTER(_xlfn._xlws.FILTER(_xlpm.hours,_xlpm.states*_xlpm.type,0),_xlpm.years),0))</f>
        <v>315947.81999999995</v>
      </c>
      <c r="AI37" s="67" cm="1">
        <f t="array" ref="AI37">_xlfn.LET(_xlpm.hours,_xlfn._TRO_TRAILING(Sites!$CW:$CY),_xlpm.type,ISNUMBER(SEARCH($AH$17,_xlfn._TRO_TRAILING(Sites!$C:$C))),
_xlpm.states,ISNUMBER(SEARCH($AH$19,_xlfn._TRO_TRAILING(Sites!$D:$D))),
_xlpm.years,ISNUMBER(SEARCH(AI$20,Sites!$M$3:$O$3)),
SUM(_xlfn._xlws.FILTER(_xlfn._xlws.FILTER(_xlpm.hours,_xlpm.states*_xlpm.type,0),_xlpm.years),0))</f>
        <v>487358.80670000019</v>
      </c>
      <c r="AJ37" s="67" cm="1">
        <f t="array" ref="AJ37">_xlfn.LET(_xlpm.hours,_xlfn._TRO_TRAILING(Sites!$CW:$CY),_xlpm.type,ISNUMBER(SEARCH($AH$17,_xlfn._TRO_TRAILING(Sites!$C:$C))),
_xlpm.states,ISNUMBER(SEARCH($AH$19,_xlfn._TRO_TRAILING(Sites!$D:$D))),
_xlpm.years,ISNUMBER(SEARCH(AJ$20,Sites!$M$3:$O$3)),
SUM(_xlfn._xlws.FILTER(_xlfn._xlws.FILTER(_xlpm.hours,_xlpm.states*_xlpm.type,0),_xlpm.years),0))</f>
        <v>714258.42556300003</v>
      </c>
      <c r="AL37" s="67" cm="1">
        <f t="array" ref="AL37">_xlfn.LET(_xlpm.hours,_xlfn._TRO_TRAILING(Sites!$CW:$CY),_xlpm.type,ISNUMBER(SEARCH($AH$17,_xlfn._TRO_TRAILING(Sites!$C:$C))),
_xlpm.states,ISNUMBER(SEARCH($AL$19,_xlfn._TRO_TRAILING(Sites!$D:$D))),
_xlpm.years,ISNUMBER(SEARCH(AL$20,Sites!$M$3:$O$3)),
SUM(_xlfn._xlws.FILTER(_xlfn._xlws.FILTER(_xlpm.hours,_xlpm.states*_xlpm.type,0),_xlpm.years),0))</f>
        <v>147686</v>
      </c>
      <c r="AM37" s="67" cm="1">
        <f t="array" ref="AM37">_xlfn.LET(_xlpm.hours,_xlfn._TRO_TRAILING(Sites!$CW:$CY),_xlpm.type,ISNUMBER(SEARCH($AH$17,_xlfn._TRO_TRAILING(Sites!$C:$C))),
_xlpm.states,ISNUMBER(SEARCH($AL$19,_xlfn._TRO_TRAILING(Sites!$D:$D))),
_xlpm.years,ISNUMBER(SEARCH(AM$20,Sites!$M$3:$O$3)),
SUM(_xlfn._xlws.FILTER(_xlfn._xlws.FILTER(_xlpm.hours,_xlpm.states*_xlpm.type,0),_xlpm.years),0))</f>
        <v>290404.38000000006</v>
      </c>
      <c r="AN37" s="67" cm="1">
        <f t="array" ref="AN37">_xlfn.LET(_xlpm.hours,_xlfn._TRO_TRAILING(Sites!$CW:$CY),_xlpm.type,ISNUMBER(SEARCH($AH$17,_xlfn._TRO_TRAILING(Sites!$C:$C))),
_xlpm.states,ISNUMBER(SEARCH($AL$19,_xlfn._TRO_TRAILING(Sites!$D:$D))),
_xlpm.years,ISNUMBER(SEARCH(AN$20,Sites!$M$3:$O$3)),
SUM(_xlfn._xlws.FILTER(_xlfn._xlws.FILTER(_xlpm.hours,_xlpm.states*_xlpm.type,0),_xlpm.years),0))</f>
        <v>391700.19349999994</v>
      </c>
      <c r="AP37" s="67" cm="1">
        <f t="array" ref="AP37">_xlfn.LET(_xlpm.hours,_xlfn._TRO_TRAILING(Sites!$CW:$CY),_xlpm.type,ISNUMBER(SEARCH($AH$17,_xlfn._TRO_TRAILING(Sites!$C:$C))),
_xlpm.states,ISNUMBER(SEARCH($AP$19,_xlfn._TRO_TRAILING(Sites!$D:$D))),
_xlpm.years,ISNUMBER(SEARCH(AP$20,Sites!$M$3:$O$3)),
IFERROR(SUM(_xlfn._xlws.FILTER(_xlfn._xlws.FILTER(_xlpm.hours,_xlpm.states*_xlpm.type,0),_xlpm.years),0),0))</f>
        <v>0</v>
      </c>
      <c r="AQ37" s="67" cm="1">
        <f t="array" ref="AQ37">_xlfn.LET(_xlpm.hours,_xlfn._TRO_TRAILING(Sites!$CW:$CY),_xlpm.type,ISNUMBER(SEARCH($AH$17,_xlfn._TRO_TRAILING(Sites!$C:$C))),
_xlpm.states,ISNUMBER(SEARCH($AP$19,_xlfn._TRO_TRAILING(Sites!$D:$D))),
_xlpm.years,ISNUMBER(SEARCH(AQ$20,Sites!$M$3:$O$3)),
IFERROR(SUM(_xlfn._xlws.FILTER(_xlfn._xlws.FILTER(_xlpm.hours,_xlpm.states*_xlpm.type,0),_xlpm.years),0),0))</f>
        <v>0</v>
      </c>
      <c r="AR37" s="67" cm="1">
        <f t="array" ref="AR37">_xlfn.LET(_xlpm.hours,_xlfn._TRO_TRAILING(Sites!$CW:$CY),_xlpm.type,ISNUMBER(SEARCH($AH$17,_xlfn._TRO_TRAILING(Sites!$C:$C))),
_xlpm.states,ISNUMBER(SEARCH($AP$19,_xlfn._TRO_TRAILING(Sites!$D:$D))),
_xlpm.years,ISNUMBER(SEARCH(AR$20,Sites!$M$3:$O$3)),
IFERROR(SUM(_xlfn._xlws.FILTER(_xlfn._xlws.FILTER(_xlpm.hours,_xlpm.states*_xlpm.type,0),_xlpm.years),0),0))</f>
        <v>0</v>
      </c>
    </row>
    <row r="38" spans="2:46" outlineLevel="1" x14ac:dyDescent="0.25">
      <c r="B38" s="39" t="s">
        <v>31</v>
      </c>
      <c r="F38" s="67">
        <f t="shared" si="28"/>
        <v>269135.12</v>
      </c>
      <c r="G38" s="67">
        <f t="shared" si="18"/>
        <v>452228.52480000001</v>
      </c>
      <c r="H38" s="67">
        <f t="shared" si="19"/>
        <v>635369.82579200005</v>
      </c>
      <c r="J38" s="67">
        <f t="shared" si="20"/>
        <v>148935.12000000002</v>
      </c>
      <c r="K38" s="67">
        <f t="shared" si="21"/>
        <v>220100.52480000001</v>
      </c>
      <c r="L38" s="67">
        <f t="shared" si="22"/>
        <v>315216.22579200007</v>
      </c>
      <c r="N38" s="67">
        <f t="shared" si="29"/>
        <v>120200</v>
      </c>
      <c r="O38" s="67">
        <f t="shared" si="23"/>
        <v>232128</v>
      </c>
      <c r="P38" s="67">
        <f t="shared" si="24"/>
        <v>320153.59999999998</v>
      </c>
      <c r="R38" s="67">
        <f t="shared" si="25"/>
        <v>0</v>
      </c>
      <c r="S38" s="67">
        <f t="shared" si="26"/>
        <v>0</v>
      </c>
      <c r="T38" s="67">
        <f t="shared" si="27"/>
        <v>0</v>
      </c>
      <c r="V38" s="67" cm="1">
        <f t="array" ref="V38">_xlfn.LET(_xlpm.hours,_xlfn._TRO_TRAILING(Sites!$DA:$DC),_xlpm.type,ISNUMBER(SEARCH($V$17,_xlfn._TRO_TRAILING(Sites!$C:$C))),
_xlpm.states,ISNUMBER(SEARCH($V$19,_xlfn._TRO_TRAILING(Sites!$D:$D))),
_xlpm.years,ISNUMBER(SEARCH(V$20,Sites!$M$3:$O$3)),
SUM(_xlfn._xlws.FILTER(_xlfn._xlws.FILTER(_xlpm.hours,_xlpm.states*_xlpm.type,0),_xlpm.years),0))</f>
        <v>0</v>
      </c>
      <c r="W38" s="67" cm="1">
        <f t="array" ref="W38">_xlfn.LET(_xlpm.hours,_xlfn._TRO_TRAILING(Sites!$DA:$DC),_xlpm.type,ISNUMBER(SEARCH($V$17,_xlfn._TRO_TRAILING(Sites!$C:$C))),
_xlpm.states,ISNUMBER(SEARCH($V$19,_xlfn._TRO_TRAILING(Sites!$D:$D))),
_xlpm.years,ISNUMBER(SEARCH(W$20,Sites!$M$3:$O$3)),
SUM(_xlfn._xlws.FILTER(_xlfn._xlws.FILTER(_xlpm.hours,_xlpm.states*_xlpm.type,0),_xlpm.years),0))</f>
        <v>0</v>
      </c>
      <c r="X38" s="67" cm="1">
        <f t="array" ref="X38">_xlfn.LET(_xlpm.hours,_xlfn._TRO_TRAILING(Sites!$DA:$DC),_xlpm.type,ISNUMBER(SEARCH($V$17,_xlfn._TRO_TRAILING(Sites!$C:$C))),
_xlpm.states,ISNUMBER(SEARCH($V$19,_xlfn._TRO_TRAILING(Sites!$D:$D))),
_xlpm.years,ISNUMBER(SEARCH(X$20,Sites!$M$3:$O$3)),
SUM(_xlfn._xlws.FILTER(_xlfn._xlws.FILTER(_xlpm.hours,_xlpm.states*_xlpm.type,0),_xlpm.years),0))</f>
        <v>0</v>
      </c>
      <c r="Z38" s="67" cm="1">
        <f t="array" ref="Z38">_xlfn.LET(_xlpm.hours,_xlfn._TRO_TRAILING(Sites!$DA:$DC),_xlpm.type,ISNUMBER(SEARCH($V$17,_xlfn._TRO_TRAILING(Sites!$C:$C))),
_xlpm.states,ISNUMBER(SEARCH($Z$19,_xlfn._TRO_TRAILING(Sites!$D:$D))),
_xlpm.years,ISNUMBER(SEARCH(Z$20,Sites!$M$3:$O$3)),
SUM(_xlfn._xlws.FILTER(_xlfn._xlws.FILTER(_xlpm.hours,_xlpm.states*_xlpm.type,0),_xlpm.years),0))</f>
        <v>0</v>
      </c>
      <c r="AA38" s="67" cm="1">
        <f t="array" ref="AA38">_xlfn.LET(_xlpm.hours,_xlfn._TRO_TRAILING(Sites!$DA:$DC),_xlpm.type,ISNUMBER(SEARCH($V$17,_xlfn._TRO_TRAILING(Sites!$C:$C))),
_xlpm.states,ISNUMBER(SEARCH($Z$19,_xlfn._TRO_TRAILING(Sites!$D:$D))),
_xlpm.years,ISNUMBER(SEARCH(AA$20,Sites!$M$3:$O$3)),
SUM(_xlfn._xlws.FILTER(_xlfn._xlws.FILTER(_xlpm.hours,_xlpm.states*_xlpm.type,0),_xlpm.years),0))</f>
        <v>0</v>
      </c>
      <c r="AB38" s="67" cm="1">
        <f t="array" ref="AB38">_xlfn.LET(_xlpm.hours,_xlfn._TRO_TRAILING(Sites!$DA:$DC),_xlpm.type,ISNUMBER(SEARCH($V$17,_xlfn._TRO_TRAILING(Sites!$C:$C))),
_xlpm.states,ISNUMBER(SEARCH($Z$19,_xlfn._TRO_TRAILING(Sites!$D:$D))),
_xlpm.years,ISNUMBER(SEARCH(AB$20,Sites!$M$3:$O$3)),
SUM(_xlfn._xlws.FILTER(_xlfn._xlws.FILTER(_xlpm.hours,_xlpm.states*_xlpm.type,0),_xlpm.years),0))</f>
        <v>0</v>
      </c>
      <c r="AD38" s="67" cm="1">
        <f t="array" ref="AD38">_xlfn.LET(_xlpm.hours,_xlfn._TRO_TRAILING(Sites!$DA:$DC),_xlpm.type,ISNUMBER(SEARCH($V$17,_xlfn._TRO_TRAILING(Sites!$C:$C))),
_xlpm.states,ISNUMBER(SEARCH($AD$19,_xlfn._TRO_TRAILING(Sites!$D:$D))),
_xlpm.years,ISNUMBER(SEARCH(AD$20,Sites!$M$3:$O$3)),
SUM(_xlfn._xlws.FILTER(_xlfn._xlws.FILTER(_xlpm.hours,_xlpm.states*_xlpm.type,0),_xlpm.years),0))</f>
        <v>0</v>
      </c>
      <c r="AE38" s="67" cm="1">
        <f t="array" ref="AE38">_xlfn.LET(_xlpm.hours,_xlfn._TRO_TRAILING(Sites!$DA:$DC),_xlpm.type,ISNUMBER(SEARCH($V$17,_xlfn._TRO_TRAILING(Sites!$C:$C))),
_xlpm.states,ISNUMBER(SEARCH($AD$19,_xlfn._TRO_TRAILING(Sites!$D:$D))),
_xlpm.years,ISNUMBER(SEARCH(AE$20,Sites!$M$3:$O$3)),
SUM(_xlfn._xlws.FILTER(_xlfn._xlws.FILTER(_xlpm.hours,_xlpm.states*_xlpm.type,0),_xlpm.years),0))</f>
        <v>0</v>
      </c>
      <c r="AF38" s="67" cm="1">
        <f t="array" ref="AF38">_xlfn.LET(_xlpm.hours,_xlfn._TRO_TRAILING(Sites!$DA:$DC),_xlpm.type,ISNUMBER(SEARCH($V$17,_xlfn._TRO_TRAILING(Sites!$C:$C))),
_xlpm.states,ISNUMBER(SEARCH($AD$19,_xlfn._TRO_TRAILING(Sites!$D:$D))),
_xlpm.years,ISNUMBER(SEARCH(AF$20,Sites!$M$3:$O$3)),
SUM(_xlfn._xlws.FILTER(_xlfn._xlws.FILTER(_xlpm.hours,_xlpm.states*_xlpm.type,0),_xlpm.years),0))</f>
        <v>0</v>
      </c>
      <c r="AH38" s="67" cm="1">
        <f t="array" ref="AH38">_xlfn.LET(_xlpm.hours,_xlfn._TRO_TRAILING(Sites!$DA:$DC),_xlpm.type,ISNUMBER(SEARCH($AH$17,_xlfn._TRO_TRAILING(Sites!$C:$C))),
_xlpm.states,ISNUMBER(SEARCH($AH$19,_xlfn._TRO_TRAILING(Sites!$D:$D))),
_xlpm.years,ISNUMBER(SEARCH(AH$20,Sites!$M$3:$O$3)),
SUM(_xlfn._xlws.FILTER(_xlfn._xlws.FILTER(_xlpm.hours,_xlpm.states*_xlpm.type,0),_xlpm.years),0))</f>
        <v>148935.12000000002</v>
      </c>
      <c r="AI38" s="67" cm="1">
        <f t="array" ref="AI38">_xlfn.LET(_xlpm.hours,_xlfn._TRO_TRAILING(Sites!$DA:$DC),_xlpm.type,ISNUMBER(SEARCH($AH$17,_xlfn._TRO_TRAILING(Sites!$C:$C))),
_xlpm.states,ISNUMBER(SEARCH($AH$19,_xlfn._TRO_TRAILING(Sites!$D:$D))),
_xlpm.years,ISNUMBER(SEARCH(AI$20,Sites!$M$3:$O$3)),
SUM(_xlfn._xlws.FILTER(_xlfn._xlws.FILTER(_xlpm.hours,_xlpm.states*_xlpm.type,0),_xlpm.years),0))</f>
        <v>220100.52480000001</v>
      </c>
      <c r="AJ38" s="67" cm="1">
        <f t="array" ref="AJ38">_xlfn.LET(_xlpm.hours,_xlfn._TRO_TRAILING(Sites!$DA:$DC),_xlpm.type,ISNUMBER(SEARCH($AH$17,_xlfn._TRO_TRAILING(Sites!$C:$C))),
_xlpm.states,ISNUMBER(SEARCH($AH$19,_xlfn._TRO_TRAILING(Sites!$D:$D))),
_xlpm.years,ISNUMBER(SEARCH(AJ$20,Sites!$M$3:$O$3)),
SUM(_xlfn._xlws.FILTER(_xlfn._xlws.FILTER(_xlpm.hours,_xlpm.states*_xlpm.type,0),_xlpm.years),0))</f>
        <v>315216.22579200007</v>
      </c>
      <c r="AL38" s="67" cm="1">
        <f t="array" ref="AL38">_xlfn.LET(_xlpm.hours,_xlfn._TRO_TRAILING(Sites!$DA:$DC),_xlpm.type,ISNUMBER(SEARCH($AH$17,_xlfn._TRO_TRAILING(Sites!$C:$C))),
_xlpm.states,ISNUMBER(SEARCH($AL$19,_xlfn._TRO_TRAILING(Sites!$D:$D))),
_xlpm.years,ISNUMBER(SEARCH(AL$20,Sites!$M$3:$O$3)),
SUM(_xlfn._xlws.FILTER(_xlfn._xlws.FILTER(_xlpm.hours,_xlpm.states*_xlpm.type,0),_xlpm.years),0))</f>
        <v>120200</v>
      </c>
      <c r="AM38" s="67" cm="1">
        <f t="array" ref="AM38">_xlfn.LET(_xlpm.hours,_xlfn._TRO_TRAILING(Sites!$DA:$DC),_xlpm.type,ISNUMBER(SEARCH($AH$17,_xlfn._TRO_TRAILING(Sites!$C:$C))),
_xlpm.states,ISNUMBER(SEARCH($AL$19,_xlfn._TRO_TRAILING(Sites!$D:$D))),
_xlpm.years,ISNUMBER(SEARCH(AM$20,Sites!$M$3:$O$3)),
SUM(_xlfn._xlws.FILTER(_xlfn._xlws.FILTER(_xlpm.hours,_xlpm.states*_xlpm.type,0),_xlpm.years),0))</f>
        <v>232128</v>
      </c>
      <c r="AN38" s="67" cm="1">
        <f t="array" ref="AN38">_xlfn.LET(_xlpm.hours,_xlfn._TRO_TRAILING(Sites!$DA:$DC),_xlpm.type,ISNUMBER(SEARCH($AH$17,_xlfn._TRO_TRAILING(Sites!$C:$C))),
_xlpm.states,ISNUMBER(SEARCH($AL$19,_xlfn._TRO_TRAILING(Sites!$D:$D))),
_xlpm.years,ISNUMBER(SEARCH(AN$20,Sites!$M$3:$O$3)),
SUM(_xlfn._xlws.FILTER(_xlfn._xlws.FILTER(_xlpm.hours,_xlpm.states*_xlpm.type,0),_xlpm.years),0))</f>
        <v>320153.59999999998</v>
      </c>
      <c r="AP38" s="67" cm="1">
        <f t="array" ref="AP38">_xlfn.LET(_xlpm.hours,_xlfn._TRO_TRAILING(Sites!$DA:$DC),_xlpm.type,ISNUMBER(SEARCH($AH$17,_xlfn._TRO_TRAILING(Sites!$C:$C))),
_xlpm.states,ISNUMBER(SEARCH($AP$19,_xlfn._TRO_TRAILING(Sites!$D:$D))),
_xlpm.years,ISNUMBER(SEARCH(AP$20,Sites!$M$3:$O$3)),
IFERROR(SUM(_xlfn._xlws.FILTER(_xlfn._xlws.FILTER(_xlpm.hours,_xlpm.states*_xlpm.type,0),_xlpm.years),0),0))</f>
        <v>0</v>
      </c>
      <c r="AQ38" s="67" cm="1">
        <f t="array" ref="AQ38">_xlfn.LET(_xlpm.hours,_xlfn._TRO_TRAILING(Sites!$DA:$DC),_xlpm.type,ISNUMBER(SEARCH($AH$17,_xlfn._TRO_TRAILING(Sites!$C:$C))),
_xlpm.states,ISNUMBER(SEARCH($AP$19,_xlfn._TRO_TRAILING(Sites!$D:$D))),
_xlpm.years,ISNUMBER(SEARCH(AQ$20,Sites!$M$3:$O$3)),
IFERROR(SUM(_xlfn._xlws.FILTER(_xlfn._xlws.FILTER(_xlpm.hours,_xlpm.states*_xlpm.type,0),_xlpm.years),0),0))</f>
        <v>0</v>
      </c>
      <c r="AR38" s="67" cm="1">
        <f t="array" ref="AR38">_xlfn.LET(_xlpm.hours,_xlfn._TRO_TRAILING(Sites!$DA:$DC),_xlpm.type,ISNUMBER(SEARCH($AH$17,_xlfn._TRO_TRAILING(Sites!$C:$C))),
_xlpm.states,ISNUMBER(SEARCH($AP$19,_xlfn._TRO_TRAILING(Sites!$D:$D))),
_xlpm.years,ISNUMBER(SEARCH(AR$20,Sites!$M$3:$O$3)),
IFERROR(SUM(_xlfn._xlws.FILTER(_xlfn._xlws.FILTER(_xlpm.hours,_xlpm.states*_xlpm.type,0),_xlpm.years),0),0))</f>
        <v>0</v>
      </c>
    </row>
    <row r="39" spans="2:46" outlineLevel="1" x14ac:dyDescent="0.25">
      <c r="B39" s="39" t="s">
        <v>34</v>
      </c>
      <c r="F39" s="67">
        <f t="shared" si="28"/>
        <v>144759.53220000002</v>
      </c>
      <c r="G39" s="67">
        <f t="shared" si="18"/>
        <v>207349.10227199999</v>
      </c>
      <c r="H39" s="67">
        <f t="shared" si="19"/>
        <v>254655.75860608008</v>
      </c>
      <c r="J39" s="67">
        <f t="shared" si="20"/>
        <v>75299.351200000005</v>
      </c>
      <c r="K39" s="67">
        <f t="shared" si="21"/>
        <v>93694.657887999987</v>
      </c>
      <c r="L39" s="67">
        <f t="shared" si="22"/>
        <v>114782.22838784003</v>
      </c>
      <c r="N39" s="67">
        <f t="shared" si="29"/>
        <v>45655.37000000001</v>
      </c>
      <c r="O39" s="67">
        <f t="shared" si="23"/>
        <v>76485.649552000003</v>
      </c>
      <c r="P39" s="67">
        <f t="shared" si="24"/>
        <v>100215.78925696004</v>
      </c>
      <c r="R39" s="67">
        <f t="shared" si="25"/>
        <v>23804.811000000002</v>
      </c>
      <c r="S39" s="67">
        <f t="shared" si="26"/>
        <v>37168.794832</v>
      </c>
      <c r="T39" s="67">
        <f t="shared" si="27"/>
        <v>39657.740961280011</v>
      </c>
      <c r="V39" s="67" cm="1">
        <f t="array" ref="V39">_xlfn.LET(_xlpm.hours,_xlfn._TRO_TRAILING(Sites!$DE:$DG),_xlpm.type,ISNUMBER(SEARCH($V$17,_xlfn._TRO_TRAILING(Sites!$C:$C))),
_xlpm.states,ISNUMBER(SEARCH($V$19,_xlfn._TRO_TRAILING(Sites!$D:$D))),
_xlpm.years,ISNUMBER(SEARCH(V$20,Sites!$M$3:$O$3)),
SUM(_xlfn._xlws.FILTER(_xlfn._xlws.FILTER(_xlpm.hours,_xlpm.states*_xlpm.type,0),_xlpm.years),0))</f>
        <v>37171.22080000001</v>
      </c>
      <c r="W39" s="67" cm="1">
        <f t="array" ref="W39">_xlfn.LET(_xlpm.hours,_xlfn._TRO_TRAILING(Sites!$DE:$DG),_xlpm.type,ISNUMBER(SEARCH($V$17,_xlfn._TRO_TRAILING(Sites!$C:$C))),
_xlpm.states,ISNUMBER(SEARCH($V$19,_xlfn._TRO_TRAILING(Sites!$D:$D))),
_xlpm.years,ISNUMBER(SEARCH(W$20,Sites!$M$3:$O$3)),
SUM(_xlfn._xlws.FILTER(_xlfn._xlws.FILTER(_xlpm.hours,_xlpm.states*_xlpm.type,0),_xlpm.years),0))</f>
        <v>40140.336080000001</v>
      </c>
      <c r="X39" s="67" cm="1">
        <f t="array" ref="X39">_xlfn.LET(_xlpm.hours,_xlfn._TRO_TRAILING(Sites!$DE:$DG),_xlpm.type,ISNUMBER(SEARCH($V$17,_xlfn._TRO_TRAILING(Sites!$C:$C))),
_xlpm.states,ISNUMBER(SEARCH($V$19,_xlfn._TRO_TRAILING(Sites!$D:$D))),
_xlpm.years,ISNUMBER(SEARCH(X$20,Sites!$M$3:$O$3)),
SUM(_xlfn._xlws.FILTER(_xlfn._xlws.FILTER(_xlpm.hours,_xlpm.states*_xlpm.type,0),_xlpm.years),0))</f>
        <v>42813.742033920011</v>
      </c>
      <c r="Z39" s="67" cm="1">
        <f t="array" ref="Z39">_xlfn.LET(_xlpm.hours,_xlfn._TRO_TRAILING(Sites!$DE:$DG),_xlpm.type,ISNUMBER(SEARCH($V$17,_xlfn._TRO_TRAILING(Sites!$C:$C))),
_xlpm.states,ISNUMBER(SEARCH($Z$19,_xlfn._TRO_TRAILING(Sites!$D:$D))),
_xlpm.years,ISNUMBER(SEARCH(Z$20,Sites!$M$3:$O$3)),
SUM(_xlfn._xlws.FILTER(_xlfn._xlws.FILTER(_xlpm.hours,_xlpm.states*_xlpm.type,0),_xlpm.years),0))</f>
        <v>23114.084000000003</v>
      </c>
      <c r="AA39" s="67" cm="1">
        <f t="array" ref="AA39">_xlfn.LET(_xlpm.hours,_xlfn._TRO_TRAILING(Sites!$DE:$DG),_xlpm.type,ISNUMBER(SEARCH($V$17,_xlfn._TRO_TRAILING(Sites!$C:$C))),
_xlpm.states,ISNUMBER(SEARCH($Z$19,_xlfn._TRO_TRAILING(Sites!$D:$D))),
_xlpm.years,ISNUMBER(SEARCH(AA$20,Sites!$M$3:$O$3)),
SUM(_xlfn._xlws.FILTER(_xlfn._xlws.FILTER(_xlpm.hours,_xlpm.states*_xlpm.type,0),_xlpm.years),0))</f>
        <v>26677.291888000003</v>
      </c>
      <c r="AB39" s="67" cm="1">
        <f t="array" ref="AB39">_xlfn.LET(_xlpm.hours,_xlfn._TRO_TRAILING(Sites!$DE:$DG),_xlpm.type,ISNUMBER(SEARCH($V$17,_xlfn._TRO_TRAILING(Sites!$C:$C))),
_xlpm.states,ISNUMBER(SEARCH($Z$19,_xlfn._TRO_TRAILING(Sites!$D:$D))),
_xlpm.years,ISNUMBER(SEARCH(AB$20,Sites!$M$3:$O$3)),
SUM(_xlfn._xlws.FILTER(_xlfn._xlws.FILTER(_xlpm.hours,_xlpm.states*_xlpm.type,0),_xlpm.years),0))</f>
        <v>30503.151244800007</v>
      </c>
      <c r="AD39" s="67" cm="1">
        <f t="array" ref="AD39">_xlfn.LET(_xlpm.hours,_xlfn._TRO_TRAILING(Sites!$DE:$DG),_xlpm.type,ISNUMBER(SEARCH($V$17,_xlfn._TRO_TRAILING(Sites!$C:$C))),
_xlpm.states,ISNUMBER(SEARCH($AD$19,_xlfn._TRO_TRAILING(Sites!$D:$D))),
_xlpm.years,ISNUMBER(SEARCH(AD$20,Sites!$M$3:$O$3)),
SUM(_xlfn._xlws.FILTER(_xlfn._xlws.FILTER(_xlpm.hours,_xlpm.states*_xlpm.type,0),_xlpm.years),0))</f>
        <v>23804.811000000002</v>
      </c>
      <c r="AE39" s="67" cm="1">
        <f t="array" ref="AE39">_xlfn.LET(_xlpm.hours,_xlfn._TRO_TRAILING(Sites!$DE:$DG),_xlpm.type,ISNUMBER(SEARCH($V$17,_xlfn._TRO_TRAILING(Sites!$C:$C))),
_xlpm.states,ISNUMBER(SEARCH($AD$19,_xlfn._TRO_TRAILING(Sites!$D:$D))),
_xlpm.years,ISNUMBER(SEARCH(AE$20,Sites!$M$3:$O$3)),
SUM(_xlfn._xlws.FILTER(_xlfn._xlws.FILTER(_xlpm.hours,_xlpm.states*_xlpm.type,0),_xlpm.years),0))</f>
        <v>37168.794832</v>
      </c>
      <c r="AF39" s="67" cm="1">
        <f t="array" ref="AF39">_xlfn.LET(_xlpm.hours,_xlfn._TRO_TRAILING(Sites!$DE:$DG),_xlpm.type,ISNUMBER(SEARCH($V$17,_xlfn._TRO_TRAILING(Sites!$C:$C))),
_xlpm.states,ISNUMBER(SEARCH($AD$19,_xlfn._TRO_TRAILING(Sites!$D:$D))),
_xlpm.years,ISNUMBER(SEARCH(AF$20,Sites!$M$3:$O$3)),
SUM(_xlfn._xlws.FILTER(_xlfn._xlws.FILTER(_xlpm.hours,_xlpm.states*_xlpm.type,0),_xlpm.years),0))</f>
        <v>39657.740961280011</v>
      </c>
      <c r="AH39" s="67" cm="1">
        <f t="array" ref="AH39">_xlfn.LET(_xlpm.hours,_xlfn._TRO_TRAILING(Sites!$DE:$DG),_xlpm.type,ISNUMBER(SEARCH($AH$17,_xlfn._TRO_TRAILING(Sites!$C:$C))),
_xlpm.states,ISNUMBER(SEARCH($AH$19,_xlfn._TRO_TRAILING(Sites!$D:$D))),
_xlpm.years,ISNUMBER(SEARCH(AH$20,Sites!$M$3:$O$3)),
SUM(_xlfn._xlws.FILTER(_xlfn._xlws.FILTER(_xlpm.hours,_xlpm.states*_xlpm.type,0),_xlpm.years),0))</f>
        <v>38128.130399999995</v>
      </c>
      <c r="AI39" s="67" cm="1">
        <f t="array" ref="AI39">_xlfn.LET(_xlpm.hours,_xlfn._TRO_TRAILING(Sites!$DE:$DG),_xlpm.type,ISNUMBER(SEARCH($AH$17,_xlfn._TRO_TRAILING(Sites!$C:$C))),
_xlpm.states,ISNUMBER(SEARCH($AH$19,_xlfn._TRO_TRAILING(Sites!$D:$D))),
_xlpm.years,ISNUMBER(SEARCH(AI$20,Sites!$M$3:$O$3)),
SUM(_xlfn._xlws.FILTER(_xlfn._xlws.FILTER(_xlpm.hours,_xlpm.states*_xlpm.type,0),_xlpm.years),0))</f>
        <v>53554.321807999993</v>
      </c>
      <c r="AJ39" s="67" cm="1">
        <f t="array" ref="AJ39">_xlfn.LET(_xlpm.hours,_xlfn._TRO_TRAILING(Sites!$DE:$DG),_xlpm.type,ISNUMBER(SEARCH($AH$17,_xlfn._TRO_TRAILING(Sites!$C:$C))),
_xlpm.states,ISNUMBER(SEARCH($AH$19,_xlfn._TRO_TRAILING(Sites!$D:$D))),
_xlpm.years,ISNUMBER(SEARCH(AJ$20,Sites!$M$3:$O$3)),
SUM(_xlfn._xlws.FILTER(_xlfn._xlws.FILTER(_xlpm.hours,_xlpm.states*_xlpm.type,0),_xlpm.years),0))</f>
        <v>71968.486353920016</v>
      </c>
      <c r="AL39" s="67" cm="1">
        <f t="array" ref="AL39">_xlfn.LET(_xlpm.hours,_xlfn._TRO_TRAILING(Sites!$DE:$DG),_xlpm.type,ISNUMBER(SEARCH($AH$17,_xlfn._TRO_TRAILING(Sites!$C:$C))),
_xlpm.states,ISNUMBER(SEARCH($AL$19,_xlfn._TRO_TRAILING(Sites!$D:$D))),
_xlpm.years,ISNUMBER(SEARCH(AL$20,Sites!$M$3:$O$3)),
SUM(_xlfn._xlws.FILTER(_xlfn._xlws.FILTER(_xlpm.hours,_xlpm.states*_xlpm.type,0),_xlpm.years),0))</f>
        <v>22541.286000000004</v>
      </c>
      <c r="AM39" s="67" cm="1">
        <f t="array" ref="AM39">_xlfn.LET(_xlpm.hours,_xlfn._TRO_TRAILING(Sites!$DE:$DG),_xlpm.type,ISNUMBER(SEARCH($AH$17,_xlfn._TRO_TRAILING(Sites!$C:$C))),
_xlpm.states,ISNUMBER(SEARCH($AL$19,_xlfn._TRO_TRAILING(Sites!$D:$D))),
_xlpm.years,ISNUMBER(SEARCH(AM$20,Sites!$M$3:$O$3)),
SUM(_xlfn._xlws.FILTER(_xlfn._xlws.FILTER(_xlpm.hours,_xlpm.states*_xlpm.type,0),_xlpm.years),0))</f>
        <v>49808.357663999996</v>
      </c>
      <c r="AN39" s="67" cm="1">
        <f t="array" ref="AN39">_xlfn.LET(_xlpm.hours,_xlfn._TRO_TRAILING(Sites!$DE:$DG),_xlpm.type,ISNUMBER(SEARCH($AH$17,_xlfn._TRO_TRAILING(Sites!$C:$C))),
_xlpm.states,ISNUMBER(SEARCH($AL$19,_xlfn._TRO_TRAILING(Sites!$D:$D))),
_xlpm.years,ISNUMBER(SEARCH(AN$20,Sites!$M$3:$O$3)),
SUM(_xlfn._xlws.FILTER(_xlfn._xlws.FILTER(_xlpm.hours,_xlpm.states*_xlpm.type,0),_xlpm.years),0))</f>
        <v>69712.638012160023</v>
      </c>
      <c r="AP39" s="67" cm="1">
        <f t="array" ref="AP39">_xlfn.LET(_xlpm.hours,_xlfn._TRO_TRAILING(Sites!$DE:$DG),_xlpm.type,ISNUMBER(SEARCH($AH$17,_xlfn._TRO_TRAILING(Sites!$C:$C))),
_xlpm.states,ISNUMBER(SEARCH($AP$19,_xlfn._TRO_TRAILING(Sites!$D:$D))),
_xlpm.years,ISNUMBER(SEARCH(AP$20,Sites!$M$3:$O$3)),
IFERROR(SUM(_xlfn._xlws.FILTER(_xlfn._xlws.FILTER(_xlpm.hours,_xlpm.states*_xlpm.type,0),_xlpm.years),0),0))</f>
        <v>0</v>
      </c>
      <c r="AQ39" s="67" cm="1">
        <f t="array" ref="AQ39">_xlfn.LET(_xlpm.hours,_xlfn._TRO_TRAILING(Sites!$DE:$DG),_xlpm.type,ISNUMBER(SEARCH($AH$17,_xlfn._TRO_TRAILING(Sites!$C:$C))),
_xlpm.states,ISNUMBER(SEARCH($AP$19,_xlfn._TRO_TRAILING(Sites!$D:$D))),
_xlpm.years,ISNUMBER(SEARCH(AQ$20,Sites!$M$3:$O$3)),
IFERROR(SUM(_xlfn._xlws.FILTER(_xlfn._xlws.FILTER(_xlpm.hours,_xlpm.states*_xlpm.type,0),_xlpm.years),0),0))</f>
        <v>0</v>
      </c>
      <c r="AR39" s="67" cm="1">
        <f t="array" ref="AR39">_xlfn.LET(_xlpm.hours,_xlfn._TRO_TRAILING(Sites!$DE:$DG),_xlpm.type,ISNUMBER(SEARCH($AH$17,_xlfn._TRO_TRAILING(Sites!$C:$C))),
_xlpm.states,ISNUMBER(SEARCH($AP$19,_xlfn._TRO_TRAILING(Sites!$D:$D))),
_xlpm.years,ISNUMBER(SEARCH(AR$20,Sites!$M$3:$O$3)),
IFERROR(SUM(_xlfn._xlws.FILTER(_xlfn._xlws.FILTER(_xlpm.hours,_xlpm.states*_xlpm.type,0),_xlpm.years),0),0))</f>
        <v>0</v>
      </c>
    </row>
    <row r="40" spans="2:46" outlineLevel="1" x14ac:dyDescent="0.25">
      <c r="B40" s="39" t="s">
        <v>36</v>
      </c>
      <c r="F40" s="67">
        <f t="shared" si="28"/>
        <v>363000</v>
      </c>
      <c r="G40" s="67">
        <f t="shared" si="18"/>
        <v>581655</v>
      </c>
      <c r="H40" s="67">
        <f t="shared" si="19"/>
        <v>736343.1</v>
      </c>
      <c r="J40" s="67">
        <f t="shared" si="20"/>
        <v>127500</v>
      </c>
      <c r="K40" s="67">
        <f t="shared" si="21"/>
        <v>177735</v>
      </c>
      <c r="L40" s="67">
        <f t="shared" si="22"/>
        <v>243193.49999999994</v>
      </c>
      <c r="N40" s="67">
        <f t="shared" si="29"/>
        <v>127500</v>
      </c>
      <c r="O40" s="67">
        <f t="shared" si="23"/>
        <v>238680</v>
      </c>
      <c r="P40" s="67">
        <f t="shared" si="24"/>
        <v>324604.79999999999</v>
      </c>
      <c r="R40" s="67">
        <f t="shared" si="25"/>
        <v>108000</v>
      </c>
      <c r="S40" s="67">
        <f t="shared" si="26"/>
        <v>165240</v>
      </c>
      <c r="T40" s="67">
        <f t="shared" si="27"/>
        <v>168544.80000000005</v>
      </c>
      <c r="V40" s="67" cm="1">
        <f t="array" ref="V40">_xlfn.LET(_xlpm.hours,_xlfn._TRO_TRAILING(Sites!$DI:$DK),_xlpm.type,ISNUMBER(SEARCH($V$17,_xlfn._TRO_TRAILING(Sites!$C:$C))),
_xlpm.states,ISNUMBER(SEARCH($V$19,_xlfn._TRO_TRAILING(Sites!$D:$D))),
_xlpm.years,ISNUMBER(SEARCH(V$20,Sites!$M$3:$O$3)),
SUM(_xlfn._xlws.FILTER(_xlfn._xlws.FILTER(_xlpm.hours,_xlpm.states*_xlpm.type,0),_xlpm.years),0))</f>
        <v>0</v>
      </c>
      <c r="W40" s="67" cm="1">
        <f t="array" ref="W40">_xlfn.LET(_xlpm.hours,_xlfn._TRO_TRAILING(Sites!$DI:$DK),_xlpm.type,ISNUMBER(SEARCH($V$17,_xlfn._TRO_TRAILING(Sites!$C:$C))),
_xlpm.states,ISNUMBER(SEARCH($V$19,_xlfn._TRO_TRAILING(Sites!$D:$D))),
_xlpm.years,ISNUMBER(SEARCH(W$20,Sites!$M$3:$O$3)),
SUM(_xlfn._xlws.FILTER(_xlfn._xlws.FILTER(_xlpm.hours,_xlpm.states*_xlpm.type,0),_xlpm.years),0))</f>
        <v>0</v>
      </c>
      <c r="X40" s="67" cm="1">
        <f t="array" ref="X40">_xlfn.LET(_xlpm.hours,_xlfn._TRO_TRAILING(Sites!$DI:$DK),_xlpm.type,ISNUMBER(SEARCH($V$17,_xlfn._TRO_TRAILING(Sites!$C:$C))),
_xlpm.states,ISNUMBER(SEARCH($V$19,_xlfn._TRO_TRAILING(Sites!$D:$D))),
_xlpm.years,ISNUMBER(SEARCH(X$20,Sites!$M$3:$O$3)),
SUM(_xlfn._xlws.FILTER(_xlfn._xlws.FILTER(_xlpm.hours,_xlpm.states*_xlpm.type,0),_xlpm.years),0))</f>
        <v>0</v>
      </c>
      <c r="Z40" s="67" cm="1">
        <f t="array" ref="Z40">_xlfn.LET(_xlpm.hours,_xlfn._TRO_TRAILING(Sites!$DI:$DK),_xlpm.type,ISNUMBER(SEARCH($V$17,_xlfn._TRO_TRAILING(Sites!$C:$C))),
_xlpm.states,ISNUMBER(SEARCH($Z$19,_xlfn._TRO_TRAILING(Sites!$D:$D))),
_xlpm.years,ISNUMBER(SEARCH(Z$20,Sites!$M$3:$O$3)),
SUM(_xlfn._xlws.FILTER(_xlfn._xlws.FILTER(_xlpm.hours,_xlpm.states*_xlpm.type,0),_xlpm.years),0))</f>
        <v>0</v>
      </c>
      <c r="AA40" s="67" cm="1">
        <f t="array" ref="AA40">_xlfn.LET(_xlpm.hours,_xlfn._TRO_TRAILING(Sites!$DI:$DK),_xlpm.type,ISNUMBER(SEARCH($V$17,_xlfn._TRO_TRAILING(Sites!$C:$C))),
_xlpm.states,ISNUMBER(SEARCH($Z$19,_xlfn._TRO_TRAILING(Sites!$D:$D))),
_xlpm.years,ISNUMBER(SEARCH(AA$20,Sites!$M$3:$O$3)),
SUM(_xlfn._xlws.FILTER(_xlfn._xlws.FILTER(_xlpm.hours,_xlpm.states*_xlpm.type,0),_xlpm.years),0))</f>
        <v>0</v>
      </c>
      <c r="AB40" s="67" cm="1">
        <f t="array" ref="AB40">_xlfn.LET(_xlpm.hours,_xlfn._TRO_TRAILING(Sites!$DI:$DK),_xlpm.type,ISNUMBER(SEARCH($V$17,_xlfn._TRO_TRAILING(Sites!$C:$C))),
_xlpm.states,ISNUMBER(SEARCH($Z$19,_xlfn._TRO_TRAILING(Sites!$D:$D))),
_xlpm.years,ISNUMBER(SEARCH(AB$20,Sites!$M$3:$O$3)),
SUM(_xlfn._xlws.FILTER(_xlfn._xlws.FILTER(_xlpm.hours,_xlpm.states*_xlpm.type,0),_xlpm.years),0))</f>
        <v>0</v>
      </c>
      <c r="AD40" s="67" cm="1">
        <f t="array" ref="AD40">_xlfn.LET(_xlpm.hours,_xlfn._TRO_TRAILING(Sites!$DI:$DK),_xlpm.type,ISNUMBER(SEARCH($V$17,_xlfn._TRO_TRAILING(Sites!$C:$C))),
_xlpm.states,ISNUMBER(SEARCH($AD$19,_xlfn._TRO_TRAILING(Sites!$D:$D))),
_xlpm.years,ISNUMBER(SEARCH(AD$20,Sites!$M$3:$O$3)),
SUM(_xlfn._xlws.FILTER(_xlfn._xlws.FILTER(_xlpm.hours,_xlpm.states*_xlpm.type,0),_xlpm.years),0))</f>
        <v>108000</v>
      </c>
      <c r="AE40" s="67" cm="1">
        <f t="array" ref="AE40">_xlfn.LET(_xlpm.hours,_xlfn._TRO_TRAILING(Sites!$DI:$DK),_xlpm.type,ISNUMBER(SEARCH($V$17,_xlfn._TRO_TRAILING(Sites!$C:$C))),
_xlpm.states,ISNUMBER(SEARCH($AD$19,_xlfn._TRO_TRAILING(Sites!$D:$D))),
_xlpm.years,ISNUMBER(SEARCH(AE$20,Sites!$M$3:$O$3)),
SUM(_xlfn._xlws.FILTER(_xlfn._xlws.FILTER(_xlpm.hours,_xlpm.states*_xlpm.type,0),_xlpm.years),0))</f>
        <v>165240</v>
      </c>
      <c r="AF40" s="67" cm="1">
        <f t="array" ref="AF40">_xlfn.LET(_xlpm.hours,_xlfn._TRO_TRAILING(Sites!$DI:$DK),_xlpm.type,ISNUMBER(SEARCH($V$17,_xlfn._TRO_TRAILING(Sites!$C:$C))),
_xlpm.states,ISNUMBER(SEARCH($AD$19,_xlfn._TRO_TRAILING(Sites!$D:$D))),
_xlpm.years,ISNUMBER(SEARCH(AF$20,Sites!$M$3:$O$3)),
SUM(_xlfn._xlws.FILTER(_xlfn._xlws.FILTER(_xlpm.hours,_xlpm.states*_xlpm.type,0),_xlpm.years),0))</f>
        <v>168544.80000000005</v>
      </c>
      <c r="AH40" s="67" cm="1">
        <f t="array" ref="AH40">_xlfn.LET(_xlpm.hours,_xlfn._TRO_TRAILING(Sites!$DI:$DK),_xlpm.type,ISNUMBER(SEARCH($AH$17,_xlfn._TRO_TRAILING(Sites!$C:$C))),
_xlpm.states,ISNUMBER(SEARCH($AH$19,_xlfn._TRO_TRAILING(Sites!$D:$D))),
_xlpm.years,ISNUMBER(SEARCH(AH$20,Sites!$M$3:$O$3)),
SUM(_xlfn._xlws.FILTER(_xlfn._xlws.FILTER(_xlpm.hours,_xlpm.states*_xlpm.type,0),_xlpm.years),0))</f>
        <v>127500</v>
      </c>
      <c r="AI40" s="67" cm="1">
        <f t="array" ref="AI40">_xlfn.LET(_xlpm.hours,_xlfn._TRO_TRAILING(Sites!$DI:$DK),_xlpm.type,ISNUMBER(SEARCH($AH$17,_xlfn._TRO_TRAILING(Sites!$C:$C))),
_xlpm.states,ISNUMBER(SEARCH($AH$19,_xlfn._TRO_TRAILING(Sites!$D:$D))),
_xlpm.years,ISNUMBER(SEARCH(AI$20,Sites!$M$3:$O$3)),
SUM(_xlfn._xlws.FILTER(_xlfn._xlws.FILTER(_xlpm.hours,_xlpm.states*_xlpm.type,0),_xlpm.years),0))</f>
        <v>177735</v>
      </c>
      <c r="AJ40" s="67" cm="1">
        <f t="array" ref="AJ40">_xlfn.LET(_xlpm.hours,_xlfn._TRO_TRAILING(Sites!$DI:$DK),_xlpm.type,ISNUMBER(SEARCH($AH$17,_xlfn._TRO_TRAILING(Sites!$C:$C))),
_xlpm.states,ISNUMBER(SEARCH($AH$19,_xlfn._TRO_TRAILING(Sites!$D:$D))),
_xlpm.years,ISNUMBER(SEARCH(AJ$20,Sites!$M$3:$O$3)),
SUM(_xlfn._xlws.FILTER(_xlfn._xlws.FILTER(_xlpm.hours,_xlpm.states*_xlpm.type,0),_xlpm.years),0))</f>
        <v>243193.49999999994</v>
      </c>
      <c r="AL40" s="67" cm="1">
        <f t="array" ref="AL40">_xlfn.LET(_xlpm.hours,_xlfn._TRO_TRAILING(Sites!$DI:$DK),_xlpm.type,ISNUMBER(SEARCH($AH$17,_xlfn._TRO_TRAILING(Sites!$C:$C))),
_xlpm.states,ISNUMBER(SEARCH($AL$19,_xlfn._TRO_TRAILING(Sites!$D:$D))),
_xlpm.years,ISNUMBER(SEARCH(AL$20,Sites!$M$3:$O$3)),
SUM(_xlfn._xlws.FILTER(_xlfn._xlws.FILTER(_xlpm.hours,_xlpm.states*_xlpm.type,0),_xlpm.years),0))</f>
        <v>127500</v>
      </c>
      <c r="AM40" s="67" cm="1">
        <f t="array" ref="AM40">_xlfn.LET(_xlpm.hours,_xlfn._TRO_TRAILING(Sites!$DI:$DK),_xlpm.type,ISNUMBER(SEARCH($AH$17,_xlfn._TRO_TRAILING(Sites!$C:$C))),
_xlpm.states,ISNUMBER(SEARCH($AL$19,_xlfn._TRO_TRAILING(Sites!$D:$D))),
_xlpm.years,ISNUMBER(SEARCH(AM$20,Sites!$M$3:$O$3)),
SUM(_xlfn._xlws.FILTER(_xlfn._xlws.FILTER(_xlpm.hours,_xlpm.states*_xlpm.type,0),_xlpm.years),0))</f>
        <v>238680</v>
      </c>
      <c r="AN40" s="67" cm="1">
        <f t="array" ref="AN40">_xlfn.LET(_xlpm.hours,_xlfn._TRO_TRAILING(Sites!$DI:$DK),_xlpm.type,ISNUMBER(SEARCH($AH$17,_xlfn._TRO_TRAILING(Sites!$C:$C))),
_xlpm.states,ISNUMBER(SEARCH($AL$19,_xlfn._TRO_TRAILING(Sites!$D:$D))),
_xlpm.years,ISNUMBER(SEARCH(AN$20,Sites!$M$3:$O$3)),
SUM(_xlfn._xlws.FILTER(_xlfn._xlws.FILTER(_xlpm.hours,_xlpm.states*_xlpm.type,0),_xlpm.years),0))</f>
        <v>324604.79999999999</v>
      </c>
      <c r="AP40" s="67" cm="1">
        <f t="array" ref="AP40">_xlfn.LET(_xlpm.hours,_xlfn._TRO_TRAILING(Sites!$DI:$DK),_xlpm.type,ISNUMBER(SEARCH($AH$17,_xlfn._TRO_TRAILING(Sites!$C:$C))),
_xlpm.states,ISNUMBER(SEARCH($AP$19,_xlfn._TRO_TRAILING(Sites!$D:$D))),
_xlpm.years,ISNUMBER(SEARCH(AP$20,Sites!$M$3:$O$3)),
IFERROR(SUM(_xlfn._xlws.FILTER(_xlfn._xlws.FILTER(_xlpm.hours,_xlpm.states*_xlpm.type,0),_xlpm.years),0),0))</f>
        <v>0</v>
      </c>
      <c r="AQ40" s="67" cm="1">
        <f t="array" ref="AQ40">_xlfn.LET(_xlpm.hours,_xlfn._TRO_TRAILING(Sites!$DI:$DK),_xlpm.type,ISNUMBER(SEARCH($AH$17,_xlfn._TRO_TRAILING(Sites!$C:$C))),
_xlpm.states,ISNUMBER(SEARCH($AP$19,_xlfn._TRO_TRAILING(Sites!$D:$D))),
_xlpm.years,ISNUMBER(SEARCH(AQ$20,Sites!$M$3:$O$3)),
IFERROR(SUM(_xlfn._xlws.FILTER(_xlfn._xlws.FILTER(_xlpm.hours,_xlpm.states*_xlpm.type,0),_xlpm.years),0),0))</f>
        <v>0</v>
      </c>
      <c r="AR40" s="67" cm="1">
        <f t="array" ref="AR40">_xlfn.LET(_xlpm.hours,_xlfn._TRO_TRAILING(Sites!$DI:$DK),_xlpm.type,ISNUMBER(SEARCH($AH$17,_xlfn._TRO_TRAILING(Sites!$C:$C))),
_xlpm.states,ISNUMBER(SEARCH($AP$19,_xlfn._TRO_TRAILING(Sites!$D:$D))),
_xlpm.years,ISNUMBER(SEARCH(AR$20,Sites!$M$3:$O$3)),
IFERROR(SUM(_xlfn._xlws.FILTER(_xlfn._xlws.FILTER(_xlpm.hours,_xlpm.states*_xlpm.type,0),_xlpm.years),0),0))</f>
        <v>0</v>
      </c>
    </row>
    <row r="41" spans="2:46" outlineLevel="1" x14ac:dyDescent="0.25">
      <c r="B41" s="39" t="s">
        <v>38</v>
      </c>
      <c r="F41" s="67">
        <f t="shared" si="28"/>
        <v>1528982</v>
      </c>
      <c r="G41" s="67">
        <f t="shared" si="18"/>
        <v>2319198.9900000002</v>
      </c>
      <c r="H41" s="67">
        <f t="shared" si="19"/>
        <v>3041292.5981999999</v>
      </c>
      <c r="J41" s="67">
        <f t="shared" si="20"/>
        <v>663228</v>
      </c>
      <c r="K41" s="67">
        <f t="shared" si="21"/>
        <v>843137.61</v>
      </c>
      <c r="L41" s="67">
        <f t="shared" si="22"/>
        <v>1050903.3581999999</v>
      </c>
      <c r="N41" s="67">
        <f t="shared" si="29"/>
        <v>653274</v>
      </c>
      <c r="O41" s="67">
        <f t="shared" si="23"/>
        <v>1143566.8800000001</v>
      </c>
      <c r="P41" s="67">
        <f t="shared" si="24"/>
        <v>1604686.9500000002</v>
      </c>
      <c r="R41" s="67">
        <f t="shared" si="25"/>
        <v>212479.99999999997</v>
      </c>
      <c r="S41" s="67">
        <f t="shared" si="26"/>
        <v>332494.5</v>
      </c>
      <c r="T41" s="67">
        <f t="shared" si="27"/>
        <v>385702.29</v>
      </c>
      <c r="V41" s="67" cm="1">
        <f t="array" ref="V41">_xlfn.LET(_xlpm.hours,_xlfn._TRO_TRAILING(Sites!$DM:$DO),_xlpm.type,ISNUMBER(SEARCH($V$17,_xlfn._TRO_TRAILING(Sites!$C:$C))),
_xlpm.states,ISNUMBER(SEARCH($V$19,_xlfn._TRO_TRAILING(Sites!$D:$D))),
_xlpm.years,ISNUMBER(SEARCH(V$20,Sites!$M$3:$O$3)),
SUM(_xlfn._xlws.FILTER(_xlfn._xlws.FILTER(_xlpm.hours,_xlpm.states*_xlpm.type,0),_xlpm.years),0))</f>
        <v>212134.99999999997</v>
      </c>
      <c r="W41" s="67" cm="1">
        <f t="array" ref="W41">_xlfn.LET(_xlpm.hours,_xlfn._TRO_TRAILING(Sites!$DM:$DO),_xlpm.type,ISNUMBER(SEARCH($V$17,_xlfn._TRO_TRAILING(Sites!$C:$C))),
_xlpm.states,ISNUMBER(SEARCH($V$19,_xlfn._TRO_TRAILING(Sites!$D:$D))),
_xlpm.years,ISNUMBER(SEARCH(W$20,Sites!$M$3:$O$3)),
SUM(_xlfn._xlws.FILTER(_xlfn._xlws.FILTER(_xlpm.hours,_xlpm.states*_xlpm.type,0),_xlpm.years),0))</f>
        <v>241360.04999999996</v>
      </c>
      <c r="X41" s="67" cm="1">
        <f t="array" ref="X41">_xlfn.LET(_xlpm.hours,_xlfn._TRO_TRAILING(Sites!$DM:$DO),_xlpm.type,ISNUMBER(SEARCH($V$17,_xlfn._TRO_TRAILING(Sites!$C:$C))),
_xlpm.states,ISNUMBER(SEARCH($V$19,_xlfn._TRO_TRAILING(Sites!$D:$D))),
_xlpm.years,ISNUMBER(SEARCH(X$20,Sites!$M$3:$O$3)),
SUM(_xlfn._xlws.FILTER(_xlfn._xlws.FILTER(_xlpm.hours,_xlpm.states*_xlpm.type,0),_xlpm.years),0))</f>
        <v>246949.34399999998</v>
      </c>
      <c r="Z41" s="67" cm="1">
        <f t="array" ref="Z41">_xlfn.LET(_xlpm.hours,_xlfn._TRO_TRAILING(Sites!$DM:$DO),_xlpm.type,ISNUMBER(SEARCH($V$17,_xlfn._TRO_TRAILING(Sites!$C:$C))),
_xlpm.states,ISNUMBER(SEARCH($Z$19,_xlfn._TRO_TRAILING(Sites!$D:$D))),
_xlpm.years,ISNUMBER(SEARCH(Z$20,Sites!$M$3:$O$3)),
SUM(_xlfn._xlws.FILTER(_xlfn._xlws.FILTER(_xlpm.hours,_xlpm.states*_xlpm.type,0),_xlpm.years),0))</f>
        <v>393785</v>
      </c>
      <c r="AA41" s="67" cm="1">
        <f t="array" ref="AA41">_xlfn.LET(_xlpm.hours,_xlfn._TRO_TRAILING(Sites!$DM:$DO),_xlpm.type,ISNUMBER(SEARCH($V$17,_xlfn._TRO_TRAILING(Sites!$C:$C))),
_xlpm.states,ISNUMBER(SEARCH($Z$19,_xlfn._TRO_TRAILING(Sites!$D:$D))),
_xlpm.years,ISNUMBER(SEARCH(AA$20,Sites!$M$3:$O$3)),
SUM(_xlfn._xlws.FILTER(_xlfn._xlws.FILTER(_xlpm.hours,_xlpm.states*_xlpm.type,0),_xlpm.years),0))</f>
        <v>507057.30000000005</v>
      </c>
      <c r="AB41" s="67" cm="1">
        <f t="array" ref="AB41">_xlfn.LET(_xlpm.hours,_xlfn._TRO_TRAILING(Sites!$DM:$DO),_xlpm.type,ISNUMBER(SEARCH($V$17,_xlfn._TRO_TRAILING(Sites!$C:$C))),
_xlpm.states,ISNUMBER(SEARCH($Z$19,_xlfn._TRO_TRAILING(Sites!$D:$D))),
_xlpm.years,ISNUMBER(SEARCH(AB$20,Sites!$M$3:$O$3)),
SUM(_xlfn._xlws.FILTER(_xlfn._xlws.FILTER(_xlpm.hours,_xlpm.states*_xlpm.type,0),_xlpm.years),0))</f>
        <v>624989.08800000011</v>
      </c>
      <c r="AD41" s="67" cm="1">
        <f t="array" ref="AD41">_xlfn.LET(_xlpm.hours,_xlfn._TRO_TRAILING(Sites!$DM:$DO),_xlpm.type,ISNUMBER(SEARCH($V$17,_xlfn._TRO_TRAILING(Sites!$C:$C))),
_xlpm.states,ISNUMBER(SEARCH($AD$19,_xlfn._TRO_TRAILING(Sites!$D:$D))),
_xlpm.years,ISNUMBER(SEARCH(AD$20,Sites!$M$3:$O$3)),
SUM(_xlfn._xlws.FILTER(_xlfn._xlws.FILTER(_xlpm.hours,_xlpm.states*_xlpm.type,0),_xlpm.years),0))</f>
        <v>212479.99999999997</v>
      </c>
      <c r="AE41" s="67" cm="1">
        <f t="array" ref="AE41">_xlfn.LET(_xlpm.hours,_xlfn._TRO_TRAILING(Sites!$DM:$DO),_xlpm.type,ISNUMBER(SEARCH($V$17,_xlfn._TRO_TRAILING(Sites!$C:$C))),
_xlpm.states,ISNUMBER(SEARCH($AD$19,_xlfn._TRO_TRAILING(Sites!$D:$D))),
_xlpm.years,ISNUMBER(SEARCH(AE$20,Sites!$M$3:$O$3)),
SUM(_xlfn._xlws.FILTER(_xlfn._xlws.FILTER(_xlpm.hours,_xlpm.states*_xlpm.type,0),_xlpm.years),0))</f>
        <v>332494.5</v>
      </c>
      <c r="AF41" s="67" cm="1">
        <f t="array" ref="AF41">_xlfn.LET(_xlpm.hours,_xlfn._TRO_TRAILING(Sites!$DM:$DO),_xlpm.type,ISNUMBER(SEARCH($V$17,_xlfn._TRO_TRAILING(Sites!$C:$C))),
_xlpm.states,ISNUMBER(SEARCH($AD$19,_xlfn._TRO_TRAILING(Sites!$D:$D))),
_xlpm.years,ISNUMBER(SEARCH(AF$20,Sites!$M$3:$O$3)),
SUM(_xlfn._xlws.FILTER(_xlfn._xlws.FILTER(_xlpm.hours,_xlpm.states*_xlpm.type,0),_xlpm.years),0))</f>
        <v>385702.29</v>
      </c>
      <c r="AH41" s="67" cm="1">
        <f t="array" ref="AH41">_xlfn.LET(_xlpm.hours,_xlfn._TRO_TRAILING(Sites!$DM:$DO),_xlpm.type,ISNUMBER(SEARCH($AH$17,_xlfn._TRO_TRAILING(Sites!$C:$C))),
_xlpm.states,ISNUMBER(SEARCH($AH$19,_xlfn._TRO_TRAILING(Sites!$D:$D))),
_xlpm.years,ISNUMBER(SEARCH(AH$20,Sites!$M$3:$O$3)),
SUM(_xlfn._xlws.FILTER(_xlfn._xlws.FILTER(_xlpm.hours,_xlpm.states*_xlpm.type,0),_xlpm.years),0))</f>
        <v>451093</v>
      </c>
      <c r="AI41" s="67" cm="1">
        <f t="array" ref="AI41">_xlfn.LET(_xlpm.hours,_xlfn._TRO_TRAILING(Sites!$DM:$DO),_xlpm.type,ISNUMBER(SEARCH($AH$17,_xlfn._TRO_TRAILING(Sites!$C:$C))),
_xlpm.states,ISNUMBER(SEARCH($AH$19,_xlfn._TRO_TRAILING(Sites!$D:$D))),
_xlpm.years,ISNUMBER(SEARCH(AI$20,Sites!$M$3:$O$3)),
SUM(_xlfn._xlws.FILTER(_xlfn._xlws.FILTER(_xlpm.hours,_xlpm.states*_xlpm.type,0),_xlpm.years),0))</f>
        <v>601777.56000000006</v>
      </c>
      <c r="AJ41" s="67" cm="1">
        <f t="array" ref="AJ41">_xlfn.LET(_xlpm.hours,_xlfn._TRO_TRAILING(Sites!$DM:$DO),_xlpm.type,ISNUMBER(SEARCH($AH$17,_xlfn._TRO_TRAILING(Sites!$C:$C))),
_xlpm.states,ISNUMBER(SEARCH($AH$19,_xlfn._TRO_TRAILING(Sites!$D:$D))),
_xlpm.years,ISNUMBER(SEARCH(AJ$20,Sites!$M$3:$O$3)),
SUM(_xlfn._xlws.FILTER(_xlfn._xlws.FILTER(_xlpm.hours,_xlpm.states*_xlpm.type,0),_xlpm.years),0))</f>
        <v>803954.01419999998</v>
      </c>
      <c r="AL41" s="67" cm="1">
        <f t="array" ref="AL41">_xlfn.LET(_xlpm.hours,_xlfn._TRO_TRAILING(Sites!$DM:$DO),_xlpm.type,ISNUMBER(SEARCH($AH$17,_xlfn._TRO_TRAILING(Sites!$C:$C))),
_xlpm.states,ISNUMBER(SEARCH($AL$19,_xlfn._TRO_TRAILING(Sites!$D:$D))),
_xlpm.years,ISNUMBER(SEARCH(AL$20,Sites!$M$3:$O$3)),
SUM(_xlfn._xlws.FILTER(_xlfn._xlws.FILTER(_xlpm.hours,_xlpm.states*_xlpm.type,0),_xlpm.years),0))</f>
        <v>259489</v>
      </c>
      <c r="AM41" s="67" cm="1">
        <f t="array" ref="AM41">_xlfn.LET(_xlpm.hours,_xlfn._TRO_TRAILING(Sites!$DM:$DO),_xlpm.type,ISNUMBER(SEARCH($AH$17,_xlfn._TRO_TRAILING(Sites!$C:$C))),
_xlpm.states,ISNUMBER(SEARCH($AL$19,_xlfn._TRO_TRAILING(Sites!$D:$D))),
_xlpm.years,ISNUMBER(SEARCH(AM$20,Sites!$M$3:$O$3)),
SUM(_xlfn._xlws.FILTER(_xlfn._xlws.FILTER(_xlpm.hours,_xlpm.states*_xlpm.type,0),_xlpm.years),0))</f>
        <v>636509.58000000007</v>
      </c>
      <c r="AN41" s="67" cm="1">
        <f t="array" ref="AN41">_xlfn.LET(_xlpm.hours,_xlfn._TRO_TRAILING(Sites!$DM:$DO),_xlpm.type,ISNUMBER(SEARCH($AH$17,_xlfn._TRO_TRAILING(Sites!$C:$C))),
_xlpm.states,ISNUMBER(SEARCH($AL$19,_xlfn._TRO_TRAILING(Sites!$D:$D))),
_xlpm.years,ISNUMBER(SEARCH(AN$20,Sites!$M$3:$O$3)),
SUM(_xlfn._xlws.FILTER(_xlfn._xlws.FILTER(_xlpm.hours,_xlpm.states*_xlpm.type,0),_xlpm.years),0))</f>
        <v>979697.86199999996</v>
      </c>
      <c r="AP41" s="67" cm="1">
        <f t="array" ref="AP41">_xlfn.LET(_xlpm.hours,_xlfn._TRO_TRAILING(Sites!$DM:$DO),_xlpm.type,ISNUMBER(SEARCH($AH$17,_xlfn._TRO_TRAILING(Sites!$C:$C))),
_xlpm.states,ISNUMBER(SEARCH($AP$19,_xlfn._TRO_TRAILING(Sites!$D:$D))),
_xlpm.years,ISNUMBER(SEARCH(AP$20,Sites!$M$3:$O$3)),
IFERROR(SUM(_xlfn._xlws.FILTER(_xlfn._xlws.FILTER(_xlpm.hours,_xlpm.states*_xlpm.type,0),_xlpm.years),0),0))</f>
        <v>0</v>
      </c>
      <c r="AQ41" s="67" cm="1">
        <f t="array" ref="AQ41">_xlfn.LET(_xlpm.hours,_xlfn._TRO_TRAILING(Sites!$DM:$DO),_xlpm.type,ISNUMBER(SEARCH($AH$17,_xlfn._TRO_TRAILING(Sites!$C:$C))),
_xlpm.states,ISNUMBER(SEARCH($AP$19,_xlfn._TRO_TRAILING(Sites!$D:$D))),
_xlpm.years,ISNUMBER(SEARCH(AQ$20,Sites!$M$3:$O$3)),
IFERROR(SUM(_xlfn._xlws.FILTER(_xlfn._xlws.FILTER(_xlpm.hours,_xlpm.states*_xlpm.type,0),_xlpm.years),0),0))</f>
        <v>0</v>
      </c>
      <c r="AR41" s="67" cm="1">
        <f t="array" ref="AR41">_xlfn.LET(_xlpm.hours,_xlfn._TRO_TRAILING(Sites!$DM:$DO),_xlpm.type,ISNUMBER(SEARCH($AH$17,_xlfn._TRO_TRAILING(Sites!$C:$C))),
_xlpm.states,ISNUMBER(SEARCH($AP$19,_xlfn._TRO_TRAILING(Sites!$D:$D))),
_xlpm.years,ISNUMBER(SEARCH(AR$20,Sites!$M$3:$O$3)),
IFERROR(SUM(_xlfn._xlws.FILTER(_xlfn._xlws.FILTER(_xlpm.hours,_xlpm.states*_xlpm.type,0),_xlpm.years),0),0))</f>
        <v>0</v>
      </c>
    </row>
    <row r="42" spans="2:46" outlineLevel="1" x14ac:dyDescent="0.25">
      <c r="B42" s="39" t="s">
        <v>40</v>
      </c>
      <c r="F42" s="67">
        <f t="shared" si="28"/>
        <v>290200</v>
      </c>
      <c r="G42" s="67">
        <f t="shared" si="18"/>
        <v>487882.5</v>
      </c>
      <c r="H42" s="67">
        <f t="shared" si="19"/>
        <v>669107.25</v>
      </c>
      <c r="J42" s="67">
        <f t="shared" si="20"/>
        <v>141300</v>
      </c>
      <c r="K42" s="67">
        <f t="shared" si="21"/>
        <v>214777.5</v>
      </c>
      <c r="L42" s="67">
        <f t="shared" si="22"/>
        <v>314267.625</v>
      </c>
      <c r="N42" s="67">
        <f t="shared" si="29"/>
        <v>102100</v>
      </c>
      <c r="O42" s="67">
        <f t="shared" si="23"/>
        <v>199395</v>
      </c>
      <c r="P42" s="67">
        <f t="shared" si="24"/>
        <v>277444.125</v>
      </c>
      <c r="R42" s="67">
        <f t="shared" si="25"/>
        <v>46800</v>
      </c>
      <c r="S42" s="67">
        <f t="shared" si="26"/>
        <v>73710</v>
      </c>
      <c r="T42" s="67">
        <f t="shared" si="27"/>
        <v>77395.5</v>
      </c>
      <c r="V42" s="67" cm="1">
        <f t="array" ref="V42">_xlfn.LET(_xlpm.hours,_xlfn._TRO_TRAILING(Sites!$DQ:$DS),_xlpm.type,ISNUMBER(SEARCH($V$17,_xlfn._TRO_TRAILING(Sites!$C:$C))),
_xlpm.states,ISNUMBER(SEARCH($V$19,_xlfn._TRO_TRAILING(Sites!$D:$D))),
_xlpm.years,ISNUMBER(SEARCH(V$20,Sites!$M$3:$O$3)),
SUM(_xlfn._xlws.FILTER(_xlfn._xlws.FILTER(_xlpm.hours,_xlpm.states*_xlpm.type,0),_xlpm.years),0))</f>
        <v>0</v>
      </c>
      <c r="W42" s="67" cm="1">
        <f t="array" ref="W42">_xlfn.LET(_xlpm.hours,_xlfn._TRO_TRAILING(Sites!$DQ:$DS),_xlpm.type,ISNUMBER(SEARCH($V$17,_xlfn._TRO_TRAILING(Sites!$C:$C))),
_xlpm.states,ISNUMBER(SEARCH($V$19,_xlfn._TRO_TRAILING(Sites!$D:$D))),
_xlpm.years,ISNUMBER(SEARCH(W$20,Sites!$M$3:$O$3)),
SUM(_xlfn._xlws.FILTER(_xlfn._xlws.FILTER(_xlpm.hours,_xlpm.states*_xlpm.type,0),_xlpm.years),0))</f>
        <v>0</v>
      </c>
      <c r="X42" s="67" cm="1">
        <f t="array" ref="X42">_xlfn.LET(_xlpm.hours,_xlfn._TRO_TRAILING(Sites!$DQ:$DS),_xlpm.type,ISNUMBER(SEARCH($V$17,_xlfn._TRO_TRAILING(Sites!$C:$C))),
_xlpm.states,ISNUMBER(SEARCH($V$19,_xlfn._TRO_TRAILING(Sites!$D:$D))),
_xlpm.years,ISNUMBER(SEARCH(X$20,Sites!$M$3:$O$3)),
SUM(_xlfn._xlws.FILTER(_xlfn._xlws.FILTER(_xlpm.hours,_xlpm.states*_xlpm.type,0),_xlpm.years),0))</f>
        <v>0</v>
      </c>
      <c r="Z42" s="67" cm="1">
        <f t="array" ref="Z42">_xlfn.LET(_xlpm.hours,_xlfn._TRO_TRAILING(Sites!$DQ:$DS),_xlpm.type,ISNUMBER(SEARCH($V$17,_xlfn._TRO_TRAILING(Sites!$C:$C))),
_xlpm.states,ISNUMBER(SEARCH($Z$19,_xlfn._TRO_TRAILING(Sites!$D:$D))),
_xlpm.years,ISNUMBER(SEARCH(Z$20,Sites!$M$3:$O$3)),
SUM(_xlfn._xlws.FILTER(_xlfn._xlws.FILTER(_xlpm.hours,_xlpm.states*_xlpm.type,0),_xlpm.years),0))</f>
        <v>0</v>
      </c>
      <c r="AA42" s="67" cm="1">
        <f t="array" ref="AA42">_xlfn.LET(_xlpm.hours,_xlfn._TRO_TRAILING(Sites!$DQ:$DS),_xlpm.type,ISNUMBER(SEARCH($V$17,_xlfn._TRO_TRAILING(Sites!$C:$C))),
_xlpm.states,ISNUMBER(SEARCH($Z$19,_xlfn._TRO_TRAILING(Sites!$D:$D))),
_xlpm.years,ISNUMBER(SEARCH(AA$20,Sites!$M$3:$O$3)),
SUM(_xlfn._xlws.FILTER(_xlfn._xlws.FILTER(_xlpm.hours,_xlpm.states*_xlpm.type,0),_xlpm.years),0))</f>
        <v>0</v>
      </c>
      <c r="AB42" s="67" cm="1">
        <f t="array" ref="AB42">_xlfn.LET(_xlpm.hours,_xlfn._TRO_TRAILING(Sites!$DQ:$DS),_xlpm.type,ISNUMBER(SEARCH($V$17,_xlfn._TRO_TRAILING(Sites!$C:$C))),
_xlpm.states,ISNUMBER(SEARCH($Z$19,_xlfn._TRO_TRAILING(Sites!$D:$D))),
_xlpm.years,ISNUMBER(SEARCH(AB$20,Sites!$M$3:$O$3)),
SUM(_xlfn._xlws.FILTER(_xlfn._xlws.FILTER(_xlpm.hours,_xlpm.states*_xlpm.type,0),_xlpm.years),0))</f>
        <v>0</v>
      </c>
      <c r="AD42" s="67" cm="1">
        <f t="array" ref="AD42">_xlfn.LET(_xlpm.hours,_xlfn._TRO_TRAILING(Sites!$DQ:$DS),_xlpm.type,ISNUMBER(SEARCH($V$17,_xlfn._TRO_TRAILING(Sites!$C:$C))),
_xlpm.states,ISNUMBER(SEARCH($AD$19,_xlfn._TRO_TRAILING(Sites!$D:$D))),
_xlpm.years,ISNUMBER(SEARCH(AD$20,Sites!$M$3:$O$3)),
SUM(_xlfn._xlws.FILTER(_xlfn._xlws.FILTER(_xlpm.hours,_xlpm.states*_xlpm.type,0),_xlpm.years),0))</f>
        <v>46800</v>
      </c>
      <c r="AE42" s="67" cm="1">
        <f t="array" ref="AE42">_xlfn.LET(_xlpm.hours,_xlfn._TRO_TRAILING(Sites!$DQ:$DS),_xlpm.type,ISNUMBER(SEARCH($V$17,_xlfn._TRO_TRAILING(Sites!$C:$C))),
_xlpm.states,ISNUMBER(SEARCH($AD$19,_xlfn._TRO_TRAILING(Sites!$D:$D))),
_xlpm.years,ISNUMBER(SEARCH(AE$20,Sites!$M$3:$O$3)),
SUM(_xlfn._xlws.FILTER(_xlfn._xlws.FILTER(_xlpm.hours,_xlpm.states*_xlpm.type,0),_xlpm.years),0))</f>
        <v>73710</v>
      </c>
      <c r="AF42" s="67" cm="1">
        <f t="array" ref="AF42">_xlfn.LET(_xlpm.hours,_xlfn._TRO_TRAILING(Sites!$DQ:$DS),_xlpm.type,ISNUMBER(SEARCH($V$17,_xlfn._TRO_TRAILING(Sites!$C:$C))),
_xlpm.states,ISNUMBER(SEARCH($AD$19,_xlfn._TRO_TRAILING(Sites!$D:$D))),
_xlpm.years,ISNUMBER(SEARCH(AF$20,Sites!$M$3:$O$3)),
SUM(_xlfn._xlws.FILTER(_xlfn._xlws.FILTER(_xlpm.hours,_xlpm.states*_xlpm.type,0),_xlpm.years),0))</f>
        <v>77395.5</v>
      </c>
      <c r="AH42" s="67" cm="1">
        <f t="array" ref="AH42">_xlfn.LET(_xlpm.hours,_xlfn._TRO_TRAILING(Sites!$DQ:$DS),_xlpm.type,ISNUMBER(SEARCH($AH$17,_xlfn._TRO_TRAILING(Sites!$C:$C))),
_xlpm.states,ISNUMBER(SEARCH($AH$19,_xlfn._TRO_TRAILING(Sites!$D:$D))),
_xlpm.years,ISNUMBER(SEARCH(AH$20,Sites!$M$3:$O$3)),
SUM(_xlfn._xlws.FILTER(_xlfn._xlws.FILTER(_xlpm.hours,_xlpm.states*_xlpm.type,0),_xlpm.years),0))</f>
        <v>141300</v>
      </c>
      <c r="AI42" s="67" cm="1">
        <f t="array" ref="AI42">_xlfn.LET(_xlpm.hours,_xlfn._TRO_TRAILING(Sites!$DQ:$DS),_xlpm.type,ISNUMBER(SEARCH($AH$17,_xlfn._TRO_TRAILING(Sites!$C:$C))),
_xlpm.states,ISNUMBER(SEARCH($AH$19,_xlfn._TRO_TRAILING(Sites!$D:$D))),
_xlpm.years,ISNUMBER(SEARCH(AI$20,Sites!$M$3:$O$3)),
SUM(_xlfn._xlws.FILTER(_xlfn._xlws.FILTER(_xlpm.hours,_xlpm.states*_xlpm.type,0),_xlpm.years),0))</f>
        <v>214777.5</v>
      </c>
      <c r="AJ42" s="67" cm="1">
        <f t="array" ref="AJ42">_xlfn.LET(_xlpm.hours,_xlfn._TRO_TRAILING(Sites!$DQ:$DS),_xlpm.type,ISNUMBER(SEARCH($AH$17,_xlfn._TRO_TRAILING(Sites!$C:$C))),
_xlpm.states,ISNUMBER(SEARCH($AH$19,_xlfn._TRO_TRAILING(Sites!$D:$D))),
_xlpm.years,ISNUMBER(SEARCH(AJ$20,Sites!$M$3:$O$3)),
SUM(_xlfn._xlws.FILTER(_xlfn._xlws.FILTER(_xlpm.hours,_xlpm.states*_xlpm.type,0),_xlpm.years),0))</f>
        <v>314267.625</v>
      </c>
      <c r="AL42" s="67" cm="1">
        <f t="array" ref="AL42">_xlfn.LET(_xlpm.hours,_xlfn._TRO_TRAILING(Sites!$DQ:$DS),_xlpm.type,ISNUMBER(SEARCH($AH$17,_xlfn._TRO_TRAILING(Sites!$C:$C))),
_xlpm.states,ISNUMBER(SEARCH($AL$19,_xlfn._TRO_TRAILING(Sites!$D:$D))),
_xlpm.years,ISNUMBER(SEARCH(AL$20,Sites!$M$3:$O$3)),
SUM(_xlfn._xlws.FILTER(_xlfn._xlws.FILTER(_xlpm.hours,_xlpm.states*_xlpm.type,0),_xlpm.years),0))</f>
        <v>102100</v>
      </c>
      <c r="AM42" s="67" cm="1">
        <f t="array" ref="AM42">_xlfn.LET(_xlpm.hours,_xlfn._TRO_TRAILING(Sites!$DQ:$DS),_xlpm.type,ISNUMBER(SEARCH($AH$17,_xlfn._TRO_TRAILING(Sites!$C:$C))),
_xlpm.states,ISNUMBER(SEARCH($AL$19,_xlfn._TRO_TRAILING(Sites!$D:$D))),
_xlpm.years,ISNUMBER(SEARCH(AM$20,Sites!$M$3:$O$3)),
SUM(_xlfn._xlws.FILTER(_xlfn._xlws.FILTER(_xlpm.hours,_xlpm.states*_xlpm.type,0),_xlpm.years),0))</f>
        <v>199395</v>
      </c>
      <c r="AN42" s="67" cm="1">
        <f t="array" ref="AN42">_xlfn.LET(_xlpm.hours,_xlfn._TRO_TRAILING(Sites!$DQ:$DS),_xlpm.type,ISNUMBER(SEARCH($AH$17,_xlfn._TRO_TRAILING(Sites!$C:$C))),
_xlpm.states,ISNUMBER(SEARCH($AL$19,_xlfn._TRO_TRAILING(Sites!$D:$D))),
_xlpm.years,ISNUMBER(SEARCH(AN$20,Sites!$M$3:$O$3)),
SUM(_xlfn._xlws.FILTER(_xlfn._xlws.FILTER(_xlpm.hours,_xlpm.states*_xlpm.type,0),_xlpm.years),0))</f>
        <v>277444.125</v>
      </c>
      <c r="AP42" s="67" cm="1">
        <f t="array" ref="AP42">_xlfn.LET(_xlpm.hours,_xlfn._TRO_TRAILING(Sites!$DQ:$DS),_xlpm.type,ISNUMBER(SEARCH($AH$17,_xlfn._TRO_TRAILING(Sites!$C:$C))),
_xlpm.states,ISNUMBER(SEARCH($AP$19,_xlfn._TRO_TRAILING(Sites!$D:$D))),
_xlpm.years,ISNUMBER(SEARCH(AP$20,Sites!$M$3:$O$3)),
IFERROR(SUM(_xlfn._xlws.FILTER(_xlfn._xlws.FILTER(_xlpm.hours,_xlpm.states*_xlpm.type,0),_xlpm.years),0),0))</f>
        <v>0</v>
      </c>
      <c r="AQ42" s="67" cm="1">
        <f t="array" ref="AQ42">_xlfn.LET(_xlpm.hours,_xlfn._TRO_TRAILING(Sites!$DQ:$DS),_xlpm.type,ISNUMBER(SEARCH($AH$17,_xlfn._TRO_TRAILING(Sites!$C:$C))),
_xlpm.states,ISNUMBER(SEARCH($AP$19,_xlfn._TRO_TRAILING(Sites!$D:$D))),
_xlpm.years,ISNUMBER(SEARCH(AQ$20,Sites!$M$3:$O$3)),
IFERROR(SUM(_xlfn._xlws.FILTER(_xlfn._xlws.FILTER(_xlpm.hours,_xlpm.states*_xlpm.type,0),_xlpm.years),0),0))</f>
        <v>0</v>
      </c>
      <c r="AR42" s="67" cm="1">
        <f t="array" ref="AR42">_xlfn.LET(_xlpm.hours,_xlfn._TRO_TRAILING(Sites!$DQ:$DS),_xlpm.type,ISNUMBER(SEARCH($AH$17,_xlfn._TRO_TRAILING(Sites!$C:$C))),
_xlpm.states,ISNUMBER(SEARCH($AP$19,_xlfn._TRO_TRAILING(Sites!$D:$D))),
_xlpm.years,ISNUMBER(SEARCH(AR$20,Sites!$M$3:$O$3)),
IFERROR(SUM(_xlfn._xlws.FILTER(_xlfn._xlws.FILTER(_xlpm.hours,_xlpm.states*_xlpm.type,0),_xlpm.years),0),0))</f>
        <v>0</v>
      </c>
    </row>
    <row r="43" spans="2:46" outlineLevel="1" x14ac:dyDescent="0.25">
      <c r="B43" s="39" t="s">
        <v>41</v>
      </c>
      <c r="F43" s="67">
        <f t="shared" si="28"/>
        <v>334155.11</v>
      </c>
      <c r="G43" s="67">
        <f t="shared" si="18"/>
        <v>231016.11</v>
      </c>
      <c r="H43" s="67">
        <f t="shared" si="19"/>
        <v>231016.11</v>
      </c>
      <c r="J43" s="67">
        <f t="shared" si="20"/>
        <v>126877.11</v>
      </c>
      <c r="K43" s="67">
        <f t="shared" si="21"/>
        <v>126877.11</v>
      </c>
      <c r="L43" s="67">
        <f t="shared" si="22"/>
        <v>126877.11</v>
      </c>
      <c r="N43" s="67">
        <f t="shared" si="29"/>
        <v>207278</v>
      </c>
      <c r="O43" s="67">
        <f t="shared" si="23"/>
        <v>104139</v>
      </c>
      <c r="P43" s="67">
        <f t="shared" si="24"/>
        <v>104139</v>
      </c>
      <c r="R43" s="67">
        <f t="shared" si="25"/>
        <v>0</v>
      </c>
      <c r="S43" s="67">
        <f t="shared" si="26"/>
        <v>0</v>
      </c>
      <c r="T43" s="67">
        <f t="shared" si="27"/>
        <v>0</v>
      </c>
      <c r="V43" s="67" cm="1">
        <f t="array" ref="V43">_xlfn.LET(_xlpm.hours,_xlfn._TRO_TRAILING(Sites!$DU:$DW),_xlpm.type,ISNUMBER(SEARCH($V$17,_xlfn._TRO_TRAILING(Sites!$C:$C))),
_xlpm.states,ISNUMBER(SEARCH($V$19,_xlfn._TRO_TRAILING(Sites!$D:$D))),
_xlpm.years,ISNUMBER(SEARCH(V$20,Sites!$M$3:$O$3)),
SUM(_xlfn._xlws.FILTER(_xlfn._xlws.FILTER(_xlpm.hours,_xlpm.states*_xlpm.type,0),_xlpm.years),0))</f>
        <v>0</v>
      </c>
      <c r="W43" s="67" cm="1">
        <f t="array" ref="W43">_xlfn.LET(_xlpm.hours,_xlfn._TRO_TRAILING(Sites!$DU:$DW),_xlpm.type,ISNUMBER(SEARCH($V$17,_xlfn._TRO_TRAILING(Sites!$C:$C))),
_xlpm.states,ISNUMBER(SEARCH($V$19,_xlfn._TRO_TRAILING(Sites!$D:$D))),
_xlpm.years,ISNUMBER(SEARCH(W$20,Sites!$M$3:$O$3)),
SUM(_xlfn._xlws.FILTER(_xlfn._xlws.FILTER(_xlpm.hours,_xlpm.states*_xlpm.type,0),_xlpm.years),0))</f>
        <v>0</v>
      </c>
      <c r="X43" s="67" cm="1">
        <f t="array" ref="X43">_xlfn.LET(_xlpm.hours,_xlfn._TRO_TRAILING(Sites!$DU:$DW),_xlpm.type,ISNUMBER(SEARCH($V$17,_xlfn._TRO_TRAILING(Sites!$C:$C))),
_xlpm.states,ISNUMBER(SEARCH($V$19,_xlfn._TRO_TRAILING(Sites!$D:$D))),
_xlpm.years,ISNUMBER(SEARCH(X$20,Sites!$M$3:$O$3)),
SUM(_xlfn._xlws.FILTER(_xlfn._xlws.FILTER(_xlpm.hours,_xlpm.states*_xlpm.type,0),_xlpm.years),0))</f>
        <v>0</v>
      </c>
      <c r="Z43" s="67" cm="1">
        <f t="array" ref="Z43">_xlfn.LET(_xlpm.hours,_xlfn._TRO_TRAILING(Sites!$DU:$DW),_xlpm.type,ISNUMBER(SEARCH($V$17,_xlfn._TRO_TRAILING(Sites!$C:$C))),
_xlpm.states,ISNUMBER(SEARCH($Z$19,_xlfn._TRO_TRAILING(Sites!$D:$D))),
_xlpm.years,ISNUMBER(SEARCH(Z$20,Sites!$M$3:$O$3)),
SUM(_xlfn._xlws.FILTER(_xlfn._xlws.FILTER(_xlpm.hours,_xlpm.states*_xlpm.type,0),_xlpm.years),0))</f>
        <v>0</v>
      </c>
      <c r="AA43" s="67" cm="1">
        <f t="array" ref="AA43">_xlfn.LET(_xlpm.hours,_xlfn._TRO_TRAILING(Sites!$DU:$DW),_xlpm.type,ISNUMBER(SEARCH($V$17,_xlfn._TRO_TRAILING(Sites!$C:$C))),
_xlpm.states,ISNUMBER(SEARCH($Z$19,_xlfn._TRO_TRAILING(Sites!$D:$D))),
_xlpm.years,ISNUMBER(SEARCH(AA$20,Sites!$M$3:$O$3)),
SUM(_xlfn._xlws.FILTER(_xlfn._xlws.FILTER(_xlpm.hours,_xlpm.states*_xlpm.type,0),_xlpm.years),0))</f>
        <v>0</v>
      </c>
      <c r="AB43" s="67" cm="1">
        <f t="array" ref="AB43">_xlfn.LET(_xlpm.hours,_xlfn._TRO_TRAILING(Sites!$DU:$DW),_xlpm.type,ISNUMBER(SEARCH($V$17,_xlfn._TRO_TRAILING(Sites!$C:$C))),
_xlpm.states,ISNUMBER(SEARCH($Z$19,_xlfn._TRO_TRAILING(Sites!$D:$D))),
_xlpm.years,ISNUMBER(SEARCH(AB$20,Sites!$M$3:$O$3)),
SUM(_xlfn._xlws.FILTER(_xlfn._xlws.FILTER(_xlpm.hours,_xlpm.states*_xlpm.type,0),_xlpm.years),0))</f>
        <v>0</v>
      </c>
      <c r="AD43" s="67" cm="1">
        <f t="array" ref="AD43">_xlfn.LET(_xlpm.hours,_xlfn._TRO_TRAILING(Sites!$DU:$DW),_xlpm.type,ISNUMBER(SEARCH($V$17,_xlfn._TRO_TRAILING(Sites!$C:$C))),
_xlpm.states,ISNUMBER(SEARCH($AD$19,_xlfn._TRO_TRAILING(Sites!$D:$D))),
_xlpm.years,ISNUMBER(SEARCH(AD$20,Sites!$M$3:$O$3)),
SUM(_xlfn._xlws.FILTER(_xlfn._xlws.FILTER(_xlpm.hours,_xlpm.states*_xlpm.type,0),_xlpm.years),0))</f>
        <v>0</v>
      </c>
      <c r="AE43" s="67" cm="1">
        <f t="array" ref="AE43">_xlfn.LET(_xlpm.hours,_xlfn._TRO_TRAILING(Sites!$DU:$DW),_xlpm.type,ISNUMBER(SEARCH($V$17,_xlfn._TRO_TRAILING(Sites!$C:$C))),
_xlpm.states,ISNUMBER(SEARCH($AD$19,_xlfn._TRO_TRAILING(Sites!$D:$D))),
_xlpm.years,ISNUMBER(SEARCH(AE$20,Sites!$M$3:$O$3)),
SUM(_xlfn._xlws.FILTER(_xlfn._xlws.FILTER(_xlpm.hours,_xlpm.states*_xlpm.type,0),_xlpm.years),0))</f>
        <v>0</v>
      </c>
      <c r="AF43" s="67" cm="1">
        <f t="array" ref="AF43">_xlfn.LET(_xlpm.hours,_xlfn._TRO_TRAILING(Sites!$DU:$DW),_xlpm.type,ISNUMBER(SEARCH($V$17,_xlfn._TRO_TRAILING(Sites!$C:$C))),
_xlpm.states,ISNUMBER(SEARCH($AD$19,_xlfn._TRO_TRAILING(Sites!$D:$D))),
_xlpm.years,ISNUMBER(SEARCH(AF$20,Sites!$M$3:$O$3)),
SUM(_xlfn._xlws.FILTER(_xlfn._xlws.FILTER(_xlpm.hours,_xlpm.states*_xlpm.type,0),_xlpm.years),0))</f>
        <v>0</v>
      </c>
      <c r="AH43" s="67" cm="1">
        <f t="array" ref="AH43">_xlfn.LET(_xlpm.hours,_xlfn._TRO_TRAILING(Sites!$DU:$DW),_xlpm.type,ISNUMBER(SEARCH($AH$17,_xlfn._TRO_TRAILING(Sites!$C:$C))),
_xlpm.states,ISNUMBER(SEARCH($AH$19,_xlfn._TRO_TRAILING(Sites!$D:$D))),
_xlpm.years,ISNUMBER(SEARCH(AH$20,Sites!$M$3:$O$3)),
SUM(_xlfn._xlws.FILTER(_xlfn._xlws.FILTER(_xlpm.hours,_xlpm.states*_xlpm.type,0),_xlpm.years),0))</f>
        <v>126877.11</v>
      </c>
      <c r="AI43" s="67" cm="1">
        <f t="array" ref="AI43">_xlfn.LET(_xlpm.hours,_xlfn._TRO_TRAILING(Sites!$DU:$DW),_xlpm.type,ISNUMBER(SEARCH($AH$17,_xlfn._TRO_TRAILING(Sites!$C:$C))),
_xlpm.states,ISNUMBER(SEARCH($AH$19,_xlfn._TRO_TRAILING(Sites!$D:$D))),
_xlpm.years,ISNUMBER(SEARCH(AI$20,Sites!$M$3:$O$3)),
SUM(_xlfn._xlws.FILTER(_xlfn._xlws.FILTER(_xlpm.hours,_xlpm.states*_xlpm.type,0),_xlpm.years),0))</f>
        <v>126877.11</v>
      </c>
      <c r="AJ43" s="67" cm="1">
        <f t="array" ref="AJ43">_xlfn.LET(_xlpm.hours,_xlfn._TRO_TRAILING(Sites!$DU:$DW),_xlpm.type,ISNUMBER(SEARCH($AH$17,_xlfn._TRO_TRAILING(Sites!$C:$C))),
_xlpm.states,ISNUMBER(SEARCH($AH$19,_xlfn._TRO_TRAILING(Sites!$D:$D))),
_xlpm.years,ISNUMBER(SEARCH(AJ$20,Sites!$M$3:$O$3)),
SUM(_xlfn._xlws.FILTER(_xlfn._xlws.FILTER(_xlpm.hours,_xlpm.states*_xlpm.type,0),_xlpm.years),0))</f>
        <v>126877.11</v>
      </c>
      <c r="AL43" s="67" cm="1">
        <f t="array" ref="AL43">_xlfn.LET(_xlpm.hours,_xlfn._TRO_TRAILING(Sites!$DU:$DW),_xlpm.type,ISNUMBER(SEARCH($AH$17,_xlfn._TRO_TRAILING(Sites!$C:$C))),
_xlpm.states,ISNUMBER(SEARCH($AL$19,_xlfn._TRO_TRAILING(Sites!$D:$D))),
_xlpm.years,ISNUMBER(SEARCH(AL$20,Sites!$M$3:$O$3)),
SUM(_xlfn._xlws.FILTER(_xlfn._xlws.FILTER(_xlpm.hours,_xlpm.states*_xlpm.type,0),_xlpm.years),0))</f>
        <v>207278</v>
      </c>
      <c r="AM43" s="67" cm="1">
        <f t="array" ref="AM43">_xlfn.LET(_xlpm.hours,_xlfn._TRO_TRAILING(Sites!$DU:$DW),_xlpm.type,ISNUMBER(SEARCH($AH$17,_xlfn._TRO_TRAILING(Sites!$C:$C))),
_xlpm.states,ISNUMBER(SEARCH($AL$19,_xlfn._TRO_TRAILING(Sites!$D:$D))),
_xlpm.years,ISNUMBER(SEARCH(AM$20,Sites!$M$3:$O$3)),
SUM(_xlfn._xlws.FILTER(_xlfn._xlws.FILTER(_xlpm.hours,_xlpm.states*_xlpm.type,0),_xlpm.years),0))</f>
        <v>104139</v>
      </c>
      <c r="AN43" s="67" cm="1">
        <f t="array" ref="AN43">_xlfn.LET(_xlpm.hours,_xlfn._TRO_TRAILING(Sites!$DU:$DW),_xlpm.type,ISNUMBER(SEARCH($AH$17,_xlfn._TRO_TRAILING(Sites!$C:$C))),
_xlpm.states,ISNUMBER(SEARCH($AL$19,_xlfn._TRO_TRAILING(Sites!$D:$D))),
_xlpm.years,ISNUMBER(SEARCH(AN$20,Sites!$M$3:$O$3)),
SUM(_xlfn._xlws.FILTER(_xlfn._xlws.FILTER(_xlpm.hours,_xlpm.states*_xlpm.type,0),_xlpm.years),0))</f>
        <v>104139</v>
      </c>
      <c r="AP43" s="67" cm="1">
        <f t="array" ref="AP43">_xlfn.LET(_xlpm.hours,_xlfn._TRO_TRAILING(Sites!$DU:$DW),_xlpm.type,ISNUMBER(SEARCH($AH$17,_xlfn._TRO_TRAILING(Sites!$C:$C))),
_xlpm.states,ISNUMBER(SEARCH($AP$19,_xlfn._TRO_TRAILING(Sites!$D:$D))),
_xlpm.years,ISNUMBER(SEARCH(AP$20,Sites!$M$3:$O$3)),
IFERROR(SUM(_xlfn._xlws.FILTER(_xlfn._xlws.FILTER(_xlpm.hours,_xlpm.states*_xlpm.type,0),_xlpm.years),0),0))</f>
        <v>0</v>
      </c>
      <c r="AQ43" s="67" cm="1">
        <f t="array" ref="AQ43">_xlfn.LET(_xlpm.hours,_xlfn._TRO_TRAILING(Sites!$DU:$DW),_xlpm.type,ISNUMBER(SEARCH($AH$17,_xlfn._TRO_TRAILING(Sites!$C:$C))),
_xlpm.states,ISNUMBER(SEARCH($AP$19,_xlfn._TRO_TRAILING(Sites!$D:$D))),
_xlpm.years,ISNUMBER(SEARCH(AQ$20,Sites!$M$3:$O$3)),
IFERROR(SUM(_xlfn._xlws.FILTER(_xlfn._xlws.FILTER(_xlpm.hours,_xlpm.states*_xlpm.type,0),_xlpm.years),0),0))</f>
        <v>0</v>
      </c>
      <c r="AR43" s="67" cm="1">
        <f t="array" ref="AR43">_xlfn.LET(_xlpm.hours,_xlfn._TRO_TRAILING(Sites!$DU:$DW),_xlpm.type,ISNUMBER(SEARCH($AH$17,_xlfn._TRO_TRAILING(Sites!$C:$C))),
_xlpm.states,ISNUMBER(SEARCH($AP$19,_xlfn._TRO_TRAILING(Sites!$D:$D))),
_xlpm.years,ISNUMBER(SEARCH(AR$20,Sites!$M$3:$O$3)),
IFERROR(SUM(_xlfn._xlws.FILTER(_xlfn._xlws.FILTER(_xlpm.hours,_xlpm.states*_xlpm.type,0),_xlpm.years),0),0))</f>
        <v>0</v>
      </c>
    </row>
    <row r="44" spans="2:46" outlineLevel="1" x14ac:dyDescent="0.25">
      <c r="B44" s="39" t="s">
        <v>42</v>
      </c>
      <c r="F44" s="67">
        <f t="shared" si="28"/>
        <v>6238027.0259962324</v>
      </c>
      <c r="G44" s="67">
        <f t="shared" si="18"/>
        <v>5441539.5993392691</v>
      </c>
      <c r="H44" s="67">
        <f t="shared" si="19"/>
        <v>6048876.4211059138</v>
      </c>
      <c r="J44" s="67">
        <f t="shared" si="20"/>
        <v>3454371.9699370745</v>
      </c>
      <c r="K44" s="67">
        <f t="shared" si="21"/>
        <v>2601195.8950031605</v>
      </c>
      <c r="L44" s="67">
        <f t="shared" si="22"/>
        <v>2732634.9993704311</v>
      </c>
      <c r="N44" s="67">
        <f t="shared" si="29"/>
        <v>2194841.4319267557</v>
      </c>
      <c r="O44" s="67">
        <f t="shared" si="23"/>
        <v>2304334.4383125734</v>
      </c>
      <c r="P44" s="67">
        <f t="shared" si="24"/>
        <v>2772137.1867713104</v>
      </c>
      <c r="R44" s="67">
        <f t="shared" si="25"/>
        <v>588813.62413240178</v>
      </c>
      <c r="S44" s="67">
        <f t="shared" si="26"/>
        <v>536009.26602353563</v>
      </c>
      <c r="T44" s="67">
        <f t="shared" si="27"/>
        <v>544104.23496417201</v>
      </c>
      <c r="V44" s="67" cm="1">
        <f t="array" ref="V44">_xlfn.LET(_xlpm.hours,_xlfn._TRO_TRAILING(Sites!$DY:$EA),_xlpm.type,ISNUMBER(SEARCH($V$17,_xlfn._TRO_TRAILING(Sites!$C:$C))),
_xlpm.states,ISNUMBER(SEARCH($V$19,_xlfn._TRO_TRAILING(Sites!$D:$D))),
_xlpm.years,ISNUMBER(SEARCH(V$20,Sites!$M$3:$O$3)),
SUM(_xlfn._xlws.FILTER(_xlfn._xlws.FILTER(_xlpm.hours,_xlpm.states*_xlpm.type,0),_xlpm.years),0))</f>
        <v>1083142.3222757657</v>
      </c>
      <c r="W44" s="67" cm="1">
        <f t="array" ref="W44">_xlfn.LET(_xlpm.hours,_xlfn._TRO_TRAILING(Sites!$DY:$EA),_xlpm.type,ISNUMBER(SEARCH($V$17,_xlfn._TRO_TRAILING(Sites!$C:$C))),
_xlpm.states,ISNUMBER(SEARCH($V$19,_xlfn._TRO_TRAILING(Sites!$D:$D))),
_xlpm.years,ISNUMBER(SEARCH(W$20,Sites!$M$3:$O$3)),
SUM(_xlfn._xlws.FILTER(_xlfn._xlws.FILTER(_xlpm.hours,_xlpm.states*_xlpm.type,0),_xlpm.years),0))</f>
        <v>747188.96519935201</v>
      </c>
      <c r="X44" s="67" cm="1">
        <f t="array" ref="X44">_xlfn.LET(_xlpm.hours,_xlfn._TRO_TRAILING(Sites!$DY:$EA),_xlpm.type,ISNUMBER(SEARCH($V$17,_xlfn._TRO_TRAILING(Sites!$C:$C))),
_xlpm.states,ISNUMBER(SEARCH($V$19,_xlfn._TRO_TRAILING(Sites!$D:$D))),
_xlpm.years,ISNUMBER(SEARCH(X$20,Sites!$M$3:$O$3)),
SUM(_xlfn._xlws.FILTER(_xlfn._xlws.FILTER(_xlpm.hours,_xlpm.states*_xlpm.type,0),_xlpm.years),0))</f>
        <v>633757.6563895467</v>
      </c>
      <c r="Z44" s="67" cm="1">
        <f t="array" ref="Z44">_xlfn.LET(_xlpm.hours,_xlfn._TRO_TRAILING(Sites!$DY:$EA),_xlpm.type,ISNUMBER(SEARCH($V$17,_xlfn._TRO_TRAILING(Sites!$C:$C))),
_xlpm.states,ISNUMBER(SEARCH($Z$19,_xlfn._TRO_TRAILING(Sites!$D:$D))),
_xlpm.years,ISNUMBER(SEARCH(Z$20,Sites!$M$3:$O$3)),
SUM(_xlfn._xlws.FILTER(_xlfn._xlws.FILTER(_xlpm.hours,_xlpm.states*_xlpm.type,0),_xlpm.years),0))</f>
        <v>1280565.4953761003</v>
      </c>
      <c r="AA44" s="67" cm="1">
        <f t="array" ref="AA44">_xlfn.LET(_xlpm.hours,_xlfn._TRO_TRAILING(Sites!$DY:$EA),_xlpm.type,ISNUMBER(SEARCH($V$17,_xlfn._TRO_TRAILING(Sites!$C:$C))),
_xlpm.states,ISNUMBER(SEARCH($Z$19,_xlfn._TRO_TRAILING(Sites!$D:$D))),
_xlpm.years,ISNUMBER(SEARCH(AA$20,Sites!$M$3:$O$3)),
SUM(_xlfn._xlws.FILTER(_xlfn._xlws.FILTER(_xlpm.hours,_xlpm.states*_xlpm.type,0),_xlpm.years),0))</f>
        <v>980697.49147438293</v>
      </c>
      <c r="AB44" s="67" cm="1">
        <f t="array" ref="AB44">_xlfn.LET(_xlpm.hours,_xlfn._TRO_TRAILING(Sites!$DY:$EA),_xlpm.type,ISNUMBER(SEARCH($V$17,_xlfn._TRO_TRAILING(Sites!$C:$C))),
_xlpm.states,ISNUMBER(SEARCH($Z$19,_xlfn._TRO_TRAILING(Sites!$D:$D))),
_xlpm.years,ISNUMBER(SEARCH(AB$20,Sites!$M$3:$O$3)),
SUM(_xlfn._xlws.FILTER(_xlfn._xlws.FILTER(_xlpm.hours,_xlpm.states*_xlpm.type,0),_xlpm.years),0))</f>
        <v>1023078.9943742432</v>
      </c>
      <c r="AD44" s="67" cm="1">
        <f t="array" ref="AD44">_xlfn.LET(_xlpm.hours,_xlfn._TRO_TRAILING(Sites!$DY:$EA),_xlpm.type,ISNUMBER(SEARCH($V$17,_xlfn._TRO_TRAILING(Sites!$C:$C))),
_xlpm.states,ISNUMBER(SEARCH($AD$19,_xlfn._TRO_TRAILING(Sites!$D:$D))),
_xlpm.years,ISNUMBER(SEARCH(AD$20,Sites!$M$3:$O$3)),
SUM(_xlfn._xlws.FILTER(_xlfn._xlws.FILTER(_xlpm.hours,_xlpm.states*_xlpm.type,0),_xlpm.years),0))</f>
        <v>588813.62413240178</v>
      </c>
      <c r="AE44" s="67" cm="1">
        <f t="array" ref="AE44">_xlfn.LET(_xlpm.hours,_xlfn._TRO_TRAILING(Sites!$DY:$EA),_xlpm.type,ISNUMBER(SEARCH($V$17,_xlfn._TRO_TRAILING(Sites!$C:$C))),
_xlpm.states,ISNUMBER(SEARCH($AD$19,_xlfn._TRO_TRAILING(Sites!$D:$D))),
_xlpm.years,ISNUMBER(SEARCH(AE$20,Sites!$M$3:$O$3)),
SUM(_xlfn._xlws.FILTER(_xlfn._xlws.FILTER(_xlpm.hours,_xlpm.states*_xlpm.type,0),_xlpm.years),0))</f>
        <v>536009.26602353563</v>
      </c>
      <c r="AF44" s="67" cm="1">
        <f t="array" ref="AF44">_xlfn.LET(_xlpm.hours,_xlfn._TRO_TRAILING(Sites!$DY:$EA),_xlpm.type,ISNUMBER(SEARCH($V$17,_xlfn._TRO_TRAILING(Sites!$C:$C))),
_xlpm.states,ISNUMBER(SEARCH($AD$19,_xlfn._TRO_TRAILING(Sites!$D:$D))),
_xlpm.years,ISNUMBER(SEARCH(AF$20,Sites!$M$3:$O$3)),
SUM(_xlfn._xlws.FILTER(_xlfn._xlws.FILTER(_xlpm.hours,_xlpm.states*_xlpm.type,0),_xlpm.years),0))</f>
        <v>544104.23496417201</v>
      </c>
      <c r="AH44" s="67" cm="1">
        <f t="array" ref="AH44">_xlfn.LET(_xlpm.hours,_xlfn._TRO_TRAILING(Sites!$DY:$EA),_xlpm.type,ISNUMBER(SEARCH($AH$17,_xlfn._TRO_TRAILING(Sites!$C:$C))),
_xlpm.states,ISNUMBER(SEARCH($AH$19,_xlfn._TRO_TRAILING(Sites!$D:$D))),
_xlpm.years,ISNUMBER(SEARCH(AH$20,Sites!$M$3:$O$3)),
SUM(_xlfn._xlws.FILTER(_xlfn._xlws.FILTER(_xlpm.hours,_xlpm.states*_xlpm.type,0),_xlpm.years),0))</f>
        <v>2371229.6476613088</v>
      </c>
      <c r="AI44" s="67" cm="1">
        <f t="array" ref="AI44">_xlfn.LET(_xlpm.hours,_xlfn._TRO_TRAILING(Sites!$DY:$EA),_xlpm.type,ISNUMBER(SEARCH($AH$17,_xlfn._TRO_TRAILING(Sites!$C:$C))),
_xlpm.states,ISNUMBER(SEARCH($AH$19,_xlfn._TRO_TRAILING(Sites!$D:$D))),
_xlpm.years,ISNUMBER(SEARCH(AI$20,Sites!$M$3:$O$3)),
SUM(_xlfn._xlws.FILTER(_xlfn._xlws.FILTER(_xlpm.hours,_xlpm.states*_xlpm.type,0),_xlpm.years),0))</f>
        <v>1854006.9298038087</v>
      </c>
      <c r="AJ44" s="67" cm="1">
        <f t="array" ref="AJ44">_xlfn.LET(_xlpm.hours,_xlfn._TRO_TRAILING(Sites!$DY:$EA),_xlpm.type,ISNUMBER(SEARCH($AH$17,_xlfn._TRO_TRAILING(Sites!$C:$C))),
_xlpm.states,ISNUMBER(SEARCH($AH$19,_xlfn._TRO_TRAILING(Sites!$D:$D))),
_xlpm.years,ISNUMBER(SEARCH(AJ$20,Sites!$M$3:$O$3)),
SUM(_xlfn._xlws.FILTER(_xlfn._xlws.FILTER(_xlpm.hours,_xlpm.states*_xlpm.type,0),_xlpm.years),0))</f>
        <v>2098877.3429808845</v>
      </c>
      <c r="AL44" s="67" cm="1">
        <f t="array" ref="AL44">_xlfn.LET(_xlpm.hours,_xlfn._TRO_TRAILING(Sites!$DY:$EA),_xlpm.type,ISNUMBER(SEARCH($AH$17,_xlfn._TRO_TRAILING(Sites!$C:$C))),
_xlpm.states,ISNUMBER(SEARCH($AL$19,_xlfn._TRO_TRAILING(Sites!$D:$D))),
_xlpm.years,ISNUMBER(SEARCH(AL$20,Sites!$M$3:$O$3)),
SUM(_xlfn._xlws.FILTER(_xlfn._xlws.FILTER(_xlpm.hours,_xlpm.states*_xlpm.type,0),_xlpm.years),0))</f>
        <v>914275.93655065529</v>
      </c>
      <c r="AM44" s="67" cm="1">
        <f t="array" ref="AM44">_xlfn.LET(_xlpm.hours,_xlfn._TRO_TRAILING(Sites!$DY:$EA),_xlpm.type,ISNUMBER(SEARCH($AH$17,_xlfn._TRO_TRAILING(Sites!$C:$C))),
_xlpm.states,ISNUMBER(SEARCH($AL$19,_xlfn._TRO_TRAILING(Sites!$D:$D))),
_xlpm.years,ISNUMBER(SEARCH(AM$20,Sites!$M$3:$O$3)),
SUM(_xlfn._xlws.FILTER(_xlfn._xlws.FILTER(_xlpm.hours,_xlpm.states*_xlpm.type,0),_xlpm.years),0))</f>
        <v>1323636.9468381905</v>
      </c>
      <c r="AN44" s="67" cm="1">
        <f t="array" ref="AN44">_xlfn.LET(_xlpm.hours,_xlfn._TRO_TRAILING(Sites!$DY:$EA),_xlpm.type,ISNUMBER(SEARCH($AH$17,_xlfn._TRO_TRAILING(Sites!$C:$C))),
_xlpm.states,ISNUMBER(SEARCH($AL$19,_xlfn._TRO_TRAILING(Sites!$D:$D))),
_xlpm.years,ISNUMBER(SEARCH(AN$20,Sites!$M$3:$O$3)),
SUM(_xlfn._xlws.FILTER(_xlfn._xlws.FILTER(_xlpm.hours,_xlpm.states*_xlpm.type,0),_xlpm.years),0))</f>
        <v>1749058.1923970671</v>
      </c>
      <c r="AP44" s="67" cm="1">
        <f t="array" ref="AP44">_xlfn.LET(_xlpm.hours,_xlfn._TRO_TRAILING(Sites!$DY:$EA),_xlpm.type,ISNUMBER(SEARCH($AH$17,_xlfn._TRO_TRAILING(Sites!$C:$C))),
_xlpm.states,ISNUMBER(SEARCH($AP$19,_xlfn._TRO_TRAILING(Sites!$D:$D))),
_xlpm.years,ISNUMBER(SEARCH(AP$20,Sites!$M$3:$O$3)),
IFERROR(SUM(_xlfn._xlws.FILTER(_xlfn._xlws.FILTER(_xlpm.hours,_xlpm.states*_xlpm.type,0),_xlpm.years),0),0))</f>
        <v>0</v>
      </c>
      <c r="AQ44" s="67" cm="1">
        <f t="array" ref="AQ44">_xlfn.LET(_xlpm.hours,_xlfn._TRO_TRAILING(Sites!$DY:$EA),_xlpm.type,ISNUMBER(SEARCH($AH$17,_xlfn._TRO_TRAILING(Sites!$C:$C))),
_xlpm.states,ISNUMBER(SEARCH($AP$19,_xlfn._TRO_TRAILING(Sites!$D:$D))),
_xlpm.years,ISNUMBER(SEARCH(AQ$20,Sites!$M$3:$O$3)),
IFERROR(SUM(_xlfn._xlws.FILTER(_xlfn._xlws.FILTER(_xlpm.hours,_xlpm.states*_xlpm.type,0),_xlpm.years),0),0))</f>
        <v>0</v>
      </c>
      <c r="AR44" s="67" cm="1">
        <f t="array" ref="AR44">_xlfn.LET(_xlpm.hours,_xlfn._TRO_TRAILING(Sites!$DY:$EA),_xlpm.type,ISNUMBER(SEARCH($AH$17,_xlfn._TRO_TRAILING(Sites!$C:$C))),
_xlpm.states,ISNUMBER(SEARCH($AP$19,_xlfn._TRO_TRAILING(Sites!$D:$D))),
_xlpm.years,ISNUMBER(SEARCH(AR$20,Sites!$M$3:$O$3)),
IFERROR(SUM(_xlfn._xlws.FILTER(_xlfn._xlws.FILTER(_xlpm.hours,_xlpm.states*_xlpm.type,0),_xlpm.years),0),0))</f>
        <v>0</v>
      </c>
    </row>
    <row r="45" spans="2:46" x14ac:dyDescent="0.25">
      <c r="B45" s="1" t="s">
        <v>272</v>
      </c>
      <c r="F45" s="13">
        <f>SUM(F35:F44)</f>
        <v>26045880.007727511</v>
      </c>
      <c r="G45" s="13">
        <f>SUM(G35:G44)</f>
        <v>37773031.948940121</v>
      </c>
      <c r="H45" s="13">
        <f>SUM(H35:H44)</f>
        <v>52233152.566939704</v>
      </c>
      <c r="J45" s="13">
        <f>SUM(J35:J44)</f>
        <v>14272718.857314086</v>
      </c>
      <c r="K45" s="13">
        <f>SUM(K35:K44)</f>
        <v>17853001.665587857</v>
      </c>
      <c r="L45" s="13">
        <f>SUM(L35:L44)</f>
        <v>23721436.235953327</v>
      </c>
      <c r="N45" s="13">
        <f>SUM(N35:N44)</f>
        <v>9348012.5443725195</v>
      </c>
      <c r="O45" s="13">
        <f>SUM(O35:O44)</f>
        <v>16421905.499143541</v>
      </c>
      <c r="P45" s="13">
        <f>SUM(P35:P44)</f>
        <v>24394818.812391359</v>
      </c>
      <c r="R45" s="13">
        <f>SUM(R35:R44)</f>
        <v>2425148.6060409062</v>
      </c>
      <c r="S45" s="13">
        <f>SUM(S35:S44)</f>
        <v>3498124.7842087271</v>
      </c>
      <c r="T45" s="13">
        <f>SUM(T35:T44)</f>
        <v>4116897.5185950105</v>
      </c>
      <c r="V45" s="13">
        <f>SUM(V35:V44)</f>
        <v>3693447.7523221974</v>
      </c>
      <c r="W45" s="13">
        <f>SUM(W35:W44)</f>
        <v>4016171.7451246781</v>
      </c>
      <c r="X45" s="13">
        <f>SUM(X35:X44)</f>
        <v>4233421.5878013261</v>
      </c>
      <c r="Z45" s="13">
        <f>SUM(Z35:Z44)</f>
        <v>4144859.9621070935</v>
      </c>
      <c r="AA45" s="13">
        <f>SUM(AA35:AA44)</f>
        <v>4892544.2953792857</v>
      </c>
      <c r="AB45" s="13">
        <f>SUM(AB35:AB44)</f>
        <v>6151274.5549196629</v>
      </c>
      <c r="AD45" s="13">
        <f>SUM(AD35:AD44)</f>
        <v>2425148.6060409062</v>
      </c>
      <c r="AE45" s="13">
        <f>SUM(AE35:AE44)</f>
        <v>3498124.7842087271</v>
      </c>
      <c r="AF45" s="13">
        <f>SUM(AF35:AF44)</f>
        <v>4116897.5185950105</v>
      </c>
      <c r="AH45" s="13">
        <f>SUM(AH35:AH44)</f>
        <v>10579271.10499189</v>
      </c>
      <c r="AI45" s="13">
        <f>SUM(AI35:AI44)</f>
        <v>13836829.92046318</v>
      </c>
      <c r="AJ45" s="13">
        <f>SUM(AJ35:AJ44)</f>
        <v>19488014.648152001</v>
      </c>
      <c r="AL45" s="13">
        <f>SUM(AL35:AL44)</f>
        <v>5203152.5822654245</v>
      </c>
      <c r="AM45" s="13">
        <f>SUM(AM35:AM44)</f>
        <v>11529361.203764254</v>
      </c>
      <c r="AN45" s="13">
        <f>SUM(AN35:AN44)</f>
        <v>18243544.257471692</v>
      </c>
      <c r="AP45" s="13">
        <f>SUM(AP35:AP44)</f>
        <v>0</v>
      </c>
      <c r="AQ45" s="13">
        <f>SUM(AQ35:AQ44)</f>
        <v>0</v>
      </c>
      <c r="AR45" s="13">
        <f>SUM(AR35:AR44)</f>
        <v>0</v>
      </c>
      <c r="AT45" s="67"/>
    </row>
    <row r="47" spans="2:46" x14ac:dyDescent="0.25">
      <c r="B47" s="1" t="s">
        <v>48</v>
      </c>
      <c r="E47" s="1"/>
      <c r="F47" s="74">
        <f>F32-F45</f>
        <v>3240208.3544977419</v>
      </c>
      <c r="G47" s="74">
        <f t="shared" ref="G47:T47" si="30">G32-G45-G26-G27-G29+G36</f>
        <v>7102959.5958976224</v>
      </c>
      <c r="H47" s="74">
        <f t="shared" si="30"/>
        <v>6633172.0673359931</v>
      </c>
      <c r="J47" s="74">
        <f>J32-J45</f>
        <v>1699355.4316171128</v>
      </c>
      <c r="K47" s="74">
        <f t="shared" si="30"/>
        <v>3093834.1160084009</v>
      </c>
      <c r="L47" s="74">
        <f t="shared" si="30"/>
        <v>2224982.3588501103</v>
      </c>
      <c r="N47" s="74">
        <f>N32-N45</f>
        <v>1302573.5258820727</v>
      </c>
      <c r="O47" s="74">
        <f t="shared" si="30"/>
        <v>3341271.7447951138</v>
      </c>
      <c r="P47" s="74">
        <f t="shared" si="30"/>
        <v>3582236.2566260137</v>
      </c>
      <c r="R47" s="74">
        <f>R32-R45</f>
        <v>238279.39699855959</v>
      </c>
      <c r="S47" s="74">
        <f t="shared" si="30"/>
        <v>667853.73509410117</v>
      </c>
      <c r="T47" s="74">
        <f t="shared" si="30"/>
        <v>825953.45185986022</v>
      </c>
      <c r="V47" s="74">
        <f>V32-V45</f>
        <v>1159339.7624160419</v>
      </c>
      <c r="W47" s="74">
        <f>W32-W45</f>
        <v>1740109.7982692411</v>
      </c>
      <c r="X47" s="74">
        <f>X32-X45</f>
        <v>1522859.9555925932</v>
      </c>
      <c r="Z47" s="74">
        <f>Z32-Z45</f>
        <v>1577739.055374891</v>
      </c>
      <c r="AA47" s="74">
        <f>AA32-AA45</f>
        <v>2712279.4501114832</v>
      </c>
      <c r="AB47" s="74">
        <f>AB32-AB45</f>
        <v>3168404.6300642109</v>
      </c>
      <c r="AD47" s="74">
        <f>AD32-AD45</f>
        <v>238279.39699855959</v>
      </c>
      <c r="AE47" s="74">
        <f>AE32-AE45</f>
        <v>667853.73509410117</v>
      </c>
      <c r="AF47" s="74">
        <f>AF32-AF45</f>
        <v>825953.45185986022</v>
      </c>
      <c r="AH47" s="74">
        <f>AH32-AH45</f>
        <v>540015.66920107231</v>
      </c>
      <c r="AI47" s="74">
        <f>AI32-AI45</f>
        <v>1353724.3177391533</v>
      </c>
      <c r="AJ47" s="74">
        <f>AJ32-AJ45</f>
        <v>702122.40325751528</v>
      </c>
      <c r="AL47" s="74">
        <f>AL32-AL45</f>
        <v>-275165.52949281782</v>
      </c>
      <c r="AM47" s="74">
        <f>AM32-AM45</f>
        <v>628992.29468363151</v>
      </c>
      <c r="AN47" s="74">
        <f>AN32-AN45</f>
        <v>413831.62656181306</v>
      </c>
      <c r="AP47" s="74">
        <f>AP32-AP45</f>
        <v>0</v>
      </c>
      <c r="AQ47" s="74">
        <f>AQ32-AQ45</f>
        <v>0</v>
      </c>
      <c r="AR47" s="74">
        <f>AR32-AR45</f>
        <v>0</v>
      </c>
    </row>
    <row r="48" spans="2:46" x14ac:dyDescent="0.25">
      <c r="B48" s="110" t="s">
        <v>273</v>
      </c>
      <c r="F48" s="109">
        <f t="shared" ref="F48:P48" si="31">IFERROR(F47/F32,"")</f>
        <v>0.11063984764442404</v>
      </c>
      <c r="G48" s="109">
        <f t="shared" si="31"/>
        <v>0.15827972489032843</v>
      </c>
      <c r="H48" s="109">
        <f t="shared" si="31"/>
        <v>0.11268194691186378</v>
      </c>
      <c r="I48" s="109"/>
      <c r="J48" s="109">
        <f t="shared" si="31"/>
        <v>0.10639541244776093</v>
      </c>
      <c r="K48" s="109">
        <f t="shared" si="31"/>
        <v>0.1476993541299742</v>
      </c>
      <c r="L48" s="109">
        <f t="shared" si="31"/>
        <v>8.5752966280122023E-2</v>
      </c>
      <c r="M48" s="109"/>
      <c r="N48" s="109">
        <f t="shared" si="31"/>
        <v>0.12230064310920459</v>
      </c>
      <c r="O48" s="109">
        <f t="shared" si="31"/>
        <v>0.16906551530421954</v>
      </c>
      <c r="P48" s="109">
        <f t="shared" si="31"/>
        <v>0.12804193464211638</v>
      </c>
      <c r="R48" s="109">
        <f t="shared" ref="R48" si="32">R47/R32</f>
        <v>8.9463427104708129E-2</v>
      </c>
      <c r="S48" s="109">
        <f t="shared" ref="S48" si="33">S47/S32</f>
        <v>0.16031137270622936</v>
      </c>
      <c r="T48" s="109">
        <f t="shared" ref="T48" si="34">T47/T32</f>
        <v>0.16710061800302489</v>
      </c>
      <c r="V48" s="109">
        <f t="shared" ref="V48:AF48" si="35">IFERROR(V47/V32,"")</f>
        <v>0.23890181857232565</v>
      </c>
      <c r="W48" s="109">
        <f t="shared" si="35"/>
        <v>0.30229754836544492</v>
      </c>
      <c r="X48" s="109">
        <f t="shared" si="35"/>
        <v>0.26455619727986945</v>
      </c>
      <c r="Z48" s="109">
        <f t="shared" si="35"/>
        <v>0.27570323388989015</v>
      </c>
      <c r="AA48" s="109">
        <f t="shared" si="35"/>
        <v>0.3566525064725809</v>
      </c>
      <c r="AB48" s="109">
        <f t="shared" si="35"/>
        <v>0.33996928082773842</v>
      </c>
      <c r="AD48" s="109">
        <f t="shared" si="35"/>
        <v>8.9463427104708129E-2</v>
      </c>
      <c r="AE48" s="109">
        <f t="shared" si="35"/>
        <v>0.16031137270622936</v>
      </c>
      <c r="AF48" s="109">
        <f t="shared" si="35"/>
        <v>0.16710061800302489</v>
      </c>
      <c r="AH48" s="109">
        <f>IFERROR(AH47/AH32,"")</f>
        <v>4.8565675134344809E-2</v>
      </c>
      <c r="AI48" s="109">
        <f t="shared" ref="AI48:AR48" si="36">IFERROR(AI47/AI32,"")</f>
        <v>8.9116190002778622E-2</v>
      </c>
      <c r="AJ48" s="109">
        <f t="shared" si="36"/>
        <v>3.4775514473711737E-2</v>
      </c>
      <c r="AL48" s="109">
        <f t="shared" si="36"/>
        <v>-5.5837307717357523E-2</v>
      </c>
      <c r="AM48" s="109">
        <f t="shared" si="36"/>
        <v>5.1733344877982659E-2</v>
      </c>
      <c r="AN48" s="109">
        <f t="shared" si="36"/>
        <v>2.2180591157835834E-2</v>
      </c>
      <c r="AP48" s="109" t="str">
        <f t="shared" si="36"/>
        <v/>
      </c>
      <c r="AQ48" s="109" t="str">
        <f t="shared" si="36"/>
        <v/>
      </c>
      <c r="AR48" s="109" t="str">
        <f t="shared" si="36"/>
        <v/>
      </c>
    </row>
    <row r="49" spans="2:46" x14ac:dyDescent="0.25">
      <c r="B49" s="1"/>
      <c r="F49" s="74"/>
      <c r="G49" s="74"/>
      <c r="H49" s="74"/>
      <c r="J49" s="74"/>
      <c r="K49" s="74"/>
      <c r="L49" s="74"/>
      <c r="N49" s="74"/>
      <c r="O49" s="74"/>
      <c r="P49" s="74"/>
      <c r="R49" s="74"/>
      <c r="S49" s="74"/>
      <c r="T49" s="74"/>
      <c r="AT49" s="67"/>
    </row>
    <row r="50" spans="2:46" x14ac:dyDescent="0.25">
      <c r="B50" s="110"/>
      <c r="F50" s="109"/>
      <c r="G50" s="109"/>
      <c r="H50" s="109"/>
      <c r="J50" s="109"/>
      <c r="K50" s="109"/>
      <c r="L50" s="109"/>
      <c r="N50" s="109"/>
      <c r="O50" s="109"/>
      <c r="P50" s="109"/>
      <c r="R50" s="109"/>
      <c r="S50" s="109"/>
      <c r="T50" s="109"/>
    </row>
    <row r="51" spans="2:46" x14ac:dyDescent="0.25">
      <c r="B51" t="s">
        <v>57</v>
      </c>
      <c r="C51" s="12"/>
      <c r="D51" s="12"/>
      <c r="F51" s="67">
        <f t="shared" ref="F51:F52" si="37">J51+N51+R51</f>
        <v>2329713.333333333</v>
      </c>
      <c r="G51" s="67">
        <f t="shared" ref="G51:G52" si="38">K51+O51+S51</f>
        <v>1724886.6666666665</v>
      </c>
      <c r="H51" s="67">
        <f t="shared" ref="H51:H52" si="39">L51+P51+T51</f>
        <v>1573680</v>
      </c>
      <c r="J51" s="67">
        <f t="shared" ref="J51:J52" si="40">V51+AH51</f>
        <v>786840</v>
      </c>
      <c r="K51" s="67">
        <f t="shared" ref="K51:K52" si="41">W51+AI51</f>
        <v>786840</v>
      </c>
      <c r="L51" s="67">
        <f t="shared" ref="L51:L52" si="42">X51+AJ51</f>
        <v>786840</v>
      </c>
      <c r="N51" s="67">
        <f t="shared" ref="N51:N52" si="43">Z51+AL51</f>
        <v>1542873.3333333333</v>
      </c>
      <c r="O51" s="67">
        <f t="shared" ref="O51:O52" si="44">AA51+AM51</f>
        <v>938046.66666666663</v>
      </c>
      <c r="P51" s="67">
        <f t="shared" ref="P51:P52" si="45">AB51+AN51</f>
        <v>786840</v>
      </c>
      <c r="R51" s="67">
        <f t="shared" ref="R51:R52" si="46">AD51+AP51</f>
        <v>0</v>
      </c>
      <c r="S51" s="67">
        <f t="shared" ref="S51:S52" si="47">AE51+AQ51</f>
        <v>0</v>
      </c>
      <c r="T51" s="67">
        <f t="shared" ref="T51:T52" si="48">AF51+AR51</f>
        <v>0</v>
      </c>
      <c r="V51" s="67" cm="1">
        <f t="array" ref="V51">_xlfn.LET(_xlpm.hours,_xlfn._TRO_TRAILING(Sites!$AO:$AQ),_xlpm.type,ISNUMBER(SEARCH('JV1'!$R$17,_xlfn._TRO_TRAILING(Sites!$C:$C))),
_xlpm.states,ISNUMBER(SEARCH('JV1'!$R$19,_xlfn._TRO_TRAILING(Sites!$D:$D))),
_xlpm.years,ISNUMBER(SEARCH(V$20,Sites!$M$3:$O$3)),
SUM(_xlfn._xlws.FILTER(_xlfn._xlws.FILTER(_xlpm.hours,_xlpm.states*_xlpm.type,0),_xlpm.years),0))</f>
        <v>0</v>
      </c>
      <c r="W51" s="67" cm="1">
        <f t="array" ref="W51">_xlfn.LET(_xlpm.hours,_xlfn._TRO_TRAILING(Sites!$AO:$AQ),_xlpm.type,ISNUMBER(SEARCH('JV1'!$R$17,_xlfn._TRO_TRAILING(Sites!$C:$C))),
_xlpm.states,ISNUMBER(SEARCH('JV1'!$R$19,_xlfn._TRO_TRAILING(Sites!$D:$D))),
_xlpm.years,ISNUMBER(SEARCH(W$20,Sites!$M$3:$O$3)),
SUM(_xlfn._xlws.FILTER(_xlfn._xlws.FILTER(_xlpm.hours,_xlpm.states*_xlpm.type,0),_xlpm.years),0))</f>
        <v>0</v>
      </c>
      <c r="X51" s="67" cm="1">
        <f t="array" ref="X51">_xlfn.LET(_xlpm.hours,_xlfn._TRO_TRAILING(Sites!$AO:$AQ),_xlpm.type,ISNUMBER(SEARCH('JV1'!$R$17,_xlfn._TRO_TRAILING(Sites!$C:$C))),
_xlpm.states,ISNUMBER(SEARCH('JV1'!$R$19,_xlfn._TRO_TRAILING(Sites!$D:$D))),
_xlpm.years,ISNUMBER(SEARCH(X$20,Sites!$M$3:$O$3)),
SUM(_xlfn._xlws.FILTER(_xlfn._xlws.FILTER(_xlpm.hours,_xlpm.states*_xlpm.type,0),_xlpm.years),0))</f>
        <v>0</v>
      </c>
      <c r="Z51" s="67" cm="1">
        <f t="array" ref="Z51">_xlfn.LET(_xlpm.hours,_xlfn._TRO_TRAILING(Sites!$AO:$AQ),_xlpm.type,ISNUMBER(SEARCH('JV1'!$R$17,_xlfn._TRO_TRAILING(Sites!$C:$C))),
_xlpm.states,ISNUMBER(SEARCH('JV1'!$R$19,_xlfn._TRO_TRAILING(Sites!$D:$D))),
_xlpm.years,ISNUMBER(SEARCH(Z$20,Sites!$M$3:$O$3)),
SUM(_xlfn._xlws.FILTER(_xlfn._xlws.FILTER(_xlpm.hours,_xlpm.states*_xlpm.type,0),_xlpm.years),0))</f>
        <v>0</v>
      </c>
      <c r="AA51" s="67" cm="1">
        <f t="array" ref="AA51">_xlfn.LET(_xlpm.hours,_xlfn._TRO_TRAILING(Sites!$AO:$AQ),_xlpm.type,ISNUMBER(SEARCH('JV1'!$R$17,_xlfn._TRO_TRAILING(Sites!$C:$C))),
_xlpm.states,ISNUMBER(SEARCH('JV1'!$R$19,_xlfn._TRO_TRAILING(Sites!$D:$D))),
_xlpm.years,ISNUMBER(SEARCH(AA$20,Sites!$M$3:$O$3)),
SUM(_xlfn._xlws.FILTER(_xlfn._xlws.FILTER(_xlpm.hours,_xlpm.states*_xlpm.type,0),_xlpm.years),0))</f>
        <v>0</v>
      </c>
      <c r="AB51" s="67" cm="1">
        <f t="array" ref="AB51">_xlfn.LET(_xlpm.hours,_xlfn._TRO_TRAILING(Sites!$AO:$AQ),_xlpm.type,ISNUMBER(SEARCH('JV1'!$R$17,_xlfn._TRO_TRAILING(Sites!$C:$C))),
_xlpm.states,ISNUMBER(SEARCH('JV1'!$R$19,_xlfn._TRO_TRAILING(Sites!$D:$D))),
_xlpm.years,ISNUMBER(SEARCH(AB$20,Sites!$M$3:$O$3)),
SUM(_xlfn._xlws.FILTER(_xlfn._xlws.FILTER(_xlpm.hours,_xlpm.states*_xlpm.type,0),_xlpm.years),0))</f>
        <v>0</v>
      </c>
      <c r="AD51" s="67" cm="1">
        <f t="array" ref="AD51">_xlfn.LET(_xlpm.hours,_xlfn._TRO_TRAILING(Sites!$AO:$AQ),_xlpm.type,ISNUMBER(SEARCH('JV1'!$R$17,_xlfn._TRO_TRAILING(Sites!$C:$C))),
_xlpm.states,ISNUMBER(SEARCH('JV1'!$R$19,_xlfn._TRO_TRAILING(Sites!$D:$D))),
_xlpm.years,ISNUMBER(SEARCH(AD$20,Sites!$M$3:$O$3)),
SUM(_xlfn._xlws.FILTER(_xlfn._xlws.FILTER(_xlpm.hours,_xlpm.states*_xlpm.type,0),_xlpm.years),0))</f>
        <v>0</v>
      </c>
      <c r="AE51" s="67" cm="1">
        <f t="array" ref="AE51">_xlfn.LET(_xlpm.hours,_xlfn._TRO_TRAILING(Sites!$AO:$AQ),_xlpm.type,ISNUMBER(SEARCH('JV1'!$R$17,_xlfn._TRO_TRAILING(Sites!$C:$C))),
_xlpm.states,ISNUMBER(SEARCH('JV1'!$R$19,_xlfn._TRO_TRAILING(Sites!$D:$D))),
_xlpm.years,ISNUMBER(SEARCH(AE$20,Sites!$M$3:$O$3)),
SUM(_xlfn._xlws.FILTER(_xlfn._xlws.FILTER(_xlpm.hours,_xlpm.states*_xlpm.type,0),_xlpm.years),0))</f>
        <v>0</v>
      </c>
      <c r="AF51" s="67" cm="1">
        <f t="array" ref="AF51">_xlfn.LET(_xlpm.hours,_xlfn._TRO_TRAILING(Sites!$AO:$AQ),_xlpm.type,ISNUMBER(SEARCH('JV1'!$R$17,_xlfn._TRO_TRAILING(Sites!$C:$C))),
_xlpm.states,ISNUMBER(SEARCH('JV1'!$R$19,_xlfn._TRO_TRAILING(Sites!$D:$D))),
_xlpm.years,ISNUMBER(SEARCH(AF$20,Sites!$M$3:$O$3)),
SUM(_xlfn._xlws.FILTER(_xlfn._xlws.FILTER(_xlpm.hours,_xlpm.states*_xlpm.type,0),_xlpm.years),0))</f>
        <v>0</v>
      </c>
      <c r="AH51" s="67" cm="1">
        <f t="array" ref="AH51">_xlfn.LET(_xlpm.hours,_xlfn._TRO_TRAILING(Sites!$AO:$AQ),_xlpm.type,ISNUMBER(SEARCH($AH$17,_xlfn._TRO_TRAILING(Sites!$C:$C))),
_xlpm.states,ISNUMBER(SEARCH($AH$19,_xlfn._TRO_TRAILING(Sites!$D:$D))),
_xlpm.years,ISNUMBER(SEARCH(AH$20,Sites!$M$3:$O$3)),
SUM(_xlfn._xlws.FILTER(_xlfn._xlws.FILTER(_xlpm.hours,_xlpm.states*_xlpm.type,0),_xlpm.years),0))</f>
        <v>786840</v>
      </c>
      <c r="AI51" s="67" cm="1">
        <f t="array" ref="AI51">_xlfn.LET(_xlpm.hours,_xlfn._TRO_TRAILING(Sites!$AO:$AQ),_xlpm.type,ISNUMBER(SEARCH($AH$17,_xlfn._TRO_TRAILING(Sites!$C:$C))),
_xlpm.states,ISNUMBER(SEARCH($AH$19,_xlfn._TRO_TRAILING(Sites!$D:$D))),
_xlpm.years,ISNUMBER(SEARCH(AI$20,Sites!$M$3:$O$3)),
SUM(_xlfn._xlws.FILTER(_xlfn._xlws.FILTER(_xlpm.hours,_xlpm.states*_xlpm.type,0),_xlpm.years),0))</f>
        <v>786840</v>
      </c>
      <c r="AJ51" s="67" cm="1">
        <f t="array" ref="AJ51">_xlfn.LET(_xlpm.hours,_xlfn._TRO_TRAILING(Sites!$AO:$AQ),_xlpm.type,ISNUMBER(SEARCH($AH$17,_xlfn._TRO_TRAILING(Sites!$C:$C))),
_xlpm.states,ISNUMBER(SEARCH($AH$19,_xlfn._TRO_TRAILING(Sites!$D:$D))),
_xlpm.years,ISNUMBER(SEARCH(AJ$20,Sites!$M$3:$O$3)),
SUM(_xlfn._xlws.FILTER(_xlfn._xlws.FILTER(_xlpm.hours,_xlpm.states*_xlpm.type,0),_xlpm.years),0))</f>
        <v>786840</v>
      </c>
      <c r="AL51" s="67" cm="1">
        <f t="array" ref="AL51">_xlfn.LET(_xlpm.hours,_xlfn._TRO_TRAILING(Sites!$AO:$AQ),_xlpm.type,ISNUMBER(SEARCH($AH$17,_xlfn._TRO_TRAILING(Sites!$C:$C))),
_xlpm.states,ISNUMBER(SEARCH($AL$19,_xlfn._TRO_TRAILING(Sites!$D:$D))),
_xlpm.years,ISNUMBER(SEARCH(AL$20,Sites!$M$3:$O$3)),
SUM(_xlfn._xlws.FILTER(_xlfn._xlws.FILTER(_xlpm.hours,_xlpm.states*_xlpm.type,0),_xlpm.years),0))</f>
        <v>1542873.3333333333</v>
      </c>
      <c r="AM51" s="67" cm="1">
        <f t="array" ref="AM51">_xlfn.LET(_xlpm.hours,_xlfn._TRO_TRAILING(Sites!$AO:$AQ),_xlpm.type,ISNUMBER(SEARCH($AH$17,_xlfn._TRO_TRAILING(Sites!$C:$C))),
_xlpm.states,ISNUMBER(SEARCH($AL$19,_xlfn._TRO_TRAILING(Sites!$D:$D))),
_xlpm.years,ISNUMBER(SEARCH(AM$20,Sites!$M$3:$O$3)),
SUM(_xlfn._xlws.FILTER(_xlfn._xlws.FILTER(_xlpm.hours,_xlpm.states*_xlpm.type,0),_xlpm.years),0))</f>
        <v>938046.66666666663</v>
      </c>
      <c r="AN51" s="67" cm="1">
        <f t="array" ref="AN51">_xlfn.LET(_xlpm.hours,_xlfn._TRO_TRAILING(Sites!$AO:$AQ),_xlpm.type,ISNUMBER(SEARCH($AH$17,_xlfn._TRO_TRAILING(Sites!$C:$C))),
_xlpm.states,ISNUMBER(SEARCH($AL$19,_xlfn._TRO_TRAILING(Sites!$D:$D))),
_xlpm.years,ISNUMBER(SEARCH(AN$20,Sites!$M$3:$O$3)),
SUM(_xlfn._xlws.FILTER(_xlfn._xlws.FILTER(_xlpm.hours,_xlpm.states*_xlpm.type,0),_xlpm.years),0))</f>
        <v>786840</v>
      </c>
      <c r="AP51" s="67" cm="1">
        <f t="array" ref="AP51">_xlfn.LET(_xlpm.hours,_xlfn._TRO_TRAILING(Sites!$AO:$AQ),_xlpm.type,ISNUMBER(SEARCH($AH$17,_xlfn._TRO_TRAILING(Sites!$C:$C))),
_xlpm.states,ISNUMBER(SEARCH($AP$19,_xlfn._TRO_TRAILING(Sites!$D:$D))),
_xlpm.years,ISNUMBER(SEARCH(AP$20,Sites!$M$3:$O$3)),
IFERROR(SUM(_xlfn._xlws.FILTER(_xlfn._xlws.FILTER(_xlpm.hours,_xlpm.states*_xlpm.type,0),_xlpm.years),0),0))</f>
        <v>0</v>
      </c>
      <c r="AQ51" s="67" cm="1">
        <f t="array" ref="AQ51">_xlfn.LET(_xlpm.hours,_xlfn._TRO_TRAILING(Sites!$AO:$AQ),_xlpm.type,ISNUMBER(SEARCH($AH$17,_xlfn._TRO_TRAILING(Sites!$C:$C))),
_xlpm.states,ISNUMBER(SEARCH($AP$19,_xlfn._TRO_TRAILING(Sites!$D:$D))),
_xlpm.years,ISNUMBER(SEARCH(AQ$20,Sites!$M$3:$O$3)),
IFERROR(SUM(_xlfn._xlws.FILTER(_xlfn._xlws.FILTER(_xlpm.hours,_xlpm.states*_xlpm.type,0),_xlpm.years),0),0))</f>
        <v>0</v>
      </c>
      <c r="AR51" s="67" cm="1">
        <f t="array" ref="AR51">_xlfn.LET(_xlpm.hours,_xlfn._TRO_TRAILING(Sites!$AO:$AQ),_xlpm.type,ISNUMBER(SEARCH($AH$17,_xlfn._TRO_TRAILING(Sites!$C:$C))),
_xlpm.states,ISNUMBER(SEARCH($AP$19,_xlfn._TRO_TRAILING(Sites!$D:$D))),
_xlpm.years,ISNUMBER(SEARCH(AR$20,Sites!$M$3:$O$3)),
IFERROR(SUM(_xlfn._xlws.FILTER(_xlfn._xlws.FILTER(_xlpm.hours,_xlpm.states*_xlpm.type,0),_xlpm.years),0),0))</f>
        <v>0</v>
      </c>
    </row>
    <row r="52" spans="2:46" x14ac:dyDescent="0.25">
      <c r="B52" t="s">
        <v>469</v>
      </c>
      <c r="C52" s="12"/>
      <c r="D52" s="12"/>
      <c r="F52" s="67">
        <f t="shared" si="37"/>
        <v>-8087094.4649873711</v>
      </c>
      <c r="G52" s="67">
        <f t="shared" si="38"/>
        <v>-12180232.751216628</v>
      </c>
      <c r="H52" s="67">
        <f t="shared" si="39"/>
        <v>-16426023.26431768</v>
      </c>
      <c r="J52" s="67">
        <f t="shared" si="40"/>
        <v>-4514929.5090878233</v>
      </c>
      <c r="K52" s="67">
        <f t="shared" si="41"/>
        <v>-5906836.2344169142</v>
      </c>
      <c r="L52" s="67">
        <f t="shared" si="42"/>
        <v>-7608485.3351130262</v>
      </c>
      <c r="N52" s="67">
        <f t="shared" si="43"/>
        <v>-2889101.7388368607</v>
      </c>
      <c r="O52" s="67">
        <f t="shared" si="44"/>
        <v>-5211183.7169326637</v>
      </c>
      <c r="P52" s="67">
        <f t="shared" si="45"/>
        <v>-7388578.1643668655</v>
      </c>
      <c r="R52" s="67">
        <f t="shared" si="46"/>
        <v>-683063.21706268773</v>
      </c>
      <c r="S52" s="67">
        <f t="shared" si="47"/>
        <v>-1062212.7998670496</v>
      </c>
      <c r="T52" s="67">
        <f t="shared" si="48"/>
        <v>-1428959.7648377884</v>
      </c>
      <c r="V52" s="67" cm="1">
        <f t="array" ref="V52">_xlfn.LET(_xlpm.hours,_xlfn._TRO_TRAILING(Sites!$EG:$EI),_xlpm.type,ISNUMBER(SEARCH('JV1'!$R$17,_xlfn._TRO_TRAILING(Sites!$C:$C))),
_xlpm.states,ISNUMBER(SEARCH($V$19,_xlfn._TRO_TRAILING(Sites!$D:$D))),
_xlpm.years,ISNUMBER(SEARCH(V$20,Sites!$M$3:$O$3)),
SUM(_xlfn._xlws.FILTER(_xlfn._xlws.FILTER(_xlpm.hours,_xlpm.states,0),_xlpm.years),0))</f>
        <v>-2257464.7545439117</v>
      </c>
      <c r="W52" s="67" cm="1">
        <f t="array" ref="W52">_xlfn.LET(_xlpm.hours,_xlfn._TRO_TRAILING(Sites!$EG:$EI),_xlpm.type,ISNUMBER(SEARCH('JV1'!$R$17,_xlfn._TRO_TRAILING(Sites!$C:$C))),
_xlpm.states,ISNUMBER(SEARCH($V$19,_xlfn._TRO_TRAILING(Sites!$D:$D))),
_xlpm.years,ISNUMBER(SEARCH(W$20,Sites!$M$3:$O$3)),
SUM(_xlfn._xlws.FILTER(_xlfn._xlws.FILTER(_xlpm.hours,_xlpm.states,0),_xlpm.years),0))</f>
        <v>-2953418.1172084571</v>
      </c>
      <c r="X52" s="67" cm="1">
        <f t="array" ref="X52">_xlfn.LET(_xlpm.hours,_xlfn._TRO_TRAILING(Sites!$EG:$EI),_xlpm.type,ISNUMBER(SEARCH('JV1'!$R$17,_xlfn._TRO_TRAILING(Sites!$C:$C))),
_xlpm.states,ISNUMBER(SEARCH($V$19,_xlfn._TRO_TRAILING(Sites!$D:$D))),
_xlpm.years,ISNUMBER(SEARCH(X$20,Sites!$M$3:$O$3)),
SUM(_xlfn._xlws.FILTER(_xlfn._xlws.FILTER(_xlpm.hours,_xlpm.states,0),_xlpm.years),0))</f>
        <v>-3804242.6675565131</v>
      </c>
      <c r="Z52" s="67" cm="1">
        <f t="array" ref="Z52">_xlfn.LET(_xlpm.hours,_xlfn._TRO_TRAILING(Sites!$EG:$EI),_xlpm.type,ISNUMBER(SEARCH('JV1'!$R$17,_xlfn._TRO_TRAILING(Sites!$C:$C))),
_xlpm.states,ISNUMBER(SEARCH($Z$19,_xlfn._TRO_TRAILING(Sites!$D:$D))),
_xlpm.years,ISNUMBER(SEARCH(Z$20,Sites!$M$3:$O$3)),
SUM(_xlfn._xlws.FILTER(_xlfn._xlws.FILTER(_xlpm.hours,_xlpm.states,0),_xlpm.years),0))</f>
        <v>-1444550.8694184304</v>
      </c>
      <c r="AA52" s="67" cm="1">
        <f t="array" ref="AA52">_xlfn.LET(_xlpm.hours,_xlfn._TRO_TRAILING(Sites!$EG:$EI),_xlpm.type,ISNUMBER(SEARCH('JV1'!$R$17,_xlfn._TRO_TRAILING(Sites!$C:$C))),
_xlpm.states,ISNUMBER(SEARCH($Z$19,_xlfn._TRO_TRAILING(Sites!$D:$D))),
_xlpm.years,ISNUMBER(SEARCH(AA$20,Sites!$M$3:$O$3)),
SUM(_xlfn._xlws.FILTER(_xlfn._xlws.FILTER(_xlpm.hours,_xlpm.states,0),_xlpm.years),0))</f>
        <v>-2605591.8584663318</v>
      </c>
      <c r="AB52" s="67" cm="1">
        <f t="array" ref="AB52">_xlfn.LET(_xlpm.hours,_xlfn._TRO_TRAILING(Sites!$EG:$EI),_xlpm.type,ISNUMBER(SEARCH('JV1'!$R$17,_xlfn._TRO_TRAILING(Sites!$C:$C))),
_xlpm.states,ISNUMBER(SEARCH($Z$19,_xlfn._TRO_TRAILING(Sites!$D:$D))),
_xlpm.years,ISNUMBER(SEARCH(AB$20,Sites!$M$3:$O$3)),
SUM(_xlfn._xlws.FILTER(_xlfn._xlws.FILTER(_xlpm.hours,_xlpm.states,0),_xlpm.years),0))</f>
        <v>-3694289.0821834328</v>
      </c>
      <c r="AD52" s="67" cm="1">
        <f t="array" ref="AD52">_xlfn.LET(_xlpm.hours,_xlfn._TRO_TRAILING(Sites!$EG:$EI),_xlpm.type,ISNUMBER(SEARCH('JV1'!$R$17,_xlfn._TRO_TRAILING(Sites!$C:$C))),
_xlpm.states,ISNUMBER(SEARCH($AD$19,_xlfn._TRO_TRAILING(Sites!$D:$D))),
_xlpm.years,ISNUMBER(SEARCH(AD$20,Sites!$M$3:$O$3)),
SUM(_xlfn._xlws.FILTER(_xlfn._xlws.FILTER(_xlpm.hours,_xlpm.states,0),_xlpm.years),0))</f>
        <v>-341531.60853134387</v>
      </c>
      <c r="AE52" s="67" cm="1">
        <f t="array" ref="AE52">_xlfn.LET(_xlpm.hours,_xlfn._TRO_TRAILING(Sites!$EG:$EI),_xlpm.type,ISNUMBER(SEARCH('JV1'!$R$17,_xlfn._TRO_TRAILING(Sites!$C:$C))),
_xlpm.states,ISNUMBER(SEARCH($AD$19,_xlfn._TRO_TRAILING(Sites!$D:$D))),
_xlpm.years,ISNUMBER(SEARCH(AE$20,Sites!$M$3:$O$3)),
SUM(_xlfn._xlws.FILTER(_xlfn._xlws.FILTER(_xlpm.hours,_xlpm.states,0),_xlpm.years),0))</f>
        <v>-531106.39993352478</v>
      </c>
      <c r="AF52" s="67" cm="1">
        <f t="array" ref="AF52">_xlfn.LET(_xlpm.hours,_xlfn._TRO_TRAILING(Sites!$EG:$EI),_xlpm.type,ISNUMBER(SEARCH('JV1'!$R$17,_xlfn._TRO_TRAILING(Sites!$C:$C))),
_xlpm.states,ISNUMBER(SEARCH($AD$19,_xlfn._TRO_TRAILING(Sites!$D:$D))),
_xlpm.years,ISNUMBER(SEARCH(AF$20,Sites!$M$3:$O$3)),
SUM(_xlfn._xlws.FILTER(_xlfn._xlws.FILTER(_xlpm.hours,_xlpm.states,0),_xlpm.years),0))</f>
        <v>-714479.88241889421</v>
      </c>
      <c r="AH52" s="67" cm="1">
        <f t="array" ref="AH52">_xlfn.LET(_xlpm.hours,_xlfn._TRO_TRAILING(Sites!$EG:$EI),_xlpm.type,ISNUMBER(SEARCH('JV1'!$R$17,_xlfn._TRO_TRAILING(Sites!$C:$C))),
_xlpm.states,ISNUMBER(SEARCH($V$19,_xlfn._TRO_TRAILING(Sites!$D:$D))),
_xlpm.years,ISNUMBER(SEARCH(AH$20,Sites!$M$3:$O$3)),
SUM(_xlfn._xlws.FILTER(_xlfn._xlws.FILTER(_xlpm.hours,_xlpm.states,0),_xlpm.years),0))</f>
        <v>-2257464.7545439117</v>
      </c>
      <c r="AI52" s="67" cm="1">
        <f t="array" ref="AI52">_xlfn.LET(_xlpm.hours,_xlfn._TRO_TRAILING(Sites!$EG:$EI),_xlpm.type,ISNUMBER(SEARCH('JV1'!$R$17,_xlfn._TRO_TRAILING(Sites!$C:$C))),
_xlpm.states,ISNUMBER(SEARCH($V$19,_xlfn._TRO_TRAILING(Sites!$D:$D))),
_xlpm.years,ISNUMBER(SEARCH(AI$20,Sites!$M$3:$O$3)),
SUM(_xlfn._xlws.FILTER(_xlfn._xlws.FILTER(_xlpm.hours,_xlpm.states,0),_xlpm.years),0))</f>
        <v>-2953418.1172084571</v>
      </c>
      <c r="AJ52" s="67" cm="1">
        <f t="array" ref="AJ52">_xlfn.LET(_xlpm.hours,_xlfn._TRO_TRAILING(Sites!$EG:$EI),_xlpm.type,ISNUMBER(SEARCH('JV1'!$R$17,_xlfn._TRO_TRAILING(Sites!$C:$C))),
_xlpm.states,ISNUMBER(SEARCH($V$19,_xlfn._TRO_TRAILING(Sites!$D:$D))),
_xlpm.years,ISNUMBER(SEARCH(AJ$20,Sites!$M$3:$O$3)),
SUM(_xlfn._xlws.FILTER(_xlfn._xlws.FILTER(_xlpm.hours,_xlpm.states,0),_xlpm.years),0))</f>
        <v>-3804242.6675565131</v>
      </c>
      <c r="AL52" s="67" cm="1">
        <f t="array" ref="AL52">_xlfn.LET(_xlpm.hours,_xlfn._TRO_TRAILING(Sites!$EG:$EI),_xlpm.type,ISNUMBER(SEARCH('JV1'!$R$17,_xlfn._TRO_TRAILING(Sites!$C:$C))),
_xlpm.states,ISNUMBER(SEARCH($Z$19,_xlfn._TRO_TRAILING(Sites!$D:$D))),
_xlpm.years,ISNUMBER(SEARCH(AL$20,Sites!$M$3:$O$3)),
SUM(_xlfn._xlws.FILTER(_xlfn._xlws.FILTER(_xlpm.hours,_xlpm.states,0),_xlpm.years),0))</f>
        <v>-1444550.8694184304</v>
      </c>
      <c r="AM52" s="67" cm="1">
        <f t="array" ref="AM52">_xlfn.LET(_xlpm.hours,_xlfn._TRO_TRAILING(Sites!$EG:$EI),_xlpm.type,ISNUMBER(SEARCH('JV1'!$R$17,_xlfn._TRO_TRAILING(Sites!$C:$C))),
_xlpm.states,ISNUMBER(SEARCH($Z$19,_xlfn._TRO_TRAILING(Sites!$D:$D))),
_xlpm.years,ISNUMBER(SEARCH(AM$20,Sites!$M$3:$O$3)),
SUM(_xlfn._xlws.FILTER(_xlfn._xlws.FILTER(_xlpm.hours,_xlpm.states,0),_xlpm.years),0))</f>
        <v>-2605591.8584663318</v>
      </c>
      <c r="AN52" s="67" cm="1">
        <f t="array" ref="AN52">_xlfn.LET(_xlpm.hours,_xlfn._TRO_TRAILING(Sites!$EG:$EI),_xlpm.type,ISNUMBER(SEARCH('JV1'!$R$17,_xlfn._TRO_TRAILING(Sites!$C:$C))),
_xlpm.states,ISNUMBER(SEARCH($Z$19,_xlfn._TRO_TRAILING(Sites!$D:$D))),
_xlpm.years,ISNUMBER(SEARCH(AN$20,Sites!$M$3:$O$3)),
SUM(_xlfn._xlws.FILTER(_xlfn._xlws.FILTER(_xlpm.hours,_xlpm.states,0),_xlpm.years),0))</f>
        <v>-3694289.0821834328</v>
      </c>
      <c r="AP52" s="67" cm="1">
        <f t="array" ref="AP52">_xlfn.LET(_xlpm.hours,_xlfn._TRO_TRAILING(Sites!$EG:$EI),_xlpm.type,ISNUMBER(SEARCH('JV1'!$R$17,_xlfn._TRO_TRAILING(Sites!$C:$C))),
_xlpm.states,ISNUMBER(SEARCH($AD$19,_xlfn._TRO_TRAILING(Sites!$D:$D))),
_xlpm.years,ISNUMBER(SEARCH(AP$20,Sites!$M$3:$O$3)),
SUM(_xlfn._xlws.FILTER(_xlfn._xlws.FILTER(_xlpm.hours,_xlpm.states,0),_xlpm.years),0))</f>
        <v>-341531.60853134387</v>
      </c>
      <c r="AQ52" s="67" cm="1">
        <f t="array" ref="AQ52">_xlfn.LET(_xlpm.hours,_xlfn._TRO_TRAILING(Sites!$EG:$EI),_xlpm.type,ISNUMBER(SEARCH('JV1'!$R$17,_xlfn._TRO_TRAILING(Sites!$C:$C))),
_xlpm.states,ISNUMBER(SEARCH($AD$19,_xlfn._TRO_TRAILING(Sites!$D:$D))),
_xlpm.years,ISNUMBER(SEARCH(AQ$20,Sites!$M$3:$O$3)),
SUM(_xlfn._xlws.FILTER(_xlfn._xlws.FILTER(_xlpm.hours,_xlpm.states,0),_xlpm.years),0))</f>
        <v>-531106.39993352478</v>
      </c>
      <c r="AR52" s="67" cm="1">
        <f t="array" ref="AR52">_xlfn.LET(_xlpm.hours,_xlfn._TRO_TRAILING(Sites!$EG:$EI),_xlpm.type,ISNUMBER(SEARCH('JV1'!$R$17,_xlfn._TRO_TRAILING(Sites!$C:$C))),
_xlpm.states,ISNUMBER(SEARCH($AD$19,_xlfn._TRO_TRAILING(Sites!$D:$D))),
_xlpm.years,ISNUMBER(SEARCH(AR$20,Sites!$M$3:$O$3)),
SUM(_xlfn._xlws.FILTER(_xlfn._xlws.FILTER(_xlpm.hours,_xlpm.states,0),_xlpm.years),0))</f>
        <v>-714479.88241889421</v>
      </c>
    </row>
    <row r="53" spans="2:46" x14ac:dyDescent="0.25">
      <c r="J53" s="67"/>
      <c r="K53" s="67"/>
      <c r="L53" s="67"/>
      <c r="N53" s="67"/>
      <c r="O53" s="67"/>
      <c r="P53" s="67"/>
      <c r="R53" s="67"/>
      <c r="S53" s="67"/>
      <c r="T53" s="67"/>
    </row>
    <row r="54" spans="2:46" x14ac:dyDescent="0.25">
      <c r="B54" s="1" t="s">
        <v>276</v>
      </c>
      <c r="F54" s="13">
        <f>F32-F45-F51+F52</f>
        <v>-7176599.4438229622</v>
      </c>
      <c r="G54" s="13">
        <f>G32-G45-G51+G52</f>
        <v>-6802159.8219856713</v>
      </c>
      <c r="H54" s="13">
        <f>H32-H45-H51+H52</f>
        <v>-11366531.196981687</v>
      </c>
      <c r="J54" s="13">
        <f>J32-J45-J51+J52</f>
        <v>-3602414.0774707105</v>
      </c>
      <c r="K54" s="13">
        <f>K32-K45-K51</f>
        <v>2306994.1160084009</v>
      </c>
      <c r="L54" s="13">
        <f>L32-L45-L51</f>
        <v>1438142.3588501103</v>
      </c>
      <c r="N54" s="13">
        <f>N32-N45-N51+N52</f>
        <v>-3129401.5462881215</v>
      </c>
      <c r="O54" s="13">
        <f>O32-O45-O51</f>
        <v>2403225.0781284473</v>
      </c>
      <c r="P54" s="13">
        <f>P32-P45-P51</f>
        <v>2795396.2566260137</v>
      </c>
      <c r="R54" s="13">
        <f>R32-R45-R51+R52</f>
        <v>-444783.82006412814</v>
      </c>
      <c r="S54" s="13">
        <f>S32-S45-S51</f>
        <v>667853.73509410117</v>
      </c>
      <c r="T54" s="13">
        <f>T32-T45-T51</f>
        <v>825953.45185986022</v>
      </c>
      <c r="V54" s="13">
        <f>V32-V45-V51+V52</f>
        <v>-1098124.9921278697</v>
      </c>
      <c r="W54" s="13">
        <f>W32-W45-W51+W52</f>
        <v>-1213308.318939216</v>
      </c>
      <c r="X54" s="13">
        <f>X32-X45-X51+X52</f>
        <v>-2281382.7119639199</v>
      </c>
      <c r="Z54" s="13">
        <f>Z32-Z45-Z51+Z52</f>
        <v>133188.18595646066</v>
      </c>
      <c r="AA54" s="13">
        <f>AA32-AA45-AA51+AA52</f>
        <v>106687.59164515138</v>
      </c>
      <c r="AB54" s="13">
        <f>AB32-AB45-AB51+AB52</f>
        <v>-525884.45211922191</v>
      </c>
      <c r="AD54" s="13">
        <f>AD32-AD45-AD51+AD52</f>
        <v>-103252.21153278428</v>
      </c>
      <c r="AE54" s="13">
        <f>AE32-AE45-AE51+AE52</f>
        <v>136747.33516057639</v>
      </c>
      <c r="AF54" s="13">
        <f>AF32-AF45-AF51+AF52</f>
        <v>111473.56944096601</v>
      </c>
      <c r="AH54" s="13">
        <f>AH32-AH45-AH51+AH52</f>
        <v>-2504289.0853428394</v>
      </c>
      <c r="AI54" s="13">
        <f>AI32-AI45-AI51+AI52</f>
        <v>-2386533.7994693038</v>
      </c>
      <c r="AJ54" s="13">
        <f>AJ32-AJ45-AJ51+AJ52</f>
        <v>-3888960.2642989978</v>
      </c>
      <c r="AL54" s="13">
        <f>AL32-AL45-AL51+AL52</f>
        <v>-3262589.7322445814</v>
      </c>
      <c r="AM54" s="13">
        <f>AM32-AM45-AM51+AM52</f>
        <v>-2914646.2304493668</v>
      </c>
      <c r="AN54" s="13">
        <f>AN32-AN45-AN51+AN52</f>
        <v>-4067297.4556216197</v>
      </c>
      <c r="AP54" s="13">
        <f>AP32-AP45-AP51+AP52</f>
        <v>-341531.60853134387</v>
      </c>
      <c r="AQ54" s="13">
        <f>AQ32-AQ45-AQ51+AQ52</f>
        <v>-531106.39993352478</v>
      </c>
      <c r="AR54" s="13">
        <f>AR32-AR45-AR51+AR52</f>
        <v>-714479.88241889421</v>
      </c>
    </row>
    <row r="55" spans="2:46" x14ac:dyDescent="0.25">
      <c r="B55" t="s">
        <v>277</v>
      </c>
      <c r="E55" s="67"/>
      <c r="F55" s="145">
        <f>SUM($F54:F$54)</f>
        <v>-7176599.4438229622</v>
      </c>
      <c r="G55" s="145">
        <f>SUM($F54:G$54)</f>
        <v>-13978759.265808634</v>
      </c>
      <c r="H55" s="145">
        <f>SUM($F54:H$54)</f>
        <v>-25345290.462790322</v>
      </c>
      <c r="J55" s="145">
        <f>SUM($J54:J$54)</f>
        <v>-3602414.0774707105</v>
      </c>
      <c r="K55" s="145">
        <f>SUM($J54:K$54)</f>
        <v>-1295419.9614623096</v>
      </c>
      <c r="L55" s="145">
        <f>SUM($J54:L$54)</f>
        <v>142722.39738780074</v>
      </c>
      <c r="N55" s="145">
        <f>SUM($N54:N$54)</f>
        <v>-3129401.5462881215</v>
      </c>
      <c r="O55" s="145">
        <f>SUM($N54:O$54)</f>
        <v>-726176.4681596742</v>
      </c>
      <c r="P55" s="145">
        <f>SUM($N54:P$54)</f>
        <v>2069219.7884663395</v>
      </c>
      <c r="R55" s="145">
        <f>SUM($R54:R$54)</f>
        <v>-444783.82006412814</v>
      </c>
      <c r="S55" s="145">
        <f>SUM($R54:S$54)</f>
        <v>223069.91502997302</v>
      </c>
      <c r="T55" s="145">
        <f>SUM($R54:T$54)</f>
        <v>1049023.3668898332</v>
      </c>
      <c r="V55" s="145">
        <f>SUM($V54:V$54)</f>
        <v>-1098124.9921278697</v>
      </c>
      <c r="W55" s="145">
        <f>SUM($V54:W$54)</f>
        <v>-2311433.3110670857</v>
      </c>
      <c r="X55" s="145">
        <f>SUM($V54:X$54)</f>
        <v>-4592816.0230310056</v>
      </c>
      <c r="Z55" s="145">
        <f>SUM($Z54:Z$54)</f>
        <v>133188.18595646066</v>
      </c>
      <c r="AA55" s="145">
        <f>SUM($Z54:AA$54)</f>
        <v>239875.77760161203</v>
      </c>
      <c r="AB55" s="145">
        <f>SUM($Z54:AB$54)</f>
        <v>-286008.67451760988</v>
      </c>
      <c r="AD55" s="145">
        <f>SUM($AD54:AD$54)</f>
        <v>-103252.21153278428</v>
      </c>
      <c r="AE55" s="145">
        <f>SUM($AD54:AE$54)</f>
        <v>33495.123627792113</v>
      </c>
      <c r="AF55" s="145">
        <f>SUM($AD54:AF$54)</f>
        <v>144968.69306875812</v>
      </c>
      <c r="AH55" s="145">
        <f>SUM($AH54:AH$54)</f>
        <v>-2504289.0853428394</v>
      </c>
      <c r="AI55" s="145">
        <f>SUM($AH54:AI$54)</f>
        <v>-4890822.8848121427</v>
      </c>
      <c r="AJ55" s="145">
        <f>SUM($AH54:AJ$54)</f>
        <v>-8779783.1491111405</v>
      </c>
      <c r="AL55" s="145">
        <f>SUM($AL54:AL$54)</f>
        <v>-3262589.7322445814</v>
      </c>
      <c r="AM55" s="145">
        <f>SUM($AL54:AM$54)</f>
        <v>-6177235.9626939483</v>
      </c>
      <c r="AN55" s="145">
        <f>SUM($AL54:AN$54)</f>
        <v>-10244533.418315567</v>
      </c>
      <c r="AP55" s="145">
        <f>SUM($AP$54:AP$54)</f>
        <v>-341531.60853134387</v>
      </c>
      <c r="AQ55" s="145">
        <f>SUM($AP$54:AQ$54)</f>
        <v>-872638.00846486865</v>
      </c>
      <c r="AR55" s="145">
        <f>SUM($AP$54:AR$54)</f>
        <v>-1587117.8908837629</v>
      </c>
    </row>
    <row r="56" spans="2:46" x14ac:dyDescent="0.25">
      <c r="E56" s="109"/>
      <c r="F56" s="12"/>
      <c r="G56" s="12"/>
      <c r="H56" s="12"/>
      <c r="J56" s="12"/>
      <c r="K56" s="109"/>
      <c r="L56" s="109"/>
      <c r="M56" s="12"/>
      <c r="N56" s="12"/>
      <c r="O56" s="109"/>
      <c r="P56" s="109"/>
      <c r="Q56" s="12"/>
      <c r="R56" s="12"/>
      <c r="S56" s="109"/>
      <c r="T56" s="109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</row>
    <row r="59" spans="2:46" x14ac:dyDescent="0.25">
      <c r="J59" s="67"/>
      <c r="K59" s="67"/>
      <c r="L59" s="67"/>
      <c r="N59" s="67"/>
      <c r="O59" s="67"/>
      <c r="P59" s="67"/>
      <c r="R59" s="67"/>
      <c r="S59" s="67"/>
      <c r="T59" s="67"/>
    </row>
    <row r="60" spans="2:46" x14ac:dyDescent="0.25">
      <c r="J60" s="67"/>
      <c r="K60" s="67"/>
      <c r="L60" s="67"/>
      <c r="N60" s="67"/>
      <c r="O60" s="67"/>
      <c r="P60" s="67"/>
      <c r="R60" s="67"/>
      <c r="S60" s="67"/>
      <c r="T60" s="67"/>
    </row>
    <row r="65" spans="6:6" x14ac:dyDescent="0.25">
      <c r="F65" s="118"/>
    </row>
  </sheetData>
  <printOptions horizontalCentered="1" verticalCentered="1"/>
  <pageMargins left="0" right="0" top="0" bottom="0" header="0" footer="0"/>
  <pageSetup paperSize="3" scale="92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868D1-4276-4385-BDE9-D0D54B30CDD1}">
  <sheetPr>
    <tabColor theme="9" tint="0.79998168889431442"/>
    <pageSetUpPr fitToPage="1"/>
  </sheetPr>
  <dimension ref="A1:AR73"/>
  <sheetViews>
    <sheetView workbookViewId="0">
      <pane xSplit="4" ySplit="25" topLeftCell="E51" activePane="bottomRight" state="frozen"/>
      <selection pane="topRight" activeCell="E1" sqref="E1"/>
      <selection pane="bottomLeft" activeCell="A26" sqref="A26"/>
      <selection pane="bottomRight" activeCell="B59" sqref="B59"/>
    </sheetView>
  </sheetViews>
  <sheetFormatPr defaultRowHeight="15" outlineLevelRow="1" outlineLevelCol="1" x14ac:dyDescent="0.25"/>
  <cols>
    <col min="2" max="2" width="24.5703125" bestFit="1" customWidth="1"/>
    <col min="3" max="3" width="13.42578125" bestFit="1" customWidth="1"/>
    <col min="4" max="4" width="11.5703125" bestFit="1" customWidth="1"/>
    <col min="5" max="16" width="14.28515625" customWidth="1"/>
    <col min="17" max="40" width="14.28515625" customWidth="1" outlineLevel="1"/>
    <col min="42" max="42" width="14.28515625" customWidth="1"/>
    <col min="43" max="44" width="14.28515625" customWidth="1" outlineLevel="1"/>
  </cols>
  <sheetData>
    <row r="1" spans="1:44" x14ac:dyDescent="0.25">
      <c r="A1" s="82"/>
      <c r="B1" s="3"/>
      <c r="C1" s="3"/>
      <c r="D1" s="55" t="s">
        <v>307</v>
      </c>
      <c r="E1" s="172">
        <f>SUM(Monthly!E1,MS:META!E1)</f>
        <v>460</v>
      </c>
      <c r="F1" s="172">
        <f>SUM(Monthly!F1,MS:META!F1)</f>
        <v>551</v>
      </c>
      <c r="G1" s="172">
        <f>SUM(Monthly!G1,MS:META!G1)</f>
        <v>649</v>
      </c>
      <c r="H1" s="172">
        <f>SUM(Monthly!H1,MS:META!H1)</f>
        <v>749</v>
      </c>
      <c r="I1" s="172">
        <f>SUM(Monthly!I1,MS:META!I1)</f>
        <v>843</v>
      </c>
      <c r="J1" s="172">
        <f>SUM(Monthly!J1,MS:META!J1)</f>
        <v>944</v>
      </c>
      <c r="K1" s="172">
        <f>SUM(Monthly!K1,MS:META!K1)</f>
        <v>987</v>
      </c>
      <c r="L1" s="172">
        <f>SUM(Monthly!L1,MS:META!L1)</f>
        <v>1022</v>
      </c>
      <c r="M1" s="172">
        <f>SUM(Monthly!M1,MS:META!M1)</f>
        <v>1062</v>
      </c>
      <c r="N1" s="172">
        <f>SUM(Monthly!N1,MS:META!N1)</f>
        <v>1127</v>
      </c>
      <c r="O1" s="172">
        <f>SUM(Monthly!O1,MS:META!O1)</f>
        <v>1199</v>
      </c>
      <c r="P1" s="172">
        <f>SUM(Monthly!P1,MS:META!P1)</f>
        <v>1273</v>
      </c>
      <c r="Q1" s="53">
        <f>SUM(Monthly!Q1,MS:META!Q1)</f>
        <v>1367</v>
      </c>
      <c r="R1" s="53">
        <f>SUM(Monthly!R1,MS:META!R1)</f>
        <v>1456</v>
      </c>
      <c r="S1" s="53">
        <f>SUM(Monthly!S1,MS:META!S1)</f>
        <v>1548</v>
      </c>
      <c r="T1" s="53">
        <f>SUM(Monthly!T1,MS:META!T1)</f>
        <v>1623</v>
      </c>
      <c r="U1" s="53">
        <f>SUM(Monthly!U1,MS:META!U1)</f>
        <v>1691</v>
      </c>
      <c r="V1" s="53">
        <f>SUM(Monthly!V1,MS:META!V1)</f>
        <v>1757</v>
      </c>
      <c r="W1" s="53">
        <f>SUM(Monthly!W1,MS:META!W1)</f>
        <v>1811</v>
      </c>
      <c r="X1" s="53">
        <f>SUM(Monthly!X1,MS:META!X1)</f>
        <v>1867</v>
      </c>
      <c r="Y1" s="53">
        <f>SUM(Monthly!Y1,MS:META!Y1)</f>
        <v>1915</v>
      </c>
      <c r="Z1" s="53">
        <f>SUM(Monthly!Z1,MS:META!Z1)</f>
        <v>1969</v>
      </c>
      <c r="AA1" s="53">
        <f>SUM(Monthly!AA1,MS:META!AA1)</f>
        <v>2022</v>
      </c>
      <c r="AB1" s="53">
        <f>SUM(Monthly!AB1,MS:META!AB1)</f>
        <v>2072</v>
      </c>
      <c r="AC1" s="53">
        <f>SUM(Monthly!AC1,MS:META!AC1)</f>
        <v>2140</v>
      </c>
      <c r="AD1" s="53">
        <f>SUM(Monthly!AD1,MS:META!AD1)</f>
        <v>2205</v>
      </c>
      <c r="AE1" s="53">
        <f>SUM(Monthly!AE1,MS:META!AE1)</f>
        <v>2269</v>
      </c>
      <c r="AF1" s="53">
        <f>SUM(Monthly!AF1,MS:META!AF1)</f>
        <v>2330</v>
      </c>
      <c r="AG1" s="53">
        <f>SUM(Monthly!AG1,MS:META!AG1)</f>
        <v>2389</v>
      </c>
      <c r="AH1" s="53">
        <f>SUM(Monthly!AH1,MS:META!AH1)</f>
        <v>2456</v>
      </c>
      <c r="AI1" s="53">
        <f>SUM(Monthly!AI1,MS:META!AI1)</f>
        <v>2509</v>
      </c>
      <c r="AJ1" s="53">
        <f>SUM(Monthly!AJ1,MS:META!AJ1)</f>
        <v>2564</v>
      </c>
      <c r="AK1" s="53">
        <f>SUM(Monthly!AK1,MS:META!AK1)</f>
        <v>2616</v>
      </c>
      <c r="AL1" s="53">
        <f>SUM(Monthly!AL1,MS:META!AL1)</f>
        <v>2667</v>
      </c>
      <c r="AM1" s="53">
        <f>SUM(Monthly!AM1,MS:META!AM1)</f>
        <v>2717</v>
      </c>
      <c r="AN1" s="53">
        <f>SUM(Monthly!AN1,MS:META!AN1)</f>
        <v>2762</v>
      </c>
      <c r="AP1" s="53" cm="1">
        <f t="array" ref="AP1">SUM(_xlfn._xlws.FILTER($E1:$AN1,$E$25:$AN$25=DATE(AP$25,12,1),0))</f>
        <v>1273</v>
      </c>
      <c r="AQ1" s="53" cm="1">
        <f t="array" ref="AQ1">SUM(_xlfn._xlws.FILTER($E1:$AN1,$E$25:$AN$25=DATE(AQ$25,12,1),0))</f>
        <v>2072</v>
      </c>
      <c r="AR1" s="53" cm="1">
        <f t="array" ref="AR1">SUM(_xlfn._xlws.FILTER($E1:$AN1,$E$25:$AN$25=DATE(AR$25,12,1),0))</f>
        <v>2762</v>
      </c>
    </row>
    <row r="2" spans="1:44" x14ac:dyDescent="0.25">
      <c r="B2" s="1" t="s">
        <v>269</v>
      </c>
      <c r="C2" s="3"/>
      <c r="D2" s="3"/>
      <c r="E2" s="5"/>
      <c r="F2" s="15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P2" s="5"/>
      <c r="AQ2" s="5"/>
      <c r="AR2" s="5"/>
    </row>
    <row r="3" spans="1:44" hidden="1" outlineLevel="1" x14ac:dyDescent="0.25">
      <c r="B3" s="39"/>
      <c r="C3" s="3"/>
      <c r="D3" s="3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69"/>
      <c r="AF3" s="69"/>
      <c r="AG3" s="69"/>
      <c r="AH3" s="69"/>
      <c r="AI3" s="69"/>
      <c r="AJ3" s="69"/>
      <c r="AK3" s="69"/>
      <c r="AL3" s="69"/>
      <c r="AM3" s="69"/>
      <c r="AN3" s="69"/>
      <c r="AP3" s="69"/>
      <c r="AQ3" s="69"/>
      <c r="AR3" s="69"/>
    </row>
    <row r="4" spans="1:44" hidden="1" outlineLevel="1" x14ac:dyDescent="0.25">
      <c r="B4" s="39"/>
      <c r="C4" s="3"/>
      <c r="D4" s="3"/>
      <c r="E4" s="69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P4" s="5"/>
      <c r="AQ4" s="5"/>
      <c r="AR4" s="5"/>
    </row>
    <row r="5" spans="1:44" hidden="1" outlineLevel="1" x14ac:dyDescent="0.25">
      <c r="B5" s="39"/>
      <c r="C5" s="3"/>
      <c r="D5" s="3"/>
      <c r="E5" s="69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P5" s="5"/>
      <c r="AQ5" s="5"/>
      <c r="AR5" s="5"/>
    </row>
    <row r="6" spans="1:44" hidden="1" outlineLevel="1" x14ac:dyDescent="0.25">
      <c r="B6" s="94"/>
      <c r="C6" s="3"/>
      <c r="D6" s="3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P6" s="5"/>
      <c r="AQ6" s="5"/>
      <c r="AR6" s="5"/>
    </row>
    <row r="7" spans="1:44" hidden="1" outlineLevel="1" x14ac:dyDescent="0.25">
      <c r="B7" s="39"/>
      <c r="C7" s="3"/>
      <c r="D7" s="3"/>
      <c r="E7" s="69"/>
      <c r="F7" s="69"/>
      <c r="G7" s="69"/>
      <c r="H7" s="69"/>
      <c r="I7" s="69"/>
      <c r="J7" s="69"/>
      <c r="K7" s="69"/>
      <c r="L7" s="69"/>
      <c r="M7" s="69"/>
      <c r="N7" s="69"/>
      <c r="O7" s="69"/>
      <c r="P7" s="69"/>
      <c r="Q7" s="69"/>
      <c r="R7" s="69"/>
      <c r="S7" s="69"/>
      <c r="T7" s="69"/>
      <c r="U7" s="69"/>
      <c r="V7" s="69"/>
      <c r="W7" s="69"/>
      <c r="X7" s="69"/>
      <c r="Y7" s="69"/>
      <c r="Z7" s="69"/>
      <c r="AA7" s="69"/>
      <c r="AB7" s="69"/>
      <c r="AC7" s="69"/>
      <c r="AD7" s="69"/>
      <c r="AE7" s="69"/>
      <c r="AF7" s="69"/>
      <c r="AG7" s="69"/>
      <c r="AH7" s="69"/>
      <c r="AI7" s="69"/>
      <c r="AJ7" s="69"/>
      <c r="AK7" s="69"/>
      <c r="AL7" s="69"/>
      <c r="AM7" s="69"/>
      <c r="AN7" s="69"/>
      <c r="AP7" s="69"/>
      <c r="AQ7" s="69"/>
      <c r="AR7" s="69"/>
    </row>
    <row r="8" spans="1:44" hidden="1" outlineLevel="1" x14ac:dyDescent="0.25">
      <c r="B8" s="39"/>
      <c r="C8" s="3"/>
      <c r="D8" s="3"/>
      <c r="E8" s="69"/>
      <c r="F8" s="69"/>
      <c r="G8" s="69"/>
      <c r="H8" s="69"/>
      <c r="I8" s="69"/>
      <c r="J8" s="69"/>
      <c r="K8" s="69"/>
      <c r="L8" s="69"/>
      <c r="M8" s="69"/>
      <c r="N8" s="69"/>
      <c r="O8" s="69"/>
      <c r="P8" s="69"/>
      <c r="Q8" s="69"/>
      <c r="R8" s="69"/>
      <c r="S8" s="69"/>
      <c r="T8" s="69"/>
      <c r="U8" s="69"/>
      <c r="V8" s="69"/>
      <c r="W8" s="69"/>
      <c r="X8" s="69"/>
      <c r="Y8" s="69"/>
      <c r="Z8" s="69"/>
      <c r="AA8" s="69"/>
      <c r="AB8" s="69"/>
      <c r="AC8" s="69"/>
      <c r="AD8" s="69"/>
      <c r="AE8" s="69"/>
      <c r="AF8" s="69"/>
      <c r="AG8" s="69"/>
      <c r="AH8" s="69"/>
      <c r="AI8" s="69"/>
      <c r="AJ8" s="69"/>
      <c r="AK8" s="69"/>
      <c r="AL8" s="69"/>
      <c r="AM8" s="69"/>
      <c r="AN8" s="69"/>
      <c r="AP8" s="69"/>
      <c r="AQ8" s="69"/>
      <c r="AR8" s="69"/>
    </row>
    <row r="9" spans="1:44" hidden="1" outlineLevel="1" x14ac:dyDescent="0.25">
      <c r="B9" s="94"/>
      <c r="C9" s="3"/>
      <c r="D9" s="3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P9" s="5"/>
      <c r="AQ9" s="5"/>
      <c r="AR9" s="5"/>
    </row>
    <row r="10" spans="1:44" collapsed="1" x14ac:dyDescent="0.25">
      <c r="B10" s="55" t="s">
        <v>391</v>
      </c>
      <c r="C10" s="3"/>
      <c r="D10" s="3"/>
      <c r="E10" s="69">
        <f>SUM(Monthly!E10,MS:META!E10)</f>
        <v>98.353858784893276</v>
      </c>
      <c r="F10" s="69">
        <f>SUM(Monthly!F10,MS:META!F10)</f>
        <v>120.90623973727421</v>
      </c>
      <c r="G10" s="69">
        <f>SUM(Monthly!G10,MS:META!G10)</f>
        <v>127.8110016420361</v>
      </c>
      <c r="H10" s="69">
        <f>SUM(Monthly!H10,MS:META!H10)</f>
        <v>137.07766830870281</v>
      </c>
      <c r="I10" s="69">
        <f>SUM(Monthly!I10,MS:META!I10)</f>
        <v>149.8919540229885</v>
      </c>
      <c r="J10" s="69">
        <f>SUM(Monthly!J10,MS:META!J10)</f>
        <v>161.60623973727422</v>
      </c>
      <c r="K10" s="69">
        <f>SUM(Monthly!K10,MS:META!K10)</f>
        <v>109.87290640394089</v>
      </c>
      <c r="L10" s="69">
        <f>SUM(Monthly!L10,MS:META!L10)</f>
        <v>118.63004926108374</v>
      </c>
      <c r="M10" s="69">
        <f>SUM(Monthly!M10,MS:META!M10)</f>
        <v>121.36338259441708</v>
      </c>
      <c r="N10" s="69">
        <f>SUM(Monthly!N10,MS:META!N10)</f>
        <v>149.2633825944171</v>
      </c>
      <c r="O10" s="69">
        <f>SUM(Monthly!O10,MS:META!O10)</f>
        <v>160.26814449917896</v>
      </c>
      <c r="P10" s="69">
        <f>SUM(Monthly!P10,MS:META!P10)</f>
        <v>167.51576354679804</v>
      </c>
      <c r="Q10" s="69">
        <f>SUM(Monthly!Q10,MS:META!Q10)+SUM(MS:META!Q10)</f>
        <v>288.78243021346475</v>
      </c>
      <c r="R10" s="69">
        <f>SUM(Monthly!R10,MS:META!R10)+SUM(MS:META!R10)</f>
        <v>303.3110016420361</v>
      </c>
      <c r="S10" s="69">
        <f>SUM(Monthly!S10,MS:META!S10)+SUM(MS:META!S10)</f>
        <v>317.82528735632184</v>
      </c>
      <c r="T10" s="69">
        <f>SUM(Monthly!T10,MS:META!T10)+SUM(MS:META!T10)</f>
        <v>291.79195402298853</v>
      </c>
      <c r="U10" s="69">
        <f>SUM(Monthly!U10,MS:META!U10)+SUM(MS:META!U10)</f>
        <v>298.2776683087028</v>
      </c>
      <c r="V10" s="69">
        <f>SUM(Monthly!V10,MS:META!V10)+SUM(MS:META!V10)</f>
        <v>305.63004926108374</v>
      </c>
      <c r="W10" s="69">
        <f>SUM(Monthly!W10,MS:META!W10)+SUM(MS:META!W10)</f>
        <v>279.57766830870281</v>
      </c>
      <c r="X10" s="69">
        <f>SUM(Monthly!X10,MS:META!X10)+SUM(MS:META!X10)</f>
        <v>287.88719211822661</v>
      </c>
      <c r="Y10" s="69">
        <f>SUM(Monthly!Y10,MS:META!Y10)+SUM(MS:META!Y10)</f>
        <v>296.44433497536943</v>
      </c>
      <c r="Z10" s="69">
        <f>SUM(Monthly!Z10,MS:META!Z10)+SUM(MS:META!Z10)</f>
        <v>303.7443349753695</v>
      </c>
      <c r="AA10" s="69">
        <f>SUM(Monthly!AA10,MS:META!AA10)+SUM(MS:META!AA10)</f>
        <v>305.58719211822665</v>
      </c>
      <c r="AB10" s="69">
        <f>SUM(Monthly!AB10,MS:META!AB10)+SUM(MS:META!AB10)</f>
        <v>310.37290640394087</v>
      </c>
      <c r="AC10" s="69">
        <f>SUM(Monthly!AC10,MS:META!AC10)+SUM(MS:META!AC10)</f>
        <v>365.70623973727419</v>
      </c>
      <c r="AD10" s="69">
        <f>SUM(Monthly!AD10,MS:META!AD10)+SUM(MS:META!AD10)</f>
        <v>364.59195402298849</v>
      </c>
      <c r="AE10" s="69">
        <f>SUM(Monthly!AE10,MS:META!AE10)+SUM(MS:META!AE10)</f>
        <v>374.3110016420361</v>
      </c>
      <c r="AF10" s="69">
        <f>SUM(Monthly!AF10,MS:META!AF10)+SUM(MS:META!AF10)</f>
        <v>380.49195402298847</v>
      </c>
      <c r="AG10" s="69">
        <f>SUM(Monthly!AG10,MS:META!AG10)+SUM(MS:META!AG10)</f>
        <v>389.59195402298855</v>
      </c>
      <c r="AH10" s="69">
        <f>SUM(Monthly!AH10,MS:META!AH10)+SUM(MS:META!AH10)</f>
        <v>402.69195402298851</v>
      </c>
      <c r="AI10" s="69">
        <f>SUM(Monthly!AI10,MS:META!AI10)+SUM(MS:META!AI10)</f>
        <v>378.21576354679803</v>
      </c>
      <c r="AJ10" s="69">
        <f>SUM(Monthly!AJ10,MS:META!AJ10)+SUM(MS:META!AJ10)</f>
        <v>386.88243021346472</v>
      </c>
      <c r="AK10" s="69">
        <f>SUM(Monthly!AK10,MS:META!AK10)+SUM(MS:META!AK10)</f>
        <v>386.45862068965522</v>
      </c>
      <c r="AL10" s="69">
        <f>SUM(Monthly!AL10,MS:META!AL10)+SUM(MS:META!AL10)</f>
        <v>399.37290640394087</v>
      </c>
      <c r="AM10" s="69">
        <f>SUM(Monthly!AM10,MS:META!AM10)+SUM(MS:META!AM10)</f>
        <v>396.89195402298856</v>
      </c>
      <c r="AN10" s="69">
        <f>SUM(Monthly!AN10,MS:META!AN10)+SUM(MS:META!AN10)</f>
        <v>398.12528735632185</v>
      </c>
      <c r="AP10" s="69" cm="1">
        <f t="array" ref="AP10">SUM(_xlfn._xlws.FILTER($E10:$AN10,YEAR($E$25:$AN$25)=AP$25,0))</f>
        <v>1622.5605911330051</v>
      </c>
      <c r="AQ10" s="69" cm="1">
        <f t="array" ref="AQ10">SUM(_xlfn._xlws.FILTER($E10:$AN10,YEAR($E$25:$AN$25)=AQ$25,0))</f>
        <v>3589.2320197044332</v>
      </c>
      <c r="AR10" s="69" cm="1">
        <f t="array" ref="AR10">SUM(_xlfn._xlws.FILTER($E10:$AN10,YEAR($E$25:$AN$25)=AR$25,0))</f>
        <v>4623.3320197044332</v>
      </c>
    </row>
    <row r="11" spans="1:44" x14ac:dyDescent="0.25">
      <c r="B11" s="55" t="s">
        <v>392</v>
      </c>
      <c r="C11" s="3"/>
      <c r="D11" s="3"/>
      <c r="E11" s="69">
        <f>SUM(Monthly!E11,MS:META!E11)</f>
        <v>28.766666666666669</v>
      </c>
      <c r="F11" s="69">
        <f>SUM(Monthly!F11,MS:META!F11)</f>
        <v>37.1</v>
      </c>
      <c r="G11" s="69">
        <f>SUM(Monthly!G11,MS:META!G11)</f>
        <v>45.533333333333331</v>
      </c>
      <c r="H11" s="69">
        <f>SUM(Monthly!H11,MS:META!H11)</f>
        <v>54.300000000000004</v>
      </c>
      <c r="I11" s="69">
        <f>SUM(Monthly!I11,MS:META!I11)</f>
        <v>63.300000000000004</v>
      </c>
      <c r="J11" s="69">
        <f>SUM(Monthly!J11,MS:META!J11)</f>
        <v>72.400000000000006</v>
      </c>
      <c r="K11" s="69">
        <f>SUM(Monthly!K11,MS:META!K11)</f>
        <v>77.966666666666669</v>
      </c>
      <c r="L11" s="69">
        <f>SUM(Monthly!L11,MS:META!L11)</f>
        <v>80.866666666666674</v>
      </c>
      <c r="M11" s="69">
        <f>SUM(Monthly!M11,MS:META!M11)</f>
        <v>83.600000000000009</v>
      </c>
      <c r="N11" s="69">
        <f>SUM(Monthly!N11,MS:META!N11)</f>
        <v>88.7</v>
      </c>
      <c r="O11" s="69">
        <f>SUM(Monthly!O11,MS:META!O11)</f>
        <v>94.23333333333332</v>
      </c>
      <c r="P11" s="69">
        <f>SUM(Monthly!P11,MS:META!P11)</f>
        <v>100.00000000000001</v>
      </c>
      <c r="Q11" s="69">
        <f>SUM(Monthly!Q11,MS:META!Q11)+SUM(MS:META!Q11)</f>
        <v>164.26666666666668</v>
      </c>
      <c r="R11" s="69">
        <f>SUM(Monthly!R11,MS:META!R11)+SUM(MS:META!R11)</f>
        <v>177.06666666666666</v>
      </c>
      <c r="S11" s="69">
        <f>SUM(Monthly!S11,MS:META!S11)+SUM(MS:META!S11)</f>
        <v>189.86666666666667</v>
      </c>
      <c r="T11" s="69">
        <f>SUM(Monthly!T11,MS:META!T11)+SUM(MS:META!T11)</f>
        <v>199.23333333333335</v>
      </c>
      <c r="U11" s="69">
        <f>SUM(Monthly!U11,MS:META!U11)+SUM(MS:META!U11)</f>
        <v>208.63333333333333</v>
      </c>
      <c r="V11" s="69">
        <f>SUM(Monthly!V11,MS:META!V11)+SUM(MS:META!V11)</f>
        <v>217.7</v>
      </c>
      <c r="W11" s="69">
        <f>SUM(Monthly!W11,MS:META!W11)+SUM(MS:META!W11)</f>
        <v>223.53333333333336</v>
      </c>
      <c r="X11" s="69">
        <f>SUM(Monthly!X11,MS:META!X11)+SUM(MS:META!X11)</f>
        <v>229.90000000000003</v>
      </c>
      <c r="Y11" s="69">
        <f>SUM(Monthly!Y11,MS:META!Y11)+SUM(MS:META!Y11)</f>
        <v>236.2</v>
      </c>
      <c r="Z11" s="69">
        <f>SUM(Monthly!Z11,MS:META!Z11)+SUM(MS:META!Z11)</f>
        <v>242.90000000000003</v>
      </c>
      <c r="AA11" s="69">
        <f>SUM(Monthly!AA11,MS:META!AA11)+SUM(MS:META!AA11)</f>
        <v>249.40000000000003</v>
      </c>
      <c r="AB11" s="69">
        <f>SUM(Monthly!AB11,MS:META!AB11)+SUM(MS:META!AB11)</f>
        <v>255.89999999999998</v>
      </c>
      <c r="AC11" s="69">
        <f>SUM(Monthly!AC11,MS:META!AC11)+SUM(MS:META!AC11)</f>
        <v>266.83333333333331</v>
      </c>
      <c r="AD11" s="69">
        <f>SUM(Monthly!AD11,MS:META!AD11)+SUM(MS:META!AD11)</f>
        <v>276.43333333333334</v>
      </c>
      <c r="AE11" s="69">
        <f>SUM(Monthly!AE11,MS:META!AE11)+SUM(MS:META!AE11)</f>
        <v>286.06666666666666</v>
      </c>
      <c r="AF11" s="69">
        <f>SUM(Monthly!AF11,MS:META!AF11)+SUM(MS:META!AF11)</f>
        <v>295.33333333333337</v>
      </c>
      <c r="AG11" s="69">
        <f>SUM(Monthly!AG11,MS:META!AG11)+SUM(MS:META!AG11)</f>
        <v>304.43333333333328</v>
      </c>
      <c r="AH11" s="69">
        <f>SUM(Monthly!AH11,MS:META!AH11)+SUM(MS:META!AH11)</f>
        <v>313.93333333333334</v>
      </c>
      <c r="AI11" s="69">
        <f>SUM(Monthly!AI11,MS:META!AI11)+SUM(MS:META!AI11)</f>
        <v>319.60000000000002</v>
      </c>
      <c r="AJ11" s="69">
        <f>SUM(Monthly!AJ11,MS:META!AJ11)+SUM(MS:META!AJ11)</f>
        <v>325.86666666666673</v>
      </c>
      <c r="AK11" s="69">
        <f>SUM(Monthly!AK11,MS:META!AK11)+SUM(MS:META!AK11)</f>
        <v>331.90000000000003</v>
      </c>
      <c r="AL11" s="69">
        <f>SUM(Monthly!AL11,MS:META!AL11)+SUM(MS:META!AL11)</f>
        <v>338.30000000000007</v>
      </c>
      <c r="AM11" s="69">
        <f>SUM(Monthly!AM11,MS:META!AM11)+SUM(MS:META!AM11)</f>
        <v>343.5333333333333</v>
      </c>
      <c r="AN11" s="69">
        <f>SUM(Monthly!AN11,MS:META!AN11)+SUM(MS:META!AN11)</f>
        <v>348.36666666666667</v>
      </c>
      <c r="AP11" s="69" cm="1">
        <f t="array" ref="AP11">SUM(_xlfn._xlws.FILTER($E11:$AN11,YEAR($E$25:$AN$25)=AP$25,0))</f>
        <v>826.76666666666677</v>
      </c>
      <c r="AQ11" s="69" cm="1">
        <f t="array" ref="AQ11">SUM(_xlfn._xlws.FILTER($E11:$AN11,YEAR($E$25:$AN$25)=AQ$25,0))</f>
        <v>2594.6000000000004</v>
      </c>
      <c r="AR11" s="69" cm="1">
        <f t="array" ref="AR11">SUM(_xlfn._xlws.FILTER($E11:$AN11,YEAR($E$25:$AN$25)=AR$25,0))</f>
        <v>3750.6000000000004</v>
      </c>
    </row>
    <row r="12" spans="1:44" x14ac:dyDescent="0.25">
      <c r="B12" s="55" t="s">
        <v>393</v>
      </c>
      <c r="C12" s="3"/>
      <c r="D12" s="3"/>
      <c r="E12" s="69">
        <f>E1+E11</f>
        <v>488.76666666666665</v>
      </c>
      <c r="F12" s="69">
        <f t="shared" ref="F12:AN12" si="0">F1+F11</f>
        <v>588.1</v>
      </c>
      <c r="G12" s="69">
        <f t="shared" si="0"/>
        <v>694.5333333333333</v>
      </c>
      <c r="H12" s="69">
        <f t="shared" si="0"/>
        <v>803.3</v>
      </c>
      <c r="I12" s="69">
        <f t="shared" si="0"/>
        <v>906.3</v>
      </c>
      <c r="J12" s="69">
        <f t="shared" si="0"/>
        <v>1016.4</v>
      </c>
      <c r="K12" s="69">
        <f t="shared" si="0"/>
        <v>1064.9666666666667</v>
      </c>
      <c r="L12" s="69">
        <f t="shared" si="0"/>
        <v>1102.8666666666668</v>
      </c>
      <c r="M12" s="69">
        <f t="shared" si="0"/>
        <v>1145.5999999999999</v>
      </c>
      <c r="N12" s="69">
        <f t="shared" si="0"/>
        <v>1215.7</v>
      </c>
      <c r="O12" s="69">
        <f t="shared" si="0"/>
        <v>1293.2333333333333</v>
      </c>
      <c r="P12" s="69">
        <f t="shared" si="0"/>
        <v>1373</v>
      </c>
      <c r="Q12" s="69">
        <f t="shared" si="0"/>
        <v>1531.2666666666667</v>
      </c>
      <c r="R12" s="69">
        <f t="shared" si="0"/>
        <v>1633.0666666666666</v>
      </c>
      <c r="S12" s="69">
        <f t="shared" si="0"/>
        <v>1737.8666666666668</v>
      </c>
      <c r="T12" s="69">
        <f t="shared" si="0"/>
        <v>1822.2333333333333</v>
      </c>
      <c r="U12" s="69">
        <f t="shared" si="0"/>
        <v>1899.6333333333332</v>
      </c>
      <c r="V12" s="69">
        <f t="shared" si="0"/>
        <v>1974.7</v>
      </c>
      <c r="W12" s="69">
        <f t="shared" si="0"/>
        <v>2034.5333333333333</v>
      </c>
      <c r="X12" s="69">
        <f t="shared" si="0"/>
        <v>2096.9</v>
      </c>
      <c r="Y12" s="69">
        <f t="shared" si="0"/>
        <v>2151.1999999999998</v>
      </c>
      <c r="Z12" s="69">
        <f t="shared" si="0"/>
        <v>2211.9</v>
      </c>
      <c r="AA12" s="69">
        <f t="shared" si="0"/>
        <v>2271.4</v>
      </c>
      <c r="AB12" s="69">
        <f t="shared" si="0"/>
        <v>2327.9</v>
      </c>
      <c r="AC12" s="69">
        <f t="shared" si="0"/>
        <v>2406.8333333333335</v>
      </c>
      <c r="AD12" s="69">
        <f t="shared" si="0"/>
        <v>2481.4333333333334</v>
      </c>
      <c r="AE12" s="69">
        <f t="shared" si="0"/>
        <v>2555.0666666666666</v>
      </c>
      <c r="AF12" s="69">
        <f t="shared" si="0"/>
        <v>2625.3333333333335</v>
      </c>
      <c r="AG12" s="69">
        <f t="shared" si="0"/>
        <v>2693.4333333333334</v>
      </c>
      <c r="AH12" s="69">
        <f t="shared" si="0"/>
        <v>2769.9333333333334</v>
      </c>
      <c r="AI12" s="69">
        <f t="shared" si="0"/>
        <v>2828.6</v>
      </c>
      <c r="AJ12" s="69">
        <f t="shared" si="0"/>
        <v>2889.8666666666668</v>
      </c>
      <c r="AK12" s="69">
        <f t="shared" si="0"/>
        <v>2947.9</v>
      </c>
      <c r="AL12" s="69">
        <f t="shared" si="0"/>
        <v>3005.3</v>
      </c>
      <c r="AM12" s="69">
        <f t="shared" si="0"/>
        <v>3060.5333333333333</v>
      </c>
      <c r="AN12" s="69">
        <f t="shared" si="0"/>
        <v>3110.3666666666668</v>
      </c>
      <c r="AP12" s="69">
        <f>AP1+AP11</f>
        <v>2099.7666666666669</v>
      </c>
      <c r="AQ12" s="69">
        <f t="shared" ref="AQ12:AR12" si="1">AQ1+AQ11</f>
        <v>4666.6000000000004</v>
      </c>
      <c r="AR12" s="69">
        <f t="shared" si="1"/>
        <v>6512.6</v>
      </c>
    </row>
    <row r="13" spans="1:44" hidden="1" outlineLevel="1" x14ac:dyDescent="0.25">
      <c r="B13" s="3"/>
      <c r="C13" s="3"/>
      <c r="D13" s="3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P13" s="5"/>
      <c r="AQ13" s="5"/>
      <c r="AR13" s="5"/>
    </row>
    <row r="14" spans="1:44" hidden="1" outlineLevel="1" x14ac:dyDescent="0.25">
      <c r="B14" s="3"/>
      <c r="C14" s="3"/>
      <c r="D14" s="3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P14" s="5"/>
      <c r="AQ14" s="5"/>
      <c r="AR14" s="5"/>
    </row>
    <row r="15" spans="1:44" hidden="1" outlineLevel="1" x14ac:dyDescent="0.25">
      <c r="B15" s="3"/>
      <c r="C15" s="3"/>
      <c r="D15" s="3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P15" s="5"/>
      <c r="AQ15" s="5"/>
      <c r="AR15" s="5"/>
    </row>
    <row r="16" spans="1:44" hidden="1" outlineLevel="1" x14ac:dyDescent="0.25">
      <c r="B16" s="3"/>
      <c r="C16" s="3"/>
      <c r="D16" s="3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P16" s="5"/>
      <c r="AQ16" s="5"/>
      <c r="AR16" s="5"/>
    </row>
    <row r="17" spans="2:44" hidden="1" outlineLevel="1" x14ac:dyDescent="0.25">
      <c r="B17" s="3"/>
      <c r="C17" s="3"/>
      <c r="D17" s="3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P17" s="5"/>
      <c r="AQ17" s="5"/>
      <c r="AR17" s="5"/>
    </row>
    <row r="18" spans="2:44" hidden="1" outlineLevel="1" x14ac:dyDescent="0.25">
      <c r="B18" s="3"/>
      <c r="C18" s="3"/>
      <c r="D18" s="3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P18" s="5"/>
      <c r="AQ18" s="5"/>
      <c r="AR18" s="5"/>
    </row>
    <row r="19" spans="2:44" hidden="1" outlineLevel="1" x14ac:dyDescent="0.25">
      <c r="B19" s="3"/>
      <c r="C19" s="3"/>
      <c r="D19" s="3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P19" s="5"/>
      <c r="AQ19" s="5"/>
      <c r="AR19" s="5"/>
    </row>
    <row r="20" spans="2:44" hidden="1" outlineLevel="1" x14ac:dyDescent="0.25">
      <c r="B20" s="3"/>
      <c r="C20" s="3"/>
      <c r="D20" s="3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P20" s="5"/>
      <c r="AQ20" s="5"/>
      <c r="AR20" s="5"/>
    </row>
    <row r="21" spans="2:44" collapsed="1" x14ac:dyDescent="0.25">
      <c r="B21" s="3"/>
      <c r="D21" s="55"/>
      <c r="E21" s="60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107"/>
      <c r="S21" s="107"/>
      <c r="T21" s="107"/>
      <c r="U21" s="107"/>
      <c r="V21" s="107"/>
      <c r="W21" s="107"/>
      <c r="X21" s="107"/>
      <c r="Y21" s="107"/>
      <c r="Z21" s="107"/>
      <c r="AA21" s="107"/>
      <c r="AB21" s="107"/>
      <c r="AC21" s="107"/>
      <c r="AD21" s="107"/>
      <c r="AE21" s="107"/>
      <c r="AF21" s="107"/>
      <c r="AG21" s="107"/>
      <c r="AH21" s="107"/>
      <c r="AI21" s="107"/>
      <c r="AJ21" s="107"/>
      <c r="AK21" s="107"/>
      <c r="AL21" s="107"/>
      <c r="AM21" s="107"/>
      <c r="AN21" s="107"/>
      <c r="AP21" s="107" cm="1">
        <f t="array" ref="AP21">SUM(_xlfn._xlws.FILTER($E21:$AN21,$E$25:$AN$25=DATE(AP$25,12,1),0))</f>
        <v>0</v>
      </c>
      <c r="AQ21" s="107" cm="1">
        <f t="array" ref="AQ21">SUM(_xlfn._xlws.FILTER($E21:$AN21,$E$25:$AN$25=DATE(AQ$25,12,1),0))</f>
        <v>0</v>
      </c>
      <c r="AR21" s="107" cm="1">
        <f t="array" ref="AR21">SUM(_xlfn._xlws.FILTER($E21:$AN21,$E$25:$AN$25=DATE(AR$25,12,1),0))</f>
        <v>0</v>
      </c>
    </row>
    <row r="22" spans="2:44" collapsed="1" x14ac:dyDescent="0.25">
      <c r="B22" s="2" t="s">
        <v>394</v>
      </c>
      <c r="D22" s="55"/>
      <c r="E22" s="60" cm="1">
        <f t="array" ref="E22:AN22">_xlfn.BYCOL($E$26:$AN$30,_xlfn.LAMBDA(_xlpm.a,SUM(_xlpm.a)))/$E$23:$AN$23</f>
        <v>121.13642723688285</v>
      </c>
      <c r="F22" s="107">
        <v>128.23691812117767</v>
      </c>
      <c r="G22" s="107">
        <v>134.07234301287309</v>
      </c>
      <c r="H22" s="107">
        <v>139.09913977691016</v>
      </c>
      <c r="I22" s="107">
        <v>142.76623672834896</v>
      </c>
      <c r="J22" s="107">
        <v>145.50114062619488</v>
      </c>
      <c r="K22" s="107">
        <v>145.47919816881628</v>
      </c>
      <c r="L22" s="107">
        <v>146.05103318375851</v>
      </c>
      <c r="M22" s="107">
        <v>146.69967976771881</v>
      </c>
      <c r="N22" s="107">
        <v>147.60788465914922</v>
      </c>
      <c r="O22" s="107">
        <v>148.43778304738007</v>
      </c>
      <c r="P22" s="107">
        <v>149.10213022695751</v>
      </c>
      <c r="Q22" s="107">
        <v>154.62034410593617</v>
      </c>
      <c r="R22" s="107">
        <v>155.41144351720774</v>
      </c>
      <c r="S22" s="107">
        <v>156.24238944816472</v>
      </c>
      <c r="T22" s="107">
        <v>156.74361606367552</v>
      </c>
      <c r="U22" s="107">
        <v>157.08165281882333</v>
      </c>
      <c r="V22" s="107">
        <v>157.28273444126307</v>
      </c>
      <c r="W22" s="107">
        <v>157.21193867955739</v>
      </c>
      <c r="X22" s="107">
        <v>157.24760519715807</v>
      </c>
      <c r="Y22" s="107">
        <v>157.24480388530725</v>
      </c>
      <c r="Z22" s="107">
        <v>157.30780472091072</v>
      </c>
      <c r="AA22" s="107">
        <v>157.3855669040716</v>
      </c>
      <c r="AB22" s="107">
        <v>157.60634173208032</v>
      </c>
      <c r="AC22" s="107">
        <v>157.94090070995145</v>
      </c>
      <c r="AD22" s="107">
        <v>158.22725537025295</v>
      </c>
      <c r="AE22" s="107">
        <v>158.58604581767042</v>
      </c>
      <c r="AF22" s="107">
        <v>158.88358498450239</v>
      </c>
      <c r="AG22" s="107">
        <v>159.10391186751656</v>
      </c>
      <c r="AH22" s="107">
        <v>159.16275549819497</v>
      </c>
      <c r="AI22" s="107">
        <v>159.0812059711638</v>
      </c>
      <c r="AJ22" s="107">
        <v>159.06116423377767</v>
      </c>
      <c r="AK22" s="107">
        <v>159.1150478163332</v>
      </c>
      <c r="AL22" s="107">
        <v>159.2759971196804</v>
      </c>
      <c r="AM22" s="107">
        <v>159.43771847181895</v>
      </c>
      <c r="AN22" s="107">
        <v>159.58161720505282</v>
      </c>
      <c r="AP22" s="107" cm="1">
        <f t="array" ref="AP22">SUM(_xlfn._xlws.FILTER($E22:$AN22,$E$25:$AN$25=DATE(AP$25,12,1),0))</f>
        <v>149.10213022695751</v>
      </c>
      <c r="AQ22" s="107" cm="1">
        <f t="array" ref="AQ22">SUM(_xlfn._xlws.FILTER($E22:$AN22,$E$25:$AN$25=DATE(AQ$25,12,1),0))</f>
        <v>157.60634173208032</v>
      </c>
      <c r="AR22" s="107" cm="1">
        <f t="array" ref="AR22">SUM(_xlfn._xlws.FILTER($E22:$AN22,$E$25:$AN$25=DATE(AR$25,12,1),0))</f>
        <v>159.58161720505282</v>
      </c>
    </row>
    <row r="23" spans="2:44" x14ac:dyDescent="0.25">
      <c r="B23" s="2" t="s">
        <v>53</v>
      </c>
      <c r="C23" s="3"/>
      <c r="D23" s="3"/>
      <c r="E23" s="53">
        <f>SUM(Monthly!E23,MS:META!E23)</f>
        <v>32343.520000000004</v>
      </c>
      <c r="F23" s="53">
        <f>SUM(Monthly!F23,MS:META!F23)</f>
        <v>37682.186666666661</v>
      </c>
      <c r="G23" s="53">
        <f>SUM(Monthly!G23,MS:META!G23)</f>
        <v>43702.559999999998</v>
      </c>
      <c r="H23" s="53">
        <f>SUM(Monthly!H23,MS:META!H23)</f>
        <v>49877.666666666664</v>
      </c>
      <c r="I23" s="53">
        <f>SUM(Monthly!I23,MS:META!I23)</f>
        <v>55527.56</v>
      </c>
      <c r="J23" s="53">
        <f>SUM(Monthly!J23,MS:META!J23)</f>
        <v>61699</v>
      </c>
      <c r="K23" s="53">
        <f>SUM(Monthly!K23,MS:META!K23)</f>
        <v>65518.64</v>
      </c>
      <c r="L23" s="53">
        <f>SUM(Monthly!L23,MS:META!L23)</f>
        <v>68442.880000000005</v>
      </c>
      <c r="M23" s="53">
        <f>SUM(Monthly!M23,MS:META!M23)</f>
        <v>71785.41333333333</v>
      </c>
      <c r="N23" s="53">
        <f>SUM(Monthly!N23,MS:META!N23)</f>
        <v>76632.159999999989</v>
      </c>
      <c r="O23" s="53">
        <f>SUM(Monthly!O23,MS:META!O23)</f>
        <v>82109.133333333317</v>
      </c>
      <c r="P23" s="53">
        <f>SUM(Monthly!P23,MS:META!P23)</f>
        <v>87687.453333333338</v>
      </c>
      <c r="Q23" s="53">
        <f>SUM(Monthly!Q23,MS:META!Q23)</f>
        <v>94298.306666666656</v>
      </c>
      <c r="R23" s="53">
        <f>SUM(Monthly!R23,MS:META!R23)</f>
        <v>100279.22666666665</v>
      </c>
      <c r="S23" s="53">
        <f>SUM(Monthly!S23,MS:META!S23)</f>
        <v>106626.66666666664</v>
      </c>
      <c r="T23" s="53">
        <f>SUM(Monthly!T23,MS:META!T23)</f>
        <v>112096.45333333329</v>
      </c>
      <c r="U23" s="53">
        <f>SUM(Monthly!U23,MS:META!U23)</f>
        <v>116831.14666666664</v>
      </c>
      <c r="V23" s="53">
        <f>SUM(Monthly!V23,MS:META!V23)</f>
        <v>121359.62666666665</v>
      </c>
      <c r="W23" s="53">
        <f>SUM(Monthly!W23,MS:META!W23)</f>
        <v>125588.90666666663</v>
      </c>
      <c r="X23" s="53">
        <f>SUM(Monthly!X23,MS:META!X23)</f>
        <v>130028.21333333333</v>
      </c>
      <c r="Y23" s="53">
        <f>SUM(Monthly!Y23,MS:META!Y23)</f>
        <v>133787.5733333333</v>
      </c>
      <c r="Z23" s="53">
        <f>SUM(Monthly!Z23,MS:META!Z23)</f>
        <v>137856.69333333333</v>
      </c>
      <c r="AA23" s="53">
        <f>SUM(Monthly!AA23,MS:META!AA23)</f>
        <v>141874.18666666662</v>
      </c>
      <c r="AB23" s="53">
        <f>SUM(Monthly!AB23,MS:META!AB23)</f>
        <v>145736.79999999996</v>
      </c>
      <c r="AC23" s="53">
        <f>SUM(Monthly!AC23,MS:META!AC23)</f>
        <v>150368.5333333333</v>
      </c>
      <c r="AD23" s="53">
        <f>SUM(Monthly!AD23,MS:META!AD23)</f>
        <v>154845.38666666663</v>
      </c>
      <c r="AE23" s="53">
        <f>SUM(Monthly!AE23,MS:META!AE23)</f>
        <v>159217.22666666663</v>
      </c>
      <c r="AF23" s="53">
        <f>SUM(Monthly!AF23,MS:META!AF23)</f>
        <v>163487.57333333333</v>
      </c>
      <c r="AG23" s="53">
        <f>SUM(Monthly!AG23,MS:META!AG23)</f>
        <v>167494.50666666665</v>
      </c>
      <c r="AH23" s="53">
        <f>SUM(Monthly!AH23,MS:META!AH23)</f>
        <v>172181.3866666666</v>
      </c>
      <c r="AI23" s="53">
        <f>SUM(Monthly!AI23,MS:META!AI23)</f>
        <v>176359.03999999998</v>
      </c>
      <c r="AJ23" s="53">
        <f>SUM(Monthly!AJ23,MS:META!AJ23)</f>
        <v>180800.1066666666</v>
      </c>
      <c r="AK23" s="53">
        <f>SUM(Monthly!AK23,MS:META!AK23)</f>
        <v>184926.1333333333</v>
      </c>
      <c r="AL23" s="53">
        <f>SUM(Monthly!AL23,MS:META!AL23)</f>
        <v>188840.37333333326</v>
      </c>
      <c r="AM23" s="53">
        <f>SUM(Monthly!AM23,MS:META!AM23)</f>
        <v>192863.14666666655</v>
      </c>
      <c r="AN23" s="53">
        <f>SUM(Monthly!AN23,MS:META!AN23)</f>
        <v>196627.78666666656</v>
      </c>
      <c r="AP23" s="53" cm="1">
        <f t="array" ref="AP23">SUM(_xlfn._xlws.FILTER($E23:$AN23,$E$25:$AN$25=DATE(AP$25,12,1),0))</f>
        <v>87687.453333333338</v>
      </c>
      <c r="AQ23" s="53" cm="1">
        <f t="array" ref="AQ23">SUM(_xlfn._xlws.FILTER($E23:$AN23,$E$25:$AN$25=DATE(AQ$25,12,1),0))</f>
        <v>145736.79999999996</v>
      </c>
      <c r="AR23" s="53" cm="1">
        <f t="array" ref="AR23">SUM(_xlfn._xlws.FILTER($E23:$AN23,$E$25:$AN$25=DATE(AR$25,12,1),0))</f>
        <v>196627.78666666656</v>
      </c>
    </row>
    <row r="24" spans="2:44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P24" s="5"/>
      <c r="AQ24" s="5"/>
      <c r="AR24" s="5"/>
    </row>
    <row r="25" spans="2:44" x14ac:dyDescent="0.25">
      <c r="B25" s="1" t="s">
        <v>21</v>
      </c>
      <c r="E25" s="38" cm="1">
        <f t="array" ref="E25:AN25">DATE(Base!BJ4,_xlfn.SEQUENCE(1,COUNTA(Base!$BJ$4:$BL$4)*12,1),1)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P25" s="163">
        <v>2026</v>
      </c>
      <c r="AQ25" s="163">
        <v>2027</v>
      </c>
      <c r="AR25" s="163">
        <v>2028</v>
      </c>
    </row>
    <row r="26" spans="2:44" x14ac:dyDescent="0.25">
      <c r="B26" s="39" t="s">
        <v>379</v>
      </c>
      <c r="E26" s="12">
        <f>SUM(Monthly!E26,MS:META!E26)</f>
        <v>3060477.9542271993</v>
      </c>
      <c r="F26" s="12">
        <f>SUM(Monthly!F26,MS:META!F26)</f>
        <v>3823869.527859333</v>
      </c>
      <c r="G26" s="12">
        <f>SUM(Monthly!G26,MS:META!G26)</f>
        <v>4678298.4410378663</v>
      </c>
      <c r="H26" s="12">
        <f>SUM(Monthly!H26,MS:META!H26)</f>
        <v>5579113.9135627998</v>
      </c>
      <c r="I26" s="12">
        <f>SUM(Monthly!I26,MS:META!I26)</f>
        <v>6406897.3402043991</v>
      </c>
      <c r="J26" s="12">
        <f>SUM(Monthly!J26,MS:META!J26)</f>
        <v>7280225.8739374653</v>
      </c>
      <c r="K26" s="12">
        <f>SUM(Monthly!K26,MS:META!K26)</f>
        <v>7721622.477963333</v>
      </c>
      <c r="L26" s="12">
        <f>SUM(Monthly!L26,MS:META!L26)</f>
        <v>8098092.2838157341</v>
      </c>
      <c r="M26" s="12">
        <f>SUM(Monthly!M26,MS:META!M26)</f>
        <v>8531881.6742154658</v>
      </c>
      <c r="N26" s="12">
        <f>SUM(Monthly!N26,MS:META!N26)</f>
        <v>9169142.2450090665</v>
      </c>
      <c r="O26" s="12">
        <f>SUM(Monthly!O26,MS:META!O26)</f>
        <v>9883228.2432103995</v>
      </c>
      <c r="P26" s="12">
        <f>SUM(Monthly!P26,MS:META!P26)</f>
        <v>10604694.113180263</v>
      </c>
      <c r="Q26" s="12">
        <f>SUM(Monthly!Q26,MS:META!Q26)</f>
        <v>11837387.172553211</v>
      </c>
      <c r="R26" s="12">
        <f>SUM(Monthly!R26,MS:META!R26)</f>
        <v>12663351.631369485</v>
      </c>
      <c r="S26" s="12">
        <f>SUM(Monthly!S26,MS:META!S26)</f>
        <v>13547382.835482683</v>
      </c>
      <c r="T26" s="12">
        <f>SUM(Monthly!T26,MS:META!T26)</f>
        <v>14292344.838340553</v>
      </c>
      <c r="U26" s="12">
        <f>SUM(Monthly!U26,MS:META!U26)</f>
        <v>14932478.440471385</v>
      </c>
      <c r="V26" s="12">
        <f>SUM(Monthly!V26,MS:META!V26)</f>
        <v>15533923.026955752</v>
      </c>
      <c r="W26" s="12">
        <f>SUM(Monthly!W26,MS:META!W26)</f>
        <v>16061875.406496245</v>
      </c>
      <c r="X26" s="12">
        <f>SUM(Monthly!X26,MS:META!X26)</f>
        <v>16629618.843262967</v>
      </c>
      <c r="Y26" s="12">
        <f>SUM(Monthly!Y26,MS:META!Y26)</f>
        <v>17106626.008847333</v>
      </c>
      <c r="Z26" s="12">
        <f>SUM(Monthly!Z26,MS:META!Z26)</f>
        <v>17632557.288631704</v>
      </c>
      <c r="AA26" s="12">
        <f>SUM(Monthly!AA26,MS:META!AA26)</f>
        <v>18154170.074489571</v>
      </c>
      <c r="AB26" s="12">
        <f>SUM(Monthly!AB26,MS:META!AB26)</f>
        <v>18676371.905675482</v>
      </c>
      <c r="AC26" s="12">
        <f>SUM(Monthly!AC26,MS:META!AC26)</f>
        <v>19318724.75496589</v>
      </c>
      <c r="AD26" s="12">
        <f>SUM(Monthly!AD26,MS:META!AD26)</f>
        <v>19936615.547156304</v>
      </c>
      <c r="AE26" s="12">
        <f>SUM(Monthly!AE26,MS:META!AE26)</f>
        <v>20554356.534472622</v>
      </c>
      <c r="AF26" s="12">
        <f>SUM(Monthly!AF26,MS:META!AF26)</f>
        <v>21151588.703538865</v>
      </c>
      <c r="AG26" s="12">
        <f>SUM(Monthly!AG26,MS:META!AG26)</f>
        <v>21705891.510042947</v>
      </c>
      <c r="AH26" s="12">
        <f>SUM(Monthly!AH26,MS:META!AH26)</f>
        <v>22322494.837883171</v>
      </c>
      <c r="AI26" s="12">
        <f>SUM(Monthly!AI26,MS:META!AI26)</f>
        <v>22846943.657011151</v>
      </c>
      <c r="AJ26" s="12">
        <f>SUM(Monthly!AJ26,MS:META!AJ26)</f>
        <v>23414321.838701297</v>
      </c>
      <c r="AK26" s="12">
        <f>SUM(Monthly!AK26,MS:META!AK26)</f>
        <v>23955216.863535326</v>
      </c>
      <c r="AL26" s="12">
        <f>SUM(Monthly!AL26,MS:META!AL26)</f>
        <v>24488957.361172736</v>
      </c>
      <c r="AM26" s="12">
        <f>SUM(Monthly!AM26,MS:META!AM26)</f>
        <v>25036878.761476811</v>
      </c>
      <c r="AN26" s="12">
        <f>SUM(Monthly!AN26,MS:META!AN26)</f>
        <v>25548316.469409723</v>
      </c>
      <c r="AP26" s="12" cm="1">
        <f t="array" ref="AP26">SUM(_xlfn._xlws.FILTER($E26:$AN26,YEAR($E$25:$AN$25)=AP$25,0))</f>
        <v>84837544.088223323</v>
      </c>
      <c r="AQ26" s="12" cm="1">
        <f t="array" ref="AQ26">SUM(_xlfn._xlws.FILTER($E26:$AN26,YEAR($E$25:$AN$25)=AQ$25,0))</f>
        <v>187068087.47257635</v>
      </c>
      <c r="AR26" s="12" cm="1">
        <f t="array" ref="AR26">SUM(_xlfn._xlws.FILTER($E26:$AN26,YEAR($E$25:$AN$25)=AR$25,0))</f>
        <v>270280306.83936685</v>
      </c>
    </row>
    <row r="27" spans="2:44" x14ac:dyDescent="0.25">
      <c r="B27" s="39" t="s">
        <v>380</v>
      </c>
      <c r="E27" s="12">
        <f>SUM(Monthly!E27,MS:META!E27)</f>
        <v>122734.33660799998</v>
      </c>
      <c r="F27" s="12">
        <f>SUM(Monthly!F27,MS:META!F27)</f>
        <v>134368.754208</v>
      </c>
      <c r="G27" s="12">
        <f>SUM(Monthly!G27,MS:META!G27)</f>
        <v>151820.38060799998</v>
      </c>
      <c r="H27" s="12">
        <f>SUM(Monthly!H27,MS:META!H27)</f>
        <v>168692.12727466665</v>
      </c>
      <c r="I27" s="12">
        <f>SUM(Monthly!I27,MS:META!I27)</f>
        <v>182011.92727466667</v>
      </c>
      <c r="J27" s="12">
        <f>SUM(Monthly!J27,MS:META!J27)</f>
        <v>199463.55367466665</v>
      </c>
      <c r="K27" s="12">
        <f>SUM(Monthly!K27,MS:META!K27)</f>
        <v>224090.25572266662</v>
      </c>
      <c r="L27" s="12">
        <f>SUM(Monthly!L27,MS:META!L27)</f>
        <v>244205.84212266668</v>
      </c>
      <c r="M27" s="12">
        <f>SUM(Monthly!M27,MS:META!M27)</f>
        <v>266985.38852266665</v>
      </c>
      <c r="N27" s="12">
        <f>SUM(Monthly!N27,MS:META!N27)</f>
        <v>293521.95600000001</v>
      </c>
      <c r="O27" s="12">
        <f>SUM(Monthly!O27,MS:META!O27)</f>
        <v>324600.9940159999</v>
      </c>
      <c r="P27" s="12">
        <f>SUM(Monthly!P27,MS:META!P27)</f>
        <v>355680.03203200002</v>
      </c>
      <c r="Q27" s="12">
        <f>SUM(Monthly!Q27,MS:META!Q27)</f>
        <v>398361.84214943997</v>
      </c>
      <c r="R27" s="12">
        <f>SUM(Monthly!R27,MS:META!R27)</f>
        <v>424369.22158175992</v>
      </c>
      <c r="S27" s="12">
        <f>SUM(Monthly!S27,MS:META!S27)</f>
        <v>453636.75193823996</v>
      </c>
      <c r="T27" s="12">
        <f>SUM(Monthly!T27,MS:META!T27)</f>
        <v>482904.28229472</v>
      </c>
      <c r="U27" s="12">
        <f>SUM(Monthly!U27,MS:META!U27)</f>
        <v>505265.46132053336</v>
      </c>
      <c r="V27" s="12">
        <f>SUM(Monthly!V27,MS:META!V27)</f>
        <v>526301.35527701338</v>
      </c>
      <c r="W27" s="12">
        <f>SUM(Monthly!W27,MS:META!W27)</f>
        <v>554336.90922549332</v>
      </c>
      <c r="X27" s="12">
        <f>SUM(Monthly!X27,MS:META!X27)</f>
        <v>581893.10503029346</v>
      </c>
      <c r="Y27" s="12">
        <f>SUM(Monthly!Y27,MS:META!Y27)</f>
        <v>605672.87778677337</v>
      </c>
      <c r="Z27" s="12">
        <f>SUM(Monthly!Z27,MS:META!Z27)</f>
        <v>629452.6505432534</v>
      </c>
      <c r="AA27" s="12">
        <f>SUM(Monthly!AA27,MS:META!AA27)</f>
        <v>653232.42329973343</v>
      </c>
      <c r="AB27" s="12">
        <f>SUM(Monthly!AB27,MS:META!AB27)</f>
        <v>675500.29366421339</v>
      </c>
      <c r="AC27" s="12">
        <f>SUM(Monthly!AC27,MS:META!AC27)</f>
        <v>695024.28522869339</v>
      </c>
      <c r="AD27" s="12">
        <f>SUM(Monthly!AD27,MS:META!AD27)</f>
        <v>714548.2767931734</v>
      </c>
      <c r="AE27" s="12">
        <f>SUM(Monthly!AE27,MS:META!AE27)</f>
        <v>733555.99623349344</v>
      </c>
      <c r="AF27" s="12">
        <f>SUM(Monthly!AF27,MS:META!AF27)</f>
        <v>753079.98779797333</v>
      </c>
      <c r="AG27" s="12">
        <f>SUM(Monthly!AG27,MS:META!AG27)</f>
        <v>769860.10056245339</v>
      </c>
      <c r="AH27" s="12">
        <f>SUM(Monthly!AH27,MS:META!AH27)</f>
        <v>791928.53876725328</v>
      </c>
      <c r="AI27" s="12">
        <f>SUM(Monthly!AI27,MS:META!AI27)</f>
        <v>817257.12789621344</v>
      </c>
      <c r="AJ27" s="12">
        <f>SUM(Monthly!AJ27,MS:META!AJ27)</f>
        <v>845329.59582517319</v>
      </c>
      <c r="AK27" s="12">
        <f>SUM(Monthly!AK27,MS:META!AK27)</f>
        <v>869146.28256213316</v>
      </c>
      <c r="AL27" s="12">
        <f>SUM(Monthly!AL27,MS:META!AL27)</f>
        <v>891414.15292661323</v>
      </c>
      <c r="AM27" s="12">
        <f>SUM(Monthly!AM27,MS:META!AM27)</f>
        <v>916425.90209109324</v>
      </c>
      <c r="AN27" s="12">
        <f>SUM(Monthly!AN27,MS:META!AN27)</f>
        <v>941437.65125557338</v>
      </c>
      <c r="AP27" s="12" cm="1">
        <f t="array" ref="AP27">SUM(_xlfn._xlws.FILTER($E27:$AN27,YEAR($E$25:$AN$25)=AP$25,0))</f>
        <v>2668175.548064</v>
      </c>
      <c r="AQ27" s="12" cm="1">
        <f t="array" ref="AQ27">SUM(_xlfn._xlws.FILTER($E27:$AN27,YEAR($E$25:$AN$25)=AQ$25,0))</f>
        <v>6490927.1741114669</v>
      </c>
      <c r="AR27" s="12" cm="1">
        <f t="array" ref="AR27">SUM(_xlfn._xlws.FILTER($E27:$AN27,YEAR($E$25:$AN$25)=AR$25,0))</f>
        <v>9739007.8979398403</v>
      </c>
    </row>
    <row r="28" spans="2:44" x14ac:dyDescent="0.25">
      <c r="B28" s="39" t="s">
        <v>381</v>
      </c>
      <c r="E28" s="12">
        <f>SUM(Monthly!E28,MS:META!E28)</f>
        <v>595966.96015479986</v>
      </c>
      <c r="F28" s="12">
        <f>SUM(Monthly!F28,MS:META!F28)</f>
        <v>702117.4545995997</v>
      </c>
      <c r="G28" s="12">
        <f>SUM(Monthly!G28,MS:META!G28)</f>
        <v>821668.85465079988</v>
      </c>
      <c r="H28" s="12">
        <f>SUM(Monthly!H28,MS:META!H28)</f>
        <v>945890.00550199975</v>
      </c>
      <c r="I28" s="12">
        <f>SUM(Monthly!I28,MS:META!I28)</f>
        <v>1059767.7389831997</v>
      </c>
      <c r="J28" s="12">
        <f>SUM(Monthly!J28,MS:META!J28)</f>
        <v>1182187.8539327995</v>
      </c>
      <c r="K28" s="12">
        <f>SUM(Monthly!K28,MS:META!K28)</f>
        <v>1256029.5350199998</v>
      </c>
      <c r="L28" s="12">
        <f>SUM(Monthly!L28,MS:META!L28)</f>
        <v>1311992.0182615996</v>
      </c>
      <c r="M28" s="12">
        <f>SUM(Monthly!M28,MS:META!M28)</f>
        <v>1376376.2982111995</v>
      </c>
      <c r="N28" s="12">
        <f>SUM(Monthly!N28,MS:META!N28)</f>
        <v>1470323.0015083996</v>
      </c>
      <c r="O28" s="12">
        <f>SUM(Monthly!O28,MS:META!O28)</f>
        <v>1576387.0814899998</v>
      </c>
      <c r="P28" s="12">
        <f>SUM(Monthly!P28,MS:META!P28)</f>
        <v>1684244.9000779993</v>
      </c>
      <c r="Q28" s="12">
        <f>SUM(Monthly!Q28,MS:META!Q28)</f>
        <v>1867449.1672293593</v>
      </c>
      <c r="R28" s="12">
        <f>SUM(Monthly!R28,MS:META!R28)</f>
        <v>1986909.7885909993</v>
      </c>
      <c r="S28" s="12">
        <f>SUM(Monthly!S28,MS:META!S28)</f>
        <v>2114673.0357835675</v>
      </c>
      <c r="T28" s="12">
        <f>SUM(Monthly!T28,MS:META!T28)</f>
        <v>2223868.8103303872</v>
      </c>
      <c r="U28" s="12">
        <f>SUM(Monthly!U28,MS:META!U28)</f>
        <v>2318245.3996976037</v>
      </c>
      <c r="V28" s="12">
        <f>SUM(Monthly!V28,MS:META!V28)</f>
        <v>2407663.0126555236</v>
      </c>
      <c r="W28" s="12">
        <f>SUM(Monthly!W28,MS:META!W28)</f>
        <v>2489030.5962302038</v>
      </c>
      <c r="X28" s="12">
        <f>SUM(Monthly!X28,MS:META!X28)</f>
        <v>2576407.8218939835</v>
      </c>
      <c r="Y28" s="12">
        <f>SUM(Monthly!Y28,MS:META!Y28)</f>
        <v>2649522.641201904</v>
      </c>
      <c r="Z28" s="12">
        <f>SUM(Monthly!Z28,MS:META!Z28)</f>
        <v>2729158.577969823</v>
      </c>
      <c r="AA28" s="12">
        <f>SUM(Monthly!AA28,MS:META!AA28)</f>
        <v>2807922.4710366428</v>
      </c>
      <c r="AB28" s="12">
        <f>SUM(Monthly!AB28,MS:META!AB28)</f>
        <v>2885351.4728570995</v>
      </c>
      <c r="AC28" s="12">
        <f>SUM(Monthly!AC28,MS:META!AC28)</f>
        <v>2978777.4859429072</v>
      </c>
      <c r="AD28" s="12">
        <f>SUM(Monthly!AD28,MS:META!AD28)</f>
        <v>3068942.9402987147</v>
      </c>
      <c r="AE28" s="12">
        <f>SUM(Monthly!AE28,MS:META!AE28)</f>
        <v>3157405.0525938426</v>
      </c>
      <c r="AF28" s="12">
        <f>SUM(Monthly!AF28,MS:META!AF28)</f>
        <v>3243958.4961120989</v>
      </c>
      <c r="AG28" s="12">
        <f>SUM(Monthly!AG28,MS:META!AG28)</f>
        <v>3324771.8926957073</v>
      </c>
      <c r="AH28" s="12">
        <f>SUM(Monthly!AH28,MS:META!AH28)</f>
        <v>3417798.1921183863</v>
      </c>
      <c r="AI28" s="12">
        <f>SUM(Monthly!AI28,MS:META!AI28)</f>
        <v>3499915.2170995465</v>
      </c>
      <c r="AJ28" s="12">
        <f>SUM(Monthly!AJ28,MS:META!AJ28)</f>
        <v>3587772.2890153546</v>
      </c>
      <c r="AK28" s="12">
        <f>SUM(Monthly!AK28,MS:META!AK28)</f>
        <v>3670637.1553944028</v>
      </c>
      <c r="AL28" s="12">
        <f>SUM(Monthly!AL28,MS:META!AL28)</f>
        <v>3749276.8461580109</v>
      </c>
      <c r="AM28" s="12">
        <f>SUM(Monthly!AM28,MS:META!AM28)</f>
        <v>3830090.2427416192</v>
      </c>
      <c r="AN28" s="12">
        <f>SUM(Monthly!AN28,MS:META!AN28)</f>
        <v>3905775.1571598751</v>
      </c>
      <c r="AP28" s="12" cm="1">
        <f t="array" ref="AP28">SUM(_xlfn._xlws.FILTER($E28:$AN28,YEAR($E$25:$AN$25)=AP$25,0))</f>
        <v>13982951.702392396</v>
      </c>
      <c r="AQ28" s="12" cm="1">
        <f t="array" ref="AQ28">SUM(_xlfn._xlws.FILTER($E28:$AN28,YEAR($E$25:$AN$25)=AQ$25,0))</f>
        <v>29056202.7954771</v>
      </c>
      <c r="AR28" s="12" cm="1">
        <f t="array" ref="AR28">SUM(_xlfn._xlws.FILTER($E28:$AN28,YEAR($E$25:$AN$25)=AR$25,0))</f>
        <v>41435120.967330463</v>
      </c>
    </row>
    <row r="29" spans="2:44" x14ac:dyDescent="0.25">
      <c r="B29" s="39" t="s">
        <v>383</v>
      </c>
      <c r="E29" s="12">
        <f>SUM(Monthly!E29,MS:META!E29)</f>
        <v>51393.207311999991</v>
      </c>
      <c r="F29" s="12">
        <f>SUM(Monthly!F29,MS:META!F29)</f>
        <v>65568.257287999993</v>
      </c>
      <c r="G29" s="12">
        <f>SUM(Monthly!G29,MS:META!G29)</f>
        <v>80804.212132000001</v>
      </c>
      <c r="H29" s="12">
        <f>SUM(Monthly!H29,MS:META!H29)</f>
        <v>96593.350395999994</v>
      </c>
      <c r="I29" s="12">
        <f>SUM(Monthly!I29,MS:META!I29)</f>
        <v>111440.54568000001</v>
      </c>
      <c r="J29" s="12">
        <f>SUM(Monthly!J29,MS:META!J29)</f>
        <v>127086.99137999999</v>
      </c>
      <c r="K29" s="12">
        <f>SUM(Monthly!K29,MS:META!K29)</f>
        <v>132790.66716799999</v>
      </c>
      <c r="L29" s="12">
        <f>SUM(Monthly!L29,MS:META!L29)</f>
        <v>137798.266</v>
      </c>
      <c r="M29" s="12">
        <f>SUM(Monthly!M29,MS:META!M29)</f>
        <v>143542.09369999997</v>
      </c>
      <c r="N29" s="12">
        <f>SUM(Monthly!N29,MS:META!N29)</f>
        <v>153147.94899999996</v>
      </c>
      <c r="O29" s="12">
        <f>SUM(Monthly!O29,MS:META!O29)</f>
        <v>163782.624148</v>
      </c>
      <c r="P29" s="12">
        <f>SUM(Monthly!P29,MS:META!P29)</f>
        <v>174589.99101999999</v>
      </c>
      <c r="Q29" s="12">
        <f>SUM(Monthly!Q29,MS:META!Q29)</f>
        <v>194503.56875603992</v>
      </c>
      <c r="R29" s="12">
        <f>SUM(Monthly!R29,MS:META!R29)</f>
        <v>208388.08345683999</v>
      </c>
      <c r="S29" s="12">
        <f>SUM(Monthly!S29,MS:META!S29)</f>
        <v>222841.41159119993</v>
      </c>
      <c r="T29" s="12">
        <f>SUM(Monthly!T29,MS:META!T29)</f>
        <v>234406.43007783999</v>
      </c>
      <c r="U29" s="12">
        <f>SUM(Monthly!U29,MS:META!U29)</f>
        <v>244846.76285220002</v>
      </c>
      <c r="V29" s="12">
        <f>SUM(Monthly!V29,MS:META!V29)</f>
        <v>254873.86050824</v>
      </c>
      <c r="W29" s="12">
        <f>SUM(Monthly!W29,MS:META!W29)</f>
        <v>262736.82280763995</v>
      </c>
      <c r="X29" s="12">
        <f>SUM(Monthly!X29,MS:META!X29)</f>
        <v>270969.43670235999</v>
      </c>
      <c r="Y29" s="12">
        <f>SUM(Monthly!Y29,MS:META!Y29)</f>
        <v>277986.78783840005</v>
      </c>
      <c r="Z29" s="12">
        <f>SUM(Monthly!Z29,MS:META!Z29)</f>
        <v>286007.38781444001</v>
      </c>
      <c r="AA29" s="12">
        <f>SUM(Monthly!AA29,MS:META!AA29)</f>
        <v>293893.82722107996</v>
      </c>
      <c r="AB29" s="12">
        <f>SUM(Monthly!AB29,MS:META!AB29)</f>
        <v>301560.86999039998</v>
      </c>
      <c r="AC29" s="12">
        <f>SUM(Monthly!AC29,MS:META!AC29)</f>
        <v>312158.84044139995</v>
      </c>
      <c r="AD29" s="12">
        <f>SUM(Monthly!AD29,MS:META!AD29)</f>
        <v>322255.18647239998</v>
      </c>
      <c r="AE29" s="12">
        <f>SUM(Monthly!AE29,MS:META!AE29)</f>
        <v>332328.14447056007</v>
      </c>
      <c r="AF29" s="12">
        <f>SUM(Monthly!AF29,MS:META!AF29)</f>
        <v>341900.57192107994</v>
      </c>
      <c r="AG29" s="12">
        <f>SUM(Monthly!AG29,MS:META!AG29)</f>
        <v>351059.76425327995</v>
      </c>
      <c r="AH29" s="12">
        <f>SUM(Monthly!AH29,MS:META!AH29)</f>
        <v>361164.71525859996</v>
      </c>
      <c r="AI29" s="12">
        <f>SUM(Monthly!AI29,MS:META!AI29)</f>
        <v>368851.02733796003</v>
      </c>
      <c r="AJ29" s="12">
        <f>SUM(Monthly!AJ29,MS:META!AJ29)</f>
        <v>376950.57453564001</v>
      </c>
      <c r="AK29" s="12">
        <f>SUM(Monthly!AK29,MS:META!AK29)</f>
        <v>384706.13498995994</v>
      </c>
      <c r="AL29" s="12">
        <f>SUM(Monthly!AL29,MS:META!AL29)</f>
        <v>392527.66220215999</v>
      </c>
      <c r="AM29" s="12">
        <f>SUM(Monthly!AM29,MS:META!AM29)</f>
        <v>400181.98127435998</v>
      </c>
      <c r="AN29" s="12">
        <f>SUM(Monthly!AN29,MS:META!AN29)</f>
        <v>407079.07848487992</v>
      </c>
      <c r="AP29" s="12" cm="1">
        <f t="array" ref="AP29">SUM(_xlfn._xlws.FILTER($E29:$AN29,YEAR($E$25:$AN$25)=AP$25,0))</f>
        <v>1438538.1552239999</v>
      </c>
      <c r="AQ29" s="12" cm="1">
        <f t="array" ref="AQ29">SUM(_xlfn._xlws.FILTER($E29:$AN29,YEAR($E$25:$AN$25)=AQ$25,0))</f>
        <v>3053015.2496166797</v>
      </c>
      <c r="AR29" s="12" cm="1">
        <f t="array" ref="AR29">SUM(_xlfn._xlws.FILTER($E29:$AN29,YEAR($E$25:$AN$25)=AR$25,0))</f>
        <v>4351163.68164228</v>
      </c>
    </row>
    <row r="30" spans="2:44" x14ac:dyDescent="0.25">
      <c r="B30" s="39" t="s">
        <v>382</v>
      </c>
      <c r="E30" s="12">
        <f>SUM(Monthly!E30,MS:META!E30)</f>
        <v>87405.998762666655</v>
      </c>
      <c r="F30" s="12">
        <f>SUM(Monthly!F30,MS:META!F30)</f>
        <v>106323.49224533331</v>
      </c>
      <c r="G30" s="12">
        <f>SUM(Monthly!G30,MS:META!G30)</f>
        <v>126712.726432</v>
      </c>
      <c r="H30" s="12">
        <f>SUM(Monthly!H30,MS:META!H30)</f>
        <v>147651.13067733333</v>
      </c>
      <c r="I30" s="12">
        <f>SUM(Monthly!I30,MS:META!I30)</f>
        <v>167343.22376533336</v>
      </c>
      <c r="J30" s="12">
        <f>SUM(Monthly!J30,MS:META!J30)</f>
        <v>188310.60257066664</v>
      </c>
      <c r="K30" s="12">
        <f>SUM(Monthly!K30,MS:META!K30)</f>
        <v>197066.27643733332</v>
      </c>
      <c r="L30" s="12">
        <f>SUM(Monthly!L30,MS:META!L30)</f>
        <v>204064.92787199997</v>
      </c>
      <c r="M30" s="12">
        <f>SUM(Monthly!M30,MS:META!M30)</f>
        <v>212111.69334399997</v>
      </c>
      <c r="N30" s="12">
        <f>SUM(Monthly!N30,MS:META!N30)</f>
        <v>225375.88294399998</v>
      </c>
      <c r="O30" s="12">
        <f>SUM(Monthly!O30,MS:META!O30)</f>
        <v>240098.77707733333</v>
      </c>
      <c r="P30" s="12">
        <f>SUM(Monthly!P30,MS:META!P30)</f>
        <v>255177.04986666667</v>
      </c>
      <c r="Q30" s="12">
        <f>SUM(Monthly!Q30,MS:META!Q30)</f>
        <v>282734.87471903994</v>
      </c>
      <c r="R30" s="12">
        <f>SUM(Monthly!R30,MS:META!R30)</f>
        <v>301520.64605685335</v>
      </c>
      <c r="S30" s="12">
        <f>SUM(Monthly!S30,MS:META!S30)</f>
        <v>321071.14409727993</v>
      </c>
      <c r="T30" s="12">
        <f>SUM(Monthly!T30,MS:META!T30)</f>
        <v>336879.08233621327</v>
      </c>
      <c r="U30" s="12">
        <f>SUM(Monthly!U30,MS:META!U30)</f>
        <v>351193.55477663991</v>
      </c>
      <c r="V30" s="12">
        <f>SUM(Monthly!V30,MS:META!V30)</f>
        <v>365012.67750762659</v>
      </c>
      <c r="W30" s="12">
        <f>SUM(Monthly!W30,MS:META!W30)</f>
        <v>376095.75895306666</v>
      </c>
      <c r="X30" s="12">
        <f>SUM(Monthly!X30,MS:META!X30)</f>
        <v>387735.94784224004</v>
      </c>
      <c r="Y30" s="12">
        <f>SUM(Monthly!Y30,MS:META!Y30)</f>
        <v>397592.41541674657</v>
      </c>
      <c r="Z30" s="12">
        <f>SUM(Monthly!Z30,MS:META!Z30)</f>
        <v>408757.88939125329</v>
      </c>
      <c r="AA30" s="12">
        <f>SUM(Monthly!AA30,MS:META!AA30)</f>
        <v>419730.50154037331</v>
      </c>
      <c r="AB30" s="12">
        <f>SUM(Monthly!AB30,MS:META!AB30)</f>
        <v>430259.36155263998</v>
      </c>
      <c r="AC30" s="12">
        <f>SUM(Monthly!AC30,MS:META!AC30)</f>
        <v>444656.22652213334</v>
      </c>
      <c r="AD30" s="12">
        <f>SUM(Monthly!AD30,MS:META!AD30)</f>
        <v>458398.58829162654</v>
      </c>
      <c r="AE30" s="12">
        <f>SUM(Monthly!AE30,MS:META!AE30)</f>
        <v>471984.67535189335</v>
      </c>
      <c r="AF30" s="12">
        <f>SUM(Monthly!AF30,MS:META!AF30)</f>
        <v>484963.99224672001</v>
      </c>
      <c r="AG30" s="12">
        <f>SUM(Monthly!AG30,MS:META!AG30)</f>
        <v>497447.95943210664</v>
      </c>
      <c r="AH30" s="12">
        <f>SUM(Monthly!AH30,MS:META!AH30)</f>
        <v>511477.66333941335</v>
      </c>
      <c r="AI30" s="12">
        <f>SUM(Monthly!AI30,MS:META!AI30)</f>
        <v>522441.73777183995</v>
      </c>
      <c r="AJ30" s="12">
        <f>SUM(Monthly!AJ30,MS:META!AJ30)</f>
        <v>533901.16191370669</v>
      </c>
      <c r="AK30" s="12">
        <f>SUM(Monthly!AK30,MS:META!AK30)</f>
        <v>544824.11134111998</v>
      </c>
      <c r="AL30" s="12">
        <f>SUM(Monthly!AL30,MS:META!AL30)</f>
        <v>555562.73665983998</v>
      </c>
      <c r="AM30" s="12">
        <f>SUM(Monthly!AM30,MS:META!AM30)</f>
        <v>566083.19424522668</v>
      </c>
      <c r="AN30" s="12">
        <f>SUM(Monthly!AN30,MS:META!AN30)</f>
        <v>575571.82740672014</v>
      </c>
      <c r="AP30" s="12" cm="1">
        <f t="array" ref="AP30">SUM(_xlfn._xlws.FILTER($E30:$AN30,YEAR($E$25:$AN$25)=AP$25,0))</f>
        <v>2157641.7819946664</v>
      </c>
      <c r="AQ30" s="12" cm="1">
        <f t="array" ref="AQ30">SUM(_xlfn._xlws.FILTER($E30:$AN30,YEAR($E$25:$AN$25)=AQ$25,0))</f>
        <v>4378583.8541899724</v>
      </c>
      <c r="AR30" s="12" cm="1">
        <f t="array" ref="AR30">SUM(_xlfn._xlws.FILTER($E30:$AN30,YEAR($E$25:$AN$25)=AR$25,0))</f>
        <v>6167313.8745223461</v>
      </c>
    </row>
    <row r="31" spans="2:44" x14ac:dyDescent="0.25">
      <c r="B31" s="39" t="s">
        <v>403</v>
      </c>
      <c r="E31" s="12">
        <f>SUM(Monthly!E31,MS:META!E31)</f>
        <v>0</v>
      </c>
      <c r="F31" s="12">
        <f>SUM(Monthly!F31,MS:META!F31)</f>
        <v>0</v>
      </c>
      <c r="G31" s="12">
        <f>SUM(Monthly!G31,MS:META!G31)</f>
        <v>0</v>
      </c>
      <c r="H31" s="12">
        <f>SUM(Monthly!H31,MS:META!H31)</f>
        <v>0</v>
      </c>
      <c r="I31" s="12">
        <f>SUM(Monthly!I31,MS:META!I31)</f>
        <v>0</v>
      </c>
      <c r="J31" s="12">
        <f>SUM(Monthly!J31,MS:META!J31)</f>
        <v>0</v>
      </c>
      <c r="K31" s="12">
        <f>SUM(Monthly!K31,MS:META!K31)</f>
        <v>0</v>
      </c>
      <c r="L31" s="12">
        <f>SUM(Monthly!L31,MS:META!L31)</f>
        <v>0</v>
      </c>
      <c r="M31" s="12">
        <f>SUM(Monthly!M31,MS:META!M31)</f>
        <v>0</v>
      </c>
      <c r="N31" s="12">
        <f>SUM(Monthly!N31,MS:META!N31)</f>
        <v>0</v>
      </c>
      <c r="O31" s="12">
        <f>SUM(Monthly!O31,MS:META!O31)</f>
        <v>0</v>
      </c>
      <c r="P31" s="12">
        <f>SUM(Monthly!P31,MS:META!P31)</f>
        <v>0</v>
      </c>
      <c r="Q31" s="12">
        <f>SUM(Monthly!Q31,MS:META!Q31)</f>
        <v>0</v>
      </c>
      <c r="R31" s="12">
        <f>SUM(Monthly!R31,MS:META!R31)</f>
        <v>0</v>
      </c>
      <c r="S31" s="12">
        <f>SUM(Monthly!S31,MS:META!S31)</f>
        <v>0</v>
      </c>
      <c r="T31" s="12">
        <f>SUM(Monthly!T31,MS:META!T31)</f>
        <v>0</v>
      </c>
      <c r="U31" s="12">
        <f>SUM(Monthly!U31,MS:META!U31)</f>
        <v>0</v>
      </c>
      <c r="V31" s="12">
        <f>SUM(Monthly!V31,MS:META!V31)</f>
        <v>0</v>
      </c>
      <c r="W31" s="12">
        <f>SUM(Monthly!W31,MS:META!W31)</f>
        <v>0</v>
      </c>
      <c r="X31" s="12">
        <f>SUM(Monthly!X31,MS:META!X31)</f>
        <v>0</v>
      </c>
      <c r="Y31" s="12">
        <f>SUM(Monthly!Y31,MS:META!Y31)</f>
        <v>0</v>
      </c>
      <c r="Z31" s="12">
        <f>SUM(Monthly!Z31,MS:META!Z31)</f>
        <v>0</v>
      </c>
      <c r="AA31" s="12">
        <f>SUM(Monthly!AA31,MS:META!AA31)</f>
        <v>0</v>
      </c>
      <c r="AB31" s="12">
        <f>SUM(Monthly!AB31,MS:META!AB31)</f>
        <v>0</v>
      </c>
      <c r="AC31" s="12">
        <f>SUM(Monthly!AC31,MS:META!AC31)</f>
        <v>0</v>
      </c>
      <c r="AD31" s="12">
        <f>SUM(Monthly!AD31,MS:META!AD31)</f>
        <v>0</v>
      </c>
      <c r="AE31" s="12">
        <f>SUM(Monthly!AE31,MS:META!AE31)</f>
        <v>0</v>
      </c>
      <c r="AF31" s="12">
        <f>SUM(Monthly!AF31,MS:META!AF31)</f>
        <v>0</v>
      </c>
      <c r="AG31" s="12">
        <f>SUM(Monthly!AG31,MS:META!AG31)</f>
        <v>0</v>
      </c>
      <c r="AH31" s="12">
        <f>SUM(Monthly!AH31,MS:META!AH31)</f>
        <v>0</v>
      </c>
      <c r="AI31" s="12">
        <f>SUM(Monthly!AI31,MS:META!AI31)</f>
        <v>0</v>
      </c>
      <c r="AJ31" s="12">
        <f>SUM(Monthly!AJ31,MS:META!AJ31)</f>
        <v>0</v>
      </c>
      <c r="AK31" s="12">
        <f>SUM(Monthly!AK31,MS:META!AK31)</f>
        <v>0</v>
      </c>
      <c r="AL31" s="12">
        <f>SUM(Monthly!AL31,MS:META!AL31)</f>
        <v>0</v>
      </c>
      <c r="AM31" s="12">
        <f>SUM(Monthly!AM31,MS:META!AM31)</f>
        <v>0</v>
      </c>
      <c r="AN31" s="12">
        <f>SUM(Monthly!AN31,MS:META!AN31)</f>
        <v>0</v>
      </c>
      <c r="AP31" s="12" cm="1">
        <f t="array" ref="AP31">SUM(_xlfn._xlws.FILTER($E31:$AN31,YEAR($E$25:$AN$25)=AP$25,0))</f>
        <v>0</v>
      </c>
      <c r="AQ31" s="12" cm="1">
        <f t="array" ref="AQ31">SUM(_xlfn._xlws.FILTER($E31:$AN31,YEAR($E$25:$AN$25)=AQ$25,0))</f>
        <v>0</v>
      </c>
      <c r="AR31" s="12" cm="1">
        <f t="array" ref="AR31">SUM(_xlfn._xlws.FILTER($E31:$AN31,YEAR($E$25:$AN$25)=AR$25,0))</f>
        <v>0</v>
      </c>
    </row>
    <row r="32" spans="2:44" x14ac:dyDescent="0.25">
      <c r="B32" s="39" t="s">
        <v>404</v>
      </c>
      <c r="E32" s="12">
        <f>SUM(Monthly!E32,MS:META!E32)</f>
        <v>0</v>
      </c>
      <c r="F32" s="12">
        <f>SUM(Monthly!F32,MS:META!F32)</f>
        <v>0</v>
      </c>
      <c r="G32" s="12">
        <f>SUM(Monthly!G32,MS:META!G32)</f>
        <v>0</v>
      </c>
      <c r="H32" s="12">
        <f>SUM(Monthly!H32,MS:META!H32)</f>
        <v>0</v>
      </c>
      <c r="I32" s="12">
        <f>SUM(Monthly!I32,MS:META!I32)</f>
        <v>0</v>
      </c>
      <c r="J32" s="12">
        <f>SUM(Monthly!J32,MS:META!J32)</f>
        <v>0</v>
      </c>
      <c r="K32" s="12">
        <f>SUM(Monthly!K32,MS:META!K32)</f>
        <v>0</v>
      </c>
      <c r="L32" s="12">
        <f>SUM(Monthly!L32,MS:META!L32)</f>
        <v>0</v>
      </c>
      <c r="M32" s="12">
        <f>SUM(Monthly!M32,MS:META!M32)</f>
        <v>0</v>
      </c>
      <c r="N32" s="12">
        <f>SUM(Monthly!N32,MS:META!N32)</f>
        <v>0</v>
      </c>
      <c r="O32" s="12">
        <f>SUM(Monthly!O32,MS:META!O32)</f>
        <v>0</v>
      </c>
      <c r="P32" s="12">
        <f>SUM(Monthly!P32,MS:META!P32)</f>
        <v>0</v>
      </c>
      <c r="Q32" s="12">
        <f>SUM(Monthly!Q32,MS:META!Q32)</f>
        <v>0</v>
      </c>
      <c r="R32" s="12">
        <f>SUM(Monthly!R32,MS:META!R32)</f>
        <v>0</v>
      </c>
      <c r="S32" s="12">
        <f>SUM(Monthly!S32,MS:META!S32)</f>
        <v>0</v>
      </c>
      <c r="T32" s="12">
        <f>SUM(Monthly!T32,MS:META!T32)</f>
        <v>0</v>
      </c>
      <c r="U32" s="12">
        <f>SUM(Monthly!U32,MS:META!U32)</f>
        <v>0</v>
      </c>
      <c r="V32" s="12">
        <f>SUM(Monthly!V32,MS:META!V32)</f>
        <v>0</v>
      </c>
      <c r="W32" s="12">
        <f>SUM(Monthly!W32,MS:META!W32)</f>
        <v>0</v>
      </c>
      <c r="X32" s="12">
        <f>SUM(Monthly!X32,MS:META!X32)</f>
        <v>0</v>
      </c>
      <c r="Y32" s="12">
        <f>SUM(Monthly!Y32,MS:META!Y32)</f>
        <v>0</v>
      </c>
      <c r="Z32" s="12">
        <f>SUM(Monthly!Z32,MS:META!Z32)</f>
        <v>0</v>
      </c>
      <c r="AA32" s="12">
        <f>SUM(Monthly!AA32,MS:META!AA32)</f>
        <v>0</v>
      </c>
      <c r="AB32" s="12">
        <f>SUM(Monthly!AB32,MS:META!AB32)</f>
        <v>0</v>
      </c>
      <c r="AC32" s="12">
        <f>SUM(Monthly!AC32,MS:META!AC32)</f>
        <v>0</v>
      </c>
      <c r="AD32" s="12">
        <f>SUM(Monthly!AD32,MS:META!AD32)</f>
        <v>0</v>
      </c>
      <c r="AE32" s="12">
        <f>SUM(Monthly!AE32,MS:META!AE32)</f>
        <v>0</v>
      </c>
      <c r="AF32" s="12">
        <f>SUM(Monthly!AF32,MS:META!AF32)</f>
        <v>0</v>
      </c>
      <c r="AG32" s="12">
        <f>SUM(Monthly!AG32,MS:META!AG32)</f>
        <v>0</v>
      </c>
      <c r="AH32" s="12">
        <f>SUM(Monthly!AH32,MS:META!AH32)</f>
        <v>0</v>
      </c>
      <c r="AI32" s="12">
        <f>SUM(Monthly!AI32,MS:META!AI32)</f>
        <v>0</v>
      </c>
      <c r="AJ32" s="12">
        <f>SUM(Monthly!AJ32,MS:META!AJ32)</f>
        <v>0</v>
      </c>
      <c r="AK32" s="12">
        <f>SUM(Monthly!AK32,MS:META!AK32)</f>
        <v>0</v>
      </c>
      <c r="AL32" s="12">
        <f>SUM(Monthly!AL32,MS:META!AL32)</f>
        <v>0</v>
      </c>
      <c r="AM32" s="12">
        <f>SUM(Monthly!AM32,MS:META!AM32)</f>
        <v>0</v>
      </c>
      <c r="AN32" s="12">
        <f>SUM(Monthly!AN32,MS:META!AN32)</f>
        <v>0</v>
      </c>
      <c r="AP32" s="12" cm="1">
        <f t="array" ref="AP32">SUM(_xlfn._xlws.FILTER($E32:$AN32,YEAR($E$25:$AN$25)=AP$25,0))</f>
        <v>0</v>
      </c>
      <c r="AQ32" s="12" cm="1">
        <f t="array" ref="AQ32">SUM(_xlfn._xlws.FILTER($E32:$AN32,YEAR($E$25:$AN$25)=AQ$25,0))</f>
        <v>0</v>
      </c>
      <c r="AR32" s="12" cm="1">
        <f t="array" ref="AR32">SUM(_xlfn._xlws.FILTER($E32:$AN32,YEAR($E$25:$AN$25)=AR$25,0))</f>
        <v>0</v>
      </c>
    </row>
    <row r="33" spans="2:44" x14ac:dyDescent="0.25">
      <c r="B33" s="39" t="s">
        <v>405</v>
      </c>
      <c r="E33" s="12">
        <f>SUM(Monthly!E33,MS:META!E33)</f>
        <v>151666.41186666666</v>
      </c>
      <c r="F33" s="12">
        <f>SUM(Monthly!F33,MS:META!F33)</f>
        <v>151666.41186666666</v>
      </c>
      <c r="G33" s="12">
        <f>SUM(Monthly!G33,MS:META!G33)</f>
        <v>203489.3952</v>
      </c>
      <c r="H33" s="12">
        <f>SUM(Monthly!H33,MS:META!H33)</f>
        <v>229400.88686666667</v>
      </c>
      <c r="I33" s="12">
        <f>SUM(Monthly!I33,MS:META!I33)</f>
        <v>229400.88686666667</v>
      </c>
      <c r="J33" s="12">
        <f>SUM(Monthly!J33,MS:META!J33)</f>
        <v>253162.47320000001</v>
      </c>
      <c r="K33" s="12">
        <f>SUM(Monthly!K33,MS:META!K33)</f>
        <v>303707.06123333331</v>
      </c>
      <c r="L33" s="12">
        <f>SUM(Monthly!L33,MS:META!L33)</f>
        <v>303707.06123333331</v>
      </c>
      <c r="M33" s="12">
        <f>SUM(Monthly!M33,MS:META!M33)</f>
        <v>329618.55290000001</v>
      </c>
      <c r="N33" s="12">
        <f>SUM(Monthly!N33,MS:META!N33)</f>
        <v>329618.55290000001</v>
      </c>
      <c r="O33" s="12">
        <f>SUM(Monthly!O33,MS:META!O33)</f>
        <v>355530.04456666665</v>
      </c>
      <c r="P33" s="12">
        <f>SUM(Monthly!P33,MS:META!P33)</f>
        <v>355530.04456666665</v>
      </c>
      <c r="Q33" s="12">
        <f>SUM(Monthly!Q33,MS:META!Q33)</f>
        <v>366195.94590366667</v>
      </c>
      <c r="R33" s="12">
        <f>SUM(Monthly!R33,MS:META!R33)</f>
        <v>366195.94590366667</v>
      </c>
      <c r="S33" s="12">
        <f>SUM(Monthly!S33,MS:META!S33)</f>
        <v>392884.78232033335</v>
      </c>
      <c r="T33" s="12">
        <f>SUM(Monthly!T33,MS:META!T33)</f>
        <v>392884.78232033335</v>
      </c>
      <c r="U33" s="12">
        <f>SUM(Monthly!U33,MS:META!U33)</f>
        <v>392884.78232033335</v>
      </c>
      <c r="V33" s="12">
        <f>SUM(Monthly!V33,MS:META!V33)</f>
        <v>392884.78232033335</v>
      </c>
      <c r="W33" s="12">
        <f>SUM(Monthly!W33,MS:META!W33)</f>
        <v>444048.0526603334</v>
      </c>
      <c r="X33" s="12">
        <f>SUM(Monthly!X33,MS:META!X33)</f>
        <v>496574.61960166675</v>
      </c>
      <c r="Y33" s="12">
        <f>SUM(Monthly!Y33,MS:META!Y33)</f>
        <v>496574.61960166675</v>
      </c>
      <c r="Z33" s="12">
        <f>SUM(Monthly!Z33,MS:META!Z33)</f>
        <v>496574.61960166675</v>
      </c>
      <c r="AA33" s="12">
        <f>SUM(Monthly!AA33,MS:META!AA33)</f>
        <v>523263.45601833344</v>
      </c>
      <c r="AB33" s="12">
        <f>SUM(Monthly!AB33,MS:META!AB33)</f>
        <v>549952.29243500007</v>
      </c>
      <c r="AC33" s="12">
        <f>SUM(Monthly!AC33,MS:META!AC33)</f>
        <v>549952.29243500007</v>
      </c>
      <c r="AD33" s="12">
        <f>SUM(Monthly!AD33,MS:META!AD33)</f>
        <v>549952.29243500007</v>
      </c>
      <c r="AE33" s="12">
        <f>SUM(Monthly!AE33,MS:META!AE33)</f>
        <v>549952.29243500007</v>
      </c>
      <c r="AF33" s="12">
        <f>SUM(Monthly!AF33,MS:META!AF33)</f>
        <v>549952.29243500007</v>
      </c>
      <c r="AG33" s="12">
        <f>SUM(Monthly!AG33,MS:META!AG33)</f>
        <v>549952.29243500007</v>
      </c>
      <c r="AH33" s="12">
        <f>SUM(Monthly!AH33,MS:META!AH33)</f>
        <v>600264.45688299998</v>
      </c>
      <c r="AI33" s="12">
        <f>SUM(Monthly!AI33,MS:META!AI33)</f>
        <v>626953.29329966661</v>
      </c>
      <c r="AJ33" s="12">
        <f>SUM(Monthly!AJ33,MS:META!AJ33)</f>
        <v>653642.12971633323</v>
      </c>
      <c r="AK33" s="12">
        <f>SUM(Monthly!AK33,MS:META!AK33)</f>
        <v>680330.96613299986</v>
      </c>
      <c r="AL33" s="12">
        <f>SUM(Monthly!AL33,MS:META!AL33)</f>
        <v>707019.80254966649</v>
      </c>
      <c r="AM33" s="12">
        <f>SUM(Monthly!AM33,MS:META!AM33)</f>
        <v>733708.63896633312</v>
      </c>
      <c r="AN33" s="12">
        <f>SUM(Monthly!AN33,MS:META!AN33)</f>
        <v>733708.63896633312</v>
      </c>
      <c r="AP33" s="12" cm="1">
        <f t="array" ref="AP33">SUM(_xlfn._xlws.FILTER($E33:$AN33,YEAR($E$25:$AN$25)=AP$25,0))</f>
        <v>3196497.7832666668</v>
      </c>
      <c r="AQ33" s="12" cm="1">
        <f t="array" ref="AQ33">SUM(_xlfn._xlws.FILTER($E33:$AN33,YEAR($E$25:$AN$25)=AQ$25,0))</f>
        <v>5310918.681007334</v>
      </c>
      <c r="AR33" s="12" cm="1">
        <f t="array" ref="AR33">SUM(_xlfn._xlws.FILTER($E33:$AN33,YEAR($E$25:$AN$25)=AR$25,0))</f>
        <v>7485389.3886893326</v>
      </c>
    </row>
    <row r="34" spans="2:44" x14ac:dyDescent="0.25">
      <c r="B34" s="39" t="s">
        <v>406</v>
      </c>
      <c r="E34" s="12">
        <f>SUM(Monthly!E34,MS:META!E34)</f>
        <v>0</v>
      </c>
      <c r="F34" s="12">
        <f>SUM(Monthly!F34,MS:META!F34)</f>
        <v>0</v>
      </c>
      <c r="G34" s="12">
        <f>SUM(Monthly!G34,MS:META!G34)</f>
        <v>0</v>
      </c>
      <c r="H34" s="12">
        <f>SUM(Monthly!H34,MS:META!H34)</f>
        <v>0</v>
      </c>
      <c r="I34" s="12">
        <f>SUM(Monthly!I34,MS:META!I34)</f>
        <v>0</v>
      </c>
      <c r="J34" s="12">
        <f>SUM(Monthly!J34,MS:META!J34)</f>
        <v>0</v>
      </c>
      <c r="K34" s="12">
        <f>SUM(Monthly!K34,MS:META!K34)</f>
        <v>0</v>
      </c>
      <c r="L34" s="12">
        <f>SUM(Monthly!L34,MS:META!L34)</f>
        <v>0</v>
      </c>
      <c r="M34" s="12">
        <f>SUM(Monthly!M34,MS:META!M34)</f>
        <v>0</v>
      </c>
      <c r="N34" s="12">
        <f>SUM(Monthly!N34,MS:META!N34)</f>
        <v>0</v>
      </c>
      <c r="O34" s="12">
        <f>SUM(Monthly!O34,MS:META!O34)</f>
        <v>0</v>
      </c>
      <c r="P34" s="12">
        <f>SUM(Monthly!P34,MS:META!P34)</f>
        <v>0</v>
      </c>
      <c r="Q34" s="12">
        <f>SUM(Monthly!Q34,MS:META!Q34)</f>
        <v>0</v>
      </c>
      <c r="R34" s="12">
        <f>SUM(Monthly!R34,MS:META!R34)</f>
        <v>0</v>
      </c>
      <c r="S34" s="12">
        <f>SUM(Monthly!S34,MS:META!S34)</f>
        <v>0</v>
      </c>
      <c r="T34" s="12">
        <f>SUM(Monthly!T34,MS:META!T34)</f>
        <v>0</v>
      </c>
      <c r="U34" s="12">
        <f>SUM(Monthly!U34,MS:META!U34)</f>
        <v>0</v>
      </c>
      <c r="V34" s="12">
        <f>SUM(Monthly!V34,MS:META!V34)</f>
        <v>0</v>
      </c>
      <c r="W34" s="12">
        <f>SUM(Monthly!W34,MS:META!W34)</f>
        <v>0</v>
      </c>
      <c r="X34" s="12">
        <f>SUM(Monthly!X34,MS:META!X34)</f>
        <v>0</v>
      </c>
      <c r="Y34" s="12">
        <f>SUM(Monthly!Y34,MS:META!Y34)</f>
        <v>0</v>
      </c>
      <c r="Z34" s="12">
        <f>SUM(Monthly!Z34,MS:META!Z34)</f>
        <v>0</v>
      </c>
      <c r="AA34" s="12">
        <f>SUM(Monthly!AA34,MS:META!AA34)</f>
        <v>0</v>
      </c>
      <c r="AB34" s="12">
        <f>SUM(Monthly!AB34,MS:META!AB34)</f>
        <v>0</v>
      </c>
      <c r="AC34" s="12">
        <f>SUM(Monthly!AC34,MS:META!AC34)</f>
        <v>0</v>
      </c>
      <c r="AD34" s="12">
        <f>SUM(Monthly!AD34,MS:META!AD34)</f>
        <v>0</v>
      </c>
      <c r="AE34" s="12">
        <f>SUM(Monthly!AE34,MS:META!AE34)</f>
        <v>0</v>
      </c>
      <c r="AF34" s="12">
        <f>SUM(Monthly!AF34,MS:META!AF34)</f>
        <v>0</v>
      </c>
      <c r="AG34" s="12">
        <f>SUM(Monthly!AG34,MS:META!AG34)</f>
        <v>0</v>
      </c>
      <c r="AH34" s="12">
        <f>SUM(Monthly!AH34,MS:META!AH34)</f>
        <v>0</v>
      </c>
      <c r="AI34" s="12">
        <f>SUM(Monthly!AI34,MS:META!AI34)</f>
        <v>0</v>
      </c>
      <c r="AJ34" s="12">
        <f>SUM(Monthly!AJ34,MS:META!AJ34)</f>
        <v>0</v>
      </c>
      <c r="AK34" s="12">
        <f>SUM(Monthly!AK34,MS:META!AK34)</f>
        <v>0</v>
      </c>
      <c r="AL34" s="12">
        <f>SUM(Monthly!AL34,MS:META!AL34)</f>
        <v>0</v>
      </c>
      <c r="AM34" s="12">
        <f>SUM(Monthly!AM34,MS:META!AM34)</f>
        <v>0</v>
      </c>
      <c r="AN34" s="12">
        <f>SUM(Monthly!AN34,MS:META!AN34)</f>
        <v>0</v>
      </c>
      <c r="AP34" s="12" cm="1">
        <f t="array" ref="AP34">SUM(_xlfn._xlws.FILTER($E34:$AN34,YEAR($E$25:$AN$25)=AP$25,0))</f>
        <v>0</v>
      </c>
      <c r="AQ34" s="12" cm="1">
        <f t="array" ref="AQ34">SUM(_xlfn._xlws.FILTER($E34:$AN34,YEAR($E$25:$AN$25)=AQ$25,0))</f>
        <v>0</v>
      </c>
      <c r="AR34" s="12" cm="1">
        <f t="array" ref="AR34">SUM(_xlfn._xlws.FILTER($E34:$AN34,YEAR($E$25:$AN$25)=AR$25,0))</f>
        <v>0</v>
      </c>
    </row>
    <row r="35" spans="2:44" x14ac:dyDescent="0.25">
      <c r="B35" s="39" t="s">
        <v>99</v>
      </c>
      <c r="E35" s="12">
        <f>SUM(Monthly!E35,MS:META!E35)</f>
        <v>-488357.38427176001</v>
      </c>
      <c r="F35" s="12">
        <f>SUM(Monthly!F35,MS:META!F35)</f>
        <v>-598069.66776803182</v>
      </c>
      <c r="G35" s="12">
        <f>SUM(Monthly!G35,MS:META!G35)</f>
        <v>-727535.28120728</v>
      </c>
      <c r="H35" s="12">
        <f>SUM(Monthly!H35,MS:META!H35)</f>
        <v>-860080.96971353609</v>
      </c>
      <c r="I35" s="12">
        <f>SUM(Monthly!I35,MS:META!I35)</f>
        <v>-978823.3995329116</v>
      </c>
      <c r="J35" s="12">
        <f>SUM(Monthly!J35,MS:META!J35)</f>
        <v>-1107652.4818434718</v>
      </c>
      <c r="K35" s="12">
        <f>SUM(Monthly!K35,MS:META!K35)</f>
        <v>-1180236.7528253596</v>
      </c>
      <c r="L35" s="12">
        <f>SUM(Monthly!L35,MS:META!L35)</f>
        <v>-1235983.2479166398</v>
      </c>
      <c r="M35" s="12">
        <f>SUM(Monthly!M35,MS:META!M35)</f>
        <v>-1303261.8841071997</v>
      </c>
      <c r="N35" s="12">
        <f>SUM(Monthly!N35,MS:META!N35)</f>
        <v>-1396935.5504833758</v>
      </c>
      <c r="O35" s="12">
        <f>SUM(Monthly!O35,MS:META!O35)</f>
        <v>-1505235.3317410075</v>
      </c>
      <c r="P35" s="12">
        <f>SUM(Monthly!P35,MS:META!P35)</f>
        <v>-1611589.9356892318</v>
      </c>
      <c r="Q35" s="12">
        <f>SUM(Monthly!Q35,MS:META!Q35)</f>
        <v>-1793595.9085572902</v>
      </c>
      <c r="R35" s="12">
        <f>SUM(Monthly!R35,MS:META!R35)</f>
        <v>-1914088.2380351527</v>
      </c>
      <c r="S35" s="12">
        <f>SUM(Monthly!S35,MS:META!S35)</f>
        <v>-2046298.7953455972</v>
      </c>
      <c r="T35" s="12">
        <f>SUM(Monthly!T35,MS:META!T35)</f>
        <v>-2155594.5870840061</v>
      </c>
      <c r="U35" s="12">
        <f>SUM(Monthly!U35,MS:META!U35)</f>
        <v>-2249389.7281726431</v>
      </c>
      <c r="V35" s="12">
        <f>SUM(Monthly!V35,MS:META!V35)</f>
        <v>-2337679.0458269385</v>
      </c>
      <c r="W35" s="12">
        <f>SUM(Monthly!W35,MS:META!W35)</f>
        <v>-2422574.825564757</v>
      </c>
      <c r="X35" s="12">
        <f>SUM(Monthly!X35,MS:META!X35)</f>
        <v>-2513183.9729200206</v>
      </c>
      <c r="Y35" s="12">
        <f>SUM(Monthly!Y35,MS:META!Y35)</f>
        <v>-2584077.0420831386</v>
      </c>
      <c r="Z35" s="12">
        <f>SUM(Monthly!Z35,MS:META!Z35)</f>
        <v>-2661901.0096742562</v>
      </c>
      <c r="AA35" s="12">
        <f>SUM(Monthly!AA35,MS:META!AA35)</f>
        <v>-2742265.5304326876</v>
      </c>
      <c r="AB35" s="12">
        <f>SUM(Monthly!AB35,MS:META!AB35)</f>
        <v>-2822279.5435409802</v>
      </c>
      <c r="AC35" s="12">
        <f>SUM(Monthly!AC35,MS:META!AC35)</f>
        <v>-2915915.2662643236</v>
      </c>
      <c r="AD35" s="12">
        <f>SUM(Monthly!AD35,MS:META!AD35)</f>
        <v>-3006085.5397736658</v>
      </c>
      <c r="AE35" s="12">
        <f>SUM(Monthly!AE35,MS:META!AE35)</f>
        <v>-3095949.9234668887</v>
      </c>
      <c r="AF35" s="12">
        <f>SUM(Monthly!AF35,MS:META!AF35)</f>
        <v>-3183053.2852862086</v>
      </c>
      <c r="AG35" s="12">
        <f>SUM(Monthly!AG35,MS:META!AG35)</f>
        <v>-3263878.0223305793</v>
      </c>
      <c r="AH35" s="12">
        <f>SUM(Monthly!AH35,MS:META!AH35)</f>
        <v>-3360615.408509979</v>
      </c>
      <c r="AI35" s="12">
        <f>SUM(Monthly!AI35,MS:META!AI35)</f>
        <v>-3441883.4472499657</v>
      </c>
      <c r="AJ35" s="12">
        <f>SUM(Monthly!AJ35,MS:META!AJ35)</f>
        <v>-3529430.1107649007</v>
      </c>
      <c r="AK35" s="12">
        <f>SUM(Monthly!AK35,MS:META!AK35)</f>
        <v>-3612583.3816747125</v>
      </c>
      <c r="AL35" s="12">
        <f>SUM(Monthly!AL35,MS:META!AL35)</f>
        <v>-3694171.0274002831</v>
      </c>
      <c r="AM35" s="12">
        <f>SUM(Monthly!AM35,MS:META!AM35)</f>
        <v>-3778004.2464954536</v>
      </c>
      <c r="AN35" s="12">
        <f>SUM(Monthly!AN35,MS:META!AN35)</f>
        <v>-3853426.6587219718</v>
      </c>
      <c r="AP35" s="12" cm="1">
        <f t="array" ref="AP35">SUM(_xlfn._xlws.FILTER($E35:$AN35,YEAR($E$25:$AN$25)=AP$25,0))</f>
        <v>-12993761.887099804</v>
      </c>
      <c r="AQ35" s="12" cm="1">
        <f t="array" ref="AQ35">SUM(_xlfn._xlws.FILTER($E35:$AN35,YEAR($E$25:$AN$25)=AQ$25,0))</f>
        <v>-28242928.227237463</v>
      </c>
      <c r="AR35" s="12" cm="1">
        <f t="array" ref="AR35">SUM(_xlfn._xlws.FILTER($E35:$AN35,YEAR($E$25:$AN$25)=AR$25,0))</f>
        <v>-40734996.317938931</v>
      </c>
    </row>
    <row r="36" spans="2:44" x14ac:dyDescent="0.25">
      <c r="B36" s="39" t="s">
        <v>261</v>
      </c>
      <c r="C36" s="4"/>
      <c r="E36" s="12">
        <f>SUM(Monthly!E36,MS:META!E36)</f>
        <v>0</v>
      </c>
      <c r="F36" s="12">
        <f>SUM(Monthly!F36,MS:META!F36)</f>
        <v>0</v>
      </c>
      <c r="G36" s="12">
        <f>SUM(Monthly!G36,MS:META!G36)</f>
        <v>0</v>
      </c>
      <c r="H36" s="12">
        <f>SUM(Monthly!H36,MS:META!H36)</f>
        <v>0</v>
      </c>
      <c r="I36" s="12">
        <f>SUM(Monthly!I36,MS:META!I36)</f>
        <v>0</v>
      </c>
      <c r="J36" s="12">
        <f>SUM(Monthly!J36,MS:META!J36)</f>
        <v>0</v>
      </c>
      <c r="K36" s="12">
        <f>SUM(Monthly!K36,MS:META!K36)</f>
        <v>0</v>
      </c>
      <c r="L36" s="12">
        <f>SUM(Monthly!L36,MS:META!L36)</f>
        <v>0</v>
      </c>
      <c r="M36" s="12">
        <f>SUM(Monthly!M36,MS:META!M36)</f>
        <v>0</v>
      </c>
      <c r="N36" s="12">
        <f>SUM(Monthly!N36,MS:META!N36)</f>
        <v>0</v>
      </c>
      <c r="O36" s="12">
        <f>SUM(Monthly!O36,MS:META!O36)</f>
        <v>0</v>
      </c>
      <c r="P36" s="12">
        <f>SUM(Monthly!P36,MS:META!P36)</f>
        <v>0</v>
      </c>
      <c r="Q36" s="12">
        <f>SUM(Monthly!Q36,MS:META!Q36)</f>
        <v>0</v>
      </c>
      <c r="R36" s="12">
        <f>SUM(Monthly!R36,MS:META!R36)</f>
        <v>0</v>
      </c>
      <c r="S36" s="12">
        <f>SUM(Monthly!S36,MS:META!S36)</f>
        <v>0</v>
      </c>
      <c r="T36" s="12">
        <f>SUM(Monthly!T36,MS:META!T36)</f>
        <v>0</v>
      </c>
      <c r="U36" s="12">
        <f>SUM(Monthly!U36,MS:META!U36)</f>
        <v>0</v>
      </c>
      <c r="V36" s="12">
        <f>SUM(Monthly!V36,MS:META!V36)</f>
        <v>0</v>
      </c>
      <c r="W36" s="12">
        <f>SUM(Monthly!W36,MS:META!W36)</f>
        <v>0</v>
      </c>
      <c r="X36" s="12">
        <f>SUM(Monthly!X36,MS:META!X36)</f>
        <v>0</v>
      </c>
      <c r="Y36" s="12">
        <f>SUM(Monthly!Y36,MS:META!Y36)</f>
        <v>0</v>
      </c>
      <c r="Z36" s="12">
        <f>SUM(Monthly!Z36,MS:META!Z36)</f>
        <v>0</v>
      </c>
      <c r="AA36" s="12">
        <f>SUM(Monthly!AA36,MS:META!AA36)</f>
        <v>0</v>
      </c>
      <c r="AB36" s="12">
        <f>SUM(Monthly!AB36,MS:META!AB36)</f>
        <v>0</v>
      </c>
      <c r="AC36" s="12">
        <f>SUM(Monthly!AC36,MS:META!AC36)</f>
        <v>0</v>
      </c>
      <c r="AD36" s="12">
        <f>SUM(Monthly!AD36,MS:META!AD36)</f>
        <v>0</v>
      </c>
      <c r="AE36" s="12">
        <f>SUM(Monthly!AE36,MS:META!AE36)</f>
        <v>0</v>
      </c>
      <c r="AF36" s="12">
        <f>SUM(Monthly!AF36,MS:META!AF36)</f>
        <v>0</v>
      </c>
      <c r="AG36" s="12">
        <f>SUM(Monthly!AG36,MS:META!AG36)</f>
        <v>0</v>
      </c>
      <c r="AH36" s="12">
        <f>SUM(Monthly!AH36,MS:META!AH36)</f>
        <v>0</v>
      </c>
      <c r="AI36" s="12">
        <f>SUM(Monthly!AI36,MS:META!AI36)</f>
        <v>0</v>
      </c>
      <c r="AJ36" s="12">
        <f>SUM(Monthly!AJ36,MS:META!AJ36)</f>
        <v>0</v>
      </c>
      <c r="AK36" s="12">
        <f>SUM(Monthly!AK36,MS:META!AK36)</f>
        <v>0</v>
      </c>
      <c r="AL36" s="12">
        <f>SUM(Monthly!AL36,MS:META!AL36)</f>
        <v>0</v>
      </c>
      <c r="AM36" s="12">
        <f>SUM(Monthly!AM36,MS:META!AM36)</f>
        <v>0</v>
      </c>
      <c r="AN36" s="12">
        <f>SUM(Monthly!AN36,MS:META!AN36)</f>
        <v>0</v>
      </c>
      <c r="AP36" s="12" cm="1">
        <f t="array" ref="AP36">SUM(_xlfn._xlws.FILTER($E36:$AN36,YEAR($E$25:$AN$25)=AP$25,0))</f>
        <v>0</v>
      </c>
      <c r="AQ36" s="12" cm="1">
        <f t="array" ref="AQ36">SUM(_xlfn._xlws.FILTER($E36:$AN36,YEAR($E$25:$AN$25)=AQ$25,0))</f>
        <v>0</v>
      </c>
      <c r="AR36" s="12" cm="1">
        <f t="array" ref="AR36">SUM(_xlfn._xlws.FILTER($E36:$AN36,YEAR($E$25:$AN$25)=AR$25,0))</f>
        <v>0</v>
      </c>
    </row>
    <row r="37" spans="2:44" x14ac:dyDescent="0.25">
      <c r="B37" s="1" t="s">
        <v>271</v>
      </c>
      <c r="C37" s="15"/>
      <c r="E37" s="13">
        <f>SUM(E26:E36)</f>
        <v>3581287.4846595726</v>
      </c>
      <c r="F37" s="13">
        <f t="shared" ref="F37:AP37" si="2">SUM(F26:F36)</f>
        <v>4385844.230298901</v>
      </c>
      <c r="G37" s="13">
        <f t="shared" si="2"/>
        <v>5335258.7288533868</v>
      </c>
      <c r="H37" s="13">
        <f t="shared" si="2"/>
        <v>6307260.4445659295</v>
      </c>
      <c r="I37" s="13">
        <f t="shared" si="2"/>
        <v>7178038.2632413544</v>
      </c>
      <c r="J37" s="13">
        <f t="shared" si="2"/>
        <v>8122784.866852127</v>
      </c>
      <c r="K37" s="13">
        <f t="shared" si="2"/>
        <v>8655069.5207193065</v>
      </c>
      <c r="L37" s="13">
        <f t="shared" si="2"/>
        <v>9063877.1513886973</v>
      </c>
      <c r="M37" s="13">
        <f t="shared" si="2"/>
        <v>9557253.8167861309</v>
      </c>
      <c r="N37" s="13">
        <f t="shared" si="2"/>
        <v>10244194.03687809</v>
      </c>
      <c r="O37" s="13">
        <f t="shared" si="2"/>
        <v>11038392.432767393</v>
      </c>
      <c r="P37" s="13">
        <f t="shared" si="2"/>
        <v>11818326.195054363</v>
      </c>
      <c r="Q37" s="13">
        <f t="shared" si="2"/>
        <v>13153036.662753468</v>
      </c>
      <c r="R37" s="13">
        <f t="shared" si="2"/>
        <v>14036647.078924451</v>
      </c>
      <c r="S37" s="13">
        <f t="shared" si="2"/>
        <v>15006191.165867709</v>
      </c>
      <c r="T37" s="13">
        <f t="shared" si="2"/>
        <v>15807693.63861604</v>
      </c>
      <c r="U37" s="13">
        <f t="shared" si="2"/>
        <v>16495524.673266048</v>
      </c>
      <c r="V37" s="13">
        <f t="shared" si="2"/>
        <v>17142979.669397552</v>
      </c>
      <c r="W37" s="13">
        <f t="shared" si="2"/>
        <v>17765548.72080823</v>
      </c>
      <c r="X37" s="13">
        <f t="shared" si="2"/>
        <v>18430015.801413491</v>
      </c>
      <c r="Y37" s="13">
        <f t="shared" si="2"/>
        <v>18949898.308609687</v>
      </c>
      <c r="Z37" s="13">
        <f t="shared" si="2"/>
        <v>19520607.404277887</v>
      </c>
      <c r="AA37" s="13">
        <f t="shared" si="2"/>
        <v>20109947.223173048</v>
      </c>
      <c r="AB37" s="13">
        <f t="shared" si="2"/>
        <v>20696716.652633857</v>
      </c>
      <c r="AC37" s="13">
        <f t="shared" si="2"/>
        <v>21383378.619271699</v>
      </c>
      <c r="AD37" s="13">
        <f t="shared" si="2"/>
        <v>22044627.291673556</v>
      </c>
      <c r="AE37" s="13">
        <f t="shared" si="2"/>
        <v>22703632.772090524</v>
      </c>
      <c r="AF37" s="13">
        <f t="shared" si="2"/>
        <v>23342390.758765526</v>
      </c>
      <c r="AG37" s="13">
        <f t="shared" si="2"/>
        <v>23935105.497090917</v>
      </c>
      <c r="AH37" s="13">
        <f t="shared" si="2"/>
        <v>24644512.99573984</v>
      </c>
      <c r="AI37" s="13">
        <f t="shared" si="2"/>
        <v>25240478.613166414</v>
      </c>
      <c r="AJ37" s="13">
        <f t="shared" si="2"/>
        <v>25882487.478942607</v>
      </c>
      <c r="AK37" s="13">
        <f t="shared" si="2"/>
        <v>26492278.132281221</v>
      </c>
      <c r="AL37" s="13">
        <f t="shared" si="2"/>
        <v>27090587.534268744</v>
      </c>
      <c r="AM37" s="13">
        <f t="shared" si="2"/>
        <v>27705364.47429999</v>
      </c>
      <c r="AN37" s="13">
        <f t="shared" si="2"/>
        <v>28258462.163961135</v>
      </c>
      <c r="AP37" s="13">
        <f t="shared" si="2"/>
        <v>95287587.172065243</v>
      </c>
      <c r="AQ37" s="13">
        <f t="shared" ref="AQ37:AR37" si="3">SUM(AQ26:AQ36)</f>
        <v>207114806.99974141</v>
      </c>
      <c r="AR37" s="13">
        <f t="shared" si="3"/>
        <v>298723306.33155221</v>
      </c>
    </row>
    <row r="39" spans="2:44" x14ac:dyDescent="0.25">
      <c r="B39" s="1" t="s">
        <v>118</v>
      </c>
    </row>
    <row r="40" spans="2:44" x14ac:dyDescent="0.25">
      <c r="B40" s="39" t="s">
        <v>23</v>
      </c>
      <c r="E40" s="12">
        <f>SUM(Monthly!E40,MS:META!E40)</f>
        <v>1673605.102330379</v>
      </c>
      <c r="F40" s="12">
        <f>SUM(Monthly!F40,MS:META!F40)</f>
        <v>1782003.7920076635</v>
      </c>
      <c r="G40" s="12">
        <f>SUM(Monthly!G40,MS:META!G40)</f>
        <v>1956899.7181218436</v>
      </c>
      <c r="H40" s="12">
        <f>SUM(Monthly!H40,MS:META!H40)</f>
        <v>2147484.8853817577</v>
      </c>
      <c r="I40" s="12">
        <f>SUM(Monthly!I40,MS:META!I40)</f>
        <v>2294659.1309691565</v>
      </c>
      <c r="J40" s="12">
        <f>SUM(Monthly!J40,MS:META!J40)</f>
        <v>2464878.0212687603</v>
      </c>
      <c r="K40" s="12">
        <f>SUM(Monthly!K40,MS:META!K40)</f>
        <v>2730832.7548028412</v>
      </c>
      <c r="L40" s="12">
        <f>SUM(Monthly!L40,MS:META!L40)</f>
        <v>2901516.7669109814</v>
      </c>
      <c r="M40" s="12">
        <f>SUM(Monthly!M40,MS:META!M40)</f>
        <v>3102855.5220785909</v>
      </c>
      <c r="N40" s="12">
        <f>SUM(Monthly!N40,MS:META!N40)</f>
        <v>3331178.5403349162</v>
      </c>
      <c r="O40" s="12">
        <f>SUM(Monthly!O40,MS:META!O40)</f>
        <v>3613973.6245384254</v>
      </c>
      <c r="P40" s="12">
        <f>SUM(Monthly!P40,MS:META!P40)</f>
        <v>3866403.7406134694</v>
      </c>
      <c r="Q40" s="12">
        <f>SUM(Monthly!Q40,MS:META!Q40)</f>
        <v>4527360.2515249057</v>
      </c>
      <c r="R40" s="12">
        <f>SUM(Monthly!R40,MS:META!R40)</f>
        <v>4751853.0394376703</v>
      </c>
      <c r="S40" s="12">
        <f>SUM(Monthly!S40,MS:META!S40)</f>
        <v>5022406.7111037457</v>
      </c>
      <c r="T40" s="12">
        <f>SUM(Monthly!T40,MS:META!T40)</f>
        <v>5259951.5031499369</v>
      </c>
      <c r="U40" s="12">
        <f>SUM(Monthly!U40,MS:META!U40)</f>
        <v>5437980.0838482901</v>
      </c>
      <c r="V40" s="12">
        <f>SUM(Monthly!V40,MS:META!V40)</f>
        <v>5615883.7838420998</v>
      </c>
      <c r="W40" s="12">
        <f>SUM(Monthly!W40,MS:META!W40)</f>
        <v>5881159.0211191522</v>
      </c>
      <c r="X40" s="12">
        <f>SUM(Monthly!X40,MS:META!X40)</f>
        <v>6167648.935453577</v>
      </c>
      <c r="Y40" s="12">
        <f>SUM(Monthly!Y40,MS:META!Y40)</f>
        <v>6376288.6537575992</v>
      </c>
      <c r="Z40" s="12">
        <f>SUM(Monthly!Z40,MS:META!Z40)</f>
        <v>6576051.6103745978</v>
      </c>
      <c r="AA40" s="12">
        <f>SUM(Monthly!AA40,MS:META!AA40)</f>
        <v>6800056.3292952059</v>
      </c>
      <c r="AB40" s="12">
        <f>SUM(Monthly!AB40,MS:META!AB40)</f>
        <v>7023744.9993149014</v>
      </c>
      <c r="AC40" s="12">
        <f>SUM(Monthly!AC40,MS:META!AC40)</f>
        <v>7946434.4260136215</v>
      </c>
      <c r="AD40" s="12">
        <f>SUM(Monthly!AD40,MS:META!AD40)</f>
        <v>8130714.1689346628</v>
      </c>
      <c r="AE40" s="12">
        <f>SUM(Monthly!AE40,MS:META!AE40)</f>
        <v>8318219.5569346109</v>
      </c>
      <c r="AF40" s="12">
        <f>SUM(Monthly!AF40,MS:META!AF40)</f>
        <v>8501588.6627849862</v>
      </c>
      <c r="AG40" s="12">
        <f>SUM(Monthly!AG40,MS:META!AG40)</f>
        <v>8657431.9517061859</v>
      </c>
      <c r="AH40" s="12">
        <f>SUM(Monthly!AH40,MS:META!AH40)</f>
        <v>8917432.0875350088</v>
      </c>
      <c r="AI40" s="12">
        <f>SUM(Monthly!AI40,MS:META!AI40)</f>
        <v>9201912.0456469785</v>
      </c>
      <c r="AJ40" s="12">
        <f>SUM(Monthly!AJ40,MS:META!AJ40)</f>
        <v>9471490.8439656962</v>
      </c>
      <c r="AK40" s="12">
        <f>SUM(Monthly!AK40,MS:META!AK40)</f>
        <v>9739759.1025727987</v>
      </c>
      <c r="AL40" s="12">
        <f>SUM(Monthly!AL40,MS:META!AL40)</f>
        <v>10001799.666647857</v>
      </c>
      <c r="AM40" s="12">
        <f>SUM(Monthly!AM40,MS:META!AM40)</f>
        <v>10273768.061034728</v>
      </c>
      <c r="AN40" s="12">
        <f>SUM(Monthly!AN40,MS:META!AN40)</f>
        <v>10519049.539397433</v>
      </c>
      <c r="AP40" s="12" cm="1">
        <f t="array" ref="AP40">SUM(_xlfn._xlws.FILTER($E40:$AN40,YEAR($E$25:$AN$25)=AP$25,0))</f>
        <v>31866291.59935879</v>
      </c>
      <c r="AQ40" s="12" cm="1">
        <f t="array" ref="AQ40">SUM(_xlfn._xlws.FILTER($E40:$AN40,YEAR($E$25:$AN$25)=AQ$25,0))</f>
        <v>69440384.92222169</v>
      </c>
      <c r="AR40" s="12" cm="1">
        <f t="array" ref="AR40">SUM(_xlfn._xlws.FILTER($E40:$AN40,YEAR($E$25:$AN$25)=AR$25,0))</f>
        <v>109679600.11317456</v>
      </c>
    </row>
    <row r="41" spans="2:44" x14ac:dyDescent="0.25">
      <c r="B41" s="39" t="s">
        <v>24</v>
      </c>
      <c r="E41" s="12">
        <f>SUM(Monthly!E41,MS:META!E41)</f>
        <v>329894.39999999997</v>
      </c>
      <c r="F41" s="12">
        <f>SUM(Monthly!F41,MS:META!F41)</f>
        <v>655142.40000000002</v>
      </c>
      <c r="G41" s="12">
        <f>SUM(Monthly!G41,MS:META!G41)</f>
        <v>985036.79999999993</v>
      </c>
      <c r="H41" s="12">
        <f>SUM(Monthly!H41,MS:META!H41)</f>
        <v>1314931.1999999997</v>
      </c>
      <c r="I41" s="12">
        <f>SUM(Monthly!I41,MS:META!I41)</f>
        <v>1640179.1999999997</v>
      </c>
      <c r="J41" s="12">
        <f>SUM(Monthly!J41,MS:META!J41)</f>
        <v>1970073.5999999999</v>
      </c>
      <c r="K41" s="12">
        <f>SUM(Monthly!K41,MS:META!K41)</f>
        <v>1988659.2</v>
      </c>
      <c r="L41" s="12">
        <f>SUM(Monthly!L41,MS:META!L41)</f>
        <v>2007244.8</v>
      </c>
      <c r="M41" s="12">
        <f>SUM(Monthly!M41,MS:META!M41)</f>
        <v>2025830.3999999997</v>
      </c>
      <c r="N41" s="12">
        <f>SUM(Monthly!N41,MS:META!N41)</f>
        <v>2146636.7999999998</v>
      </c>
      <c r="O41" s="12">
        <f>SUM(Monthly!O41,MS:META!O41)</f>
        <v>2272089.5999999996</v>
      </c>
      <c r="P41" s="12">
        <f>SUM(Monthly!P41,MS:META!P41)</f>
        <v>2392896</v>
      </c>
      <c r="Q41" s="12">
        <f>SUM(Monthly!Q41,MS:META!Q41)</f>
        <v>2615923.1999999997</v>
      </c>
      <c r="R41" s="12">
        <f>SUM(Monthly!R41,MS:META!R41)</f>
        <v>2843596.7999999998</v>
      </c>
      <c r="S41" s="12">
        <f>SUM(Monthly!S41,MS:META!S41)</f>
        <v>3071270.4</v>
      </c>
      <c r="T41" s="12">
        <f>SUM(Monthly!T41,MS:META!T41)</f>
        <v>3215308.7999999993</v>
      </c>
      <c r="U41" s="12">
        <f>SUM(Monthly!U41,MS:META!U41)</f>
        <v>3363993.5999999996</v>
      </c>
      <c r="V41" s="12">
        <f>SUM(Monthly!V41,MS:META!V41)</f>
        <v>3512678.3999999999</v>
      </c>
      <c r="W41" s="12">
        <f>SUM(Monthly!W41,MS:META!W41)</f>
        <v>3582374.4000000004</v>
      </c>
      <c r="X41" s="12">
        <f>SUM(Monthly!X41,MS:META!X41)</f>
        <v>3656716.7999999993</v>
      </c>
      <c r="Y41" s="12">
        <f>SUM(Monthly!Y41,MS:META!Y41)</f>
        <v>3721766.3999999994</v>
      </c>
      <c r="Z41" s="12">
        <f>SUM(Monthly!Z41,MS:META!Z41)</f>
        <v>3796108.8</v>
      </c>
      <c r="AA41" s="12">
        <f>SUM(Monthly!AA41,MS:META!AA41)</f>
        <v>3865804.7999999998</v>
      </c>
      <c r="AB41" s="12">
        <f>SUM(Monthly!AB41,MS:META!AB41)</f>
        <v>3935500.8</v>
      </c>
      <c r="AC41" s="12">
        <f>SUM(Monthly!AC41,MS:META!AC41)</f>
        <v>4112064</v>
      </c>
      <c r="AD41" s="12">
        <f>SUM(Monthly!AD41,MS:META!AD41)</f>
        <v>4265395.2</v>
      </c>
      <c r="AE41" s="12">
        <f>SUM(Monthly!AE41,MS:META!AE41)</f>
        <v>4423372.7999999998</v>
      </c>
      <c r="AF41" s="12">
        <f>SUM(Monthly!AF41,MS:META!AF41)</f>
        <v>4576704</v>
      </c>
      <c r="AG41" s="12">
        <f>SUM(Monthly!AG41,MS:META!AG41)</f>
        <v>4730035.2</v>
      </c>
      <c r="AH41" s="12">
        <f>SUM(Monthly!AH41,MS:META!AH41)</f>
        <v>4892659.1999999993</v>
      </c>
      <c r="AI41" s="12">
        <f>SUM(Monthly!AI41,MS:META!AI41)</f>
        <v>4962355.1999999993</v>
      </c>
      <c r="AJ41" s="12">
        <f>SUM(Monthly!AJ41,MS:META!AJ41)</f>
        <v>5045990.3999999994</v>
      </c>
      <c r="AK41" s="12">
        <f>SUM(Monthly!AK41,MS:META!AK41)</f>
        <v>5120332.8</v>
      </c>
      <c r="AL41" s="12">
        <f>SUM(Monthly!AL41,MS:META!AL41)</f>
        <v>5199321.5999999996</v>
      </c>
      <c r="AM41" s="12">
        <f>SUM(Monthly!AM41,MS:META!AM41)</f>
        <v>5255078.3999999994</v>
      </c>
      <c r="AN41" s="12">
        <f>SUM(Monthly!AN41,MS:META!AN41)</f>
        <v>5301542.3999999994</v>
      </c>
      <c r="AP41" s="12" cm="1">
        <f t="array" ref="AP41">SUM(_xlfn._xlws.FILTER($E41:$AN41,YEAR($E$25:$AN$25)=AP$25,0))</f>
        <v>19728614.399999999</v>
      </c>
      <c r="AQ41" s="12" cm="1">
        <f t="array" ref="AQ41">SUM(_xlfn._xlws.FILTER($E41:$AN41,YEAR($E$25:$AN$25)=AQ$25,0))</f>
        <v>41181043.199999996</v>
      </c>
      <c r="AR41" s="12" cm="1">
        <f t="array" ref="AR41">SUM(_xlfn._xlws.FILTER($E41:$AN41,YEAR($E$25:$AN$25)=AR$25,0))</f>
        <v>57884851.199999996</v>
      </c>
    </row>
    <row r="42" spans="2:44" x14ac:dyDescent="0.25">
      <c r="B42" s="39" t="s">
        <v>28</v>
      </c>
      <c r="E42" s="12">
        <f>SUM(Monthly!E42,MS:META!E42)</f>
        <v>77057.290000000008</v>
      </c>
      <c r="F42" s="12">
        <f>SUM(Monthly!F42,MS:META!F42)</f>
        <v>77057.290000000008</v>
      </c>
      <c r="G42" s="12">
        <f>SUM(Monthly!G42,MS:META!G42)</f>
        <v>107057.29000000001</v>
      </c>
      <c r="H42" s="12">
        <f>SUM(Monthly!H42,MS:META!H42)</f>
        <v>122057.29000000001</v>
      </c>
      <c r="I42" s="12">
        <f>SUM(Monthly!I42,MS:META!I42)</f>
        <v>122057.29000000001</v>
      </c>
      <c r="J42" s="12">
        <f>SUM(Monthly!J42,MS:META!J42)</f>
        <v>128770.29000000001</v>
      </c>
      <c r="K42" s="12">
        <f>SUM(Monthly!K42,MS:META!K42)</f>
        <v>158062.66</v>
      </c>
      <c r="L42" s="12">
        <f>SUM(Monthly!L42,MS:META!L42)</f>
        <v>158062.66</v>
      </c>
      <c r="M42" s="12">
        <f>SUM(Monthly!M42,MS:META!M42)</f>
        <v>173062.66</v>
      </c>
      <c r="N42" s="12">
        <f>SUM(Monthly!N42,MS:META!N42)</f>
        <v>179775.66</v>
      </c>
      <c r="O42" s="12">
        <f>SUM(Monthly!O42,MS:META!O42)</f>
        <v>194775.66</v>
      </c>
      <c r="P42" s="12">
        <f>SUM(Monthly!P42,MS:META!P42)</f>
        <v>194775.66</v>
      </c>
      <c r="Q42" s="12">
        <f>SUM(Monthly!Q42,MS:META!Q42)</f>
        <v>200618.92980000004</v>
      </c>
      <c r="R42" s="12">
        <f>SUM(Monthly!R42,MS:META!R42)</f>
        <v>200618.92980000004</v>
      </c>
      <c r="S42" s="12">
        <f>SUM(Monthly!S42,MS:META!S42)</f>
        <v>216068.92980000004</v>
      </c>
      <c r="T42" s="12">
        <f>SUM(Monthly!T42,MS:META!T42)</f>
        <v>216068.92980000004</v>
      </c>
      <c r="U42" s="12">
        <f>SUM(Monthly!U42,MS:META!U42)</f>
        <v>216068.92980000004</v>
      </c>
      <c r="V42" s="12">
        <f>SUM(Monthly!V42,MS:META!V42)</f>
        <v>216068.92980000004</v>
      </c>
      <c r="W42" s="12">
        <f>SUM(Monthly!W42,MS:META!W42)</f>
        <v>238433.31980000006</v>
      </c>
      <c r="X42" s="12">
        <f>SUM(Monthly!X42,MS:META!X42)</f>
        <v>268604.46090000006</v>
      </c>
      <c r="Y42" s="12">
        <f>SUM(Monthly!Y42,MS:META!Y42)</f>
        <v>268604.46090000006</v>
      </c>
      <c r="Z42" s="12">
        <f>SUM(Monthly!Z42,MS:META!Z42)</f>
        <v>268604.46090000006</v>
      </c>
      <c r="AA42" s="12">
        <f>SUM(Monthly!AA42,MS:META!AA42)</f>
        <v>284054.46090000006</v>
      </c>
      <c r="AB42" s="12">
        <f>SUM(Monthly!AB42,MS:META!AB42)</f>
        <v>299504.46090000006</v>
      </c>
      <c r="AC42" s="12">
        <f>SUM(Monthly!AC42,MS:META!AC42)</f>
        <v>308489.59472699993</v>
      </c>
      <c r="AD42" s="12">
        <f>SUM(Monthly!AD42,MS:META!AD42)</f>
        <v>308489.59472699993</v>
      </c>
      <c r="AE42" s="12">
        <f>SUM(Monthly!AE42,MS:META!AE42)</f>
        <v>308489.59472699993</v>
      </c>
      <c r="AF42" s="12">
        <f>SUM(Monthly!AF42,MS:META!AF42)</f>
        <v>308489.59472699993</v>
      </c>
      <c r="AG42" s="12">
        <f>SUM(Monthly!AG42,MS:META!AG42)</f>
        <v>308489.59472699993</v>
      </c>
      <c r="AH42" s="12">
        <f>SUM(Monthly!AH42,MS:META!AH42)</f>
        <v>330774.1917599999</v>
      </c>
      <c r="AI42" s="12">
        <f>SUM(Monthly!AI42,MS:META!AI42)</f>
        <v>346687.6917599999</v>
      </c>
      <c r="AJ42" s="12">
        <f>SUM(Monthly!AJ42,MS:META!AJ42)</f>
        <v>362601.1917599999</v>
      </c>
      <c r="AK42" s="12">
        <f>SUM(Monthly!AK42,MS:META!AK42)</f>
        <v>378514.6917599999</v>
      </c>
      <c r="AL42" s="12">
        <f>SUM(Monthly!AL42,MS:META!AL42)</f>
        <v>394428.1917599999</v>
      </c>
      <c r="AM42" s="12">
        <f>SUM(Monthly!AM42,MS:META!AM42)</f>
        <v>410341.6917599999</v>
      </c>
      <c r="AN42" s="12">
        <f>SUM(Monthly!AN42,MS:META!AN42)</f>
        <v>410341.6917599999</v>
      </c>
      <c r="AP42" s="12" cm="1">
        <f t="array" ref="AP42">SUM(_xlfn._xlws.FILTER($E42:$AN42,YEAR($E$25:$AN$25)=AP$25,0))</f>
        <v>1692571.7</v>
      </c>
      <c r="AQ42" s="12" cm="1">
        <f t="array" ref="AQ42">SUM(_xlfn._xlws.FILTER($E42:$AN42,YEAR($E$25:$AN$25)=AQ$25,0))</f>
        <v>2893319.2031000014</v>
      </c>
      <c r="AR42" s="12" cm="1">
        <f t="array" ref="AR42">SUM(_xlfn._xlws.FILTER($E42:$AN42,YEAR($E$25:$AN$25)=AR$25,0))</f>
        <v>4176137.3159549986</v>
      </c>
    </row>
    <row r="43" spans="2:44" x14ac:dyDescent="0.25">
      <c r="B43" s="39" t="s">
        <v>31</v>
      </c>
      <c r="E43" s="12">
        <f>SUM(Monthly!E43,MS:META!E43)</f>
        <v>37222.93</v>
      </c>
      <c r="F43" s="12">
        <f>SUM(Monthly!F43,MS:META!F43)</f>
        <v>37222.93</v>
      </c>
      <c r="G43" s="12">
        <f>SUM(Monthly!G43,MS:META!G43)</f>
        <v>54622.93</v>
      </c>
      <c r="H43" s="12">
        <f>SUM(Monthly!H43,MS:META!H43)</f>
        <v>63322.93</v>
      </c>
      <c r="I43" s="12">
        <f>SUM(Monthly!I43,MS:META!I43)</f>
        <v>63322.93</v>
      </c>
      <c r="J43" s="12">
        <f>SUM(Monthly!J43,MS:META!J43)</f>
        <v>68922.929999999993</v>
      </c>
      <c r="K43" s="12">
        <f>SUM(Monthly!K43,MS:META!K43)</f>
        <v>83322.929999999993</v>
      </c>
      <c r="L43" s="12">
        <f>SUM(Monthly!L43,MS:META!L43)</f>
        <v>83322.929999999993</v>
      </c>
      <c r="M43" s="12">
        <f>SUM(Monthly!M43,MS:META!M43)</f>
        <v>92022.93</v>
      </c>
      <c r="N43" s="12">
        <f>SUM(Monthly!N43,MS:META!N43)</f>
        <v>96622.93</v>
      </c>
      <c r="O43" s="12">
        <f>SUM(Monthly!O43,MS:META!O43)</f>
        <v>105322.93</v>
      </c>
      <c r="P43" s="12">
        <f>SUM(Monthly!P43,MS:META!P43)</f>
        <v>105322.93</v>
      </c>
      <c r="Q43" s="12">
        <f>SUM(Monthly!Q43,MS:META!Q43)</f>
        <v>109535.84719999999</v>
      </c>
      <c r="R43" s="12">
        <f>SUM(Monthly!R43,MS:META!R43)</f>
        <v>109535.84719999999</v>
      </c>
      <c r="S43" s="12">
        <f>SUM(Monthly!S43,MS:META!S43)</f>
        <v>118583.84719999999</v>
      </c>
      <c r="T43" s="12">
        <f>SUM(Monthly!T43,MS:META!T43)</f>
        <v>118583.84719999999</v>
      </c>
      <c r="U43" s="12">
        <f>SUM(Monthly!U43,MS:META!U43)</f>
        <v>118583.84719999999</v>
      </c>
      <c r="V43" s="12">
        <f>SUM(Monthly!V43,MS:META!V43)</f>
        <v>118583.84719999999</v>
      </c>
      <c r="W43" s="12">
        <f>SUM(Monthly!W43,MS:META!W43)</f>
        <v>132415.84719999999</v>
      </c>
      <c r="X43" s="12">
        <f>SUM(Monthly!X43,MS:META!X43)</f>
        <v>147391.84719999999</v>
      </c>
      <c r="Y43" s="12">
        <f>SUM(Monthly!Y43,MS:META!Y43)</f>
        <v>147391.84719999999</v>
      </c>
      <c r="Z43" s="12">
        <f>SUM(Monthly!Z43,MS:META!Z43)</f>
        <v>147391.84719999999</v>
      </c>
      <c r="AA43" s="12">
        <f>SUM(Monthly!AA43,MS:META!AA43)</f>
        <v>156439.84719999999</v>
      </c>
      <c r="AB43" s="12">
        <f>SUM(Monthly!AB43,MS:META!AB43)</f>
        <v>165487.84719999999</v>
      </c>
      <c r="AC43" s="12">
        <f>SUM(Monthly!AC43,MS:META!AC43)</f>
        <v>172107.36108799998</v>
      </c>
      <c r="AD43" s="12">
        <f>SUM(Monthly!AD43,MS:META!AD43)</f>
        <v>172107.36108799998</v>
      </c>
      <c r="AE43" s="12">
        <f>SUM(Monthly!AE43,MS:META!AE43)</f>
        <v>172107.36108799998</v>
      </c>
      <c r="AF43" s="12">
        <f>SUM(Monthly!AF43,MS:META!AF43)</f>
        <v>172107.36108799998</v>
      </c>
      <c r="AG43" s="12">
        <f>SUM(Monthly!AG43,MS:META!AG43)</f>
        <v>172107.36108799998</v>
      </c>
      <c r="AH43" s="12">
        <f>SUM(Monthly!AH43,MS:META!AH43)</f>
        <v>184329.44108799996</v>
      </c>
      <c r="AI43" s="12">
        <f>SUM(Monthly!AI43,MS:META!AI43)</f>
        <v>192657.76108799997</v>
      </c>
      <c r="AJ43" s="12">
        <f>SUM(Monthly!AJ43,MS:META!AJ43)</f>
        <v>200986.08108799998</v>
      </c>
      <c r="AK43" s="12">
        <f>SUM(Monthly!AK43,MS:META!AK43)</f>
        <v>209314.40108799998</v>
      </c>
      <c r="AL43" s="12">
        <f>SUM(Monthly!AL43,MS:META!AL43)</f>
        <v>217642.72108799999</v>
      </c>
      <c r="AM43" s="12">
        <f>SUM(Monthly!AM43,MS:META!AM43)</f>
        <v>225971.041088</v>
      </c>
      <c r="AN43" s="12">
        <f>SUM(Monthly!AN43,MS:META!AN43)</f>
        <v>225971.041088</v>
      </c>
      <c r="AP43" s="12" cm="1">
        <f t="array" ref="AP43">SUM(_xlfn._xlws.FILTER($E43:$AN43,YEAR($E$25:$AN$25)=AP$25,0))</f>
        <v>890575.15999999968</v>
      </c>
      <c r="AQ43" s="12" cm="1">
        <f t="array" ref="AQ43">SUM(_xlfn._xlws.FILTER($E43:$AN43,YEAR($E$25:$AN$25)=AQ$25,0))</f>
        <v>1589926.1663999998</v>
      </c>
      <c r="AR43" s="12" cm="1">
        <f t="array" ref="AR43">SUM(_xlfn._xlws.FILTER($E43:$AN43,YEAR($E$25:$AN$25)=AR$25,0))</f>
        <v>2317409.2930559996</v>
      </c>
    </row>
    <row r="44" spans="2:44" x14ac:dyDescent="0.25">
      <c r="B44" s="39" t="s">
        <v>34</v>
      </c>
      <c r="E44" s="12">
        <f>SUM(Monthly!E44,MS:META!E44)</f>
        <v>13679.764000000001</v>
      </c>
      <c r="F44" s="12">
        <f>SUM(Monthly!F44,MS:META!F44)</f>
        <v>14899.486800000001</v>
      </c>
      <c r="G44" s="12">
        <f>SUM(Monthly!G44,MS:META!G44)</f>
        <v>15667.710000000001</v>
      </c>
      <c r="H44" s="12">
        <f>SUM(Monthly!H44,MS:META!H44)</f>
        <v>17386.103999999999</v>
      </c>
      <c r="I44" s="12">
        <f>SUM(Monthly!I44,MS:META!I44)</f>
        <v>19097.7592</v>
      </c>
      <c r="J44" s="12">
        <f>SUM(Monthly!J44,MS:META!J44)</f>
        <v>20229.877600000003</v>
      </c>
      <c r="K44" s="12">
        <f>SUM(Monthly!K44,MS:META!K44)</f>
        <v>22460.420399999999</v>
      </c>
      <c r="L44" s="12">
        <f>SUM(Monthly!L44,MS:META!L44)</f>
        <v>23670.035000000003</v>
      </c>
      <c r="M44" s="12">
        <f>SUM(Monthly!M44,MS:META!M44)</f>
        <v>24394.456000000002</v>
      </c>
      <c r="N44" s="12">
        <f>SUM(Monthly!N44,MS:META!N44)</f>
        <v>26085.894800000005</v>
      </c>
      <c r="O44" s="12">
        <f>SUM(Monthly!O44,MS:META!O44)</f>
        <v>28316.437600000001</v>
      </c>
      <c r="P44" s="12">
        <f>SUM(Monthly!P44,MS:META!P44)</f>
        <v>29718.108</v>
      </c>
      <c r="Q44" s="12">
        <f>SUM(Monthly!Q44,MS:META!Q44)</f>
        <v>31327.333439999999</v>
      </c>
      <c r="R44" s="12">
        <f>SUM(Monthly!R44,MS:META!R44)</f>
        <v>32564.307567999997</v>
      </c>
      <c r="S44" s="12">
        <f>SUM(Monthly!S44,MS:META!S44)</f>
        <v>33913.41532800001</v>
      </c>
      <c r="T44" s="12">
        <f>SUM(Monthly!T44,MS:META!T44)</f>
        <v>34551.175360000001</v>
      </c>
      <c r="U44" s="12">
        <f>SUM(Monthly!U44,MS:META!U44)</f>
        <v>34684.334048000004</v>
      </c>
      <c r="V44" s="12">
        <f>SUM(Monthly!V44,MS:META!V44)</f>
        <v>35343.119136000008</v>
      </c>
      <c r="W44" s="12">
        <f>SUM(Monthly!W44,MS:META!W44)</f>
        <v>36776.327120000002</v>
      </c>
      <c r="X44" s="12">
        <f>SUM(Monthly!X44,MS:META!X44)</f>
        <v>38724.648975999997</v>
      </c>
      <c r="Y44" s="12">
        <f>SUM(Monthly!Y44,MS:META!Y44)</f>
        <v>40410.157632000002</v>
      </c>
      <c r="Z44" s="12">
        <f>SUM(Monthly!Z44,MS:META!Z44)</f>
        <v>41040.909312000003</v>
      </c>
      <c r="AA44" s="12">
        <f>SUM(Monthly!AA44,MS:META!AA44)</f>
        <v>42043.103648000018</v>
      </c>
      <c r="AB44" s="12">
        <f>SUM(Monthly!AB44,MS:META!AB44)</f>
        <v>43143.414912000007</v>
      </c>
      <c r="AC44" s="12">
        <f>SUM(Monthly!AC44,MS:META!AC44)</f>
        <v>45977.031792640002</v>
      </c>
      <c r="AD44" s="12">
        <f>SUM(Monthly!AD44,MS:META!AD44)</f>
        <v>46308.667009280005</v>
      </c>
      <c r="AE44" s="12">
        <f>SUM(Monthly!AE44,MS:META!AE44)</f>
        <v>46975.581785600014</v>
      </c>
      <c r="AF44" s="12">
        <f>SUM(Monthly!AF44,MS:META!AF44)</f>
        <v>47642.496561920008</v>
      </c>
      <c r="AG44" s="12">
        <f>SUM(Monthly!AG44,MS:META!AG44)</f>
        <v>48043.374296319998</v>
      </c>
      <c r="AH44" s="12">
        <f>SUM(Monthly!AH44,MS:META!AH44)</f>
        <v>49599.508774399997</v>
      </c>
      <c r="AI44" s="12">
        <f>SUM(Monthly!AI44,MS:META!AI44)</f>
        <v>52033.929925120021</v>
      </c>
      <c r="AJ44" s="12">
        <f>SUM(Monthly!AJ44,MS:META!AJ44)</f>
        <v>52977.814772480015</v>
      </c>
      <c r="AK44" s="12">
        <f>SUM(Monthly!AK44,MS:META!AK44)</f>
        <v>54333.510383359986</v>
      </c>
      <c r="AL44" s="12">
        <f>SUM(Monthly!AL44,MS:META!AL44)</f>
        <v>56326.966026240007</v>
      </c>
      <c r="AM44" s="12">
        <f>SUM(Monthly!AM44,MS:META!AM44)</f>
        <v>57653.506892800004</v>
      </c>
      <c r="AN44" s="12">
        <f>SUM(Monthly!AN44,MS:META!AN44)</f>
        <v>58867.073125119998</v>
      </c>
      <c r="AP44" s="12" cm="1">
        <f t="array" ref="AP44">SUM(_xlfn._xlws.FILTER($E44:$AN44,YEAR($E$25:$AN$25)=AP$25,0))</f>
        <v>255606.05340000003</v>
      </c>
      <c r="AQ44" s="12" cm="1">
        <f t="array" ref="AQ44">SUM(_xlfn._xlws.FILTER($E44:$AN44,YEAR($E$25:$AN$25)=AQ$25,0))</f>
        <v>444522.24648000003</v>
      </c>
      <c r="AR44" s="12" cm="1">
        <f t="array" ref="AR44">SUM(_xlfn._xlws.FILTER($E44:$AN44,YEAR($E$25:$AN$25)=AR$25,0))</f>
        <v>616739.46134528005</v>
      </c>
    </row>
    <row r="45" spans="2:44" x14ac:dyDescent="0.25">
      <c r="B45" s="39" t="s">
        <v>36</v>
      </c>
      <c r="E45" s="12">
        <f>SUM(Monthly!E45,MS:META!E45)</f>
        <v>46000</v>
      </c>
      <c r="F45" s="12">
        <f>SUM(Monthly!F45,MS:META!F45)</f>
        <v>46000</v>
      </c>
      <c r="G45" s="12">
        <f>SUM(Monthly!G45,MS:META!G45)</f>
        <v>61000</v>
      </c>
      <c r="H45" s="12">
        <f>SUM(Monthly!H45,MS:META!H45)</f>
        <v>68500</v>
      </c>
      <c r="I45" s="12">
        <f>SUM(Monthly!I45,MS:META!I45)</f>
        <v>68500</v>
      </c>
      <c r="J45" s="12">
        <f>SUM(Monthly!J45,MS:META!J45)</f>
        <v>74500</v>
      </c>
      <c r="K45" s="12">
        <f>SUM(Monthly!K45,MS:META!K45)</f>
        <v>86250</v>
      </c>
      <c r="L45" s="12">
        <f>SUM(Monthly!L45,MS:META!L45)</f>
        <v>86250</v>
      </c>
      <c r="M45" s="12">
        <f>SUM(Monthly!M45,MS:META!M45)</f>
        <v>93750</v>
      </c>
      <c r="N45" s="12">
        <f>SUM(Monthly!N45,MS:META!N45)</f>
        <v>98250</v>
      </c>
      <c r="O45" s="12">
        <f>SUM(Monthly!O45,MS:META!O45)</f>
        <v>105750</v>
      </c>
      <c r="P45" s="12">
        <f>SUM(Monthly!P45,MS:META!P45)</f>
        <v>105750</v>
      </c>
      <c r="Q45" s="12">
        <f>SUM(Monthly!Q45,MS:META!Q45)</f>
        <v>112455</v>
      </c>
      <c r="R45" s="12">
        <f>SUM(Monthly!R45,MS:META!R45)</f>
        <v>112455</v>
      </c>
      <c r="S45" s="12">
        <f>SUM(Monthly!S45,MS:META!S45)</f>
        <v>120105</v>
      </c>
      <c r="T45" s="12">
        <f>SUM(Monthly!T45,MS:META!T45)</f>
        <v>120105</v>
      </c>
      <c r="U45" s="12">
        <f>SUM(Monthly!U45,MS:META!U45)</f>
        <v>120105</v>
      </c>
      <c r="V45" s="12">
        <f>SUM(Monthly!V45,MS:META!V45)</f>
        <v>120105</v>
      </c>
      <c r="W45" s="12">
        <f>SUM(Monthly!W45,MS:META!W45)</f>
        <v>132855</v>
      </c>
      <c r="X45" s="12">
        <f>SUM(Monthly!X45,MS:META!X45)</f>
        <v>143820</v>
      </c>
      <c r="Y45" s="12">
        <f>SUM(Monthly!Y45,MS:META!Y45)</f>
        <v>143820</v>
      </c>
      <c r="Z45" s="12">
        <f>SUM(Monthly!Z45,MS:META!Z45)</f>
        <v>143820</v>
      </c>
      <c r="AA45" s="12">
        <f>SUM(Monthly!AA45,MS:META!AA45)</f>
        <v>150450</v>
      </c>
      <c r="AB45" s="12">
        <f>SUM(Monthly!AB45,MS:META!AB45)</f>
        <v>157080</v>
      </c>
      <c r="AC45" s="12">
        <f>SUM(Monthly!AC45,MS:META!AC45)</f>
        <v>160221.59999999998</v>
      </c>
      <c r="AD45" s="12">
        <f>SUM(Monthly!AD45,MS:META!AD45)</f>
        <v>160221.59999999998</v>
      </c>
      <c r="AE45" s="12">
        <f>SUM(Monthly!AE45,MS:META!AE45)</f>
        <v>160221.59999999998</v>
      </c>
      <c r="AF45" s="12">
        <f>SUM(Monthly!AF45,MS:META!AF45)</f>
        <v>160221.59999999998</v>
      </c>
      <c r="AG45" s="12">
        <f>SUM(Monthly!AG45,MS:META!AG45)</f>
        <v>160221.59999999998</v>
      </c>
      <c r="AH45" s="12">
        <f>SUM(Monthly!AH45,MS:META!AH45)</f>
        <v>170885.69999999998</v>
      </c>
      <c r="AI45" s="12">
        <f>SUM(Monthly!AI45,MS:META!AI45)</f>
        <v>177648.30000000002</v>
      </c>
      <c r="AJ45" s="12">
        <f>SUM(Monthly!AJ45,MS:META!AJ45)</f>
        <v>184410.90000000002</v>
      </c>
      <c r="AK45" s="12">
        <f>SUM(Monthly!AK45,MS:META!AK45)</f>
        <v>191173.50000000003</v>
      </c>
      <c r="AL45" s="12">
        <f>SUM(Monthly!AL45,MS:META!AL45)</f>
        <v>197936.10000000003</v>
      </c>
      <c r="AM45" s="12">
        <f>SUM(Monthly!AM45,MS:META!AM45)</f>
        <v>204698.70000000004</v>
      </c>
      <c r="AN45" s="12">
        <f>SUM(Monthly!AN45,MS:META!AN45)</f>
        <v>204698.70000000004</v>
      </c>
      <c r="AP45" s="12" cm="1">
        <f t="array" ref="AP45">SUM(_xlfn._xlws.FILTER($E45:$AN45,YEAR($E$25:$AN$25)=AP$25,0))</f>
        <v>940500</v>
      </c>
      <c r="AQ45" s="12" cm="1">
        <f t="array" ref="AQ45">SUM(_xlfn._xlws.FILTER($E45:$AN45,YEAR($E$25:$AN$25)=AQ$25,0))</f>
        <v>1577175</v>
      </c>
      <c r="AR45" s="12" cm="1">
        <f t="array" ref="AR45">SUM(_xlfn._xlws.FILTER($E45:$AN45,YEAR($E$25:$AN$25)=AR$25,0))</f>
        <v>2132559.9</v>
      </c>
    </row>
    <row r="46" spans="2:44" x14ac:dyDescent="0.25">
      <c r="B46" s="39" t="s">
        <v>38</v>
      </c>
      <c r="E46" s="12">
        <f>SUM(Monthly!E46,MS:META!E46)</f>
        <v>141826.5</v>
      </c>
      <c r="F46" s="12">
        <f>SUM(Monthly!F46,MS:META!F46)</f>
        <v>150224.5</v>
      </c>
      <c r="G46" s="12">
        <f>SUM(Monthly!G46,MS:META!G46)</f>
        <v>164262.5</v>
      </c>
      <c r="H46" s="12">
        <f>SUM(Monthly!H46,MS:META!H46)</f>
        <v>179705</v>
      </c>
      <c r="I46" s="12">
        <f>SUM(Monthly!I46,MS:META!I46)</f>
        <v>191582.5</v>
      </c>
      <c r="J46" s="12">
        <f>SUM(Monthly!J46,MS:META!J46)</f>
        <v>205167</v>
      </c>
      <c r="K46" s="12">
        <f>SUM(Monthly!K46,MS:META!K46)</f>
        <v>224461</v>
      </c>
      <c r="L46" s="12">
        <f>SUM(Monthly!L46,MS:META!L46)</f>
        <v>236784.5</v>
      </c>
      <c r="M46" s="12">
        <f>SUM(Monthly!M46,MS:META!M46)</f>
        <v>252212.5</v>
      </c>
      <c r="N46" s="12">
        <f>SUM(Monthly!N46,MS:META!N46)</f>
        <v>271094.5</v>
      </c>
      <c r="O46" s="12">
        <f>SUM(Monthly!O46,MS:META!O46)</f>
        <v>293386</v>
      </c>
      <c r="P46" s="12">
        <f>SUM(Monthly!P46,MS:META!P46)</f>
        <v>312076</v>
      </c>
      <c r="Q46" s="12">
        <f>SUM(Monthly!Q46,MS:META!Q46)</f>
        <v>337434.87</v>
      </c>
      <c r="R46" s="12">
        <f>SUM(Monthly!R46,MS:META!R46)</f>
        <v>355008.45000000019</v>
      </c>
      <c r="S46" s="12">
        <f>SUM(Monthly!S46,MS:META!S46)</f>
        <v>374439.45</v>
      </c>
      <c r="T46" s="12">
        <f>SUM(Monthly!T46,MS:META!T46)</f>
        <v>391248.54</v>
      </c>
      <c r="U46" s="12">
        <f>SUM(Monthly!U46,MS:META!U46)</f>
        <v>404276.99999999988</v>
      </c>
      <c r="V46" s="12">
        <f>SUM(Monthly!V46,MS:META!V46)</f>
        <v>418534.05</v>
      </c>
      <c r="W46" s="12">
        <f>SUM(Monthly!W46,MS:META!W46)</f>
        <v>438482.19000000006</v>
      </c>
      <c r="X46" s="12">
        <f>SUM(Monthly!X46,MS:META!X46)</f>
        <v>458908.2</v>
      </c>
      <c r="Y46" s="12">
        <f>SUM(Monthly!Y46,MS:META!Y46)</f>
        <v>472980.11999999994</v>
      </c>
      <c r="Z46" s="12">
        <f>SUM(Monthly!Z46,MS:META!Z46)</f>
        <v>488820.21000000008</v>
      </c>
      <c r="AA46" s="12">
        <f>SUM(Monthly!AA46,MS:META!AA46)</f>
        <v>505592.07000000007</v>
      </c>
      <c r="AB46" s="12">
        <f>SUM(Monthly!AB46,MS:META!AB46)</f>
        <v>521427.06000000006</v>
      </c>
      <c r="AC46" s="12">
        <f>SUM(Monthly!AC46,MS:META!AC46)</f>
        <v>544154.16960000002</v>
      </c>
      <c r="AD46" s="12">
        <f>SUM(Monthly!AD46,MS:META!AD46)</f>
        <v>556197.31979999994</v>
      </c>
      <c r="AE46" s="12">
        <f>SUM(Monthly!AE46,MS:META!AE46)</f>
        <v>569555.01540000003</v>
      </c>
      <c r="AF46" s="12">
        <f>SUM(Monthly!AF46,MS:META!AF46)</f>
        <v>581090.9706</v>
      </c>
      <c r="AG46" s="12">
        <f>SUM(Monthly!AG46,MS:META!AG46)</f>
        <v>591089.21460000018</v>
      </c>
      <c r="AH46" s="12">
        <f>SUM(Monthly!AH46,MS:META!AH46)</f>
        <v>609808.09140000003</v>
      </c>
      <c r="AI46" s="12">
        <f>SUM(Monthly!AI46,MS:META!AI46)</f>
        <v>628185.71700000018</v>
      </c>
      <c r="AJ46" s="12">
        <f>SUM(Monthly!AJ46,MS:META!AJ46)</f>
        <v>645252.43860000011</v>
      </c>
      <c r="AK46" s="12">
        <f>SUM(Monthly!AK46,MS:META!AK46)</f>
        <v>663653.47320000001</v>
      </c>
      <c r="AL46" s="12">
        <f>SUM(Monthly!AL46,MS:META!AL46)</f>
        <v>680631.76079999993</v>
      </c>
      <c r="AM46" s="12">
        <f>SUM(Monthly!AM46,MS:META!AM46)</f>
        <v>698224.40460000024</v>
      </c>
      <c r="AN46" s="12">
        <f>SUM(Monthly!AN46,MS:META!AN46)</f>
        <v>714536.83620000014</v>
      </c>
      <c r="AP46" s="12" cm="1">
        <f t="array" ref="AP46">SUM(_xlfn._xlws.FILTER($E46:$AN46,YEAR($E$25:$AN$25)=AP$25,0))</f>
        <v>2622782.5</v>
      </c>
      <c r="AQ46" s="12" cm="1">
        <f t="array" ref="AQ46">SUM(_xlfn._xlws.FILTER($E46:$AN46,YEAR($E$25:$AN$25)=AQ$25,0))</f>
        <v>5167152.2100000009</v>
      </c>
      <c r="AR46" s="12" cm="1">
        <f t="array" ref="AR46">SUM(_xlfn._xlws.FILTER($E46:$AN46,YEAR($E$25:$AN$25)=AR$25,0))</f>
        <v>7482379.4117999999</v>
      </c>
    </row>
    <row r="47" spans="2:44" x14ac:dyDescent="0.25">
      <c r="B47" s="39" t="s">
        <v>40</v>
      </c>
      <c r="E47" s="12">
        <f>SUM(Monthly!E47,MS:META!E47)</f>
        <v>35550</v>
      </c>
      <c r="F47" s="12">
        <f>SUM(Monthly!F47,MS:META!F47)</f>
        <v>35550</v>
      </c>
      <c r="G47" s="12">
        <f>SUM(Monthly!G47,MS:META!G47)</f>
        <v>47550</v>
      </c>
      <c r="H47" s="12">
        <f>SUM(Monthly!H47,MS:META!H47)</f>
        <v>53550</v>
      </c>
      <c r="I47" s="12">
        <f>SUM(Monthly!I47,MS:META!I47)</f>
        <v>53550</v>
      </c>
      <c r="J47" s="12">
        <f>SUM(Monthly!J47,MS:META!J47)</f>
        <v>58300</v>
      </c>
      <c r="K47" s="12">
        <f>SUM(Monthly!K47,MS:META!K47)</f>
        <v>70050</v>
      </c>
      <c r="L47" s="12">
        <f>SUM(Monthly!L47,MS:META!L47)</f>
        <v>70050</v>
      </c>
      <c r="M47" s="12">
        <f>SUM(Monthly!M47,MS:META!M47)</f>
        <v>76050</v>
      </c>
      <c r="N47" s="12">
        <f>SUM(Monthly!N47,MS:META!N47)</f>
        <v>80000</v>
      </c>
      <c r="O47" s="12">
        <f>SUM(Monthly!O47,MS:META!O47)</f>
        <v>86000</v>
      </c>
      <c r="P47" s="12">
        <f>SUM(Monthly!P47,MS:META!P47)</f>
        <v>86000</v>
      </c>
      <c r="Q47" s="12">
        <f>SUM(Monthly!Q47,MS:META!Q47)</f>
        <v>92347.5</v>
      </c>
      <c r="R47" s="12">
        <f>SUM(Monthly!R47,MS:META!R47)</f>
        <v>92347.5</v>
      </c>
      <c r="S47" s="12">
        <f>SUM(Monthly!S47,MS:META!S47)</f>
        <v>98647.5</v>
      </c>
      <c r="T47" s="12">
        <f>SUM(Monthly!T47,MS:META!T47)</f>
        <v>98647.5</v>
      </c>
      <c r="U47" s="12">
        <f>SUM(Monthly!U47,MS:META!U47)</f>
        <v>98647.5</v>
      </c>
      <c r="V47" s="12">
        <f>SUM(Monthly!V47,MS:META!V47)</f>
        <v>98647.5</v>
      </c>
      <c r="W47" s="12">
        <f>SUM(Monthly!W47,MS:META!W47)</f>
        <v>109935</v>
      </c>
      <c r="X47" s="12">
        <f>SUM(Monthly!X47,MS:META!X47)</f>
        <v>122272.5</v>
      </c>
      <c r="Y47" s="12">
        <f>SUM(Monthly!Y47,MS:META!Y47)</f>
        <v>122272.5</v>
      </c>
      <c r="Z47" s="12">
        <f>SUM(Monthly!Z47,MS:META!Z47)</f>
        <v>122272.5</v>
      </c>
      <c r="AA47" s="12">
        <f>SUM(Monthly!AA47,MS:META!AA47)</f>
        <v>128572.5</v>
      </c>
      <c r="AB47" s="12">
        <f>SUM(Monthly!AB47,MS:META!AB47)</f>
        <v>134872.5</v>
      </c>
      <c r="AC47" s="12">
        <f>SUM(Monthly!AC47,MS:META!AC47)</f>
        <v>141616.125</v>
      </c>
      <c r="AD47" s="12">
        <f>SUM(Monthly!AD47,MS:META!AD47)</f>
        <v>141616.125</v>
      </c>
      <c r="AE47" s="12">
        <f>SUM(Monthly!AE47,MS:META!AE47)</f>
        <v>141616.125</v>
      </c>
      <c r="AF47" s="12">
        <f>SUM(Monthly!AF47,MS:META!AF47)</f>
        <v>141616.125</v>
      </c>
      <c r="AG47" s="12">
        <f>SUM(Monthly!AG47,MS:META!AG47)</f>
        <v>141616.125</v>
      </c>
      <c r="AH47" s="12">
        <f>SUM(Monthly!AH47,MS:META!AH47)</f>
        <v>153192.375</v>
      </c>
      <c r="AI47" s="12">
        <f>SUM(Monthly!AI47,MS:META!AI47)</f>
        <v>159807.375</v>
      </c>
      <c r="AJ47" s="12">
        <f>SUM(Monthly!AJ47,MS:META!AJ47)</f>
        <v>166422.375</v>
      </c>
      <c r="AK47" s="12">
        <f>SUM(Monthly!AK47,MS:META!AK47)</f>
        <v>173037.375</v>
      </c>
      <c r="AL47" s="12">
        <f>SUM(Monthly!AL47,MS:META!AL47)</f>
        <v>179652.375</v>
      </c>
      <c r="AM47" s="12">
        <f>SUM(Monthly!AM47,MS:META!AM47)</f>
        <v>186267.375</v>
      </c>
      <c r="AN47" s="12">
        <f>SUM(Monthly!AN47,MS:META!AN47)</f>
        <v>186267.375</v>
      </c>
      <c r="AP47" s="12" cm="1">
        <f t="array" ref="AP47">SUM(_xlfn._xlws.FILTER($E47:$AN47,YEAR($E$25:$AN$25)=AP$25,0))</f>
        <v>752200</v>
      </c>
      <c r="AQ47" s="12" cm="1">
        <f t="array" ref="AQ47">SUM(_xlfn._xlws.FILTER($E47:$AN47,YEAR($E$25:$AN$25)=AQ$25,0))</f>
        <v>1319482.5</v>
      </c>
      <c r="AR47" s="12" cm="1">
        <f t="array" ref="AR47">SUM(_xlfn._xlws.FILTER($E47:$AN47,YEAR($E$25:$AN$25)=AR$25,0))</f>
        <v>1912727.25</v>
      </c>
    </row>
    <row r="48" spans="2:44" x14ac:dyDescent="0.25">
      <c r="B48" s="39" t="s">
        <v>41</v>
      </c>
      <c r="E48" s="12">
        <f>SUM(Monthly!E48,MS:META!E48)</f>
        <v>280234.46999999997</v>
      </c>
      <c r="F48" s="12">
        <f>SUM(Monthly!F48,MS:META!F48)</f>
        <v>151234.47</v>
      </c>
      <c r="G48" s="12">
        <f>SUM(Monthly!G48,MS:META!G48)</f>
        <v>0</v>
      </c>
      <c r="H48" s="12">
        <f>SUM(Monthly!H48,MS:META!H48)</f>
        <v>104139</v>
      </c>
      <c r="I48" s="12">
        <f>SUM(Monthly!I48,MS:META!I48)</f>
        <v>278111.58</v>
      </c>
      <c r="J48" s="12">
        <f>SUM(Monthly!J48,MS:META!J48)</f>
        <v>0</v>
      </c>
      <c r="K48" s="12">
        <f>SUM(Monthly!K48,MS:META!K48)</f>
        <v>151234.47</v>
      </c>
      <c r="L48" s="12">
        <f>SUM(Monthly!L48,MS:META!L48)</f>
        <v>103139</v>
      </c>
      <c r="M48" s="12">
        <f>SUM(Monthly!M48,MS:META!M48)</f>
        <v>151234.47</v>
      </c>
      <c r="N48" s="12">
        <f>SUM(Monthly!N48,MS:META!N48)</f>
        <v>0</v>
      </c>
      <c r="O48" s="12">
        <f>SUM(Monthly!O48,MS:META!O48)</f>
        <v>0</v>
      </c>
      <c r="P48" s="12">
        <f>SUM(Monthly!P48,MS:META!P48)</f>
        <v>0</v>
      </c>
      <c r="Q48" s="12">
        <f>SUM(Monthly!Q48,MS:META!Q48)</f>
        <v>151234.47</v>
      </c>
      <c r="R48" s="12">
        <f>SUM(Monthly!R48,MS:META!R48)</f>
        <v>0</v>
      </c>
      <c r="S48" s="12">
        <f>SUM(Monthly!S48,MS:META!S48)</f>
        <v>0</v>
      </c>
      <c r="T48" s="12">
        <f>SUM(Monthly!T48,MS:META!T48)</f>
        <v>0</v>
      </c>
      <c r="U48" s="12">
        <f>SUM(Monthly!U48,MS:META!U48)</f>
        <v>255373.47</v>
      </c>
      <c r="V48" s="12">
        <f>SUM(Monthly!V48,MS:META!V48)</f>
        <v>278111.58</v>
      </c>
      <c r="W48" s="12">
        <f>SUM(Monthly!W48,MS:META!W48)</f>
        <v>0</v>
      </c>
      <c r="X48" s="12">
        <f>SUM(Monthly!X48,MS:META!X48)</f>
        <v>0</v>
      </c>
      <c r="Y48" s="12">
        <f>SUM(Monthly!Y48,MS:META!Y48)</f>
        <v>151234.47</v>
      </c>
      <c r="Z48" s="12">
        <f>SUM(Monthly!Z48,MS:META!Z48)</f>
        <v>151234.47</v>
      </c>
      <c r="AA48" s="12">
        <f>SUM(Monthly!AA48,MS:META!AA48)</f>
        <v>0</v>
      </c>
      <c r="AB48" s="12">
        <f>SUM(Monthly!AB48,MS:META!AB48)</f>
        <v>0</v>
      </c>
      <c r="AC48" s="12">
        <f>SUM(Monthly!AC48,MS:META!AC48)</f>
        <v>0</v>
      </c>
      <c r="AD48" s="12">
        <f>SUM(Monthly!AD48,MS:META!AD48)</f>
        <v>0</v>
      </c>
      <c r="AE48" s="12">
        <f>SUM(Monthly!AE48,MS:META!AE48)</f>
        <v>0</v>
      </c>
      <c r="AF48" s="12">
        <f>SUM(Monthly!AF48,MS:META!AF48)</f>
        <v>231016.11</v>
      </c>
      <c r="AG48" s="12">
        <f>SUM(Monthly!AG48,MS:META!AG48)</f>
        <v>151234.47</v>
      </c>
      <c r="AH48" s="12">
        <f>SUM(Monthly!AH48,MS:META!AH48)</f>
        <v>151234.47</v>
      </c>
      <c r="AI48" s="12">
        <f>SUM(Monthly!AI48,MS:META!AI48)</f>
        <v>151234.47</v>
      </c>
      <c r="AJ48" s="12">
        <f>SUM(Monthly!AJ48,MS:META!AJ48)</f>
        <v>151234.47</v>
      </c>
      <c r="AK48" s="12">
        <f>SUM(Monthly!AK48,MS:META!AK48)</f>
        <v>151234.47</v>
      </c>
      <c r="AL48" s="12">
        <f>SUM(Monthly!AL48,MS:META!AL48)</f>
        <v>0</v>
      </c>
      <c r="AM48" s="12">
        <f>SUM(Monthly!AM48,MS:META!AM48)</f>
        <v>0</v>
      </c>
      <c r="AN48" s="12">
        <f>SUM(Monthly!AN48,MS:META!AN48)</f>
        <v>0</v>
      </c>
      <c r="AP48" s="12" cm="1">
        <f t="array" ref="AP48">SUM(_xlfn._xlws.FILTER($E48:$AN48,YEAR($E$25:$AN$25)=AP$25,0))</f>
        <v>1219327.46</v>
      </c>
      <c r="AQ48" s="12" cm="1">
        <f t="array" ref="AQ48">SUM(_xlfn._xlws.FILTER($E48:$AN48,YEAR($E$25:$AN$25)=AQ$25,0))</f>
        <v>987188.46</v>
      </c>
      <c r="AR48" s="12" cm="1">
        <f t="array" ref="AR48">SUM(_xlfn._xlws.FILTER($E48:$AN48,YEAR($E$25:$AN$25)=AR$25,0))</f>
        <v>987188.45999999985</v>
      </c>
    </row>
    <row r="49" spans="2:44" x14ac:dyDescent="0.25">
      <c r="B49" s="39" t="s">
        <v>42</v>
      </c>
      <c r="E49" s="12">
        <f>SUM(Monthly!E49,MS:META!E49)</f>
        <v>952841.53113002842</v>
      </c>
      <c r="F49" s="12">
        <f>SUM(Monthly!F49,MS:META!F49)</f>
        <v>961971.16170517157</v>
      </c>
      <c r="G49" s="12">
        <f>SUM(Monthly!G49,MS:META!G49)</f>
        <v>974059.19815892656</v>
      </c>
      <c r="H49" s="12">
        <f>SUM(Monthly!H49,MS:META!H49)</f>
        <v>986666.78323888604</v>
      </c>
      <c r="I49" s="12">
        <f>SUM(Monthly!I49,MS:META!I49)</f>
        <v>997100.64675333456</v>
      </c>
      <c r="J49" s="12">
        <f>SUM(Monthly!J49,MS:META!J49)</f>
        <v>1010142.976146396</v>
      </c>
      <c r="K49" s="12">
        <f>SUM(Monthly!K49,MS:META!K49)</f>
        <v>1027098.0043573757</v>
      </c>
      <c r="L49" s="12">
        <f>SUM(Monthly!L49,MS:META!L49)</f>
        <v>1040925.0180635392</v>
      </c>
      <c r="M49" s="12">
        <f>SUM(Monthly!M49,MS:META!M49)</f>
        <v>1056575.8133352131</v>
      </c>
      <c r="N49" s="12">
        <f>SUM(Monthly!N49,MS:META!N49)</f>
        <v>1073530.841546193</v>
      </c>
      <c r="O49" s="12">
        <f>SUM(Monthly!O49,MS:META!O49)</f>
        <v>1093094.3356357843</v>
      </c>
      <c r="P49" s="12">
        <f>SUM(Monthly!P49,MS:META!P49)</f>
        <v>1113962.0626646825</v>
      </c>
      <c r="Q49" s="12">
        <f>SUM(Monthly!Q49,MS:META!Q49)</f>
        <v>1235366.2997663692</v>
      </c>
      <c r="R49" s="12">
        <f>SUM(Monthly!R49,MS:META!R49)</f>
        <v>1254440.3988459557</v>
      </c>
      <c r="S49" s="12">
        <f>SUM(Monthly!S49,MS:META!S49)</f>
        <v>1274945.055356513</v>
      </c>
      <c r="T49" s="12">
        <f>SUM(Monthly!T49,MS:META!T49)</f>
        <v>1295926.564344058</v>
      </c>
      <c r="U49" s="12">
        <f>SUM(Monthly!U49,MS:META!U49)</f>
        <v>1313093.2535156868</v>
      </c>
      <c r="V49" s="12">
        <f>SUM(Monthly!V49,MS:META!V49)</f>
        <v>1329306.2377333359</v>
      </c>
      <c r="W49" s="12">
        <f>SUM(Monthly!W49,MS:META!W49)</f>
        <v>1347903.4843359338</v>
      </c>
      <c r="X49" s="12">
        <f>SUM(Monthly!X49,MS:META!X49)</f>
        <v>1366977.5834155208</v>
      </c>
      <c r="Y49" s="12">
        <f>SUM(Monthly!Y49,MS:META!Y49)</f>
        <v>1383190.5676331706</v>
      </c>
      <c r="Z49" s="12">
        <f>SUM(Monthly!Z49,MS:META!Z49)</f>
        <v>1401310.9617587775</v>
      </c>
      <c r="AA49" s="12">
        <f>SUM(Monthly!AA49,MS:META!AA49)</f>
        <v>1419431.3558843846</v>
      </c>
      <c r="AB49" s="12">
        <f>SUM(Monthly!AB49,MS:META!AB49)</f>
        <v>1436121.1925790235</v>
      </c>
      <c r="AC49" s="12">
        <f>SUM(Monthly!AC49,MS:META!AC49)</f>
        <v>1582735.3219456479</v>
      </c>
      <c r="AD49" s="12">
        <f>SUM(Monthly!AD49,MS:META!AD49)</f>
        <v>1599475.0597558618</v>
      </c>
      <c r="AE49" s="12">
        <f>SUM(Monthly!AE49,MS:META!AE49)</f>
        <v>1615168.5639529373</v>
      </c>
      <c r="AF49" s="12">
        <f>SUM(Monthly!AF49,MS:META!AF49)</f>
        <v>1629815.8345368737</v>
      </c>
      <c r="AG49" s="12">
        <f>SUM(Monthly!AG49,MS:META!AG49)</f>
        <v>1643416.8715076724</v>
      </c>
      <c r="AH49" s="12">
        <f>SUM(Monthly!AH49,MS:META!AH49)</f>
        <v>1660156.6093178864</v>
      </c>
      <c r="AI49" s="12">
        <f>SUM(Monthly!AI49,MS:META!AI49)</f>
        <v>1680035.0479675143</v>
      </c>
      <c r="AJ49" s="12">
        <f>SUM(Monthly!AJ49,MS:META!AJ49)</f>
        <v>1699390.3698105738</v>
      </c>
      <c r="AK49" s="12">
        <f>SUM(Monthly!AK49,MS:META!AK49)</f>
        <v>1718222.5748470637</v>
      </c>
      <c r="AL49" s="12">
        <f>SUM(Monthly!AL49,MS:META!AL49)</f>
        <v>1736008.5462704173</v>
      </c>
      <c r="AM49" s="12">
        <f>SUM(Monthly!AM49,MS:META!AM49)</f>
        <v>1755886.9849200454</v>
      </c>
      <c r="AN49" s="12">
        <f>SUM(Monthly!AN49,MS:META!AN49)</f>
        <v>1774196.073149967</v>
      </c>
      <c r="AP49" s="12" cm="1">
        <f t="array" ref="AP49">SUM(_xlfn._xlws.FILTER($E49:$AN49,YEAR($E$25:$AN$25)=AP$25,0))</f>
        <v>12287968.372735532</v>
      </c>
      <c r="AQ49" s="12" cm="1">
        <f t="array" ref="AQ49">SUM(_xlfn._xlws.FILTER($E49:$AN49,YEAR($E$25:$AN$25)=AQ$25,0))</f>
        <v>16058012.95516873</v>
      </c>
      <c r="AR49" s="12" cm="1">
        <f t="array" ref="AR49">SUM(_xlfn._xlws.FILTER($E49:$AN49,YEAR($E$25:$AN$25)=AR$25,0))</f>
        <v>20094507.85798246</v>
      </c>
    </row>
    <row r="50" spans="2:44" x14ac:dyDescent="0.25">
      <c r="B50" s="1" t="s">
        <v>272</v>
      </c>
      <c r="E50" s="13">
        <f>SUM(E40:E49)</f>
        <v>3587911.987460407</v>
      </c>
      <c r="F50" s="13">
        <f t="shared" ref="F50:AR50" si="4">SUM(F40:F49)</f>
        <v>3911306.0305128358</v>
      </c>
      <c r="G50" s="13">
        <f t="shared" si="4"/>
        <v>4366156.1462807702</v>
      </c>
      <c r="H50" s="13">
        <f t="shared" si="4"/>
        <v>5057743.1926206434</v>
      </c>
      <c r="I50" s="13">
        <f t="shared" si="4"/>
        <v>5728161.0369224912</v>
      </c>
      <c r="J50" s="13">
        <f t="shared" si="4"/>
        <v>6000984.6950151566</v>
      </c>
      <c r="K50" s="13">
        <f t="shared" si="4"/>
        <v>6542431.4395602159</v>
      </c>
      <c r="L50" s="13">
        <f t="shared" si="4"/>
        <v>6710965.7099745199</v>
      </c>
      <c r="M50" s="13">
        <f t="shared" si="4"/>
        <v>7047988.7514138035</v>
      </c>
      <c r="N50" s="13">
        <f t="shared" si="4"/>
        <v>7303175.166681109</v>
      </c>
      <c r="O50" s="13">
        <f t="shared" si="4"/>
        <v>7792708.5877742087</v>
      </c>
      <c r="P50" s="13">
        <f t="shared" si="4"/>
        <v>8206904.5012781527</v>
      </c>
      <c r="Q50" s="13">
        <f t="shared" si="4"/>
        <v>9413603.7017312758</v>
      </c>
      <c r="R50" s="13">
        <f t="shared" si="4"/>
        <v>9752420.2728516255</v>
      </c>
      <c r="S50" s="13">
        <f t="shared" si="4"/>
        <v>10330380.308788259</v>
      </c>
      <c r="T50" s="13">
        <f t="shared" si="4"/>
        <v>10750391.859853994</v>
      </c>
      <c r="U50" s="13">
        <f t="shared" si="4"/>
        <v>11362807.018411977</v>
      </c>
      <c r="V50" s="13">
        <f t="shared" si="4"/>
        <v>11743262.447711438</v>
      </c>
      <c r="W50" s="13">
        <f t="shared" si="4"/>
        <v>11900334.58957509</v>
      </c>
      <c r="X50" s="13">
        <f t="shared" si="4"/>
        <v>12371064.975945096</v>
      </c>
      <c r="Y50" s="13">
        <f t="shared" si="4"/>
        <v>12827959.17712277</v>
      </c>
      <c r="Z50" s="13">
        <f t="shared" si="4"/>
        <v>13136655.769545376</v>
      </c>
      <c r="AA50" s="13">
        <f t="shared" si="4"/>
        <v>13352444.46692759</v>
      </c>
      <c r="AB50" s="13">
        <f t="shared" si="4"/>
        <v>13716882.274905926</v>
      </c>
      <c r="AC50" s="13">
        <f t="shared" si="4"/>
        <v>15013799.630166912</v>
      </c>
      <c r="AD50" s="13">
        <f t="shared" si="4"/>
        <v>15380525.096314805</v>
      </c>
      <c r="AE50" s="13">
        <f t="shared" si="4"/>
        <v>15755726.198888149</v>
      </c>
      <c r="AF50" s="13">
        <f t="shared" si="4"/>
        <v>16350292.755298778</v>
      </c>
      <c r="AG50" s="13">
        <f t="shared" si="4"/>
        <v>16603685.76292518</v>
      </c>
      <c r="AH50" s="13">
        <f t="shared" si="4"/>
        <v>17120071.674875293</v>
      </c>
      <c r="AI50" s="13">
        <f t="shared" si="4"/>
        <v>17552557.538387615</v>
      </c>
      <c r="AJ50" s="13">
        <f t="shared" si="4"/>
        <v>17980756.884996749</v>
      </c>
      <c r="AK50" s="13">
        <f t="shared" si="4"/>
        <v>18399575.898851223</v>
      </c>
      <c r="AL50" s="13">
        <f t="shared" si="4"/>
        <v>18663747.927592512</v>
      </c>
      <c r="AM50" s="13">
        <f t="shared" si="4"/>
        <v>19067890.165295571</v>
      </c>
      <c r="AN50" s="13">
        <f t="shared" si="4"/>
        <v>19395470.729720518</v>
      </c>
      <c r="AP50" s="13">
        <f t="shared" si="4"/>
        <v>72256437.245494321</v>
      </c>
      <c r="AQ50" s="13">
        <f t="shared" si="4"/>
        <v>140658206.86337042</v>
      </c>
      <c r="AR50" s="13">
        <f t="shared" si="4"/>
        <v>207284100.26331332</v>
      </c>
    </row>
    <row r="51" spans="2:44" x14ac:dyDescent="0.25">
      <c r="B51" s="1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P51" s="13"/>
      <c r="AQ51" s="13"/>
      <c r="AR51" s="13"/>
    </row>
    <row r="52" spans="2:44" x14ac:dyDescent="0.25">
      <c r="B52" s="1" t="s">
        <v>48</v>
      </c>
      <c r="E52" s="74">
        <f>E37-E50</f>
        <v>-6624.5028008343652</v>
      </c>
      <c r="F52" s="74">
        <f t="shared" ref="F52:AN52" si="5">F37-F50</f>
        <v>474538.19978606515</v>
      </c>
      <c r="G52" s="74">
        <f t="shared" si="5"/>
        <v>969102.58257261664</v>
      </c>
      <c r="H52" s="74">
        <f t="shared" si="5"/>
        <v>1249517.2519452861</v>
      </c>
      <c r="I52" s="74">
        <f t="shared" si="5"/>
        <v>1449877.2263188632</v>
      </c>
      <c r="J52" s="74">
        <f t="shared" si="5"/>
        <v>2121800.1718369704</v>
      </c>
      <c r="K52" s="74">
        <f t="shared" si="5"/>
        <v>2112638.0811590906</v>
      </c>
      <c r="L52" s="74">
        <f t="shared" si="5"/>
        <v>2352911.4414141774</v>
      </c>
      <c r="M52" s="74">
        <f t="shared" si="5"/>
        <v>2509265.0653723273</v>
      </c>
      <c r="N52" s="74">
        <f t="shared" si="5"/>
        <v>2941018.8701969814</v>
      </c>
      <c r="O52" s="74">
        <f t="shared" si="5"/>
        <v>3245683.8449931843</v>
      </c>
      <c r="P52" s="74">
        <f t="shared" si="5"/>
        <v>3611421.6937762108</v>
      </c>
      <c r="Q52" s="74">
        <f t="shared" si="5"/>
        <v>3739432.9610221926</v>
      </c>
      <c r="R52" s="74">
        <f t="shared" si="5"/>
        <v>4284226.8060728256</v>
      </c>
      <c r="S52" s="74">
        <f t="shared" si="5"/>
        <v>4675810.85707945</v>
      </c>
      <c r="T52" s="74">
        <f t="shared" si="5"/>
        <v>5057301.7787620462</v>
      </c>
      <c r="U52" s="74">
        <f t="shared" si="5"/>
        <v>5132717.6548540704</v>
      </c>
      <c r="V52" s="74">
        <f t="shared" si="5"/>
        <v>5399717.2216861136</v>
      </c>
      <c r="W52" s="74">
        <f t="shared" si="5"/>
        <v>5865214.1312331408</v>
      </c>
      <c r="X52" s="74">
        <f t="shared" si="5"/>
        <v>6058950.8254683949</v>
      </c>
      <c r="Y52" s="74">
        <f t="shared" si="5"/>
        <v>6121939.1314869169</v>
      </c>
      <c r="Z52" s="74">
        <f t="shared" si="5"/>
        <v>6383951.6347325109</v>
      </c>
      <c r="AA52" s="74">
        <f t="shared" si="5"/>
        <v>6757502.7562454585</v>
      </c>
      <c r="AB52" s="74">
        <f t="shared" si="5"/>
        <v>6979834.3777279314</v>
      </c>
      <c r="AC52" s="74">
        <f t="shared" si="5"/>
        <v>6369578.9891047869</v>
      </c>
      <c r="AD52" s="74">
        <f t="shared" si="5"/>
        <v>6664102.1953587513</v>
      </c>
      <c r="AE52" s="74">
        <f t="shared" si="5"/>
        <v>6947906.5732023753</v>
      </c>
      <c r="AF52" s="74">
        <f t="shared" si="5"/>
        <v>6992098.0034667477</v>
      </c>
      <c r="AG52" s="74">
        <f t="shared" si="5"/>
        <v>7331419.7341657374</v>
      </c>
      <c r="AH52" s="74">
        <f t="shared" si="5"/>
        <v>7524441.320864547</v>
      </c>
      <c r="AI52" s="74">
        <f t="shared" si="5"/>
        <v>7687921.074778799</v>
      </c>
      <c r="AJ52" s="74">
        <f t="shared" si="5"/>
        <v>7901730.5939458571</v>
      </c>
      <c r="AK52" s="74">
        <f t="shared" si="5"/>
        <v>8092702.2334299982</v>
      </c>
      <c r="AL52" s="74">
        <f t="shared" si="5"/>
        <v>8426839.6066762321</v>
      </c>
      <c r="AM52" s="74">
        <f t="shared" si="5"/>
        <v>8637474.3090044186</v>
      </c>
      <c r="AN52" s="74">
        <f t="shared" si="5"/>
        <v>8862991.4342406169</v>
      </c>
      <c r="AP52" s="74">
        <f t="shared" ref="AP52:AR52" si="6">AP37-AP50</f>
        <v>23031149.926570922</v>
      </c>
      <c r="AQ52" s="74">
        <f t="shared" si="6"/>
        <v>66456600.136370987</v>
      </c>
      <c r="AR52" s="74">
        <f t="shared" si="6"/>
        <v>91439206.068238884</v>
      </c>
    </row>
    <row r="53" spans="2:44" x14ac:dyDescent="0.25">
      <c r="B53" s="1"/>
      <c r="E53" s="109">
        <f>IFERROR(E52/E37,"")</f>
        <v>-1.8497545447581046E-3</v>
      </c>
      <c r="F53" s="109">
        <f t="shared" ref="F53:AN53" si="7">IFERROR(F52/F37,"")</f>
        <v>0.1081976866637885</v>
      </c>
      <c r="G53" s="109">
        <f t="shared" si="7"/>
        <v>0.18164115965579214</v>
      </c>
      <c r="H53" s="109">
        <f t="shared" si="7"/>
        <v>0.19810776214605466</v>
      </c>
      <c r="I53" s="109">
        <f t="shared" si="7"/>
        <v>0.20198794895586816</v>
      </c>
      <c r="J53" s="109">
        <f t="shared" si="7"/>
        <v>0.26121585227447303</v>
      </c>
      <c r="K53" s="109">
        <f t="shared" si="7"/>
        <v>0.24409256056253067</v>
      </c>
      <c r="L53" s="109">
        <f t="shared" si="7"/>
        <v>0.25959215930609592</v>
      </c>
      <c r="M53" s="109">
        <f t="shared" si="7"/>
        <v>0.26255084498908193</v>
      </c>
      <c r="N53" s="109">
        <f t="shared" si="7"/>
        <v>0.28709128893982316</v>
      </c>
      <c r="O53" s="109">
        <f t="shared" si="7"/>
        <v>0.29403591734593471</v>
      </c>
      <c r="P53" s="109">
        <f t="shared" si="7"/>
        <v>0.3055781025309226</v>
      </c>
      <c r="Q53" s="109">
        <f t="shared" si="7"/>
        <v>0.28430187316450284</v>
      </c>
      <c r="R53" s="109">
        <f t="shared" si="7"/>
        <v>0.3052172489615021</v>
      </c>
      <c r="S53" s="109">
        <f t="shared" si="7"/>
        <v>0.31159211590711994</v>
      </c>
      <c r="T53" s="109">
        <f t="shared" si="7"/>
        <v>0.31992660627023711</v>
      </c>
      <c r="U53" s="109">
        <f t="shared" si="7"/>
        <v>0.31115819329909272</v>
      </c>
      <c r="V53" s="109">
        <f t="shared" si="7"/>
        <v>0.31498125330716636</v>
      </c>
      <c r="W53" s="109">
        <f t="shared" si="7"/>
        <v>0.33014539676803789</v>
      </c>
      <c r="X53" s="109">
        <f t="shared" si="7"/>
        <v>0.32875451061760363</v>
      </c>
      <c r="Y53" s="109">
        <f t="shared" si="7"/>
        <v>0.32305920758980949</v>
      </c>
      <c r="Z53" s="109">
        <f t="shared" si="7"/>
        <v>0.32703652619607959</v>
      </c>
      <c r="AA53" s="109">
        <f t="shared" si="7"/>
        <v>0.33602787124466782</v>
      </c>
      <c r="AB53" s="109">
        <f t="shared" si="7"/>
        <v>0.33724355871875361</v>
      </c>
      <c r="AC53" s="109">
        <f t="shared" si="7"/>
        <v>0.2978752377028121</v>
      </c>
      <c r="AD53" s="109">
        <f t="shared" si="7"/>
        <v>0.30230051554901272</v>
      </c>
      <c r="AE53" s="109">
        <f t="shared" si="7"/>
        <v>0.30602620483464682</v>
      </c>
      <c r="AF53" s="109">
        <f t="shared" si="7"/>
        <v>0.29954506698681144</v>
      </c>
      <c r="AG53" s="109">
        <f t="shared" si="7"/>
        <v>0.30630404929933569</v>
      </c>
      <c r="AH53" s="109">
        <f t="shared" si="7"/>
        <v>0.30531913218026485</v>
      </c>
      <c r="AI53" s="109">
        <f t="shared" si="7"/>
        <v>0.3045869768399907</v>
      </c>
      <c r="AJ53" s="109">
        <f t="shared" si="7"/>
        <v>0.30529254965831715</v>
      </c>
      <c r="AK53" s="109">
        <f t="shared" si="7"/>
        <v>0.30547400238747019</v>
      </c>
      <c r="AL53" s="109">
        <f t="shared" si="7"/>
        <v>0.31106152998773262</v>
      </c>
      <c r="AM53" s="109">
        <f t="shared" si="7"/>
        <v>0.31176180039128165</v>
      </c>
      <c r="AN53" s="109">
        <f t="shared" si="7"/>
        <v>0.3136402604931508</v>
      </c>
      <c r="AP53" s="109">
        <f t="shared" ref="AP53:AR53" si="8">IFERROR(AP52/AP37,"")</f>
        <v>0.24170147036027367</v>
      </c>
      <c r="AQ53" s="109">
        <f t="shared" si="8"/>
        <v>0.32086841640662594</v>
      </c>
      <c r="AR53" s="109">
        <f t="shared" si="8"/>
        <v>0.30610000669566356</v>
      </c>
    </row>
    <row r="54" spans="2:44" x14ac:dyDescent="0.25">
      <c r="B54" s="39" t="s">
        <v>282</v>
      </c>
      <c r="C54" s="12">
        <v>53455.242566182867</v>
      </c>
      <c r="E54" s="67">
        <f>E67*_xlfn.XLOOKUP(YEAR($E$25),Base!$BJ$4:$BL$4,Base!$BJ$276:$BL$276,0,0)/12</f>
        <v>53296.952507970651</v>
      </c>
      <c r="F54" s="67">
        <f>F67*_xlfn.XLOOKUP(YEAR($E$25),Base!$BJ$4:$BL$4,Base!$BJ$276:$BL$276,0,0)/12</f>
        <v>70157.909482902949</v>
      </c>
      <c r="G54" s="67">
        <f>G67*_xlfn.XLOOKUP(YEAR($E$25),Base!$BJ$4:$BL$4,Base!$BJ$276:$BL$276,0,0)/12</f>
        <v>87341.21613613813</v>
      </c>
      <c r="H54" s="67">
        <f>H67*_xlfn.XLOOKUP(YEAR($E$25),Base!$BJ$4:$BL$4,Base!$BJ$276:$BL$276,0,0)/12</f>
        <v>103630.40206132754</v>
      </c>
      <c r="I54" s="67">
        <f>I67*_xlfn.XLOOKUP(YEAR($E$25),Base!$BJ$4:$BL$4,Base!$BJ$276:$BL$276,0,0)/12</f>
        <v>124017.90473655403</v>
      </c>
      <c r="J54" s="67">
        <f>J67*_xlfn.XLOOKUP(YEAR($E$25),Base!$BJ$4:$BL$4,Base!$BJ$276:$BL$276,0,0)/12</f>
        <v>142907.26632366891</v>
      </c>
      <c r="K54" s="67">
        <f>K67*_xlfn.XLOOKUP(YEAR($E$25),Base!$BJ$4:$BL$4,Base!$BJ$276:$BL$276,0,0)/12</f>
        <v>161391.55269850552</v>
      </c>
      <c r="L54" s="67">
        <f>L67*_xlfn.XLOOKUP(YEAR($E$25),Base!$BJ$4:$BL$4,Base!$BJ$276:$BL$276,0,0)/12</f>
        <v>178146.74655339401</v>
      </c>
      <c r="M54" s="67">
        <f>M67*_xlfn.XLOOKUP(YEAR($E$25),Base!$BJ$4:$BL$4,Base!$BJ$276:$BL$276,0,0)/12</f>
        <v>195974.72184219561</v>
      </c>
      <c r="N54" s="67">
        <f>N67*_xlfn.XLOOKUP(YEAR($E$25),Base!$BJ$4:$BL$4,Base!$BJ$276:$BL$276,0,0)/12</f>
        <v>212122.98700924157</v>
      </c>
      <c r="O54" s="67">
        <f>O67*_xlfn.XLOOKUP(YEAR($E$25),Base!$BJ$4:$BL$4,Base!$BJ$276:$BL$276,0,0)/12</f>
        <v>225045.45706423547</v>
      </c>
      <c r="P54" s="67">
        <f>P67*_xlfn.XLOOKUP(YEAR($E$25),Base!$BJ$4:$BL$4,Base!$BJ$276:$BL$276,0,0)/12</f>
        <v>236993.0575599279</v>
      </c>
      <c r="Q54" s="67">
        <f>Q67*_xlfn.XLOOKUP(YEAR($E$25),Base!$BJ$4:$BL$4,Base!$BJ$276:$BL$276,0,0)/12</f>
        <v>276809.95301979862</v>
      </c>
      <c r="R54" s="67">
        <f>R67*_xlfn.XLOOKUP(YEAR($E$25),Base!$BJ$4:$BL$4,Base!$BJ$276:$BL$276,0,0)/12</f>
        <v>288794.29997368663</v>
      </c>
      <c r="S54" s="67">
        <f>S67*_xlfn.XLOOKUP(YEAR($E$25),Base!$BJ$4:$BL$4,Base!$BJ$276:$BL$276,0,0)/12</f>
        <v>298726.15929638554</v>
      </c>
      <c r="T54" s="67">
        <f>T67*_xlfn.XLOOKUP(YEAR($E$25),Base!$BJ$4:$BL$4,Base!$BJ$276:$BL$276,0,0)/12</f>
        <v>306841.40677000204</v>
      </c>
      <c r="U54" s="67">
        <f>U67*_xlfn.XLOOKUP(YEAR($E$25),Base!$BJ$4:$BL$4,Base!$BJ$276:$BL$276,0,0)/12</f>
        <v>318494.45825024677</v>
      </c>
      <c r="V54" s="67">
        <f>V67*_xlfn.XLOOKUP(YEAR($E$25),Base!$BJ$4:$BL$4,Base!$BJ$276:$BL$276,0,0)/12</f>
        <v>333293.1351402704</v>
      </c>
      <c r="W54" s="67">
        <f>W67*_xlfn.XLOOKUP(YEAR($E$25),Base!$BJ$4:$BL$4,Base!$BJ$276:$BL$276,0,0)/12</f>
        <v>343894.55291385768</v>
      </c>
      <c r="X54" s="67">
        <f>X67*_xlfn.XLOOKUP(YEAR($E$25),Base!$BJ$4:$BL$4,Base!$BJ$276:$BL$276,0,0)/12</f>
        <v>353759.57517080451</v>
      </c>
      <c r="Y54" s="67">
        <f>Y67*_xlfn.XLOOKUP(YEAR($E$25),Base!$BJ$4:$BL$4,Base!$BJ$276:$BL$276,0,0)/12</f>
        <v>366212.56723196671</v>
      </c>
      <c r="Z54" s="67">
        <f>Z67*_xlfn.XLOOKUP(YEAR($E$25),Base!$BJ$4:$BL$4,Base!$BJ$276:$BL$276,0,0)/12</f>
        <v>380711.46942957724</v>
      </c>
      <c r="AA54" s="67">
        <f>AA67*_xlfn.XLOOKUP(YEAR($E$25),Base!$BJ$4:$BL$4,Base!$BJ$276:$BL$276,0,0)/12</f>
        <v>391947.45448137302</v>
      </c>
      <c r="AB54" s="67">
        <f>AB67*_xlfn.XLOOKUP(YEAR($E$25),Base!$BJ$4:$BL$4,Base!$BJ$276:$BL$276,0,0)/12</f>
        <v>400194.16394783795</v>
      </c>
      <c r="AC54" s="67">
        <f>AC67*_xlfn.XLOOKUP(YEAR($E$25),Base!$BJ$4:$BL$4,Base!$BJ$276:$BL$276,0,0)/12</f>
        <v>440850.19833243149</v>
      </c>
      <c r="AD54" s="67">
        <f>AD67*_xlfn.XLOOKUP(YEAR($E$25),Base!$BJ$4:$BL$4,Base!$BJ$276:$BL$276,0,0)/12</f>
        <v>456690.62657299632</v>
      </c>
      <c r="AE54" s="67">
        <f>AE67*_xlfn.XLOOKUP(YEAR($E$25),Base!$BJ$4:$BL$4,Base!$BJ$276:$BL$276,0,0)/12</f>
        <v>471446.04619669641</v>
      </c>
      <c r="AF54" s="67">
        <f>AF67*_xlfn.XLOOKUP(YEAR($E$25),Base!$BJ$4:$BL$4,Base!$BJ$276:$BL$276,0,0)/12</f>
        <v>487267.97053134191</v>
      </c>
      <c r="AG54" s="67">
        <f>AG67*_xlfn.XLOOKUP(YEAR($E$25),Base!$BJ$4:$BL$4,Base!$BJ$276:$BL$276,0,0)/12</f>
        <v>502654.8652533135</v>
      </c>
      <c r="AH54" s="67">
        <f>AH67*_xlfn.XLOOKUP(YEAR($E$25),Base!$BJ$4:$BL$4,Base!$BJ$276:$BL$276,0,0)/12</f>
        <v>520484.91473387787</v>
      </c>
      <c r="AI54" s="67">
        <f>AI67*_xlfn.XLOOKUP(YEAR($E$25),Base!$BJ$4:$BL$4,Base!$BJ$276:$BL$276,0,0)/12</f>
        <v>540089.48111067142</v>
      </c>
      <c r="AJ54" s="67">
        <f>AJ67*_xlfn.XLOOKUP(YEAR($E$25),Base!$BJ$4:$BL$4,Base!$BJ$276:$BL$276,0,0)/12</f>
        <v>560571.50332140783</v>
      </c>
      <c r="AK54" s="67">
        <f>AK67*_xlfn.XLOOKUP(YEAR($E$25),Base!$BJ$4:$BL$4,Base!$BJ$276:$BL$276,0,0)/12</f>
        <v>582695.57578222652</v>
      </c>
      <c r="AL54" s="67">
        <f>AL67*_xlfn.XLOOKUP(YEAR($E$25),Base!$BJ$4:$BL$4,Base!$BJ$276:$BL$276,0,0)/12</f>
        <v>602330.28738062631</v>
      </c>
      <c r="AM54" s="67">
        <f>AM67*_xlfn.XLOOKUP(YEAR($E$25),Base!$BJ$4:$BL$4,Base!$BJ$276:$BL$276,0,0)/12</f>
        <v>620407.8233864127</v>
      </c>
      <c r="AN54" s="67">
        <f>AN67*_xlfn.XLOOKUP(YEAR($E$25),Base!$BJ$4:$BL$4,Base!$BJ$276:$BL$276,0,0)/12</f>
        <v>636789.1836849082</v>
      </c>
      <c r="AP54" s="12" cm="1">
        <f t="array" ref="AP54">SUM(_xlfn._xlws.FILTER($E54:$AN54,YEAR($E$25:$AN$25)=AP$25,0))</f>
        <v>1791026.1739760623</v>
      </c>
      <c r="AQ54" s="12" cm="1">
        <f t="array" ref="AQ54">SUM(_xlfn._xlws.FILTER($E54:$AN54,YEAR($E$25:$AN$25)=AQ$25,0))</f>
        <v>4059679.1956258072</v>
      </c>
      <c r="AR54" s="12" cm="1">
        <f t="array" ref="AR54">SUM(_xlfn._xlws.FILTER($E54:$AN54,YEAR($E$25:$AN$25)=AR$25,0))</f>
        <v>6422278.4762869105</v>
      </c>
    </row>
    <row r="55" spans="2:44" x14ac:dyDescent="0.25">
      <c r="B55" s="1"/>
      <c r="E55" s="109"/>
      <c r="F55" s="109"/>
      <c r="G55" s="109"/>
      <c r="H55" s="109"/>
      <c r="I55" s="109"/>
      <c r="J55" s="109"/>
      <c r="K55" s="109"/>
      <c r="L55" s="109"/>
      <c r="M55" s="109"/>
      <c r="N55" s="109"/>
      <c r="O55" s="109"/>
      <c r="P55" s="109"/>
      <c r="Q55" s="109"/>
      <c r="R55" s="109"/>
      <c r="S55" s="109"/>
      <c r="T55" s="109"/>
      <c r="U55" s="109"/>
      <c r="V55" s="109"/>
      <c r="W55" s="109"/>
      <c r="X55" s="109"/>
      <c r="Y55" s="109"/>
      <c r="Z55" s="109"/>
      <c r="AA55" s="109"/>
      <c r="AB55" s="109"/>
      <c r="AC55" s="109"/>
      <c r="AD55" s="109"/>
      <c r="AE55" s="109"/>
      <c r="AF55" s="109"/>
      <c r="AG55" s="109"/>
      <c r="AH55" s="109"/>
      <c r="AI55" s="109"/>
      <c r="AJ55" s="109"/>
      <c r="AK55" s="109"/>
      <c r="AL55" s="109"/>
      <c r="AM55" s="109"/>
      <c r="AN55" s="109"/>
      <c r="AP55" s="109"/>
      <c r="AQ55" s="109"/>
      <c r="AR55" s="109"/>
    </row>
    <row r="56" spans="2:44" x14ac:dyDescent="0.25">
      <c r="B56" s="1" t="s">
        <v>274</v>
      </c>
      <c r="E56" s="74">
        <f t="shared" ref="E56:AN56" si="9">E52-E54</f>
        <v>-59921.455308805016</v>
      </c>
      <c r="F56" s="74">
        <f t="shared" si="9"/>
        <v>404380.29030316218</v>
      </c>
      <c r="G56" s="74">
        <f t="shared" si="9"/>
        <v>881761.36643647845</v>
      </c>
      <c r="H56" s="74">
        <f t="shared" si="9"/>
        <v>1145886.8498839585</v>
      </c>
      <c r="I56" s="74">
        <f t="shared" si="9"/>
        <v>1325859.3215823092</v>
      </c>
      <c r="J56" s="74">
        <f t="shared" si="9"/>
        <v>1978892.9055133015</v>
      </c>
      <c r="K56" s="74">
        <f t="shared" si="9"/>
        <v>1951246.528460585</v>
      </c>
      <c r="L56" s="74">
        <f t="shared" si="9"/>
        <v>2174764.6948607834</v>
      </c>
      <c r="M56" s="74">
        <f t="shared" si="9"/>
        <v>2313290.3435301315</v>
      </c>
      <c r="N56" s="74">
        <f t="shared" si="9"/>
        <v>2728895.8831877396</v>
      </c>
      <c r="O56" s="74">
        <f t="shared" si="9"/>
        <v>3020638.3879289487</v>
      </c>
      <c r="P56" s="74">
        <f t="shared" si="9"/>
        <v>3374428.6362162828</v>
      </c>
      <c r="Q56" s="74">
        <f t="shared" si="9"/>
        <v>3462623.0080023939</v>
      </c>
      <c r="R56" s="74">
        <f t="shared" si="9"/>
        <v>3995432.5060991389</v>
      </c>
      <c r="S56" s="74">
        <f t="shared" si="9"/>
        <v>4377084.6977830641</v>
      </c>
      <c r="T56" s="74">
        <f t="shared" si="9"/>
        <v>4750460.3719920442</v>
      </c>
      <c r="U56" s="74">
        <f t="shared" si="9"/>
        <v>4814223.1966038235</v>
      </c>
      <c r="V56" s="74">
        <f t="shared" si="9"/>
        <v>5066424.0865458436</v>
      </c>
      <c r="W56" s="74">
        <f t="shared" si="9"/>
        <v>5521319.5783192832</v>
      </c>
      <c r="X56" s="74">
        <f t="shared" si="9"/>
        <v>5705191.2502975902</v>
      </c>
      <c r="Y56" s="74">
        <f t="shared" si="9"/>
        <v>5755726.5642549498</v>
      </c>
      <c r="Z56" s="74">
        <f t="shared" si="9"/>
        <v>6003240.1653029341</v>
      </c>
      <c r="AA56" s="74">
        <f t="shared" si="9"/>
        <v>6365555.3017640859</v>
      </c>
      <c r="AB56" s="74">
        <f t="shared" si="9"/>
        <v>6579640.213780093</v>
      </c>
      <c r="AC56" s="74">
        <f t="shared" si="9"/>
        <v>5928728.7907723552</v>
      </c>
      <c r="AD56" s="74">
        <f t="shared" si="9"/>
        <v>6207411.568785755</v>
      </c>
      <c r="AE56" s="74">
        <f t="shared" si="9"/>
        <v>6476460.527005679</v>
      </c>
      <c r="AF56" s="74">
        <f t="shared" si="9"/>
        <v>6504830.0329354061</v>
      </c>
      <c r="AG56" s="74">
        <f t="shared" si="9"/>
        <v>6828764.868912424</v>
      </c>
      <c r="AH56" s="74">
        <f t="shared" si="9"/>
        <v>7003956.4061306696</v>
      </c>
      <c r="AI56" s="74">
        <f t="shared" si="9"/>
        <v>7147831.5936681274</v>
      </c>
      <c r="AJ56" s="74">
        <f t="shared" si="9"/>
        <v>7341159.0906244498</v>
      </c>
      <c r="AK56" s="74">
        <f t="shared" si="9"/>
        <v>7510006.6576477718</v>
      </c>
      <c r="AL56" s="74">
        <f t="shared" si="9"/>
        <v>7824509.3192956056</v>
      </c>
      <c r="AM56" s="74">
        <f t="shared" si="9"/>
        <v>8017066.4856180055</v>
      </c>
      <c r="AN56" s="74">
        <f t="shared" si="9"/>
        <v>8226202.250555709</v>
      </c>
      <c r="AP56" s="74">
        <f t="shared" ref="AP56:AR56" si="10">AP52-AP54</f>
        <v>21240123.752594858</v>
      </c>
      <c r="AQ56" s="74">
        <f t="shared" si="10"/>
        <v>62396920.940745182</v>
      </c>
      <c r="AR56" s="74">
        <f t="shared" si="10"/>
        <v>85016927.591951966</v>
      </c>
    </row>
    <row r="57" spans="2:44" x14ac:dyDescent="0.25">
      <c r="B57" s="1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P57" s="13"/>
      <c r="AQ57" s="13"/>
      <c r="AR57" s="13"/>
    </row>
    <row r="58" spans="2:44" x14ac:dyDescent="0.25">
      <c r="B58" t="s">
        <v>57</v>
      </c>
      <c r="C58" s="12">
        <f>SUM(Monthly!C58,MS:META!C55)</f>
        <v>35374520</v>
      </c>
      <c r="D58" s="12">
        <f>SUM(Monthly!D58,MS:META!D55)</f>
        <v>4544740</v>
      </c>
      <c r="E58" s="12">
        <f>SUM(Monthly!E58,MS:META!E55)</f>
        <v>1045666.6666666666</v>
      </c>
      <c r="F58" s="12">
        <f>SUM(Monthly!F58,MS:META!F55)</f>
        <v>1280833.3333333333</v>
      </c>
      <c r="G58" s="12">
        <f>SUM(Monthly!G58,MS:META!G55)</f>
        <v>1280833.3333333333</v>
      </c>
      <c r="H58" s="12">
        <f>SUM(Monthly!H58,MS:META!H55)</f>
        <v>938306.66666666663</v>
      </c>
      <c r="I58" s="12">
        <f>SUM(Monthly!I58,MS:META!I55)</f>
        <v>1204613.3333333333</v>
      </c>
      <c r="J58" s="12">
        <f>SUM(Monthly!J58,MS:META!J55)</f>
        <v>1204613.3333333333</v>
      </c>
      <c r="K58" s="12">
        <f>SUM(Monthly!K58,MS:META!K55)</f>
        <v>967780</v>
      </c>
      <c r="L58" s="12">
        <f>SUM(Monthly!L58,MS:META!L55)</f>
        <v>883819.99999999988</v>
      </c>
      <c r="M58" s="12">
        <f>SUM(Monthly!M58,MS:META!M55)</f>
        <v>1218986.6666666667</v>
      </c>
      <c r="N58" s="12">
        <f>SUM(Monthly!N58,MS:META!N55)</f>
        <v>1087846.6666666665</v>
      </c>
      <c r="O58" s="12">
        <f>SUM(Monthly!O58,MS:META!O55)</f>
        <v>721540</v>
      </c>
      <c r="P58" s="12">
        <f>SUM(Monthly!P58,MS:META!P55)</f>
        <v>821540</v>
      </c>
      <c r="Q58" s="12">
        <f>SUM(Monthly!Q58,MS:META!Q55)</f>
        <v>821540</v>
      </c>
      <c r="R58" s="12">
        <f>SUM(Monthly!R58,MS:META!R55)</f>
        <v>570333.33333333326</v>
      </c>
      <c r="S58" s="12">
        <f>SUM(Monthly!S58,MS:META!S55)</f>
        <v>335166.66666666663</v>
      </c>
      <c r="T58" s="12">
        <f>SUM(Monthly!T58,MS:META!T55)</f>
        <v>335166.66666666663</v>
      </c>
      <c r="U58" s="12">
        <f>SUM(Monthly!U58,MS:META!U55)</f>
        <v>601473.33333333326</v>
      </c>
      <c r="V58" s="12">
        <f>SUM(Monthly!V58,MS:META!V55)</f>
        <v>967780</v>
      </c>
      <c r="W58" s="12">
        <f>SUM(Monthly!W58,MS:META!W55)</f>
        <v>732613.33333333326</v>
      </c>
      <c r="X58" s="12">
        <f>SUM(Monthly!X58,MS:META!X55)</f>
        <v>732613.33333333326</v>
      </c>
      <c r="Y58" s="12">
        <f>SUM(Monthly!Y58,MS:META!Y55)</f>
        <v>967780</v>
      </c>
      <c r="Z58" s="12">
        <f>SUM(Monthly!Z58,MS:META!Z55)</f>
        <v>1202946.6666666665</v>
      </c>
      <c r="AA58" s="12">
        <f>SUM(Monthly!AA58,MS:META!AA55)</f>
        <v>836640</v>
      </c>
      <c r="AB58" s="12">
        <f>SUM(Monthly!AB58,MS:META!AB55)</f>
        <v>570333.33333333326</v>
      </c>
      <c r="AC58" s="12">
        <f>SUM(Monthly!AC58,MS:META!AC55)</f>
        <v>570333.33333333326</v>
      </c>
      <c r="AD58" s="12">
        <f>SUM(Monthly!AD58,MS:META!AD55)</f>
        <v>570333.33333333326</v>
      </c>
      <c r="AE58" s="12">
        <f>SUM(Monthly!AE58,MS:META!AE55)</f>
        <v>335166.66666666663</v>
      </c>
      <c r="AF58" s="12">
        <f>SUM(Monthly!AF58,MS:META!AF55)</f>
        <v>362280</v>
      </c>
      <c r="AG58" s="12">
        <f>SUM(Monthly!AG58,MS:META!AG55)</f>
        <v>497446.66666666663</v>
      </c>
      <c r="AH58" s="12">
        <f>SUM(Monthly!AH58,MS:META!AH55)</f>
        <v>732613.33333333326</v>
      </c>
      <c r="AI58" s="12">
        <f>SUM(Monthly!AI58,MS:META!AI55)</f>
        <v>967780</v>
      </c>
      <c r="AJ58" s="12">
        <f>SUM(Monthly!AJ58,MS:META!AJ55)</f>
        <v>1202946.6666666665</v>
      </c>
      <c r="AK58" s="12">
        <f>SUM(Monthly!AK58,MS:META!AK55)</f>
        <v>1438113.3333333333</v>
      </c>
      <c r="AL58" s="12">
        <f>SUM(Monthly!AL58,MS:META!AL55)</f>
        <v>1175833.3333333333</v>
      </c>
      <c r="AM58" s="12">
        <f>SUM(Monthly!AM58,MS:META!AM55)</f>
        <v>940666.66666666663</v>
      </c>
      <c r="AN58" s="12">
        <f>SUM(Monthly!AN58,MS:META!AN55)</f>
        <v>705500</v>
      </c>
      <c r="AP58" s="12" cm="1">
        <f t="array" ref="AP58">SUM(_xlfn._xlws.FILTER($E58:$AN58,YEAR($E$25:$AN$25)=AP$25,0))</f>
        <v>12656379.999999998</v>
      </c>
      <c r="AQ58" s="12" cm="1">
        <f t="array" ref="AQ58">SUM(_xlfn._xlws.FILTER($E58:$AN58,YEAR($E$25:$AN$25)=AQ$25,0))</f>
        <v>8674386.666666666</v>
      </c>
      <c r="AR58" s="12" cm="1">
        <f t="array" ref="AR58">SUM(_xlfn._xlws.FILTER($E58:$AN58,YEAR($E$25:$AN$25)=AR$25,0))</f>
        <v>9499013.3333333321</v>
      </c>
    </row>
    <row r="59" spans="2:44" x14ac:dyDescent="0.25">
      <c r="B59" t="s">
        <v>469</v>
      </c>
      <c r="E59" s="12">
        <f>SUM(Monthly!E59,MS:META!E56)</f>
        <v>-984231.83236240258</v>
      </c>
      <c r="F59" s="12">
        <f>SUM(Monthly!F59,MS:META!F56)</f>
        <v>-1388535.5106024025</v>
      </c>
      <c r="G59" s="12">
        <f>SUM(Monthly!G59,MS:META!G56)</f>
        <v>-1909218.8935210691</v>
      </c>
      <c r="H59" s="12">
        <f>SUM(Monthly!H59,MS:META!H56)</f>
        <v>-2395760.8258344019</v>
      </c>
      <c r="I59" s="12">
        <f>SUM(Monthly!I59,MS:META!I56)</f>
        <v>-2859967.1809544018</v>
      </c>
      <c r="J59" s="12">
        <f>SUM(Monthly!J59,MS:META!J56)</f>
        <v>-3311750.4787157355</v>
      </c>
      <c r="K59" s="12">
        <f>SUM(Monthly!K59,MS:META!K56)</f>
        <v>-3466522.331480301</v>
      </c>
      <c r="L59" s="12">
        <f>SUM(Monthly!L59,MS:META!L56)</f>
        <v>-3541725.73603414</v>
      </c>
      <c r="M59" s="12">
        <f>SUM(Monthly!M59,MS:META!M56)</f>
        <v>-3489195.0239924788</v>
      </c>
      <c r="N59" s="12">
        <f>SUM(Monthly!N59,MS:META!N56)</f>
        <v>-3810299.5039609163</v>
      </c>
      <c r="O59" s="12">
        <f>SUM(Monthly!O59,MS:META!O56)</f>
        <v>-4035016.8653164627</v>
      </c>
      <c r="P59" s="12">
        <f>SUM(Monthly!P59,MS:META!P56)</f>
        <v>-4157849.6361376336</v>
      </c>
      <c r="Q59" s="12">
        <f>SUM(Monthly!Q59,MS:META!Q56)</f>
        <v>-4589819.2981117014</v>
      </c>
      <c r="R59" s="12">
        <f>SUM(Monthly!R59,MS:META!R56)</f>
        <v>-5034996.446904771</v>
      </c>
      <c r="S59" s="12">
        <f>SUM(Monthly!S59,MS:META!S56)</f>
        <v>-5376097.8001322718</v>
      </c>
      <c r="T59" s="12">
        <f>SUM(Monthly!T59,MS:META!T56)</f>
        <v>-5505441.9492811952</v>
      </c>
      <c r="U59" s="12">
        <f>SUM(Monthly!U59,MS:META!U56)</f>
        <v>-5778143.1121167094</v>
      </c>
      <c r="V59" s="12">
        <f>SUM(Monthly!V59,MS:META!V56)</f>
        <v>-6086599.6821056781</v>
      </c>
      <c r="W59" s="12">
        <f>SUM(Monthly!W59,MS:META!W56)</f>
        <v>-6212830.0325711779</v>
      </c>
      <c r="X59" s="12">
        <f>SUM(Monthly!X59,MS:META!X56)</f>
        <v>-6297779.2401474472</v>
      </c>
      <c r="Y59" s="12">
        <f>SUM(Monthly!Y59,MS:META!Y56)</f>
        <v>-6460798.4978043986</v>
      </c>
      <c r="Z59" s="12">
        <f>SUM(Monthly!Z59,MS:META!Z56)</f>
        <v>-6747979.3605152871</v>
      </c>
      <c r="AA59" s="12">
        <f>SUM(Monthly!AA59,MS:META!AA56)</f>
        <v>-7038282.627055319</v>
      </c>
      <c r="AB59" s="12">
        <f>SUM(Monthly!AB59,MS:META!AB56)</f>
        <v>-7117114.8521085549</v>
      </c>
      <c r="AC59" s="12">
        <f>SUM(Monthly!AC59,MS:META!AC56)</f>
        <v>-7419856.0764360912</v>
      </c>
      <c r="AD59" s="12">
        <f>SUM(Monthly!AD59,MS:META!AD56)</f>
        <v>-7764975.7624349575</v>
      </c>
      <c r="AE59" s="12">
        <f>SUM(Monthly!AE59,MS:META!AE56)</f>
        <v>-8123438.5631227372</v>
      </c>
      <c r="AF59" s="12">
        <f>SUM(Monthly!AF59,MS:META!AF56)</f>
        <v>-8267961.8685561111</v>
      </c>
      <c r="AG59" s="12">
        <f>SUM(Monthly!AG59,MS:META!AG56)</f>
        <v>-8398291.0598972738</v>
      </c>
      <c r="AH59" s="12">
        <f>SUM(Monthly!AH59,MS:META!AH56)</f>
        <v>-8666513.0530198105</v>
      </c>
      <c r="AI59" s="12">
        <f>SUM(Monthly!AI59,MS:META!AI56)</f>
        <v>-8813598.3436174169</v>
      </c>
      <c r="AJ59" s="12">
        <f>SUM(Monthly!AJ59,MS:META!AJ56)</f>
        <v>-8889630.7409333549</v>
      </c>
      <c r="AK59" s="12">
        <f>SUM(Monthly!AK59,MS:META!AK56)</f>
        <v>-9043893.7248844206</v>
      </c>
      <c r="AL59" s="12">
        <f>SUM(Monthly!AL59,MS:META!AL56)</f>
        <v>-9286272.2440139838</v>
      </c>
      <c r="AM59" s="12">
        <f>SUM(Monthly!AM59,MS:META!AM56)</f>
        <v>-9504815.4890619796</v>
      </c>
      <c r="AN59" s="12">
        <f>SUM(Monthly!AN59,MS:META!AN56)</f>
        <v>-9721264.9839869291</v>
      </c>
      <c r="AP59" s="12" cm="1">
        <f t="array" ref="AP59">SUM(_xlfn._xlws.FILTER($E59:$AN59,$E$25:$AN$25=DATE(AP$25,12,1),0))</f>
        <v>-4157849.6361376336</v>
      </c>
      <c r="AQ59" s="12" cm="1">
        <f t="array" ref="AQ59">SUM(_xlfn._xlws.FILTER($E59:$AN59,$E$25:$AN$25=DATE(AQ$25,12,1),0))</f>
        <v>-7117114.8521085549</v>
      </c>
      <c r="AR59" s="12" cm="1">
        <f t="array" ref="AR59">SUM(_xlfn._xlws.FILTER($E59:$AN59,$E$25:$AN$25=DATE(AR$25,12,1),0))</f>
        <v>-9721264.9839869291</v>
      </c>
    </row>
    <row r="60" spans="2:44" x14ac:dyDescent="0.25"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P60" s="12"/>
      <c r="AQ60" s="12"/>
      <c r="AR60" s="12"/>
    </row>
    <row r="61" spans="2:44" x14ac:dyDescent="0.25">
      <c r="B61" s="1" t="s">
        <v>468</v>
      </c>
      <c r="E61" s="13">
        <f>E37-E50-E58+E59</f>
        <v>-2036523.0018299036</v>
      </c>
      <c r="F61" s="13">
        <f t="shared" ref="F61:AN61" si="11">F37-F50-F58+F59</f>
        <v>-2194830.6441496704</v>
      </c>
      <c r="G61" s="13">
        <f t="shared" si="11"/>
        <v>-2220949.6442817859</v>
      </c>
      <c r="H61" s="13">
        <f t="shared" si="11"/>
        <v>-2084550.2405557823</v>
      </c>
      <c r="I61" s="13">
        <f t="shared" si="11"/>
        <v>-2614703.2879688721</v>
      </c>
      <c r="J61" s="13">
        <f t="shared" si="11"/>
        <v>-2394563.6402120981</v>
      </c>
      <c r="K61" s="13">
        <f t="shared" si="11"/>
        <v>-2321664.2503212104</v>
      </c>
      <c r="L61" s="13">
        <f t="shared" si="11"/>
        <v>-2072634.2946199626</v>
      </c>
      <c r="M61" s="13">
        <f t="shared" si="11"/>
        <v>-2198916.6252868185</v>
      </c>
      <c r="N61" s="13">
        <f t="shared" si="11"/>
        <v>-1957127.3004306015</v>
      </c>
      <c r="O61" s="13">
        <f t="shared" si="11"/>
        <v>-1510873.0203232784</v>
      </c>
      <c r="P61" s="13">
        <f t="shared" si="11"/>
        <v>-1367967.9423614228</v>
      </c>
      <c r="Q61" s="13">
        <f t="shared" si="11"/>
        <v>-1671926.3370895088</v>
      </c>
      <c r="R61" s="13">
        <f t="shared" si="11"/>
        <v>-1321102.9741652785</v>
      </c>
      <c r="S61" s="13">
        <f t="shared" si="11"/>
        <v>-1035453.6097194888</v>
      </c>
      <c r="T61" s="13">
        <f t="shared" si="11"/>
        <v>-783306.83718581591</v>
      </c>
      <c r="U61" s="13">
        <f t="shared" si="11"/>
        <v>-1246898.790595972</v>
      </c>
      <c r="V61" s="13">
        <f t="shared" si="11"/>
        <v>-1654662.4604195645</v>
      </c>
      <c r="W61" s="13">
        <f t="shared" si="11"/>
        <v>-1080229.2346713701</v>
      </c>
      <c r="X61" s="13">
        <f t="shared" si="11"/>
        <v>-971441.74801238533</v>
      </c>
      <c r="Y61" s="13">
        <f t="shared" si="11"/>
        <v>-1306639.3663174817</v>
      </c>
      <c r="Z61" s="13">
        <f t="shared" si="11"/>
        <v>-1566974.3924494423</v>
      </c>
      <c r="AA61" s="13">
        <f t="shared" si="11"/>
        <v>-1117419.8708098605</v>
      </c>
      <c r="AB61" s="13">
        <f t="shared" si="11"/>
        <v>-707613.80771395657</v>
      </c>
      <c r="AC61" s="13">
        <f t="shared" si="11"/>
        <v>-1620610.4206646373</v>
      </c>
      <c r="AD61" s="13">
        <f t="shared" si="11"/>
        <v>-1671206.9004095392</v>
      </c>
      <c r="AE61" s="13">
        <f t="shared" si="11"/>
        <v>-1510698.6565870289</v>
      </c>
      <c r="AF61" s="13">
        <f t="shared" si="11"/>
        <v>-1638143.8650893634</v>
      </c>
      <c r="AG61" s="13">
        <f t="shared" si="11"/>
        <v>-1564317.9923982034</v>
      </c>
      <c r="AH61" s="13">
        <f t="shared" si="11"/>
        <v>-1874685.0654885964</v>
      </c>
      <c r="AI61" s="13">
        <f t="shared" si="11"/>
        <v>-2093457.268838618</v>
      </c>
      <c r="AJ61" s="13">
        <f t="shared" si="11"/>
        <v>-2190846.8136541639</v>
      </c>
      <c r="AK61" s="13">
        <f t="shared" si="11"/>
        <v>-2389304.8247877555</v>
      </c>
      <c r="AL61" s="13">
        <f t="shared" si="11"/>
        <v>-2035265.9706710847</v>
      </c>
      <c r="AM61" s="13">
        <f t="shared" si="11"/>
        <v>-1808007.846724228</v>
      </c>
      <c r="AN61" s="13">
        <f t="shared" si="11"/>
        <v>-1563773.5497463122</v>
      </c>
      <c r="AP61" s="13">
        <f t="shared" ref="AP61:AR61" si="12">AP37-AP50-AP58+AP59</f>
        <v>6216920.2904332904</v>
      </c>
      <c r="AQ61" s="13">
        <f t="shared" si="12"/>
        <v>50665098.617595769</v>
      </c>
      <c r="AR61" s="13">
        <f t="shared" si="12"/>
        <v>72218927.750918627</v>
      </c>
    </row>
    <row r="62" spans="2:44" x14ac:dyDescent="0.25">
      <c r="B62" t="s">
        <v>277</v>
      </c>
      <c r="E62" s="12" cm="1">
        <f t="array" ref="E62:AN62">_xlfn.SCAN(-D58,E61:AN61,_xlfn.LAMBDA(_xlpm.capex,_xlpm.fcf,_xlpm.capex+_xlpm.fcf))</f>
        <v>-6581263.0018299036</v>
      </c>
      <c r="F62" s="12">
        <v>-8776093.645979574</v>
      </c>
      <c r="G62" s="12">
        <v>-10997043.29026136</v>
      </c>
      <c r="H62" s="12">
        <v>-13081593.530817142</v>
      </c>
      <c r="I62" s="12">
        <v>-15696296.818786014</v>
      </c>
      <c r="J62" s="12">
        <v>-18090860.458998114</v>
      </c>
      <c r="K62" s="12">
        <v>-20412524.709319323</v>
      </c>
      <c r="L62" s="12">
        <v>-22485159.003939286</v>
      </c>
      <c r="M62" s="12">
        <v>-24684075.629226103</v>
      </c>
      <c r="N62" s="12">
        <v>-26641202.929656707</v>
      </c>
      <c r="O62" s="12">
        <v>-28152075.949979983</v>
      </c>
      <c r="P62" s="12">
        <v>-29520043.892341405</v>
      </c>
      <c r="Q62" s="12">
        <v>-31191970.229430914</v>
      </c>
      <c r="R62" s="12">
        <v>-32513073.203596193</v>
      </c>
      <c r="S62" s="12">
        <v>-33548526.813315682</v>
      </c>
      <c r="T62" s="12">
        <v>-34331833.650501497</v>
      </c>
      <c r="U62" s="12">
        <v>-35578732.441097468</v>
      </c>
      <c r="V62" s="12">
        <v>-37233394.901517034</v>
      </c>
      <c r="W62" s="12">
        <v>-38313624.136188403</v>
      </c>
      <c r="X62" s="12">
        <v>-39285065.884200789</v>
      </c>
      <c r="Y62" s="12">
        <v>-40591705.25051827</v>
      </c>
      <c r="Z62" s="12">
        <v>-42158679.642967716</v>
      </c>
      <c r="AA62" s="12">
        <v>-43276099.513777576</v>
      </c>
      <c r="AB62" s="12">
        <v>-43983713.321491532</v>
      </c>
      <c r="AC62" s="12">
        <v>-45604323.74215617</v>
      </c>
      <c r="AD62" s="12">
        <v>-47275530.642565712</v>
      </c>
      <c r="AE62" s="12">
        <v>-48786229.299152739</v>
      </c>
      <c r="AF62" s="12">
        <v>-50424373.164242104</v>
      </c>
      <c r="AG62" s="12">
        <v>-51988691.156640306</v>
      </c>
      <c r="AH62" s="12">
        <v>-53863376.222128905</v>
      </c>
      <c r="AI62" s="12">
        <v>-55956833.490967527</v>
      </c>
      <c r="AJ62" s="12">
        <v>-58147680.304621689</v>
      </c>
      <c r="AK62" s="12">
        <v>-60536985.129409447</v>
      </c>
      <c r="AL62" s="12">
        <v>-62572251.100080535</v>
      </c>
      <c r="AM62" s="12">
        <v>-64380258.946804762</v>
      </c>
      <c r="AN62" s="12">
        <v>-65944032.496551074</v>
      </c>
      <c r="AP62" s="12"/>
      <c r="AQ62" s="12"/>
      <c r="AR62" s="12"/>
    </row>
    <row r="64" spans="2:44" x14ac:dyDescent="0.25">
      <c r="B64" s="1" t="s">
        <v>219</v>
      </c>
      <c r="C64" s="1" t="s">
        <v>287</v>
      </c>
    </row>
    <row r="65" spans="2:44" x14ac:dyDescent="0.25">
      <c r="B65" s="39" t="s">
        <v>288</v>
      </c>
      <c r="E65" s="67">
        <f>C67+C54</f>
        <v>4869737.3325661831</v>
      </c>
      <c r="F65" s="67">
        <f t="shared" ref="F65:AN65" si="13">E67+E54</f>
        <v>7159557.2869040575</v>
      </c>
      <c r="G65" s="67">
        <f t="shared" si="13"/>
        <v>9424545.8405366316</v>
      </c>
      <c r="H65" s="67">
        <f t="shared" si="13"/>
        <v>11732836.700954556</v>
      </c>
      <c r="I65" s="67">
        <f t="shared" si="13"/>
        <v>13921017.343571667</v>
      </c>
      <c r="J65" s="67">
        <f t="shared" si="13"/>
        <v>16659738.536277093</v>
      </c>
      <c r="K65" s="67">
        <f t="shared" si="13"/>
        <v>19197209.44281286</v>
      </c>
      <c r="L65" s="67">
        <f t="shared" si="13"/>
        <v>21680265.245832574</v>
      </c>
      <c r="M65" s="67">
        <f t="shared" si="13"/>
        <v>23931046.287005931</v>
      </c>
      <c r="N65" s="67">
        <f t="shared" si="13"/>
        <v>26325937.634134945</v>
      </c>
      <c r="O65" s="67">
        <f t="shared" si="13"/>
        <v>28495187.921574786</v>
      </c>
      <c r="P65" s="67">
        <f t="shared" si="13"/>
        <v>30231106.398962297</v>
      </c>
      <c r="Q65" s="67">
        <f t="shared" si="13"/>
        <v>31836067.398883644</v>
      </c>
      <c r="R65" s="67">
        <f t="shared" si="13"/>
        <v>37184803.688992947</v>
      </c>
      <c r="S65" s="67">
        <f t="shared" si="13"/>
        <v>38794700.963131912</v>
      </c>
      <c r="T65" s="67">
        <f t="shared" si="13"/>
        <v>40128880.73214779</v>
      </c>
      <c r="U65" s="67">
        <f t="shared" si="13"/>
        <v>41219028.976103604</v>
      </c>
      <c r="V65" s="67">
        <f t="shared" si="13"/>
        <v>42784422.224949822</v>
      </c>
      <c r="W65" s="67">
        <f t="shared" si="13"/>
        <v>44772377.820509657</v>
      </c>
      <c r="X65" s="67">
        <f t="shared" si="13"/>
        <v>46196501.608094886</v>
      </c>
      <c r="Y65" s="67">
        <f t="shared" si="13"/>
        <v>47521702.93127808</v>
      </c>
      <c r="Z65" s="67">
        <f t="shared" si="13"/>
        <v>49194554.864827529</v>
      </c>
      <c r="AA65" s="67">
        <f t="shared" si="13"/>
        <v>51142240.726706542</v>
      </c>
      <c r="AB65" s="67">
        <f t="shared" si="13"/>
        <v>52651608.051997773</v>
      </c>
      <c r="AC65" s="67">
        <f t="shared" si="13"/>
        <v>53759416.023659565</v>
      </c>
      <c r="AD65" s="67">
        <f t="shared" si="13"/>
        <v>59220876.642656632</v>
      </c>
      <c r="AE65" s="67">
        <f t="shared" si="13"/>
        <v>61348774.16963917</v>
      </c>
      <c r="AF65" s="67">
        <f t="shared" si="13"/>
        <v>63330918.872422896</v>
      </c>
      <c r="AG65" s="67">
        <f t="shared" si="13"/>
        <v>65456330.708043605</v>
      </c>
      <c r="AH65" s="67">
        <f t="shared" si="13"/>
        <v>67523303.565695122</v>
      </c>
      <c r="AI65" s="67">
        <f t="shared" si="13"/>
        <v>69918473.545917585</v>
      </c>
      <c r="AJ65" s="67">
        <f t="shared" si="13"/>
        <v>72552020.295866877</v>
      </c>
      <c r="AK65" s="67">
        <f t="shared" si="13"/>
        <v>75303438.612842456</v>
      </c>
      <c r="AL65" s="67">
        <f t="shared" si="13"/>
        <v>78275439.013412431</v>
      </c>
      <c r="AM65" s="67">
        <f t="shared" si="13"/>
        <v>80913035.271464139</v>
      </c>
      <c r="AN65" s="67">
        <f t="shared" si="13"/>
        <v>83341450.941574782</v>
      </c>
      <c r="AP65" s="12" cm="1">
        <f t="array" ref="AP65">SUM(_xlfn._xlws.FILTER($E65:$AN65,$E$25:$AN$25=DATE(AP$25,1,1),0))</f>
        <v>4869737.3325661831</v>
      </c>
      <c r="AQ65" s="12" cm="1">
        <f t="array" ref="AQ65">SUM(_xlfn._xlws.FILTER($E65:$AN65,$E$25:$AN$25=DATE(AQ$25,1,1),0))</f>
        <v>31836067.398883644</v>
      </c>
      <c r="AR65" s="12" cm="1">
        <f t="array" ref="AR65">SUM(_xlfn._xlws.FILTER($E65:$AN65,$E$25:$AN$25=DATE(AR$25,1,1),0))</f>
        <v>53759416.023659565</v>
      </c>
    </row>
    <row r="66" spans="2:44" x14ac:dyDescent="0.25">
      <c r="B66" s="39" t="s">
        <v>289</v>
      </c>
      <c r="C66" s="12"/>
      <c r="E66" s="67">
        <f>_xlfn.LET(_xlpm.fcf,E61,_xlpm.cash,C69,_xlpm.principal,E65,_xlpm.wc,_xlfn.XLOOKUP(YEAR(E$25),Base!$BJ$4:$BL$4,Base!$BJ$284:$BL$284,0,0),
IF(_xlpm.fcf&lt;0,MAX(0,_xlpm.wc-(_xlpm.cash+_xlpm.fcf)),-MIN(_xlpm.fcf,_xlpm.principal)+MAX(_xlpm.wc-_xlpm.cash,0)))</f>
        <v>2236523.0018299036</v>
      </c>
      <c r="F66" s="67">
        <f>_xlfn.LET(_xlpm.fcf,F61,_xlpm.cash,E69,_xlpm.principal,F65,_xlpm.wc,_xlfn.XLOOKUP(YEAR(F$25),Base!$BJ$4:$BL$4,Base!$BJ$284:$BL$284,0,0),
IF(_xlpm.fcf&lt;0,MAX(0,_xlpm.wc-(_xlpm.cash+_xlpm.fcf)),-MIN(_xlpm.fcf,_xlpm.principal)+MAX(_xlpm.wc-_xlpm.cash,0)))</f>
        <v>2194830.6441496704</v>
      </c>
      <c r="G66" s="67">
        <f>_xlfn.LET(_xlpm.fcf,G61,_xlpm.cash,F69,_xlpm.principal,G65,_xlpm.wc,_xlfn.XLOOKUP(YEAR(G$25),Base!$BJ$4:$BL$4,Base!$BJ$284:$BL$284,0,0),
IF(_xlpm.fcf&lt;0,MAX(0,_xlpm.wc-(_xlpm.cash+_xlpm.fcf)),-MIN(_xlpm.fcf,_xlpm.principal)+MAX(_xlpm.wc-_xlpm.cash,0)))</f>
        <v>2220949.6442817859</v>
      </c>
      <c r="H66" s="67">
        <f>_xlfn.LET(_xlpm.fcf,H61,_xlpm.cash,G69,_xlpm.principal,H65,_xlpm.wc,_xlfn.XLOOKUP(YEAR(H$25),Base!$BJ$4:$BL$4,Base!$BJ$284:$BL$284,0,0),
IF(_xlpm.fcf&lt;0,MAX(0,_xlpm.wc-(_xlpm.cash+_xlpm.fcf)),-MIN(_xlpm.fcf,_xlpm.principal)+MAX(_xlpm.wc-_xlpm.cash,0)))</f>
        <v>2084550.2405557823</v>
      </c>
      <c r="I66" s="67">
        <f>_xlfn.LET(_xlpm.fcf,I61,_xlpm.cash,H69,_xlpm.principal,I65,_xlpm.wc,_xlfn.XLOOKUP(YEAR(I$25),Base!$BJ$4:$BL$4,Base!$BJ$284:$BL$284,0,0),
IF(_xlpm.fcf&lt;0,MAX(0,_xlpm.wc-(_xlpm.cash+_xlpm.fcf)),-MIN(_xlpm.fcf,_xlpm.principal)+MAX(_xlpm.wc-_xlpm.cash,0)))</f>
        <v>2614703.2879688721</v>
      </c>
      <c r="J66" s="67">
        <f>_xlfn.LET(_xlpm.fcf,J61,_xlpm.cash,I69,_xlpm.principal,J65,_xlpm.wc,_xlfn.XLOOKUP(YEAR(J$25),Base!$BJ$4:$BL$4,Base!$BJ$284:$BL$284,0,0),
IF(_xlpm.fcf&lt;0,MAX(0,_xlpm.wc-(_xlpm.cash+_xlpm.fcf)),-MIN(_xlpm.fcf,_xlpm.principal)+MAX(_xlpm.wc-_xlpm.cash,0)))</f>
        <v>2394563.6402120981</v>
      </c>
      <c r="K66" s="67">
        <f>_xlfn.LET(_xlpm.fcf,K61,_xlpm.cash,J69,_xlpm.principal,K65,_xlpm.wc,_xlfn.XLOOKUP(YEAR(K$25),Base!$BJ$4:$BL$4,Base!$BJ$284:$BL$284,0,0),
IF(_xlpm.fcf&lt;0,MAX(0,_xlpm.wc-(_xlpm.cash+_xlpm.fcf)),-MIN(_xlpm.fcf,_xlpm.principal)+MAX(_xlpm.wc-_xlpm.cash,0)))</f>
        <v>2321664.2503212104</v>
      </c>
      <c r="L66" s="67">
        <f>_xlfn.LET(_xlpm.fcf,L61,_xlpm.cash,K69,_xlpm.principal,L65,_xlpm.wc,_xlfn.XLOOKUP(YEAR(L$25),Base!$BJ$4:$BL$4,Base!$BJ$284:$BL$284,0,0),
IF(_xlpm.fcf&lt;0,MAX(0,_xlpm.wc-(_xlpm.cash+_xlpm.fcf)),-MIN(_xlpm.fcf,_xlpm.principal)+MAX(_xlpm.wc-_xlpm.cash,0)))</f>
        <v>2072634.2946199626</v>
      </c>
      <c r="M66" s="67">
        <f>_xlfn.LET(_xlpm.fcf,M61,_xlpm.cash,L69,_xlpm.principal,M65,_xlpm.wc,_xlfn.XLOOKUP(YEAR(M$25),Base!$BJ$4:$BL$4,Base!$BJ$284:$BL$284,0,0),
IF(_xlpm.fcf&lt;0,MAX(0,_xlpm.wc-(_xlpm.cash+_xlpm.fcf)),-MIN(_xlpm.fcf,_xlpm.principal)+MAX(_xlpm.wc-_xlpm.cash,0)))</f>
        <v>2198916.6252868185</v>
      </c>
      <c r="N66" s="67">
        <f>_xlfn.LET(_xlpm.fcf,N61,_xlpm.cash,M69,_xlpm.principal,N65,_xlpm.wc,_xlfn.XLOOKUP(YEAR(N$25),Base!$BJ$4:$BL$4,Base!$BJ$284:$BL$284,0,0),
IF(_xlpm.fcf&lt;0,MAX(0,_xlpm.wc-(_xlpm.cash+_xlpm.fcf)),-MIN(_xlpm.fcf,_xlpm.principal)+MAX(_xlpm.wc-_xlpm.cash,0)))</f>
        <v>1957127.3004306015</v>
      </c>
      <c r="O66" s="67">
        <f>_xlfn.LET(_xlpm.fcf,O61,_xlpm.cash,N69,_xlpm.principal,O65,_xlpm.wc,_xlfn.XLOOKUP(YEAR(O$25),Base!$BJ$4:$BL$4,Base!$BJ$284:$BL$284,0,0),
IF(_xlpm.fcf&lt;0,MAX(0,_xlpm.wc-(_xlpm.cash+_xlpm.fcf)),-MIN(_xlpm.fcf,_xlpm.principal)+MAX(_xlpm.wc-_xlpm.cash,0)))</f>
        <v>1510873.0203232784</v>
      </c>
      <c r="P66" s="67">
        <f>_xlfn.LET(_xlpm.fcf,P61,_xlpm.cash,O69,_xlpm.principal,P65,_xlpm.wc,_xlfn.XLOOKUP(YEAR(P$25),Base!$BJ$4:$BL$4,Base!$BJ$284:$BL$284,0,0),
IF(_xlpm.fcf&lt;0,MAX(0,_xlpm.wc-(_xlpm.cash+_xlpm.fcf)),-MIN(_xlpm.fcf,_xlpm.principal)+MAX(_xlpm.wc-_xlpm.cash,0)))</f>
        <v>1367967.9423614228</v>
      </c>
      <c r="Q66" s="67">
        <f>_xlfn.LET(_xlpm.fcf,Q61,_xlpm.cash,P69,_xlpm.principal,Q65,_xlpm.wc,_xlfn.XLOOKUP(YEAR(Q$25),Base!$BJ$4:$BL$4,Base!$BJ$284:$BL$284,0,0),
IF(_xlpm.fcf&lt;0,MAX(0,_xlpm.wc-(_xlpm.cash+_xlpm.fcf)),-MIN(_xlpm.fcf,_xlpm.principal)+MAX(_xlpm.wc-_xlpm.cash,0)))</f>
        <v>5071926.3370895088</v>
      </c>
      <c r="R66" s="67">
        <f>_xlfn.LET(_xlpm.fcf,R61,_xlpm.cash,Q69,_xlpm.principal,R65,_xlpm.wc,_xlfn.XLOOKUP(YEAR(R$25),Base!$BJ$4:$BL$4,Base!$BJ$284:$BL$284,0,0),
IF(_xlpm.fcf&lt;0,MAX(0,_xlpm.wc-(_xlpm.cash+_xlpm.fcf)),-MIN(_xlpm.fcf,_xlpm.principal)+MAX(_xlpm.wc-_xlpm.cash,0)))</f>
        <v>1321102.9741652785</v>
      </c>
      <c r="S66" s="67">
        <f>_xlfn.LET(_xlpm.fcf,S61,_xlpm.cash,R69,_xlpm.principal,S65,_xlpm.wc,_xlfn.XLOOKUP(YEAR(S$25),Base!$BJ$4:$BL$4,Base!$BJ$284:$BL$284,0,0),
IF(_xlpm.fcf&lt;0,MAX(0,_xlpm.wc-(_xlpm.cash+_xlpm.fcf)),-MIN(_xlpm.fcf,_xlpm.principal)+MAX(_xlpm.wc-_xlpm.cash,0)))</f>
        <v>1035453.6097194888</v>
      </c>
      <c r="T66" s="67">
        <f>_xlfn.LET(_xlpm.fcf,T61,_xlpm.cash,S69,_xlpm.principal,T65,_xlpm.wc,_xlfn.XLOOKUP(YEAR(T$25),Base!$BJ$4:$BL$4,Base!$BJ$284:$BL$284,0,0),
IF(_xlpm.fcf&lt;0,MAX(0,_xlpm.wc-(_xlpm.cash+_xlpm.fcf)),-MIN(_xlpm.fcf,_xlpm.principal)+MAX(_xlpm.wc-_xlpm.cash,0)))</f>
        <v>783306.83718581591</v>
      </c>
      <c r="U66" s="67">
        <f>_xlfn.LET(_xlpm.fcf,U61,_xlpm.cash,T69,_xlpm.principal,U65,_xlpm.wc,_xlfn.XLOOKUP(YEAR(U$25),Base!$BJ$4:$BL$4,Base!$BJ$284:$BL$284,0,0),
IF(_xlpm.fcf&lt;0,MAX(0,_xlpm.wc-(_xlpm.cash+_xlpm.fcf)),-MIN(_xlpm.fcf,_xlpm.principal)+MAX(_xlpm.wc-_xlpm.cash,0)))</f>
        <v>1246898.790595972</v>
      </c>
      <c r="V66" s="67">
        <f>_xlfn.LET(_xlpm.fcf,V61,_xlpm.cash,U69,_xlpm.principal,V65,_xlpm.wc,_xlfn.XLOOKUP(YEAR(V$25),Base!$BJ$4:$BL$4,Base!$BJ$284:$BL$284,0,0),
IF(_xlpm.fcf&lt;0,MAX(0,_xlpm.wc-(_xlpm.cash+_xlpm.fcf)),-MIN(_xlpm.fcf,_xlpm.principal)+MAX(_xlpm.wc-_xlpm.cash,0)))</f>
        <v>1654662.4604195645</v>
      </c>
      <c r="W66" s="67">
        <f>_xlfn.LET(_xlpm.fcf,W61,_xlpm.cash,V69,_xlpm.principal,W65,_xlpm.wc,_xlfn.XLOOKUP(YEAR(W$25),Base!$BJ$4:$BL$4,Base!$BJ$284:$BL$284,0,0),
IF(_xlpm.fcf&lt;0,MAX(0,_xlpm.wc-(_xlpm.cash+_xlpm.fcf)),-MIN(_xlpm.fcf,_xlpm.principal)+MAX(_xlpm.wc-_xlpm.cash,0)))</f>
        <v>1080229.2346713701</v>
      </c>
      <c r="X66" s="67">
        <f>_xlfn.LET(_xlpm.fcf,X61,_xlpm.cash,W69,_xlpm.principal,X65,_xlpm.wc,_xlfn.XLOOKUP(YEAR(X$25),Base!$BJ$4:$BL$4,Base!$BJ$284:$BL$284,0,0),
IF(_xlpm.fcf&lt;0,MAX(0,_xlpm.wc-(_xlpm.cash+_xlpm.fcf)),-MIN(_xlpm.fcf,_xlpm.principal)+MAX(_xlpm.wc-_xlpm.cash,0)))</f>
        <v>971441.74801238533</v>
      </c>
      <c r="Y66" s="67">
        <f>_xlfn.LET(_xlpm.fcf,Y61,_xlpm.cash,X69,_xlpm.principal,Y65,_xlpm.wc,_xlfn.XLOOKUP(YEAR(Y$25),Base!$BJ$4:$BL$4,Base!$BJ$284:$BL$284,0,0),
IF(_xlpm.fcf&lt;0,MAX(0,_xlpm.wc-(_xlpm.cash+_xlpm.fcf)),-MIN(_xlpm.fcf,_xlpm.principal)+MAX(_xlpm.wc-_xlpm.cash,0)))</f>
        <v>1306639.3663174817</v>
      </c>
      <c r="Z66" s="67">
        <f>_xlfn.LET(_xlpm.fcf,Z61,_xlpm.cash,Y69,_xlpm.principal,Z65,_xlpm.wc,_xlfn.XLOOKUP(YEAR(Z$25),Base!$BJ$4:$BL$4,Base!$BJ$284:$BL$284,0,0),
IF(_xlpm.fcf&lt;0,MAX(0,_xlpm.wc-(_xlpm.cash+_xlpm.fcf)),-MIN(_xlpm.fcf,_xlpm.principal)+MAX(_xlpm.wc-_xlpm.cash,0)))</f>
        <v>1566974.3924494423</v>
      </c>
      <c r="AA66" s="67">
        <f>_xlfn.LET(_xlpm.fcf,AA61,_xlpm.cash,Z69,_xlpm.principal,AA65,_xlpm.wc,_xlfn.XLOOKUP(YEAR(AA$25),Base!$BJ$4:$BL$4,Base!$BJ$284:$BL$284,0,0),
IF(_xlpm.fcf&lt;0,MAX(0,_xlpm.wc-(_xlpm.cash+_xlpm.fcf)),-MIN(_xlpm.fcf,_xlpm.principal)+MAX(_xlpm.wc-_xlpm.cash,0)))</f>
        <v>1117419.8708098605</v>
      </c>
      <c r="AB66" s="67">
        <f>_xlfn.LET(_xlpm.fcf,AB61,_xlpm.cash,AA69,_xlpm.principal,AB65,_xlpm.wc,_xlfn.XLOOKUP(YEAR(AB$25),Base!$BJ$4:$BL$4,Base!$BJ$284:$BL$284,0,0),
IF(_xlpm.fcf&lt;0,MAX(0,_xlpm.wc-(_xlpm.cash+_xlpm.fcf)),-MIN(_xlpm.fcf,_xlpm.principal)+MAX(_xlpm.wc-_xlpm.cash,0)))</f>
        <v>707613.80771395657</v>
      </c>
      <c r="AC66" s="67">
        <f>_xlfn.LET(_xlpm.fcf,AC61,_xlpm.cash,AB69,_xlpm.principal,AC65,_xlpm.wc,_xlfn.XLOOKUP(YEAR(AC$25),Base!$BJ$4:$BL$4,Base!$BJ$284:$BL$284,0,0),
IF(_xlpm.fcf&lt;0,MAX(0,_xlpm.wc-(_xlpm.cash+_xlpm.fcf)),-MIN(_xlpm.fcf,_xlpm.principal)+MAX(_xlpm.wc-_xlpm.cash,0)))</f>
        <v>5020610.4206646373</v>
      </c>
      <c r="AD66" s="67">
        <f>_xlfn.LET(_xlpm.fcf,AD61,_xlpm.cash,AC69,_xlpm.principal,AD65,_xlpm.wc,_xlfn.XLOOKUP(YEAR(AD$25),Base!$BJ$4:$BL$4,Base!$BJ$284:$BL$284,0,0),
IF(_xlpm.fcf&lt;0,MAX(0,_xlpm.wc-(_xlpm.cash+_xlpm.fcf)),-MIN(_xlpm.fcf,_xlpm.principal)+MAX(_xlpm.wc-_xlpm.cash,0)))</f>
        <v>1671206.9004095383</v>
      </c>
      <c r="AE66" s="67">
        <f>_xlfn.LET(_xlpm.fcf,AE61,_xlpm.cash,AD69,_xlpm.principal,AE65,_xlpm.wc,_xlfn.XLOOKUP(YEAR(AE$25),Base!$BJ$4:$BL$4,Base!$BJ$284:$BL$284,0,0),
IF(_xlpm.fcf&lt;0,MAX(0,_xlpm.wc-(_xlpm.cash+_xlpm.fcf)),-MIN(_xlpm.fcf,_xlpm.principal)+MAX(_xlpm.wc-_xlpm.cash,0)))</f>
        <v>1510698.6565870289</v>
      </c>
      <c r="AF66" s="67">
        <f>_xlfn.LET(_xlpm.fcf,AF61,_xlpm.cash,AE69,_xlpm.principal,AF65,_xlpm.wc,_xlfn.XLOOKUP(YEAR(AF$25),Base!$BJ$4:$BL$4,Base!$BJ$284:$BL$284,0,0),
IF(_xlpm.fcf&lt;0,MAX(0,_xlpm.wc-(_xlpm.cash+_xlpm.fcf)),-MIN(_xlpm.fcf,_xlpm.principal)+MAX(_xlpm.wc-_xlpm.cash,0)))</f>
        <v>1638143.8650893643</v>
      </c>
      <c r="AG66" s="67">
        <f>_xlfn.LET(_xlpm.fcf,AG61,_xlpm.cash,AF69,_xlpm.principal,AG65,_xlpm.wc,_xlfn.XLOOKUP(YEAR(AG$25),Base!$BJ$4:$BL$4,Base!$BJ$284:$BL$284,0,0),
IF(_xlpm.fcf&lt;0,MAX(0,_xlpm.wc-(_xlpm.cash+_xlpm.fcf)),-MIN(_xlpm.fcf,_xlpm.principal)+MAX(_xlpm.wc-_xlpm.cash,0)))</f>
        <v>1564317.9923982024</v>
      </c>
      <c r="AH66" s="67">
        <f>_xlfn.LET(_xlpm.fcf,AH61,_xlpm.cash,AG69,_xlpm.principal,AH65,_xlpm.wc,_xlfn.XLOOKUP(YEAR(AH$25),Base!$BJ$4:$BL$4,Base!$BJ$284:$BL$284,0,0),
IF(_xlpm.fcf&lt;0,MAX(0,_xlpm.wc-(_xlpm.cash+_xlpm.fcf)),-MIN(_xlpm.fcf,_xlpm.principal)+MAX(_xlpm.wc-_xlpm.cash,0)))</f>
        <v>1874685.0654885964</v>
      </c>
      <c r="AI66" s="67">
        <f>_xlfn.LET(_xlpm.fcf,AI61,_xlpm.cash,AH69,_xlpm.principal,AI65,_xlpm.wc,_xlfn.XLOOKUP(YEAR(AI$25),Base!$BJ$4:$BL$4,Base!$BJ$284:$BL$284,0,0),
IF(_xlpm.fcf&lt;0,MAX(0,_xlpm.wc-(_xlpm.cash+_xlpm.fcf)),-MIN(_xlpm.fcf,_xlpm.principal)+MAX(_xlpm.wc-_xlpm.cash,0)))</f>
        <v>2093457.268838618</v>
      </c>
      <c r="AJ66" s="67">
        <f>_xlfn.LET(_xlpm.fcf,AJ61,_xlpm.cash,AI69,_xlpm.principal,AJ65,_xlpm.wc,_xlfn.XLOOKUP(YEAR(AJ$25),Base!$BJ$4:$BL$4,Base!$BJ$284:$BL$284,0,0),
IF(_xlpm.fcf&lt;0,MAX(0,_xlpm.wc-(_xlpm.cash+_xlpm.fcf)),-MIN(_xlpm.fcf,_xlpm.principal)+MAX(_xlpm.wc-_xlpm.cash,0)))</f>
        <v>2190846.8136541639</v>
      </c>
      <c r="AK66" s="67">
        <f>_xlfn.LET(_xlpm.fcf,AK61,_xlpm.cash,AJ69,_xlpm.principal,AK65,_xlpm.wc,_xlfn.XLOOKUP(YEAR(AK$25),Base!$BJ$4:$BL$4,Base!$BJ$284:$BL$284,0,0),
IF(_xlpm.fcf&lt;0,MAX(0,_xlpm.wc-(_xlpm.cash+_xlpm.fcf)),-MIN(_xlpm.fcf,_xlpm.principal)+MAX(_xlpm.wc-_xlpm.cash,0)))</f>
        <v>2389304.8247877555</v>
      </c>
      <c r="AL66" s="67">
        <f>_xlfn.LET(_xlpm.fcf,AL61,_xlpm.cash,AK69,_xlpm.principal,AL65,_xlpm.wc,_xlfn.XLOOKUP(YEAR(AL$25),Base!$BJ$4:$BL$4,Base!$BJ$284:$BL$284,0,0),
IF(_xlpm.fcf&lt;0,MAX(0,_xlpm.wc-(_xlpm.cash+_xlpm.fcf)),-MIN(_xlpm.fcf,_xlpm.principal)+MAX(_xlpm.wc-_xlpm.cash,0)))</f>
        <v>2035265.9706710847</v>
      </c>
      <c r="AM66" s="67">
        <f>_xlfn.LET(_xlpm.fcf,AM61,_xlpm.cash,AL69,_xlpm.principal,AM65,_xlpm.wc,_xlfn.XLOOKUP(YEAR(AM$25),Base!$BJ$4:$BL$4,Base!$BJ$284:$BL$284,0,0),
IF(_xlpm.fcf&lt;0,MAX(0,_xlpm.wc-(_xlpm.cash+_xlpm.fcf)),-MIN(_xlpm.fcf,_xlpm.principal)+MAX(_xlpm.wc-_xlpm.cash,0)))</f>
        <v>1808007.8467242271</v>
      </c>
      <c r="AN66" s="67">
        <f>_xlfn.LET(_xlpm.fcf,AN61,_xlpm.cash,AM69,_xlpm.principal,AN65,_xlpm.wc,_xlfn.XLOOKUP(YEAR(AN$25),Base!$BJ$4:$BL$4,Base!$BJ$284:$BL$284,0,0),
IF(_xlpm.fcf&lt;0,MAX(0,_xlpm.wc-(_xlpm.cash+_xlpm.fcf)),-MIN(_xlpm.fcf,_xlpm.principal)+MAX(_xlpm.wc-_xlpm.cash,0)))</f>
        <v>1563773.5497463122</v>
      </c>
      <c r="AP66" s="67">
        <f>AP67-AP65</f>
        <v>26729337.008757535</v>
      </c>
      <c r="AQ66" s="67">
        <f t="shared" ref="AQ66:AR66" si="14">AQ67-AQ65</f>
        <v>21523154.460828084</v>
      </c>
      <c r="AR66" s="67">
        <f t="shared" si="14"/>
        <v>31145808.467661522</v>
      </c>
    </row>
    <row r="67" spans="2:44" x14ac:dyDescent="0.25">
      <c r="B67" s="39" t="s">
        <v>290</v>
      </c>
      <c r="C67" s="12">
        <f>Base!$BJ$281</f>
        <v>4816282.09</v>
      </c>
      <c r="E67" s="74">
        <f>SUM(E65:E66)</f>
        <v>7106260.3343960866</v>
      </c>
      <c r="F67" s="74">
        <f t="shared" ref="F67:AN67" si="15">SUM(F65:F66)</f>
        <v>9354387.9310537279</v>
      </c>
      <c r="G67" s="74">
        <f t="shared" si="15"/>
        <v>11645495.484818418</v>
      </c>
      <c r="H67" s="74">
        <f t="shared" si="15"/>
        <v>13817386.941510338</v>
      </c>
      <c r="I67" s="74">
        <f t="shared" si="15"/>
        <v>16535720.631540539</v>
      </c>
      <c r="J67" s="74">
        <f t="shared" si="15"/>
        <v>19054302.176489189</v>
      </c>
      <c r="K67" s="74">
        <f t="shared" si="15"/>
        <v>21518873.693134069</v>
      </c>
      <c r="L67" s="74">
        <f t="shared" si="15"/>
        <v>23752899.540452536</v>
      </c>
      <c r="M67" s="74">
        <f t="shared" si="15"/>
        <v>26129962.912292749</v>
      </c>
      <c r="N67" s="74">
        <f t="shared" si="15"/>
        <v>28283064.934565544</v>
      </c>
      <c r="O67" s="74">
        <f t="shared" si="15"/>
        <v>30006060.941898063</v>
      </c>
      <c r="P67" s="74">
        <f t="shared" si="15"/>
        <v>31599074.341323718</v>
      </c>
      <c r="Q67" s="74">
        <f t="shared" si="15"/>
        <v>36907993.73597315</v>
      </c>
      <c r="R67" s="74">
        <f t="shared" si="15"/>
        <v>38505906.663158223</v>
      </c>
      <c r="S67" s="74">
        <f t="shared" si="15"/>
        <v>39830154.572851405</v>
      </c>
      <c r="T67" s="74">
        <f t="shared" si="15"/>
        <v>40912187.569333605</v>
      </c>
      <c r="U67" s="74">
        <f t="shared" si="15"/>
        <v>42465927.766699575</v>
      </c>
      <c r="V67" s="74">
        <f t="shared" si="15"/>
        <v>44439084.685369387</v>
      </c>
      <c r="W67" s="74">
        <f t="shared" si="15"/>
        <v>45852607.055181026</v>
      </c>
      <c r="X67" s="74">
        <f t="shared" si="15"/>
        <v>47167943.356107272</v>
      </c>
      <c r="Y67" s="74">
        <f t="shared" si="15"/>
        <v>48828342.297595561</v>
      </c>
      <c r="Z67" s="74">
        <f t="shared" si="15"/>
        <v>50761529.257276967</v>
      </c>
      <c r="AA67" s="74">
        <f t="shared" si="15"/>
        <v>52259660.597516403</v>
      </c>
      <c r="AB67" s="74">
        <f t="shared" si="15"/>
        <v>53359221.859711729</v>
      </c>
      <c r="AC67" s="74">
        <f t="shared" si="15"/>
        <v>58780026.444324203</v>
      </c>
      <c r="AD67" s="74">
        <f t="shared" si="15"/>
        <v>60892083.543066174</v>
      </c>
      <c r="AE67" s="74">
        <f t="shared" si="15"/>
        <v>62859472.826226197</v>
      </c>
      <c r="AF67" s="74">
        <f t="shared" si="15"/>
        <v>64969062.737512261</v>
      </c>
      <c r="AG67" s="74">
        <f t="shared" si="15"/>
        <v>67020648.700441808</v>
      </c>
      <c r="AH67" s="74">
        <f t="shared" si="15"/>
        <v>69397988.631183714</v>
      </c>
      <c r="AI67" s="74">
        <f t="shared" si="15"/>
        <v>72011930.8147562</v>
      </c>
      <c r="AJ67" s="74">
        <f t="shared" si="15"/>
        <v>74742867.109521046</v>
      </c>
      <c r="AK67" s="74">
        <f t="shared" si="15"/>
        <v>77692743.437630206</v>
      </c>
      <c r="AL67" s="74">
        <f t="shared" si="15"/>
        <v>80310704.984083518</v>
      </c>
      <c r="AM67" s="74">
        <f t="shared" si="15"/>
        <v>82721043.118188366</v>
      </c>
      <c r="AN67" s="74">
        <f t="shared" si="15"/>
        <v>84905224.491321087</v>
      </c>
      <c r="AP67" s="13" cm="1">
        <f t="array" ref="AP67">SUM(_xlfn._xlws.FILTER($E67:$AN67,$E$25:$AN$25=DATE(AP$25,12,1),0))</f>
        <v>31599074.341323718</v>
      </c>
      <c r="AQ67" s="13" cm="1">
        <f t="array" ref="AQ67">SUM(_xlfn._xlws.FILTER($E67:$AN67,$E$25:$AN$25=DATE(AQ$25,12,1),0))</f>
        <v>53359221.859711729</v>
      </c>
      <c r="AR67" s="13" cm="1">
        <f t="array" ref="AR67">SUM(_xlfn._xlws.FILTER($E67:$AN67,$E$25:$AN$25=DATE(AR$25,12,1),0))</f>
        <v>84905224.491321087</v>
      </c>
    </row>
    <row r="68" spans="2:44" x14ac:dyDescent="0.25">
      <c r="B68" s="39"/>
      <c r="C68" s="12"/>
      <c r="E68" s="67"/>
      <c r="F68" s="67"/>
      <c r="G68" s="67"/>
      <c r="H68" s="67"/>
      <c r="I68" s="67"/>
      <c r="J68" s="67"/>
      <c r="K68" s="67"/>
      <c r="L68" s="67"/>
      <c r="M68" s="67"/>
      <c r="N68" s="67"/>
      <c r="O68" s="67"/>
      <c r="P68" s="67"/>
      <c r="Q68" s="67"/>
      <c r="R68" s="67"/>
      <c r="S68" s="67"/>
      <c r="T68" s="67"/>
      <c r="U68" s="67"/>
      <c r="V68" s="67"/>
      <c r="W68" s="67"/>
      <c r="X68" s="67"/>
      <c r="Y68" s="67"/>
      <c r="Z68" s="67"/>
      <c r="AA68" s="67"/>
      <c r="AB68" s="67"/>
      <c r="AC68" s="67"/>
      <c r="AD68" s="67"/>
      <c r="AE68" s="67"/>
      <c r="AF68" s="67"/>
      <c r="AG68" s="67"/>
      <c r="AH68" s="67"/>
      <c r="AI68" s="67"/>
      <c r="AJ68" s="67"/>
      <c r="AK68" s="67"/>
      <c r="AL68" s="67"/>
      <c r="AM68" s="67"/>
      <c r="AN68" s="67"/>
      <c r="AP68" s="67"/>
      <c r="AQ68" s="67"/>
      <c r="AR68" s="67"/>
    </row>
    <row r="69" spans="2:44" x14ac:dyDescent="0.25">
      <c r="B69" s="39" t="s">
        <v>291</v>
      </c>
      <c r="C69" s="12">
        <f>Base!$BJ$283</f>
        <v>3200000</v>
      </c>
      <c r="D69" s="12"/>
      <c r="E69" s="145">
        <f>C69+E61+E66</f>
        <v>3400000</v>
      </c>
      <c r="F69" s="145">
        <f t="shared" ref="F69:AN69" si="16">E69+F61+F66</f>
        <v>3400000</v>
      </c>
      <c r="G69" s="145">
        <f t="shared" si="16"/>
        <v>3400000</v>
      </c>
      <c r="H69" s="145">
        <f t="shared" si="16"/>
        <v>3400000</v>
      </c>
      <c r="I69" s="145">
        <f t="shared" si="16"/>
        <v>3400000</v>
      </c>
      <c r="J69" s="145">
        <f t="shared" si="16"/>
        <v>3400000</v>
      </c>
      <c r="K69" s="145">
        <f t="shared" si="16"/>
        <v>3400000</v>
      </c>
      <c r="L69" s="145">
        <f t="shared" si="16"/>
        <v>3400000</v>
      </c>
      <c r="M69" s="145">
        <f t="shared" si="16"/>
        <v>3400000</v>
      </c>
      <c r="N69" s="145">
        <f t="shared" si="16"/>
        <v>3400000</v>
      </c>
      <c r="O69" s="145">
        <f t="shared" si="16"/>
        <v>3400000</v>
      </c>
      <c r="P69" s="145">
        <f t="shared" si="16"/>
        <v>3400000</v>
      </c>
      <c r="Q69" s="145">
        <f t="shared" si="16"/>
        <v>6800000</v>
      </c>
      <c r="R69" s="145">
        <f t="shared" si="16"/>
        <v>6800000</v>
      </c>
      <c r="S69" s="145">
        <f t="shared" si="16"/>
        <v>6800000</v>
      </c>
      <c r="T69" s="145">
        <f t="shared" si="16"/>
        <v>6800000</v>
      </c>
      <c r="U69" s="145">
        <f t="shared" si="16"/>
        <v>6800000</v>
      </c>
      <c r="V69" s="145">
        <f t="shared" si="16"/>
        <v>6800000</v>
      </c>
      <c r="W69" s="145">
        <f t="shared" si="16"/>
        <v>6800000</v>
      </c>
      <c r="X69" s="145">
        <f t="shared" si="16"/>
        <v>6800000</v>
      </c>
      <c r="Y69" s="145">
        <f t="shared" si="16"/>
        <v>6800000</v>
      </c>
      <c r="Z69" s="145">
        <f t="shared" si="16"/>
        <v>6800000</v>
      </c>
      <c r="AA69" s="145">
        <f t="shared" si="16"/>
        <v>6800000</v>
      </c>
      <c r="AB69" s="145">
        <f t="shared" si="16"/>
        <v>6800000</v>
      </c>
      <c r="AC69" s="145">
        <f t="shared" si="16"/>
        <v>10200000</v>
      </c>
      <c r="AD69" s="145">
        <f t="shared" si="16"/>
        <v>10200000</v>
      </c>
      <c r="AE69" s="145">
        <f t="shared" si="16"/>
        <v>10200000</v>
      </c>
      <c r="AF69" s="145">
        <f t="shared" si="16"/>
        <v>10200000</v>
      </c>
      <c r="AG69" s="145">
        <f t="shared" si="16"/>
        <v>10200000</v>
      </c>
      <c r="AH69" s="145">
        <f t="shared" si="16"/>
        <v>10200000</v>
      </c>
      <c r="AI69" s="145">
        <f t="shared" si="16"/>
        <v>10200000</v>
      </c>
      <c r="AJ69" s="145">
        <f t="shared" si="16"/>
        <v>10200000</v>
      </c>
      <c r="AK69" s="145">
        <f t="shared" si="16"/>
        <v>10200000</v>
      </c>
      <c r="AL69" s="145">
        <f t="shared" si="16"/>
        <v>10200000</v>
      </c>
      <c r="AM69" s="145">
        <f t="shared" si="16"/>
        <v>10200000</v>
      </c>
      <c r="AN69" s="145">
        <f t="shared" si="16"/>
        <v>10200000</v>
      </c>
      <c r="AP69" s="12" cm="1">
        <f t="array" ref="AP69">SUM(_xlfn._xlws.FILTER($E69:$AN69,$E$25:$AN$25=DATE(AP$25,12,1),0))</f>
        <v>3400000</v>
      </c>
      <c r="AQ69" s="12" cm="1">
        <f t="array" ref="AQ69">SUM(_xlfn._xlws.FILTER($E69:$AN69,$E$25:$AN$25=DATE(AQ$25,12,1),0))</f>
        <v>6800000</v>
      </c>
      <c r="AR69" s="12" cm="1">
        <f t="array" ref="AR69">SUM(_xlfn._xlws.FILTER($E69:$AN69,$E$25:$AN$25=DATE(AR$25,12,1),0))</f>
        <v>10200000</v>
      </c>
    </row>
    <row r="70" spans="2:44" x14ac:dyDescent="0.25">
      <c r="B70" s="39" t="s">
        <v>292</v>
      </c>
      <c r="E70" s="74">
        <f t="shared" ref="E70:AN70" si="17">E61+E66</f>
        <v>200000</v>
      </c>
      <c r="F70" s="74">
        <f t="shared" si="17"/>
        <v>0</v>
      </c>
      <c r="G70" s="74">
        <f t="shared" si="17"/>
        <v>0</v>
      </c>
      <c r="H70" s="74">
        <f t="shared" si="17"/>
        <v>0</v>
      </c>
      <c r="I70" s="74">
        <f t="shared" si="17"/>
        <v>0</v>
      </c>
      <c r="J70" s="74">
        <f t="shared" si="17"/>
        <v>0</v>
      </c>
      <c r="K70" s="74">
        <f t="shared" si="17"/>
        <v>0</v>
      </c>
      <c r="L70" s="74">
        <f t="shared" si="17"/>
        <v>0</v>
      </c>
      <c r="M70" s="74">
        <f t="shared" si="17"/>
        <v>0</v>
      </c>
      <c r="N70" s="74">
        <f t="shared" si="17"/>
        <v>0</v>
      </c>
      <c r="O70" s="74">
        <f t="shared" si="17"/>
        <v>0</v>
      </c>
      <c r="P70" s="74">
        <f t="shared" si="17"/>
        <v>0</v>
      </c>
      <c r="Q70" s="74">
        <f t="shared" si="17"/>
        <v>3400000</v>
      </c>
      <c r="R70" s="74">
        <f t="shared" si="17"/>
        <v>0</v>
      </c>
      <c r="S70" s="74">
        <f t="shared" si="17"/>
        <v>0</v>
      </c>
      <c r="T70" s="74">
        <f t="shared" si="17"/>
        <v>0</v>
      </c>
      <c r="U70" s="74">
        <f t="shared" si="17"/>
        <v>0</v>
      </c>
      <c r="V70" s="74">
        <f t="shared" si="17"/>
        <v>0</v>
      </c>
      <c r="W70" s="74">
        <f t="shared" si="17"/>
        <v>0</v>
      </c>
      <c r="X70" s="74">
        <f t="shared" si="17"/>
        <v>0</v>
      </c>
      <c r="Y70" s="74">
        <f t="shared" si="17"/>
        <v>0</v>
      </c>
      <c r="Z70" s="74">
        <f t="shared" si="17"/>
        <v>0</v>
      </c>
      <c r="AA70" s="74">
        <f t="shared" si="17"/>
        <v>0</v>
      </c>
      <c r="AB70" s="74">
        <f t="shared" si="17"/>
        <v>0</v>
      </c>
      <c r="AC70" s="74">
        <f t="shared" si="17"/>
        <v>3400000</v>
      </c>
      <c r="AD70" s="74">
        <f t="shared" si="17"/>
        <v>0</v>
      </c>
      <c r="AE70" s="74">
        <f t="shared" si="17"/>
        <v>0</v>
      </c>
      <c r="AF70" s="74">
        <f t="shared" si="17"/>
        <v>0</v>
      </c>
      <c r="AG70" s="74">
        <f t="shared" si="17"/>
        <v>0</v>
      </c>
      <c r="AH70" s="74">
        <f t="shared" si="17"/>
        <v>0</v>
      </c>
      <c r="AI70" s="74">
        <f t="shared" si="17"/>
        <v>0</v>
      </c>
      <c r="AJ70" s="74">
        <f t="shared" si="17"/>
        <v>0</v>
      </c>
      <c r="AK70" s="74">
        <f t="shared" si="17"/>
        <v>0</v>
      </c>
      <c r="AL70" s="74">
        <f t="shared" si="17"/>
        <v>0</v>
      </c>
      <c r="AM70" s="74">
        <f t="shared" si="17"/>
        <v>0</v>
      </c>
      <c r="AN70" s="74">
        <f t="shared" si="17"/>
        <v>0</v>
      </c>
      <c r="AP70" s="13" cm="1">
        <f t="array" ref="AP70">SUM(_xlfn._xlws.FILTER($E70:$AN70,YEAR($E$25:$AN$25)=AP$25,0))</f>
        <v>200000</v>
      </c>
      <c r="AQ70" s="13" cm="1">
        <f t="array" ref="AQ70">SUM(_xlfn._xlws.FILTER($E70:$AN70,YEAR($E$25:$AN$25)=AQ$25,0))</f>
        <v>3400000</v>
      </c>
      <c r="AR70" s="13" cm="1">
        <f t="array" ref="AR70">SUM(_xlfn._xlws.FILTER($E70:$AN70,YEAR($E$25:$AN$25)=AR$25,0))</f>
        <v>3400000</v>
      </c>
    </row>
    <row r="71" spans="2:44" x14ac:dyDescent="0.25">
      <c r="Z71" s="67"/>
      <c r="AN71" s="67"/>
      <c r="AP71" s="67"/>
      <c r="AQ71" s="67"/>
      <c r="AR71" s="67"/>
    </row>
    <row r="72" spans="2:44" x14ac:dyDescent="0.25">
      <c r="E72" s="95" t="s">
        <v>462</v>
      </c>
      <c r="AN72" s="67"/>
      <c r="AP72" s="67"/>
      <c r="AQ72" s="67"/>
      <c r="AR72" s="67"/>
    </row>
    <row r="73" spans="2:44" x14ac:dyDescent="0.25">
      <c r="AN73" s="67"/>
      <c r="AP73" s="67"/>
      <c r="AQ73" s="67"/>
      <c r="AR73" s="67"/>
    </row>
  </sheetData>
  <printOptions horizontalCentered="1" verticalCentered="1"/>
  <pageMargins left="0" right="0" top="0" bottom="0" header="0" footer="0"/>
  <pageSetup paperSize="3" scale="90" fitToWidth="0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FD773-8D07-418C-BF49-296098674FAE}">
  <sheetPr>
    <tabColor theme="9" tint="0.79998168889431442"/>
  </sheetPr>
  <dimension ref="A1:AN78"/>
  <sheetViews>
    <sheetView workbookViewId="0">
      <pane xSplit="4" ySplit="25" topLeftCell="E47" activePane="bottomRight" state="frozen"/>
      <selection pane="topRight" activeCell="E1" sqref="E1"/>
      <selection pane="bottomLeft" activeCell="A26" sqref="A26"/>
      <selection pane="bottomRight" activeCell="B59" sqref="B59"/>
    </sheetView>
  </sheetViews>
  <sheetFormatPr defaultRowHeight="15" outlineLevelRow="1" outlineLevelCol="1" x14ac:dyDescent="0.25"/>
  <cols>
    <col min="2" max="2" width="24.5703125" bestFit="1" customWidth="1"/>
    <col min="3" max="3" width="13.42578125" bestFit="1" customWidth="1"/>
    <col min="4" max="4" width="12.5703125" bestFit="1" customWidth="1"/>
    <col min="5" max="16" width="14.28515625" customWidth="1"/>
    <col min="17" max="40" width="14.28515625" customWidth="1" outlineLevel="1"/>
  </cols>
  <sheetData>
    <row r="1" spans="1:40" x14ac:dyDescent="0.25">
      <c r="A1" s="82"/>
      <c r="B1" s="3"/>
      <c r="C1" s="3"/>
      <c r="D1" s="55" t="s">
        <v>307</v>
      </c>
      <c r="E1" s="164" cm="1">
        <f t="array" ref="E1">_xlfn.LET(_xlpm.data,_xlfn.VSTACK('MS:NCA9'!E1),_xlpm.states,_xlfn.VSTACK('MS:NCA9'!$B$2),
SUM(_xlfn._xlws.FILTER(_xlpm.data,(_xlpm.states="new jersey")+(_xlpm.states="m&amp;a"))))</f>
        <v>132</v>
      </c>
      <c r="F1" s="164" cm="1">
        <f t="array" ref="F1">_xlfn.LET(_xlpm.data,_xlfn.VSTACK('MS:NCA9'!F1),_xlpm.states,_xlfn.VSTACK('MS:NCA9'!$B$2),
SUM(_xlfn._xlws.FILTER(_xlpm.data,(_xlpm.states="new jersey")+(_xlpm.states="m&amp;a"))))</f>
        <v>214</v>
      </c>
      <c r="G1" s="164" cm="1">
        <f t="array" ref="G1">_xlfn.LET(_xlpm.data,_xlfn.VSTACK('MS:NCA9'!G1),_xlpm.states,_xlfn.VSTACK('MS:NCA9'!$B$2),
SUM(_xlfn._xlws.FILTER(_xlpm.data,(_xlpm.states="new jersey")+(_xlpm.states="m&amp;a"))))</f>
        <v>302</v>
      </c>
      <c r="H1" s="164" cm="1">
        <f t="array" ref="H1">_xlfn.LET(_xlpm.data,_xlfn.VSTACK('MS:NCA9'!H1),_xlpm.states,_xlfn.VSTACK('MS:NCA9'!$B$2),
SUM(_xlfn._xlws.FILTER(_xlpm.data,(_xlpm.states="new jersey")+(_xlpm.states="m&amp;a"))))</f>
        <v>395</v>
      </c>
      <c r="I1" s="164" cm="1">
        <f t="array" ref="I1">_xlfn.LET(_xlpm.data,_xlfn.VSTACK('MS:NCA9'!I1),_xlpm.states,_xlfn.VSTACK('MS:NCA9'!$B$2),
SUM(_xlfn._xlws.FILTER(_xlpm.data,(_xlpm.states="new jersey")+(_xlpm.states="m&amp;a"))))</f>
        <v>483</v>
      </c>
      <c r="J1" s="164" cm="1">
        <f t="array" ref="J1">_xlfn.LET(_xlpm.data,_xlfn.VSTACK('MS:NCA9'!J1),_xlpm.states,_xlfn.VSTACK('MS:NCA9'!$B$2),
SUM(_xlfn._xlws.FILTER(_xlpm.data,(_xlpm.states="new jersey")+(_xlpm.states="m&amp;a"))))</f>
        <v>573</v>
      </c>
      <c r="K1" s="164" cm="1">
        <f t="array" ref="K1">_xlfn.LET(_xlpm.data,_xlfn.VSTACK('MS:NCA9'!K1),_xlpm.states,_xlfn.VSTACK('MS:NCA9'!$B$2),
SUM(_xlfn._xlws.FILTER(_xlpm.data,(_xlpm.states="new jersey")+(_xlpm.states="m&amp;a"))))</f>
        <v>598</v>
      </c>
      <c r="L1" s="164" cm="1">
        <f t="array" ref="L1">_xlfn.LET(_xlpm.data,_xlfn.VSTACK('MS:NCA9'!L1),_xlpm.states,_xlfn.VSTACK('MS:NCA9'!$B$2),
SUM(_xlfn._xlws.FILTER(_xlpm.data,(_xlpm.states="new jersey")+(_xlpm.states="m&amp;a"))))</f>
        <v>623</v>
      </c>
      <c r="M1" s="164" cm="1">
        <f t="array" ref="M1">_xlfn.LET(_xlpm.data,_xlfn.VSTACK('MS:NCA9'!M1),_xlpm.states,_xlfn.VSTACK('MS:NCA9'!$B$2),
SUM(_xlfn._xlws.FILTER(_xlpm.data,(_xlpm.states="new jersey")+(_xlpm.states="m&amp;a"))))</f>
        <v>652</v>
      </c>
      <c r="N1" s="164" cm="1">
        <f t="array" ref="N1">_xlfn.LET(_xlpm.data,_xlfn.VSTACK('MS:NCA9'!N1),_xlpm.states,_xlfn.VSTACK('MS:NCA9'!$B$2),
SUM(_xlfn._xlws.FILTER(_xlpm.data,(_xlpm.states="new jersey")+(_xlpm.states="m&amp;a"))))</f>
        <v>704</v>
      </c>
      <c r="O1" s="164" cm="1">
        <f t="array" ref="O1">_xlfn.LET(_xlpm.data,_xlfn.VSTACK('MS:NCA9'!O1),_xlpm.states,_xlfn.VSTACK('MS:NCA9'!$B$2),
SUM(_xlfn._xlws.FILTER(_xlpm.data,(_xlpm.states="new jersey")+(_xlpm.states="m&amp;a"))))</f>
        <v>761</v>
      </c>
      <c r="P1" s="164" cm="1">
        <f t="array" ref="P1">_xlfn.LET(_xlpm.data,_xlfn.VSTACK('MS:NCA9'!P1),_xlpm.states,_xlfn.VSTACK('MS:NCA9'!$B$2),
SUM(_xlfn._xlws.FILTER(_xlpm.data,(_xlpm.states="new jersey")+(_xlpm.states="m&amp;a"))))</f>
        <v>818</v>
      </c>
      <c r="Q1" s="164" cm="1">
        <f t="array" ref="Q1">_xlfn.LET(_xlpm.data,_xlfn.VSTACK('MS:NCA9'!Q1),_xlpm.states,_xlfn.VSTACK('MS:NCA9'!$B$2),
SUM(_xlfn._xlws.FILTER(_xlpm.data,(_xlpm.states="new jersey")+(_xlpm.states="m&amp;a"))))</f>
        <v>897</v>
      </c>
      <c r="R1" s="164" cm="1">
        <f t="array" ref="R1">_xlfn.LET(_xlpm.data,_xlfn.VSTACK('MS:NCA9'!R1),_xlpm.states,_xlfn.VSTACK('MS:NCA9'!$B$2),
SUM(_xlfn._xlws.FILTER(_xlpm.data,(_xlpm.states="new jersey")+(_xlpm.states="m&amp;a"))))</f>
        <v>971</v>
      </c>
      <c r="S1" s="164" cm="1">
        <f t="array" ref="S1">_xlfn.LET(_xlpm.data,_xlfn.VSTACK('MS:NCA9'!S1),_xlpm.states,_xlfn.VSTACK('MS:NCA9'!$B$2),
SUM(_xlfn._xlws.FILTER(_xlpm.data,(_xlpm.states="new jersey")+(_xlpm.states="m&amp;a"))))</f>
        <v>1050</v>
      </c>
      <c r="T1" s="164" cm="1">
        <f t="array" ref="T1">_xlfn.LET(_xlpm.data,_xlfn.VSTACK('MS:NCA9'!T1),_xlpm.states,_xlfn.VSTACK('MS:NCA9'!$B$2),
SUM(_xlfn._xlws.FILTER(_xlpm.data,(_xlpm.states="new jersey")+(_xlpm.states="m&amp;a"))))</f>
        <v>1112</v>
      </c>
      <c r="U1" s="164" cm="1">
        <f t="array" ref="U1">_xlfn.LET(_xlpm.data,_xlfn.VSTACK('MS:NCA9'!U1),_xlpm.states,_xlfn.VSTACK('MS:NCA9'!$B$2),
SUM(_xlfn._xlws.FILTER(_xlpm.data,(_xlpm.states="new jersey")+(_xlpm.states="m&amp;a"))))</f>
        <v>1167</v>
      </c>
      <c r="V1" s="164" cm="1">
        <f t="array" ref="V1">_xlfn.LET(_xlpm.data,_xlfn.VSTACK('MS:NCA9'!V1),_xlpm.states,_xlfn.VSTACK('MS:NCA9'!$B$2),
SUM(_xlfn._xlws.FILTER(_xlpm.data,(_xlpm.states="new jersey")+(_xlpm.states="m&amp;a"))))</f>
        <v>1219</v>
      </c>
      <c r="W1" s="164" cm="1">
        <f t="array" ref="W1">_xlfn.LET(_xlpm.data,_xlfn.VSTACK('MS:NCA9'!W1),_xlpm.states,_xlfn.VSTACK('MS:NCA9'!$B$2),
SUM(_xlfn._xlws.FILTER(_xlpm.data,(_xlpm.states="new jersey")+(_xlpm.states="m&amp;a"))))</f>
        <v>1257</v>
      </c>
      <c r="X1" s="164" cm="1">
        <f t="array" ref="X1">_xlfn.LET(_xlpm.data,_xlfn.VSTACK('MS:NCA9'!X1),_xlpm.states,_xlfn.VSTACK('MS:NCA9'!$B$2),
SUM(_xlfn._xlws.FILTER(_xlpm.data,(_xlpm.states="new jersey")+(_xlpm.states="m&amp;a"))))</f>
        <v>1298</v>
      </c>
      <c r="Y1" s="164" cm="1">
        <f t="array" ref="Y1">_xlfn.LET(_xlpm.data,_xlfn.VSTACK('MS:NCA9'!Y1),_xlpm.states,_xlfn.VSTACK('MS:NCA9'!$B$2),
SUM(_xlfn._xlws.FILTER(_xlpm.data,(_xlpm.states="new jersey")+(_xlpm.states="m&amp;a"))))</f>
        <v>1332</v>
      </c>
      <c r="Z1" s="164" cm="1">
        <f t="array" ref="Z1">_xlfn.LET(_xlpm.data,_xlfn.VSTACK('MS:NCA9'!Z1),_xlpm.states,_xlfn.VSTACK('MS:NCA9'!$B$2),
SUM(_xlfn._xlws.FILTER(_xlpm.data,(_xlpm.states="new jersey")+(_xlpm.states="m&amp;a"))))</f>
        <v>1372</v>
      </c>
      <c r="AA1" s="164" cm="1">
        <f t="array" ref="AA1">_xlfn.LET(_xlpm.data,_xlfn.VSTACK('MS:NCA9'!AA1),_xlpm.states,_xlfn.VSTACK('MS:NCA9'!$B$2),
SUM(_xlfn._xlws.FILTER(_xlpm.data,(_xlpm.states="new jersey")+(_xlpm.states="m&amp;a"))))</f>
        <v>1412</v>
      </c>
      <c r="AB1" s="164" cm="1">
        <f t="array" ref="AB1">_xlfn.LET(_xlpm.data,_xlfn.VSTACK('MS:NCA9'!AB1),_xlpm.states,_xlfn.VSTACK('MS:NCA9'!$B$2),
SUM(_xlfn._xlws.FILTER(_xlpm.data,(_xlpm.states="new jersey")+(_xlpm.states="m&amp;a"))))</f>
        <v>1452</v>
      </c>
      <c r="AC1" s="164" cm="1">
        <f t="array" ref="AC1">_xlfn.LET(_xlpm.data,_xlfn.VSTACK('MS:NCA9'!AC1),_xlpm.states,_xlfn.VSTACK('MS:NCA9'!$B$2),
SUM(_xlfn._xlws.FILTER(_xlpm.data,(_xlpm.states="new jersey")+(_xlpm.states="m&amp;a"))))</f>
        <v>1509</v>
      </c>
      <c r="AD1" s="164" cm="1">
        <f t="array" ref="AD1">_xlfn.LET(_xlpm.data,_xlfn.VSTACK('MS:NCA9'!AD1),_xlpm.states,_xlfn.VSTACK('MS:NCA9'!$B$2),
SUM(_xlfn._xlws.FILTER(_xlpm.data,(_xlpm.states="new jersey")+(_xlpm.states="m&amp;a"))))</f>
        <v>1563</v>
      </c>
      <c r="AE1" s="164" cm="1">
        <f t="array" ref="AE1">_xlfn.LET(_xlpm.data,_xlfn.VSTACK('MS:NCA9'!AE1),_xlpm.states,_xlfn.VSTACK('MS:NCA9'!$B$2),
SUM(_xlfn._xlws.FILTER(_xlpm.data,(_xlpm.states="new jersey")+(_xlpm.states="m&amp;a"))))</f>
        <v>1619</v>
      </c>
      <c r="AF1" s="164" cm="1">
        <f t="array" ref="AF1">_xlfn.LET(_xlpm.data,_xlfn.VSTACK('MS:NCA9'!AF1),_xlpm.states,_xlfn.VSTACK('MS:NCA9'!$B$2),
SUM(_xlfn._xlws.FILTER(_xlpm.data,(_xlpm.states="new jersey")+(_xlpm.states="m&amp;a"))))</f>
        <v>1672</v>
      </c>
      <c r="AG1" s="164" cm="1">
        <f t="array" ref="AG1">_xlfn.LET(_xlpm.data,_xlfn.VSTACK('MS:NCA9'!AG1),_xlpm.states,_xlfn.VSTACK('MS:NCA9'!$B$2),
SUM(_xlfn._xlws.FILTER(_xlpm.data,(_xlpm.states="new jersey")+(_xlpm.states="m&amp;a"))))</f>
        <v>1722</v>
      </c>
      <c r="AH1" s="164" cm="1">
        <f t="array" ref="AH1">_xlfn.LET(_xlpm.data,_xlfn.VSTACK('MS:NCA9'!AH1),_xlpm.states,_xlfn.VSTACK('MS:NCA9'!$B$2),
SUM(_xlfn._xlws.FILTER(_xlpm.data,(_xlpm.states="new jersey")+(_xlpm.states="m&amp;a"))))</f>
        <v>1775</v>
      </c>
      <c r="AI1" s="164" cm="1">
        <f t="array" ref="AI1">_xlfn.LET(_xlpm.data,_xlfn.VSTACK('MS:NCA9'!AI1),_xlpm.states,_xlfn.VSTACK('MS:NCA9'!$B$2),
SUM(_xlfn._xlws.FILTER(_xlpm.data,(_xlpm.states="new jersey")+(_xlpm.states="m&amp;a"))))</f>
        <v>1813</v>
      </c>
      <c r="AJ1" s="164" cm="1">
        <f t="array" ref="AJ1">_xlfn.LET(_xlpm.data,_xlfn.VSTACK('MS:NCA9'!AJ1),_xlpm.states,_xlfn.VSTACK('MS:NCA9'!$B$2),
SUM(_xlfn._xlws.FILTER(_xlpm.data,(_xlpm.states="new jersey")+(_xlpm.states="m&amp;a"))))</f>
        <v>1854</v>
      </c>
      <c r="AK1" s="164" cm="1">
        <f t="array" ref="AK1">_xlfn.LET(_xlpm.data,_xlfn.VSTACK('MS:NCA9'!AK1),_xlpm.states,_xlfn.VSTACK('MS:NCA9'!$B$2),
SUM(_xlfn._xlws.FILTER(_xlpm.data,(_xlpm.states="new jersey")+(_xlpm.states="m&amp;a"))))</f>
        <v>1894</v>
      </c>
      <c r="AL1" s="164" cm="1">
        <f t="array" ref="AL1">_xlfn.LET(_xlpm.data,_xlfn.VSTACK('MS:NCA9'!AL1),_xlpm.states,_xlfn.VSTACK('MS:NCA9'!$B$2),
SUM(_xlfn._xlws.FILTER(_xlpm.data,(_xlpm.states="new jersey")+(_xlpm.states="m&amp;a"))))</f>
        <v>1936</v>
      </c>
      <c r="AM1" s="164" cm="1">
        <f t="array" ref="AM1">_xlfn.LET(_xlpm.data,_xlfn.VSTACK('MS:NCA9'!AM1),_xlpm.states,_xlfn.VSTACK('MS:NCA9'!$B$2),
SUM(_xlfn._xlws.FILTER(_xlpm.data,(_xlpm.states="new jersey")+(_xlpm.states="m&amp;a"))))</f>
        <v>1977</v>
      </c>
      <c r="AN1" s="164" cm="1">
        <f t="array" ref="AN1">_xlfn.LET(_xlpm.data,_xlfn.VSTACK('MS:NCA9'!AN1),_xlpm.states,_xlfn.VSTACK('MS:NCA9'!$B$2),
SUM(_xlfn._xlws.FILTER(_xlpm.data,(_xlpm.states="new jersey")+(_xlpm.states="m&amp;a"))))</f>
        <v>2014</v>
      </c>
    </row>
    <row r="2" spans="1:40" hidden="1" outlineLevel="1" x14ac:dyDescent="0.25">
      <c r="B2" s="1" t="s">
        <v>269</v>
      </c>
      <c r="C2" s="3"/>
      <c r="D2" s="3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</row>
    <row r="3" spans="1:40" hidden="1" outlineLevel="1" x14ac:dyDescent="0.25">
      <c r="B3" s="39" t="s">
        <v>257</v>
      </c>
      <c r="C3" s="3"/>
      <c r="D3" s="3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69"/>
      <c r="AF3" s="69"/>
      <c r="AG3" s="69"/>
      <c r="AH3" s="69"/>
      <c r="AI3" s="69"/>
      <c r="AJ3" s="69"/>
      <c r="AK3" s="69"/>
      <c r="AL3" s="69"/>
      <c r="AM3" s="69"/>
      <c r="AN3" s="69"/>
    </row>
    <row r="4" spans="1:40" hidden="1" outlineLevel="1" x14ac:dyDescent="0.25">
      <c r="B4" s="39" t="s">
        <v>295</v>
      </c>
      <c r="C4" s="3"/>
      <c r="D4" s="3"/>
      <c r="E4" s="164" cm="1">
        <f t="array" ref="E4">_xlfn.LET(_xlpm.data,_xlfn.VSTACK('MDA1:NCA9'!E21),_xlpm.states,_xlfn.VSTACK('MDA1:NCA9'!$B$2),
SUM(_xlfn._xlws.FILTER(_xlpm.data,(_xlpm.states="new jersey")+(_xlpm.states="m&amp;a"))))</f>
        <v>58</v>
      </c>
      <c r="F4" s="164" cm="1">
        <f t="array" ref="F4">_xlfn.LET(_xlpm.data,_xlfn.VSTACK('MDA1:NCA9'!F21),_xlpm.states,_xlfn.VSTACK('MDA1:NCA9'!$B$2),
SUM(_xlfn._xlws.FILTER(_xlpm.data,(_xlpm.states="new jersey")+(_xlpm.states="M&amp;A"))))</f>
        <v>69</v>
      </c>
      <c r="G4" s="164" cm="1">
        <f t="array" ref="G4">_xlfn.LET(_xlpm.data,_xlfn.VSTACK('MDA1:NCA9'!G21),_xlpm.states,_xlfn.VSTACK('MDA1:NCA9'!$B$2),
SUM(_xlfn._xlws.FILTER(_xlpm.data,(_xlpm.states="new jersey")+(_xlpm.states="M&amp;A"))))</f>
        <v>85</v>
      </c>
      <c r="H4" s="164" cm="1">
        <f t="array" ref="H4">_xlfn.LET(_xlpm.data,_xlfn.VSTACK('MDA1:NCA9'!H21),_xlpm.states,_xlfn.VSTACK('MDA1:NCA9'!$B$2),
SUM(_xlfn._xlws.FILTER(_xlpm.data,(_xlpm.states="new jersey")+(_xlpm.states="M&amp;A"))))</f>
        <v>109</v>
      </c>
      <c r="I4" s="164" cm="1">
        <f t="array" ref="I4">_xlfn.LET(_xlpm.data,_xlfn.VSTACK('MDA1:NCA9'!I21),_xlpm.states,_xlfn.VSTACK('MDA1:NCA9'!$B$2),
SUM(_xlfn._xlws.FILTER(_xlpm.data,(_xlpm.states="new jersey")+(_xlpm.states="M&amp;A"))))</f>
        <v>129</v>
      </c>
      <c r="J4" s="164" cm="1">
        <f t="array" ref="J4">_xlfn.LET(_xlpm.data,_xlfn.VSTACK('MDA1:NCA9'!J21),_xlpm.states,_xlfn.VSTACK('MDA1:NCA9'!$B$2),
SUM(_xlfn._xlws.FILTER(_xlpm.data,(_xlpm.states="new jersey")+(_xlpm.states="M&amp;A"))))</f>
        <v>146</v>
      </c>
      <c r="K4" s="164" cm="1">
        <f t="array" ref="K4">_xlfn.LET(_xlpm.data,_xlfn.VSTACK('MDA1:NCA9'!K21),_xlpm.states,_xlfn.VSTACK('MDA1:NCA9'!$B$2),
SUM(_xlfn._xlws.FILTER(_xlpm.data,(_xlpm.states="new jersey")+(_xlpm.states="M&amp;A"))))</f>
        <v>165</v>
      </c>
      <c r="L4" s="164" cm="1">
        <f t="array" ref="L4">_xlfn.LET(_xlpm.data,_xlfn.VSTACK('MDA1:NCA9'!L21),_xlpm.states,_xlfn.VSTACK('MDA1:NCA9'!$B$2),
SUM(_xlfn._xlws.FILTER(_xlpm.data,(_xlpm.states="new jersey")+(_xlpm.states="M&amp;A"))))</f>
        <v>187</v>
      </c>
      <c r="M4" s="164" cm="1">
        <f t="array" ref="M4">_xlfn.LET(_xlpm.data,_xlfn.VSTACK('MDA1:NCA9'!M21),_xlpm.states,_xlfn.VSTACK('MDA1:NCA9'!$B$2),
SUM(_xlfn._xlws.FILTER(_xlpm.data,(_xlpm.states="new jersey")+(_xlpm.states="M&amp;A"))))</f>
        <v>213</v>
      </c>
      <c r="N4" s="164" cm="1">
        <f t="array" ref="N4">_xlfn.LET(_xlpm.data,_xlfn.VSTACK('MDA1:NCA9'!N21),_xlpm.states,_xlfn.VSTACK('MDA1:NCA9'!$B$2),
SUM(_xlfn._xlws.FILTER(_xlpm.data,(_xlpm.states="new jersey")+(_xlpm.states="M&amp;A"))))</f>
        <v>238</v>
      </c>
      <c r="O4" s="164" cm="1">
        <f t="array" ref="O4">_xlfn.LET(_xlpm.data,_xlfn.VSTACK('MDA1:NCA9'!O21),_xlpm.states,_xlfn.VSTACK('MDA1:NCA9'!$B$2),
SUM(_xlfn._xlws.FILTER(_xlpm.data,(_xlpm.states="new jersey")+(_xlpm.states="M&amp;A"))))</f>
        <v>267</v>
      </c>
      <c r="P4" s="164" cm="1">
        <f t="array" ref="P4">_xlfn.LET(_xlpm.data,_xlfn.VSTACK('MDA1:NCA9'!P21),_xlpm.states,_xlfn.VSTACK('MDA1:NCA9'!$B$2),
SUM(_xlfn._xlws.FILTER(_xlpm.data,(_xlpm.states="new jersey")+(_xlpm.states="M&amp;A"))))</f>
        <v>298</v>
      </c>
      <c r="Q4" s="164" cm="1">
        <f t="array" ref="Q4">_xlfn.LET(_xlpm.data,_xlfn.VSTACK('MDA1:NCA9'!Q21),_xlpm.states,_xlfn.VSTACK('MDA1:NCA9'!$B$2),
SUM(_xlfn._xlws.FILTER(_xlpm.data,(_xlpm.states="new jersey")+(_xlpm.states="M&amp;A"))))</f>
        <v>328</v>
      </c>
      <c r="R4" s="164" cm="1">
        <f t="array" ref="R4">_xlfn.LET(_xlpm.data,_xlfn.VSTACK('MDA1:NCA9'!R21),_xlpm.states,_xlfn.VSTACK('MDA1:NCA9'!$B$2),
SUM(_xlfn._xlws.FILTER(_xlpm.data,(_xlpm.states="new jersey")+(_xlpm.states="M&amp;A"))))</f>
        <v>350</v>
      </c>
      <c r="S4" s="164" cm="1">
        <f t="array" ref="S4">_xlfn.LET(_xlpm.data,_xlfn.VSTACK('MDA1:NCA9'!S21),_xlpm.states,_xlfn.VSTACK('MDA1:NCA9'!$B$2),
SUM(_xlfn._xlws.FILTER(_xlpm.data,(_xlpm.states="new jersey")+(_xlpm.states="M&amp;A"))))</f>
        <v>376</v>
      </c>
      <c r="T4" s="164" cm="1">
        <f t="array" ref="T4">_xlfn.LET(_xlpm.data,_xlfn.VSTACK('MDA1:NCA9'!T21),_xlpm.states,_xlfn.VSTACK('MDA1:NCA9'!$B$2),
SUM(_xlfn._xlws.FILTER(_xlpm.data,(_xlpm.states="new jersey")+(_xlpm.states="M&amp;A"))))</f>
        <v>409</v>
      </c>
      <c r="U4" s="164" cm="1">
        <f t="array" ref="U4">_xlfn.LET(_xlpm.data,_xlfn.VSTACK('MDA1:NCA9'!U21),_xlpm.states,_xlfn.VSTACK('MDA1:NCA9'!$B$2),
SUM(_xlfn._xlws.FILTER(_xlpm.data,(_xlpm.states="new jersey")+(_xlpm.states="M&amp;A"))))</f>
        <v>429</v>
      </c>
      <c r="V4" s="164" cm="1">
        <f t="array" ref="V4">_xlfn.LET(_xlpm.data,_xlfn.VSTACK('MDA1:NCA9'!V21),_xlpm.states,_xlfn.VSTACK('MDA1:NCA9'!$B$2),
SUM(_xlfn._xlws.FILTER(_xlpm.data,(_xlpm.states="new jersey")+(_xlpm.states="M&amp;A"))))</f>
        <v>446</v>
      </c>
      <c r="W4" s="164" cm="1">
        <f t="array" ref="W4">_xlfn.LET(_xlpm.data,_xlfn.VSTACK('MDA1:NCA9'!W21),_xlpm.states,_xlfn.VSTACK('MDA1:NCA9'!$B$2),
SUM(_xlfn._xlws.FILTER(_xlpm.data,(_xlpm.states="new jersey")+(_xlpm.states="M&amp;A"))))</f>
        <v>465</v>
      </c>
      <c r="X4" s="164" cm="1">
        <f t="array" ref="X4">_xlfn.LET(_xlpm.data,_xlfn.VSTACK('MDA1:NCA9'!X21),_xlpm.states,_xlfn.VSTACK('MDA1:NCA9'!$B$2),
SUM(_xlfn._xlws.FILTER(_xlpm.data,(_xlpm.states="new jersey")+(_xlpm.states="M&amp;A"))))</f>
        <v>492</v>
      </c>
      <c r="Y4" s="164" cm="1">
        <f t="array" ref="Y4">_xlfn.LET(_xlpm.data,_xlfn.VSTACK('MDA1:NCA9'!Y21),_xlpm.states,_xlfn.VSTACK('MDA1:NCA9'!$B$2),
SUM(_xlfn._xlws.FILTER(_xlpm.data,(_xlpm.states="new jersey")+(_xlpm.states="M&amp;A"))))</f>
        <v>510</v>
      </c>
      <c r="Z4" s="164" cm="1">
        <f t="array" ref="Z4">_xlfn.LET(_xlpm.data,_xlfn.VSTACK('MDA1:NCA9'!Z21),_xlpm.states,_xlfn.VSTACK('MDA1:NCA9'!$B$2),
SUM(_xlfn._xlws.FILTER(_xlpm.data,(_xlpm.states="new jersey")+(_xlpm.states="M&amp;A"))))</f>
        <v>531</v>
      </c>
      <c r="AA4" s="164" cm="1">
        <f t="array" ref="AA4">_xlfn.LET(_xlpm.data,_xlfn.VSTACK('MDA1:NCA9'!AA21),_xlpm.states,_xlfn.VSTACK('MDA1:NCA9'!$B$2),
SUM(_xlfn._xlws.FILTER(_xlpm.data,(_xlpm.states="new jersey")+(_xlpm.states="M&amp;A"))))</f>
        <v>551</v>
      </c>
      <c r="AB4" s="164" cm="1">
        <f t="array" ref="AB4">_xlfn.LET(_xlpm.data,_xlfn.VSTACK('MDA1:NCA9'!AB21),_xlpm.states,_xlfn.VSTACK('MDA1:NCA9'!$B$2),
SUM(_xlfn._xlws.FILTER(_xlpm.data,(_xlpm.states="new jersey")+(_xlpm.states="M&amp;A"))))</f>
        <v>578</v>
      </c>
      <c r="AC4" s="164" cm="1">
        <f t="array" ref="AC4">_xlfn.LET(_xlpm.data,_xlfn.VSTACK('MDA1:NCA9'!AC21),_xlpm.states,_xlfn.VSTACK('MDA1:NCA9'!$B$2),
SUM(_xlfn._xlws.FILTER(_xlpm.data,(_xlpm.states="new jersey")+(_xlpm.states="M&amp;A"))))</f>
        <v>596</v>
      </c>
      <c r="AD4" s="164" cm="1">
        <f t="array" ref="AD4">_xlfn.LET(_xlpm.data,_xlfn.VSTACK('MDA1:NCA9'!AD21),_xlpm.states,_xlfn.VSTACK('MDA1:NCA9'!$B$2),
SUM(_xlfn._xlws.FILTER(_xlpm.data,(_xlpm.states="new jersey")+(_xlpm.states="M&amp;A"))))</f>
        <v>614</v>
      </c>
      <c r="AE4" s="164" cm="1">
        <f t="array" ref="AE4">_xlfn.LET(_xlpm.data,_xlfn.VSTACK('MDA1:NCA9'!AE21),_xlpm.states,_xlfn.VSTACK('MDA1:NCA9'!$B$2),
SUM(_xlfn._xlws.FILTER(_xlpm.data,(_xlpm.states="new jersey")+(_xlpm.states="M&amp;A"))))</f>
        <v>633</v>
      </c>
      <c r="AF4" s="164" cm="1">
        <f t="array" ref="AF4">_xlfn.LET(_xlpm.data,_xlfn.VSTACK('MDA1:NCA9'!AF21),_xlpm.states,_xlfn.VSTACK('MDA1:NCA9'!$B$2),
SUM(_xlfn._xlws.FILTER(_xlpm.data,(_xlpm.states="new jersey")+(_xlpm.states="M&amp;A"))))</f>
        <v>655</v>
      </c>
      <c r="AG4" s="164" cm="1">
        <f t="array" ref="AG4">_xlfn.LET(_xlpm.data,_xlfn.VSTACK('MDA1:NCA9'!AG21),_xlpm.states,_xlfn.VSTACK('MDA1:NCA9'!$B$2),
SUM(_xlfn._xlws.FILTER(_xlpm.data,(_xlpm.states="new jersey")+(_xlpm.states="M&amp;A"))))</f>
        <v>671</v>
      </c>
      <c r="AH4" s="164" cm="1">
        <f t="array" ref="AH4">_xlfn.LET(_xlpm.data,_xlfn.VSTACK('MDA1:NCA9'!AH21),_xlpm.states,_xlfn.VSTACK('MDA1:NCA9'!$B$2),
SUM(_xlfn._xlws.FILTER(_xlpm.data,(_xlpm.states="new jersey")+(_xlpm.states="M&amp;A"))))</f>
        <v>686</v>
      </c>
      <c r="AI4" s="164" cm="1">
        <f t="array" ref="AI4">_xlfn.LET(_xlpm.data,_xlfn.VSTACK('MDA1:NCA9'!AI21),_xlpm.states,_xlfn.VSTACK('MDA1:NCA9'!$B$2),
SUM(_xlfn._xlws.FILTER(_xlpm.data,(_xlpm.states="new jersey")+(_xlpm.states="M&amp;A"))))</f>
        <v>705</v>
      </c>
      <c r="AJ4" s="164" cm="1">
        <f t="array" ref="AJ4">_xlfn.LET(_xlpm.data,_xlfn.VSTACK('MDA1:NCA9'!AJ21),_xlpm.states,_xlfn.VSTACK('MDA1:NCA9'!$B$2),
SUM(_xlfn._xlws.FILTER(_xlpm.data,(_xlpm.states="new jersey")+(_xlpm.states="M&amp;A"))))</f>
        <v>729</v>
      </c>
      <c r="AK4" s="164" cm="1">
        <f t="array" ref="AK4">_xlfn.LET(_xlpm.data,_xlfn.VSTACK('MDA1:NCA9'!AK21),_xlpm.states,_xlfn.VSTACK('MDA1:NCA9'!$B$2),
SUM(_xlfn._xlws.FILTER(_xlpm.data,(_xlpm.states="new jersey")+(_xlpm.states="M&amp;A"))))</f>
        <v>754</v>
      </c>
      <c r="AL4" s="164" cm="1">
        <f t="array" ref="AL4">_xlfn.LET(_xlpm.data,_xlfn.VSTACK('MDA1:NCA9'!AL21),_xlpm.states,_xlfn.VSTACK('MDA1:NCA9'!$B$2),
SUM(_xlfn._xlws.FILTER(_xlpm.data,(_xlpm.states="new jersey")+(_xlpm.states="M&amp;A"))))</f>
        <v>776</v>
      </c>
      <c r="AM4" s="164" cm="1">
        <f t="array" ref="AM4">_xlfn.LET(_xlpm.data,_xlfn.VSTACK('MDA1:NCA9'!AM21),_xlpm.states,_xlfn.VSTACK('MDA1:NCA9'!$B$2),
SUM(_xlfn._xlws.FILTER(_xlpm.data,(_xlpm.states="new jersey")+(_xlpm.states="M&amp;A"))))</f>
        <v>802</v>
      </c>
      <c r="AN4" s="164" cm="1">
        <f t="array" ref="AN4">_xlfn.LET(_xlpm.data,_xlfn.VSTACK('MDA1:NCA9'!AN21),_xlpm.states,_xlfn.VSTACK('MDA1:NCA9'!$B$2),
SUM(_xlfn._xlws.FILTER(_xlpm.data,(_xlpm.states="new jersey")+(_xlpm.states="M&amp;A"))))</f>
        <v>830</v>
      </c>
    </row>
    <row r="5" spans="1:40" hidden="1" outlineLevel="1" x14ac:dyDescent="0.25">
      <c r="B5" s="39" t="s">
        <v>256</v>
      </c>
      <c r="C5" s="3"/>
      <c r="D5" s="3"/>
      <c r="E5" s="164" cm="1">
        <f t="array" ref="E5">_xlfn.LET(_xlpm.data,_xlfn.VSTACK('MDA1:NCA9'!E6)-_xlfn.VSTACK('MDA1:NCA9'!E21),_xlpm.states,_xlfn.VSTACK('MDA1:NCA9'!$B$2),
SUM(_xlfn._xlws.FILTER(_xlpm.data,(_xlpm.states="new jersey")+(_xlpm.states="m&amp;a"))))</f>
        <v>18</v>
      </c>
      <c r="F5" s="164" cm="1">
        <f t="array" ref="F5">_xlfn.LET(_xlpm.data,_xlfn.VSTACK('MDA1:NCA9'!F6)-_xlfn.VSTACK('MDA1:NCA9'!F21),_xlpm.states,_xlfn.VSTACK('MDA1:NCA9'!$B$2),
SUM(_xlfn._xlws.FILTER(_xlpm.data,(_xlpm.states="new jersey")+(_xlpm.states="M&amp;A"))))</f>
        <v>21</v>
      </c>
      <c r="G5" s="164" cm="1">
        <f t="array" ref="G5">_xlfn.LET(_xlpm.data,_xlfn.VSTACK('MDA1:NCA9'!G6)-_xlfn.VSTACK('MDA1:NCA9'!G21),_xlpm.states,_xlfn.VSTACK('MDA1:NCA9'!$B$2),
SUM(_xlfn._xlws.FILTER(_xlpm.data,(_xlpm.states="new jersey")+(_xlpm.states="M&amp;A"))))</f>
        <v>28</v>
      </c>
      <c r="H5" s="164" cm="1">
        <f t="array" ref="H5">_xlfn.LET(_xlpm.data,_xlfn.VSTACK('MDA1:NCA9'!H6)-_xlfn.VSTACK('MDA1:NCA9'!H21),_xlpm.states,_xlfn.VSTACK('MDA1:NCA9'!$B$2),
SUM(_xlfn._xlws.FILTER(_xlpm.data,(_xlpm.states="new jersey")+(_xlpm.states="M&amp;A"))))</f>
        <v>35</v>
      </c>
      <c r="I5" s="164" cm="1">
        <f t="array" ref="I5">_xlfn.LET(_xlpm.data,_xlfn.VSTACK('MDA1:NCA9'!I6)-_xlfn.VSTACK('MDA1:NCA9'!I21),_xlpm.states,_xlfn.VSTACK('MDA1:NCA9'!$B$2),
SUM(_xlfn._xlws.FILTER(_xlpm.data,(_xlpm.states="new jersey")+(_xlpm.states="M&amp;A"))))</f>
        <v>40</v>
      </c>
      <c r="J5" s="164" cm="1">
        <f t="array" ref="J5">_xlfn.LET(_xlpm.data,_xlfn.VSTACK('MDA1:NCA9'!J6)-_xlfn.VSTACK('MDA1:NCA9'!J21),_xlpm.states,_xlfn.VSTACK('MDA1:NCA9'!$B$2),
SUM(_xlfn._xlws.FILTER(_xlpm.data,(_xlpm.states="new jersey")+(_xlpm.states="M&amp;A"))))</f>
        <v>42</v>
      </c>
      <c r="K5" s="164" cm="1">
        <f t="array" ref="K5">_xlfn.LET(_xlpm.data,_xlfn.VSTACK('MDA1:NCA9'!K6)-_xlfn.VSTACK('MDA1:NCA9'!K21),_xlpm.states,_xlfn.VSTACK('MDA1:NCA9'!$B$2),
SUM(_xlfn._xlws.FILTER(_xlpm.data,(_xlpm.states="new jersey")+(_xlpm.states="M&amp;A"))))</f>
        <v>50</v>
      </c>
      <c r="L5" s="164" cm="1">
        <f t="array" ref="L5">_xlfn.LET(_xlpm.data,_xlfn.VSTACK('MDA1:NCA9'!L6)-_xlfn.VSTACK('MDA1:NCA9'!L21),_xlpm.states,_xlfn.VSTACK('MDA1:NCA9'!$B$2),
SUM(_xlfn._xlws.FILTER(_xlpm.data,(_xlpm.states="new jersey")+(_xlpm.states="M&amp;A"))))</f>
        <v>55</v>
      </c>
      <c r="M5" s="164" cm="1">
        <f t="array" ref="M5">_xlfn.LET(_xlpm.data,_xlfn.VSTACK('MDA1:NCA9'!M6)-_xlfn.VSTACK('MDA1:NCA9'!M21),_xlpm.states,_xlfn.VSTACK('MDA1:NCA9'!$B$2),
SUM(_xlfn._xlws.FILTER(_xlpm.data,(_xlpm.states="new jersey")+(_xlpm.states="M&amp;A"))))</f>
        <v>57</v>
      </c>
      <c r="N5" s="164" cm="1">
        <f t="array" ref="N5">_xlfn.LET(_xlpm.data,_xlfn.VSTACK('MDA1:NCA9'!N6)-_xlfn.VSTACK('MDA1:NCA9'!N21),_xlpm.states,_xlfn.VSTACK('MDA1:NCA9'!$B$2),
SUM(_xlfn._xlws.FILTER(_xlpm.data,(_xlpm.states="new jersey")+(_xlpm.states="M&amp;A"))))</f>
        <v>63</v>
      </c>
      <c r="O5" s="164" cm="1">
        <f t="array" ref="O5">_xlfn.LET(_xlpm.data,_xlfn.VSTACK('MDA1:NCA9'!O6)-_xlfn.VSTACK('MDA1:NCA9'!O21),_xlpm.states,_xlfn.VSTACK('MDA1:NCA9'!$B$2),
SUM(_xlfn._xlws.FILTER(_xlpm.data,(_xlpm.states="new jersey")+(_xlpm.states="M&amp;A"))))</f>
        <v>72</v>
      </c>
      <c r="P5" s="164" cm="1">
        <f t="array" ref="P5">_xlfn.LET(_xlpm.data,_xlfn.VSTACK('MDA1:NCA9'!P6)-_xlfn.VSTACK('MDA1:NCA9'!P21),_xlpm.states,_xlfn.VSTACK('MDA1:NCA9'!$B$2),
SUM(_xlfn._xlws.FILTER(_xlpm.data,(_xlpm.states="new jersey")+(_xlpm.states="M&amp;A"))))</f>
        <v>76</v>
      </c>
      <c r="Q5" s="164" cm="1">
        <f t="array" ref="Q5">_xlfn.LET(_xlpm.data,_xlfn.VSTACK('MDA1:NCA9'!Q6)-_xlfn.VSTACK('MDA1:NCA9'!Q21),_xlpm.states,_xlfn.VSTACK('MDA1:NCA9'!$B$2),
SUM(_xlfn._xlws.FILTER(_xlpm.data,(_xlpm.states="new jersey")+(_xlpm.states="M&amp;A"))))</f>
        <v>78</v>
      </c>
      <c r="R5" s="164" cm="1">
        <f t="array" ref="R5">_xlfn.LET(_xlpm.data,_xlfn.VSTACK('MDA1:NCA9'!R6)-_xlfn.VSTACK('MDA1:NCA9'!R21),_xlpm.states,_xlfn.VSTACK('MDA1:NCA9'!$B$2),
SUM(_xlfn._xlws.FILTER(_xlpm.data,(_xlpm.states="new jersey")+(_xlpm.states="M&amp;A"))))</f>
        <v>83</v>
      </c>
      <c r="S5" s="164" cm="1">
        <f t="array" ref="S5">_xlfn.LET(_xlpm.data,_xlfn.VSTACK('MDA1:NCA9'!S6)-_xlfn.VSTACK('MDA1:NCA9'!S21),_xlpm.states,_xlfn.VSTACK('MDA1:NCA9'!$B$2),
SUM(_xlfn._xlws.FILTER(_xlpm.data,(_xlpm.states="new jersey")+(_xlpm.states="M&amp;A"))))</f>
        <v>91</v>
      </c>
      <c r="T5" s="164" cm="1">
        <f t="array" ref="T5">_xlfn.LET(_xlpm.data,_xlfn.VSTACK('MDA1:NCA9'!T6)-_xlfn.VSTACK('MDA1:NCA9'!T21),_xlpm.states,_xlfn.VSTACK('MDA1:NCA9'!$B$2),
SUM(_xlfn._xlws.FILTER(_xlpm.data,(_xlpm.states="new jersey")+(_xlpm.states="M&amp;A"))))</f>
        <v>89</v>
      </c>
      <c r="U5" s="164" cm="1">
        <f t="array" ref="U5">_xlfn.LET(_xlpm.data,_xlfn.VSTACK('MDA1:NCA9'!U6)-_xlfn.VSTACK('MDA1:NCA9'!U21),_xlpm.states,_xlfn.VSTACK('MDA1:NCA9'!$B$2),
SUM(_xlfn._xlws.FILTER(_xlpm.data,(_xlpm.states="new jersey")+(_xlpm.states="M&amp;A"))))</f>
        <v>91</v>
      </c>
      <c r="V5" s="164" cm="1">
        <f t="array" ref="V5">_xlfn.LET(_xlpm.data,_xlfn.VSTACK('MDA1:NCA9'!V6)-_xlfn.VSTACK('MDA1:NCA9'!V21),_xlpm.states,_xlfn.VSTACK('MDA1:NCA9'!$B$2),
SUM(_xlfn._xlws.FILTER(_xlpm.data,(_xlpm.states="new jersey")+(_xlpm.states="M&amp;A"))))</f>
        <v>93</v>
      </c>
      <c r="W5" s="164" cm="1">
        <f t="array" ref="W5">_xlfn.LET(_xlpm.data,_xlfn.VSTACK('MDA1:NCA9'!W6)-_xlfn.VSTACK('MDA1:NCA9'!W21),_xlpm.states,_xlfn.VSTACK('MDA1:NCA9'!$B$2),
SUM(_xlfn._xlws.FILTER(_xlpm.data,(_xlpm.states="new jersey")+(_xlpm.states="M&amp;A"))))</f>
        <v>101</v>
      </c>
      <c r="X5" s="164" cm="1">
        <f t="array" ref="X5">_xlfn.LET(_xlpm.data,_xlfn.VSTACK('MDA1:NCA9'!X6)-_xlfn.VSTACK('MDA1:NCA9'!X21),_xlpm.states,_xlfn.VSTACK('MDA1:NCA9'!$B$2),
SUM(_xlfn._xlws.FILTER(_xlpm.data,(_xlpm.states="new jersey")+(_xlpm.states="M&amp;A"))))</f>
        <v>102</v>
      </c>
      <c r="Y5" s="164" cm="1">
        <f t="array" ref="Y5">_xlfn.LET(_xlpm.data,_xlfn.VSTACK('MDA1:NCA9'!Y6)-_xlfn.VSTACK('MDA1:NCA9'!Y21),_xlpm.states,_xlfn.VSTACK('MDA1:NCA9'!$B$2),
SUM(_xlfn._xlws.FILTER(_xlpm.data,(_xlpm.states="new jersey")+(_xlpm.states="M&amp;A"))))</f>
        <v>108</v>
      </c>
      <c r="Z5" s="164" cm="1">
        <f t="array" ref="Z5">_xlfn.LET(_xlpm.data,_xlfn.VSTACK('MDA1:NCA9'!Z6)-_xlfn.VSTACK('MDA1:NCA9'!Z21),_xlpm.states,_xlfn.VSTACK('MDA1:NCA9'!$B$2),
SUM(_xlfn._xlws.FILTER(_xlpm.data,(_xlpm.states="new jersey")+(_xlpm.states="M&amp;A"))))</f>
        <v>110</v>
      </c>
      <c r="AA5" s="164" cm="1">
        <f t="array" ref="AA5">_xlfn.LET(_xlpm.data,_xlfn.VSTACK('MDA1:NCA9'!AA6)-_xlfn.VSTACK('MDA1:NCA9'!AA21),_xlpm.states,_xlfn.VSTACK('MDA1:NCA9'!$B$2),
SUM(_xlfn._xlws.FILTER(_xlpm.data,(_xlpm.states="new jersey")+(_xlpm.states="M&amp;A"))))</f>
        <v>117</v>
      </c>
      <c r="AB5" s="164" cm="1">
        <f t="array" ref="AB5">_xlfn.LET(_xlpm.data,_xlfn.VSTACK('MDA1:NCA9'!AB6)-_xlfn.VSTACK('MDA1:NCA9'!AB21),_xlpm.states,_xlfn.VSTACK('MDA1:NCA9'!$B$2),
SUM(_xlfn._xlws.FILTER(_xlpm.data,(_xlpm.states="new jersey")+(_xlpm.states="M&amp;A"))))</f>
        <v>119</v>
      </c>
      <c r="AC5" s="164" cm="1">
        <f t="array" ref="AC5">_xlfn.LET(_xlpm.data,_xlfn.VSTACK('MDA1:NCA9'!AC6)-_xlfn.VSTACK('MDA1:NCA9'!AC21),_xlpm.states,_xlfn.VSTACK('MDA1:NCA9'!$B$2),
SUM(_xlfn._xlws.FILTER(_xlpm.data,(_xlpm.states="new jersey")+(_xlpm.states="M&amp;A"))))</f>
        <v>124</v>
      </c>
      <c r="AD5" s="164" cm="1">
        <f t="array" ref="AD5">_xlfn.LET(_xlpm.data,_xlfn.VSTACK('MDA1:NCA9'!AD6)-_xlfn.VSTACK('MDA1:NCA9'!AD21),_xlpm.states,_xlfn.VSTACK('MDA1:NCA9'!$B$2),
SUM(_xlfn._xlws.FILTER(_xlpm.data,(_xlpm.states="new jersey")+(_xlpm.states="M&amp;A"))))</f>
        <v>126</v>
      </c>
      <c r="AE5" s="164" cm="1">
        <f t="array" ref="AE5">_xlfn.LET(_xlpm.data,_xlfn.VSTACK('MDA1:NCA9'!AE6)-_xlfn.VSTACK('MDA1:NCA9'!AE21),_xlpm.states,_xlfn.VSTACK('MDA1:NCA9'!$B$2),
SUM(_xlfn._xlws.FILTER(_xlpm.data,(_xlpm.states="new jersey")+(_xlpm.states="M&amp;A"))))</f>
        <v>131</v>
      </c>
      <c r="AF5" s="164" cm="1">
        <f t="array" ref="AF5">_xlfn.LET(_xlpm.data,_xlfn.VSTACK('MDA1:NCA9'!AF6)-_xlfn.VSTACK('MDA1:NCA9'!AF21),_xlpm.states,_xlfn.VSTACK('MDA1:NCA9'!$B$2),
SUM(_xlfn._xlws.FILTER(_xlpm.data,(_xlpm.states="new jersey")+(_xlpm.states="M&amp;A"))))</f>
        <v>131</v>
      </c>
      <c r="AG5" s="164" cm="1">
        <f t="array" ref="AG5">_xlfn.LET(_xlpm.data,_xlfn.VSTACK('MDA1:NCA9'!AG6)-_xlfn.VSTACK('MDA1:NCA9'!AG21),_xlpm.states,_xlfn.VSTACK('MDA1:NCA9'!$B$2),
SUM(_xlfn._xlws.FILTER(_xlpm.data,(_xlpm.states="new jersey")+(_xlpm.states="M&amp;A"))))</f>
        <v>132</v>
      </c>
      <c r="AH5" s="164" cm="1">
        <f t="array" ref="AH5">_xlfn.LET(_xlpm.data,_xlfn.VSTACK('MDA1:NCA9'!AH6)-_xlfn.VSTACK('MDA1:NCA9'!AH21),_xlpm.states,_xlfn.VSTACK('MDA1:NCA9'!$B$2),
SUM(_xlfn._xlws.FILTER(_xlpm.data,(_xlpm.states="new jersey")+(_xlpm.states="M&amp;A"))))</f>
        <v>136</v>
      </c>
      <c r="AI5" s="164" cm="1">
        <f t="array" ref="AI5">_xlfn.LET(_xlpm.data,_xlfn.VSTACK('MDA1:NCA9'!AI6)-_xlfn.VSTACK('MDA1:NCA9'!AI21),_xlpm.states,_xlfn.VSTACK('MDA1:NCA9'!$B$2),
SUM(_xlfn._xlws.FILTER(_xlpm.data,(_xlpm.states="new jersey")+(_xlpm.states="M&amp;A"))))</f>
        <v>143</v>
      </c>
      <c r="AJ5" s="164" cm="1">
        <f t="array" ref="AJ5">_xlfn.LET(_xlpm.data,_xlfn.VSTACK('MDA1:NCA9'!AJ6)-_xlfn.VSTACK('MDA1:NCA9'!AJ21),_xlpm.states,_xlfn.VSTACK('MDA1:NCA9'!$B$2),
SUM(_xlfn._xlws.FILTER(_xlpm.data,(_xlpm.states="new jersey")+(_xlpm.states="M&amp;A"))))</f>
        <v>147</v>
      </c>
      <c r="AK5" s="164" cm="1">
        <f t="array" ref="AK5">_xlfn.LET(_xlpm.data,_xlfn.VSTACK('MDA1:NCA9'!AK6)-_xlfn.VSTACK('MDA1:NCA9'!AK21),_xlpm.states,_xlfn.VSTACK('MDA1:NCA9'!$B$2),
SUM(_xlfn._xlws.FILTER(_xlpm.data,(_xlpm.states="new jersey")+(_xlpm.states="M&amp;A"))))</f>
        <v>152</v>
      </c>
      <c r="AL5" s="164" cm="1">
        <f t="array" ref="AL5">_xlfn.LET(_xlpm.data,_xlfn.VSTACK('MDA1:NCA9'!AL6)-_xlfn.VSTACK('MDA1:NCA9'!AL21),_xlpm.states,_xlfn.VSTACK('MDA1:NCA9'!$B$2),
SUM(_xlfn._xlws.FILTER(_xlpm.data,(_xlpm.states="new jersey")+(_xlpm.states="M&amp;A"))))</f>
        <v>160</v>
      </c>
      <c r="AM5" s="164" cm="1">
        <f t="array" ref="AM5">_xlfn.LET(_xlpm.data,_xlfn.VSTACK('MDA1:NCA9'!AM6)-_xlfn.VSTACK('MDA1:NCA9'!AM21),_xlpm.states,_xlfn.VSTACK('MDA1:NCA9'!$B$2),
SUM(_xlfn._xlws.FILTER(_xlpm.data,(_xlpm.states="new jersey")+(_xlpm.states="M&amp;A"))))</f>
        <v>167</v>
      </c>
      <c r="AN5" s="164" cm="1">
        <f t="array" ref="AN5">_xlfn.LET(_xlpm.data,_xlfn.VSTACK('MDA1:NCA9'!AN6)-_xlfn.VSTACK('MDA1:NCA9'!AN21),_xlpm.states,_xlfn.VSTACK('MDA1:NCA9'!$B$2),
SUM(_xlfn._xlws.FILTER(_xlpm.data,(_xlpm.states="new jersey")+(_xlpm.states="M&amp;A"))))</f>
        <v>171</v>
      </c>
    </row>
    <row r="6" spans="1:40" hidden="1" outlineLevel="1" x14ac:dyDescent="0.25">
      <c r="B6" s="94"/>
      <c r="C6" s="3"/>
      <c r="D6" s="3"/>
      <c r="E6" s="69"/>
      <c r="F6" s="69"/>
      <c r="G6" s="69"/>
      <c r="H6" s="69"/>
      <c r="I6" s="69"/>
      <c r="J6" s="69"/>
      <c r="K6" s="69"/>
      <c r="L6" s="69"/>
      <c r="M6" s="69"/>
      <c r="N6" s="69"/>
      <c r="O6" s="69"/>
      <c r="P6" s="69"/>
      <c r="Q6" s="69"/>
      <c r="R6" s="69"/>
      <c r="S6" s="69"/>
      <c r="T6" s="69"/>
      <c r="U6" s="69"/>
      <c r="V6" s="69"/>
      <c r="W6" s="69"/>
      <c r="X6" s="69"/>
      <c r="Y6" s="69"/>
      <c r="Z6" s="69"/>
      <c r="AA6" s="69"/>
      <c r="AB6" s="69"/>
      <c r="AC6" s="69"/>
      <c r="AD6" s="69"/>
      <c r="AE6" s="69"/>
      <c r="AF6" s="69"/>
      <c r="AG6" s="69"/>
      <c r="AH6" s="69"/>
      <c r="AI6" s="69"/>
      <c r="AJ6" s="69"/>
      <c r="AK6" s="69"/>
      <c r="AL6" s="69"/>
      <c r="AM6" s="69"/>
      <c r="AN6" s="69"/>
    </row>
    <row r="7" spans="1:40" hidden="1" outlineLevel="1" x14ac:dyDescent="0.25">
      <c r="B7" s="39" t="s">
        <v>309</v>
      </c>
      <c r="C7" s="3"/>
      <c r="D7" s="3"/>
      <c r="E7" s="164" cm="1">
        <f t="array" ref="E7">_xlfn.LET(_xlpm.data,_xlfn.VSTACK('MDA1:NCA9'!E7),_xlpm.states,_xlfn.VSTACK('MDA1:NCA9'!$B$2),
SUM(_xlfn._xlws.FILTER(_xlpm.data,(_xlpm.states="new jersey")+(_xlpm.states="m&amp;a"))))</f>
        <v>48.6</v>
      </c>
      <c r="F7" s="164" cm="1">
        <f t="array" ref="F7">_xlfn.LET(_xlpm.data,_xlfn.VSTACK('MDA1:NCA9'!F7),_xlpm.states,_xlfn.VSTACK('MDA1:NCA9'!$B$2),
SUM(_xlfn._xlws.FILTER(_xlpm.data,(_xlpm.states="new jersey")+(_xlpm.states="M&amp;A"))))</f>
        <v>58.929999999999993</v>
      </c>
      <c r="G7" s="164" cm="1">
        <f t="array" ref="G7">_xlfn.LET(_xlpm.data,_xlfn.VSTACK('MDA1:NCA9'!G7),_xlpm.states,_xlfn.VSTACK('MDA1:NCA9'!$B$2),
SUM(_xlfn._xlws.FILTER(_xlpm.data,(_xlpm.states="new jersey")+(_xlpm.states="M&amp;A"))))</f>
        <v>73.959999999999994</v>
      </c>
      <c r="H7" s="164" cm="1">
        <f t="array" ref="H7">_xlfn.LET(_xlpm.data,_xlfn.VSTACK('MDA1:NCA9'!H7),_xlpm.states,_xlfn.VSTACK('MDA1:NCA9'!$B$2),
SUM(_xlfn._xlws.FILTER(_xlpm.data,(_xlpm.states="new jersey")+(_xlpm.states="M&amp;A"))))</f>
        <v>93.17</v>
      </c>
      <c r="I7" s="164" cm="1">
        <f t="array" ref="I7">_xlfn.LET(_xlpm.data,_xlfn.VSTACK('MDA1:NCA9'!I7),_xlpm.states,_xlfn.VSTACK('MDA1:NCA9'!$B$2),
SUM(_xlfn._xlws.FILTER(_xlpm.data,(_xlpm.states="new jersey")+(_xlpm.states="M&amp;A"))))</f>
        <v>108.63000000000001</v>
      </c>
      <c r="J7" s="164" cm="1">
        <f t="array" ref="J7">_xlfn.LET(_xlpm.data,_xlfn.VSTACK('MDA1:NCA9'!J7),_xlpm.states,_xlfn.VSTACK('MDA1:NCA9'!$B$2),
SUM(_xlfn._xlws.FILTER(_xlpm.data,(_xlpm.states="new jersey")+(_xlpm.states="M&amp;A"))))</f>
        <v>124.5</v>
      </c>
      <c r="K7" s="164" cm="1">
        <f t="array" ref="K7">_xlfn.LET(_xlpm.data,_xlfn.VSTACK('MDA1:NCA9'!K7),_xlpm.states,_xlfn.VSTACK('MDA1:NCA9'!$B$2),
SUM(_xlfn._xlws.FILTER(_xlpm.data,(_xlpm.states="new jersey")+(_xlpm.states="M&amp;A"))))</f>
        <v>142.76000000000002</v>
      </c>
      <c r="L7" s="164" cm="1">
        <f t="array" ref="L7">_xlfn.LET(_xlpm.data,_xlfn.VSTACK('MDA1:NCA9'!L7),_xlpm.states,_xlfn.VSTACK('MDA1:NCA9'!$B$2),
SUM(_xlfn._xlws.FILTER(_xlpm.data,(_xlpm.states="new jersey")+(_xlpm.states="M&amp;A"))))</f>
        <v>161.04</v>
      </c>
      <c r="M7" s="164" cm="1">
        <f t="array" ref="M7">_xlfn.LET(_xlpm.data,_xlfn.VSTACK('MDA1:NCA9'!M7),_xlpm.states,_xlfn.VSTACK('MDA1:NCA9'!$B$2),
SUM(_xlfn._xlws.FILTER(_xlpm.data,(_xlpm.states="new jersey")+(_xlpm.states="M&amp;A"))))</f>
        <v>182.57000000000002</v>
      </c>
      <c r="N7" s="164" cm="1">
        <f t="array" ref="N7">_xlfn.LET(_xlpm.data,_xlfn.VSTACK('MDA1:NCA9'!N7),_xlpm.states,_xlfn.VSTACK('MDA1:NCA9'!$B$2),
SUM(_xlfn._xlws.FILTER(_xlpm.data,(_xlpm.states="new jersey")+(_xlpm.states="M&amp;A"))))</f>
        <v>204.53000000000006</v>
      </c>
      <c r="O7" s="164" cm="1">
        <f t="array" ref="O7">_xlfn.LET(_xlpm.data,_xlfn.VSTACK('MDA1:NCA9'!O7),_xlpm.states,_xlfn.VSTACK('MDA1:NCA9'!$B$2),
SUM(_xlfn._xlws.FILTER(_xlpm.data,(_xlpm.states="new jersey")+(_xlpm.states="M&amp;A"))))</f>
        <v>229.85000000000005</v>
      </c>
      <c r="P7" s="164" cm="1">
        <f t="array" ref="P7">_xlfn.LET(_xlpm.data,_xlfn.VSTACK('MDA1:NCA9'!P7),_xlpm.states,_xlfn.VSTACK('MDA1:NCA9'!$B$2),
SUM(_xlfn._xlws.FILTER(_xlpm.data,(_xlpm.states="new jersey")+(_xlpm.states="M&amp;A"))))</f>
        <v>255.55000000000007</v>
      </c>
      <c r="Q7" s="164" cm="1">
        <f t="array" ref="Q7">_xlfn.LET(_xlpm.data,_xlfn.VSTACK('MDA1:NCA9'!Q7),_xlpm.states,_xlfn.VSTACK('MDA1:NCA9'!$B$2),
SUM(_xlfn._xlws.FILTER(_xlpm.data,(_xlpm.states="new jersey")+(_xlpm.states="M&amp;A"))))</f>
        <v>281.22999999999996</v>
      </c>
      <c r="R7" s="164" cm="1">
        <f t="array" ref="R7">_xlfn.LET(_xlpm.data,_xlfn.VSTACK('MDA1:NCA9'!R7),_xlpm.states,_xlfn.VSTACK('MDA1:NCA9'!$B$2),
SUM(_xlfn._xlws.FILTER(_xlpm.data,(_xlpm.states="new jersey")+(_xlpm.states="M&amp;A"))))</f>
        <v>301.31999999999994</v>
      </c>
      <c r="S7" s="164" cm="1">
        <f t="array" ref="S7">_xlfn.LET(_xlpm.data,_xlfn.VSTACK('MDA1:NCA9'!S7),_xlpm.states,_xlfn.VSTACK('MDA1:NCA9'!$B$2),
SUM(_xlfn._xlws.FILTER(_xlpm.data,(_xlpm.states="new jersey")+(_xlpm.states="M&amp;A"))))</f>
        <v>325.10000000000002</v>
      </c>
      <c r="T7" s="164" cm="1">
        <f t="array" ref="T7">_xlfn.LET(_xlpm.data,_xlfn.VSTACK('MDA1:NCA9'!T7),_xlpm.states,_xlfn.VSTACK('MDA1:NCA9'!$B$2),
SUM(_xlfn._xlws.FILTER(_xlpm.data,(_xlpm.states="new jersey")+(_xlpm.states="M&amp;A"))))</f>
        <v>349.33</v>
      </c>
      <c r="U7" s="164" cm="1">
        <f t="array" ref="U7">_xlfn.LET(_xlpm.data,_xlfn.VSTACK('MDA1:NCA9'!U7),_xlpm.states,_xlfn.VSTACK('MDA1:NCA9'!$B$2),
SUM(_xlfn._xlws.FILTER(_xlpm.data,(_xlpm.states="new jersey")+(_xlpm.states="M&amp;A"))))</f>
        <v>367.03000000000003</v>
      </c>
      <c r="V7" s="164" cm="1">
        <f t="array" ref="V7">_xlfn.LET(_xlpm.data,_xlfn.VSTACK('MDA1:NCA9'!V7),_xlpm.states,_xlfn.VSTACK('MDA1:NCA9'!$B$2),
SUM(_xlfn._xlws.FILTER(_xlpm.data,(_xlpm.states="new jersey")+(_xlpm.states="M&amp;A"))))</f>
        <v>381.93</v>
      </c>
      <c r="W7" s="164" cm="1">
        <f t="array" ref="W7">_xlfn.LET(_xlpm.data,_xlfn.VSTACK('MDA1:NCA9'!W7),_xlpm.states,_xlfn.VSTACK('MDA1:NCA9'!$B$2),
SUM(_xlfn._xlws.FILTER(_xlpm.data,(_xlpm.states="new jersey")+(_xlpm.states="M&amp;A"))))</f>
        <v>399.65000000000003</v>
      </c>
      <c r="X7" s="164" cm="1">
        <f t="array" ref="X7">_xlfn.LET(_xlpm.data,_xlfn.VSTACK('MDA1:NCA9'!X7),_xlpm.states,_xlfn.VSTACK('MDA1:NCA9'!$B$2),
SUM(_xlfn._xlws.FILTER(_xlpm.data,(_xlpm.states="new jersey")+(_xlpm.states="M&amp;A"))))</f>
        <v>419.76000000000005</v>
      </c>
      <c r="Y7" s="164" cm="1">
        <f t="array" ref="Y7">_xlfn.LET(_xlpm.data,_xlfn.VSTACK('MDA1:NCA9'!Y7),_xlpm.states,_xlfn.VSTACK('MDA1:NCA9'!$B$2),
SUM(_xlfn._xlws.FILTER(_xlpm.data,(_xlpm.states="new jersey")+(_xlpm.states="M&amp;A"))))</f>
        <v>436.11999999999995</v>
      </c>
      <c r="Z7" s="164" cm="1">
        <f t="array" ref="Z7">_xlfn.LET(_xlpm.data,_xlfn.VSTACK('MDA1:NCA9'!Z7),_xlpm.states,_xlfn.VSTACK('MDA1:NCA9'!$B$2),
SUM(_xlfn._xlws.FILTER(_xlpm.data,(_xlpm.states="new jersey")+(_xlpm.states="M&amp;A"))))</f>
        <v>454.31</v>
      </c>
      <c r="AA7" s="164" cm="1">
        <f t="array" ref="AA7">_xlfn.LET(_xlpm.data,_xlfn.VSTACK('MDA1:NCA9'!AA7),_xlpm.states,_xlfn.VSTACK('MDA1:NCA9'!$B$2),
SUM(_xlfn._xlws.FILTER(_xlpm.data,(_xlpm.states="new jersey")+(_xlpm.states="M&amp;A"))))</f>
        <v>472.94000000000005</v>
      </c>
      <c r="AB7" s="164" cm="1">
        <f t="array" ref="AB7">_xlfn.LET(_xlpm.data,_xlfn.VSTACK('MDA1:NCA9'!AB7),_xlpm.states,_xlfn.VSTACK('MDA1:NCA9'!$B$2),
SUM(_xlfn._xlws.FILTER(_xlpm.data,(_xlpm.states="new jersey")+(_xlpm.states="M&amp;A"))))</f>
        <v>493.04</v>
      </c>
      <c r="AC7" s="164" cm="1">
        <f t="array" ref="AC7">_xlfn.LET(_xlpm.data,_xlfn.VSTACK('MDA1:NCA9'!AC7),_xlpm.states,_xlfn.VSTACK('MDA1:NCA9'!$B$2),
SUM(_xlfn._xlws.FILTER(_xlpm.data,(_xlpm.states="new jersey")+(_xlpm.states="M&amp;A"))))</f>
        <v>508.96</v>
      </c>
      <c r="AD7" s="164" cm="1">
        <f t="array" ref="AD7">_xlfn.LET(_xlpm.data,_xlfn.VSTACK('MDA1:NCA9'!AD7),_xlpm.states,_xlfn.VSTACK('MDA1:NCA9'!$B$2),
SUM(_xlfn._xlws.FILTER(_xlpm.data,(_xlpm.states="new jersey")+(_xlpm.states="M&amp;A"))))</f>
        <v>525.79000000000008</v>
      </c>
      <c r="AE7" s="164" cm="1">
        <f t="array" ref="AE7">_xlfn.LET(_xlpm.data,_xlfn.VSTACK('MDA1:NCA9'!AE7),_xlpm.states,_xlfn.VSTACK('MDA1:NCA9'!$B$2),
SUM(_xlfn._xlws.FILTER(_xlpm.data,(_xlpm.states="new jersey")+(_xlpm.states="M&amp;A"))))</f>
        <v>543.05999999999995</v>
      </c>
      <c r="AF7" s="164" cm="1">
        <f t="array" ref="AF7">_xlfn.LET(_xlpm.data,_xlfn.VSTACK('MDA1:NCA9'!AF7),_xlpm.states,_xlfn.VSTACK('MDA1:NCA9'!$B$2),
SUM(_xlfn._xlws.FILTER(_xlpm.data,(_xlpm.states="new jersey")+(_xlpm.states="M&amp;A"))))</f>
        <v>559.44000000000017</v>
      </c>
      <c r="AG7" s="164" cm="1">
        <f t="array" ref="AG7">_xlfn.LET(_xlpm.data,_xlfn.VSTACK('MDA1:NCA9'!AG7),_xlpm.states,_xlfn.VSTACK('MDA1:NCA9'!$B$2),
SUM(_xlfn._xlws.FILTER(_xlpm.data,(_xlpm.states="new jersey")+(_xlpm.states="M&amp;A"))))</f>
        <v>572.98</v>
      </c>
      <c r="AH7" s="164" cm="1">
        <f t="array" ref="AH7">_xlfn.LET(_xlpm.data,_xlfn.VSTACK('MDA1:NCA9'!AH7),_xlpm.states,_xlfn.VSTACK('MDA1:NCA9'!$B$2),
SUM(_xlfn._xlws.FILTER(_xlpm.data,(_xlpm.states="new jersey")+(_xlpm.states="M&amp;A"))))</f>
        <v>586.99000000000012</v>
      </c>
      <c r="AI7" s="164" cm="1">
        <f t="array" ref="AI7">_xlfn.LET(_xlpm.data,_xlfn.VSTACK('MDA1:NCA9'!AI7),_xlpm.states,_xlfn.VSTACK('MDA1:NCA9'!$B$2),
SUM(_xlfn._xlws.FILTER(_xlpm.data,(_xlpm.states="new jersey")+(_xlpm.states="M&amp;A"))))</f>
        <v>604.72000000000014</v>
      </c>
      <c r="AJ7" s="164" cm="1">
        <f t="array" ref="AJ7">_xlfn.LET(_xlpm.data,_xlfn.VSTACK('MDA1:NCA9'!AJ7),_xlpm.states,_xlfn.VSTACK('MDA1:NCA9'!$B$2),
SUM(_xlfn._xlws.FILTER(_xlpm.data,(_xlpm.states="new jersey")+(_xlpm.states="M&amp;A"))))</f>
        <v>623.91</v>
      </c>
      <c r="AK7" s="164" cm="1">
        <f t="array" ref="AK7">_xlfn.LET(_xlpm.data,_xlfn.VSTACK('MDA1:NCA9'!AK7),_xlpm.states,_xlfn.VSTACK('MDA1:NCA9'!$B$2),
SUM(_xlfn._xlws.FILTER(_xlpm.data,(_xlpm.states="new jersey")+(_xlpm.states="M&amp;A"))))</f>
        <v>643.57000000000005</v>
      </c>
      <c r="AL7" s="164" cm="1">
        <f t="array" ref="AL7">_xlfn.LET(_xlpm.data,_xlfn.VSTACK('MDA1:NCA9'!AL7),_xlpm.states,_xlfn.VSTACK('MDA1:NCA9'!$B$2),
SUM(_xlfn._xlws.FILTER(_xlpm.data,(_xlpm.states="new jersey")+(_xlpm.states="M&amp;A"))))</f>
        <v>663.68</v>
      </c>
      <c r="AM7" s="164" cm="1">
        <f t="array" ref="AM7">_xlfn.LET(_xlpm.data,_xlfn.VSTACK('MDA1:NCA9'!AM7),_xlpm.states,_xlfn.VSTACK('MDA1:NCA9'!$B$2),
SUM(_xlfn._xlws.FILTER(_xlpm.data,(_xlpm.states="new jersey")+(_xlpm.states="M&amp;A"))))</f>
        <v>687.05000000000007</v>
      </c>
      <c r="AN7" s="164" cm="1">
        <f t="array" ref="AN7">_xlfn.LET(_xlpm.data,_xlfn.VSTACK('MDA1:NCA9'!AN7),_xlpm.states,_xlfn.VSTACK('MDA1:NCA9'!$B$2),
SUM(_xlfn._xlws.FILTER(_xlpm.data,(_xlpm.states="new jersey")+(_xlpm.states="M&amp;A"))))</f>
        <v>709.53000000000009</v>
      </c>
    </row>
    <row r="8" spans="1:40" hidden="1" outlineLevel="1" x14ac:dyDescent="0.25">
      <c r="B8" s="39" t="s">
        <v>310</v>
      </c>
      <c r="C8" s="3"/>
      <c r="D8" s="3"/>
      <c r="E8" s="164" cm="1">
        <f t="array" ref="E8">_xlfn.LET(_xlpm.data,_xlfn.VSTACK('MDA1:NCA9'!E8),_xlpm.states,_xlfn.VSTACK('MDA1:NCA9'!$B$2),
SUM(_xlfn._xlws.FILTER(_xlpm.data,(_xlpm.states="new jersey")+(_xlpm.states="m&amp;a"))))</f>
        <v>7.7899999999999991</v>
      </c>
      <c r="F8" s="164" cm="1">
        <f t="array" ref="F8">_xlfn.LET(_xlpm.data,_xlfn.VSTACK('MDA1:NCA9'!F8),_xlpm.states,_xlfn.VSTACK('MDA1:NCA9'!$B$2),
SUM(_xlfn._xlws.FILTER(_xlpm.data,(_xlpm.states="new jersey")+(_xlpm.states="M&amp;A"))))</f>
        <v>9.4</v>
      </c>
      <c r="G8" s="164" cm="1">
        <f t="array" ref="G8">_xlfn.LET(_xlpm.data,_xlfn.VSTACK('MDA1:NCA9'!G8),_xlpm.states,_xlfn.VSTACK('MDA1:NCA9'!$B$2),
SUM(_xlfn._xlws.FILTER(_xlpm.data,(_xlpm.states="new jersey")+(_xlpm.states="M&amp;A"))))</f>
        <v>11.73</v>
      </c>
      <c r="H8" s="164" cm="1">
        <f t="array" ref="H8">_xlfn.LET(_xlpm.data,_xlfn.VSTACK('MDA1:NCA9'!H8),_xlpm.states,_xlfn.VSTACK('MDA1:NCA9'!$B$2),
SUM(_xlfn._xlws.FILTER(_xlpm.data,(_xlpm.states="new jersey")+(_xlpm.states="M&amp;A"))))</f>
        <v>14.739999999999998</v>
      </c>
      <c r="I8" s="164" cm="1">
        <f t="array" ref="I8">_xlfn.LET(_xlpm.data,_xlfn.VSTACK('MDA1:NCA9'!I8),_xlpm.states,_xlfn.VSTACK('MDA1:NCA9'!$B$2),
SUM(_xlfn._xlws.FILTER(_xlpm.data,(_xlpm.states="new jersey")+(_xlpm.states="M&amp;A"))))</f>
        <v>17.169999999999998</v>
      </c>
      <c r="J8" s="164" cm="1">
        <f t="array" ref="J8">_xlfn.LET(_xlpm.data,_xlfn.VSTACK('MDA1:NCA9'!J8),_xlpm.states,_xlfn.VSTACK('MDA1:NCA9'!$B$2),
SUM(_xlfn._xlws.FILTER(_xlpm.data,(_xlpm.states="new jersey")+(_xlpm.states="M&amp;A"))))</f>
        <v>19.66</v>
      </c>
      <c r="K8" s="164" cm="1">
        <f t="array" ref="K8">_xlfn.LET(_xlpm.data,_xlfn.VSTACK('MDA1:NCA9'!K8),_xlpm.states,_xlfn.VSTACK('MDA1:NCA9'!$B$2),
SUM(_xlfn._xlws.FILTER(_xlpm.data,(_xlpm.states="new jersey")+(_xlpm.states="M&amp;A"))))</f>
        <v>22.509999999999998</v>
      </c>
      <c r="L8" s="164" cm="1">
        <f t="array" ref="L8">_xlfn.LET(_xlpm.data,_xlfn.VSTACK('MDA1:NCA9'!L8),_xlpm.states,_xlfn.VSTACK('MDA1:NCA9'!$B$2),
SUM(_xlfn._xlws.FILTER(_xlpm.data,(_xlpm.states="new jersey")+(_xlpm.states="M&amp;A"))))</f>
        <v>25.36</v>
      </c>
      <c r="M8" s="164" cm="1">
        <f t="array" ref="M8">_xlfn.LET(_xlpm.data,_xlfn.VSTACK('MDA1:NCA9'!M8),_xlpm.states,_xlfn.VSTACK('MDA1:NCA9'!$B$2),
SUM(_xlfn._xlws.FILTER(_xlpm.data,(_xlpm.states="new jersey")+(_xlpm.states="M&amp;A"))))</f>
        <v>28.71</v>
      </c>
      <c r="N8" s="164" cm="1">
        <f t="array" ref="N8">_xlfn.LET(_xlpm.data,_xlfn.VSTACK('MDA1:NCA9'!N8),_xlpm.states,_xlfn.VSTACK('MDA1:NCA9'!$B$2),
SUM(_xlfn._xlws.FILTER(_xlpm.data,(_xlpm.states="new jersey")+(_xlpm.states="M&amp;A"))))</f>
        <v>32.18</v>
      </c>
      <c r="O8" s="164" cm="1">
        <f t="array" ref="O8">_xlfn.LET(_xlpm.data,_xlfn.VSTACK('MDA1:NCA9'!O8),_xlpm.states,_xlfn.VSTACK('MDA1:NCA9'!$B$2),
SUM(_xlfn._xlws.FILTER(_xlpm.data,(_xlpm.states="new jersey")+(_xlpm.states="M&amp;A"))))</f>
        <v>36.18</v>
      </c>
      <c r="P8" s="164" cm="1">
        <f t="array" ref="P8">_xlfn.LET(_xlpm.data,_xlfn.VSTACK('MDA1:NCA9'!P8),_xlpm.states,_xlfn.VSTACK('MDA1:NCA9'!$B$2),
SUM(_xlfn._xlws.FILTER(_xlpm.data,(_xlpm.states="new jersey")+(_xlpm.states="M&amp;A"))))</f>
        <v>40.25</v>
      </c>
      <c r="Q8" s="164" cm="1">
        <f t="array" ref="Q8">_xlfn.LET(_xlpm.data,_xlfn.VSTACK('MDA1:NCA9'!Q8),_xlpm.states,_xlfn.VSTACK('MDA1:NCA9'!$B$2),
SUM(_xlfn._xlws.FILTER(_xlpm.data,(_xlpm.states="new jersey")+(_xlpm.states="M&amp;A"))))</f>
        <v>44.289999999999992</v>
      </c>
      <c r="R8" s="164" cm="1">
        <f t="array" ref="R8">_xlfn.LET(_xlpm.data,_xlfn.VSTACK('MDA1:NCA9'!R8),_xlpm.states,_xlfn.VSTACK('MDA1:NCA9'!$B$2),
SUM(_xlfn._xlws.FILTER(_xlpm.data,(_xlpm.states="new jersey")+(_xlpm.states="M&amp;A"))))</f>
        <v>47.509999999999991</v>
      </c>
      <c r="S8" s="164" cm="1">
        <f t="array" ref="S8">_xlfn.LET(_xlpm.data,_xlfn.VSTACK('MDA1:NCA9'!S8),_xlpm.states,_xlfn.VSTACK('MDA1:NCA9'!$B$2),
SUM(_xlfn._xlws.FILTER(_xlpm.data,(_xlpm.states="new jersey")+(_xlpm.states="M&amp;A"))))</f>
        <v>51.319999999999993</v>
      </c>
      <c r="T8" s="164" cm="1">
        <f t="array" ref="T8">_xlfn.LET(_xlpm.data,_xlfn.VSTACK('MDA1:NCA9'!T8),_xlpm.states,_xlfn.VSTACK('MDA1:NCA9'!$B$2),
SUM(_xlfn._xlws.FILTER(_xlpm.data,(_xlpm.states="new jersey")+(_xlpm.states="M&amp;A"))))</f>
        <v>55.22</v>
      </c>
      <c r="U8" s="164" cm="1">
        <f t="array" ref="U8">_xlfn.LET(_xlpm.data,_xlfn.VSTACK('MDA1:NCA9'!U8),_xlpm.states,_xlfn.VSTACK('MDA1:NCA9'!$B$2),
SUM(_xlfn._xlws.FILTER(_xlpm.data,(_xlpm.states="new jersey")+(_xlpm.states="M&amp;A"))))</f>
        <v>58.089999999999996</v>
      </c>
      <c r="V8" s="164" cm="1">
        <f t="array" ref="V8">_xlfn.LET(_xlpm.data,_xlfn.VSTACK('MDA1:NCA9'!V8),_xlpm.states,_xlfn.VSTACK('MDA1:NCA9'!$B$2),
SUM(_xlfn._xlws.FILTER(_xlpm.data,(_xlpm.states="new jersey")+(_xlpm.states="M&amp;A"))))</f>
        <v>60.54999999999999</v>
      </c>
      <c r="W8" s="164" cm="1">
        <f t="array" ref="W8">_xlfn.LET(_xlpm.data,_xlfn.VSTACK('MDA1:NCA9'!W8),_xlpm.states,_xlfn.VSTACK('MDA1:NCA9'!$B$2),
SUM(_xlfn._xlws.FILTER(_xlpm.data,(_xlpm.states="new jersey")+(_xlpm.states="M&amp;A"))))</f>
        <v>63.419999999999987</v>
      </c>
      <c r="X8" s="164" cm="1">
        <f t="array" ref="X8">_xlfn.LET(_xlpm.data,_xlfn.VSTACK('MDA1:NCA9'!X8),_xlpm.states,_xlfn.VSTACK('MDA1:NCA9'!$B$2),
SUM(_xlfn._xlws.FILTER(_xlpm.data,(_xlpm.states="new jersey")+(_xlpm.states="M&amp;A"))))</f>
        <v>66.63</v>
      </c>
      <c r="Y8" s="164" cm="1">
        <f t="array" ref="Y8">_xlfn.LET(_xlpm.data,_xlfn.VSTACK('MDA1:NCA9'!Y8),_xlpm.states,_xlfn.VSTACK('MDA1:NCA9'!$B$2),
SUM(_xlfn._xlws.FILTER(_xlpm.data,(_xlpm.states="new jersey")+(_xlpm.states="M&amp;A"))))</f>
        <v>69.22</v>
      </c>
      <c r="Z8" s="164" cm="1">
        <f t="array" ref="Z8">_xlfn.LET(_xlpm.data,_xlfn.VSTACK('MDA1:NCA9'!Z8),_xlpm.states,_xlfn.VSTACK('MDA1:NCA9'!$B$2),
SUM(_xlfn._xlws.FILTER(_xlpm.data,(_xlpm.states="new jersey")+(_xlpm.states="M&amp;A"))))</f>
        <v>72.180000000000007</v>
      </c>
      <c r="AA8" s="164" cm="1">
        <f t="array" ref="AA8">_xlfn.LET(_xlpm.data,_xlfn.VSTACK('MDA1:NCA9'!AA8),_xlpm.states,_xlfn.VSTACK('MDA1:NCA9'!$B$2),
SUM(_xlfn._xlws.FILTER(_xlpm.data,(_xlpm.states="new jersey")+(_xlpm.states="M&amp;A"))))</f>
        <v>75.240000000000009</v>
      </c>
      <c r="AB8" s="164" cm="1">
        <f t="array" ref="AB8">_xlfn.LET(_xlpm.data,_xlfn.VSTACK('MDA1:NCA9'!AB8),_xlpm.states,_xlfn.VSTACK('MDA1:NCA9'!$B$2),
SUM(_xlfn._xlws.FILTER(_xlpm.data,(_xlpm.states="new jersey")+(_xlpm.states="M&amp;A"))))</f>
        <v>78.459999999999994</v>
      </c>
      <c r="AC8" s="164" cm="1">
        <f t="array" ref="AC8">_xlfn.LET(_xlpm.data,_xlfn.VSTACK('MDA1:NCA9'!AC8),_xlpm.states,_xlfn.VSTACK('MDA1:NCA9'!$B$2),
SUM(_xlfn._xlws.FILTER(_xlpm.data,(_xlpm.states="new jersey")+(_xlpm.states="M&amp;A"))))</f>
        <v>80.95999999999998</v>
      </c>
      <c r="AD8" s="164" cm="1">
        <f t="array" ref="AD8">_xlfn.LET(_xlpm.data,_xlfn.VSTACK('MDA1:NCA9'!AD8),_xlpm.states,_xlfn.VSTACK('MDA1:NCA9'!$B$2),
SUM(_xlfn._xlws.FILTER(_xlpm.data,(_xlpm.states="new jersey")+(_xlpm.states="M&amp;A"))))</f>
        <v>83.640000000000015</v>
      </c>
      <c r="AE8" s="164" cm="1">
        <f t="array" ref="AE8">_xlfn.LET(_xlpm.data,_xlfn.VSTACK('MDA1:NCA9'!AE8),_xlpm.states,_xlfn.VSTACK('MDA1:NCA9'!$B$2),
SUM(_xlfn._xlws.FILTER(_xlpm.data,(_xlpm.states="new jersey")+(_xlpm.states="M&amp;A"))))</f>
        <v>86.439999999999984</v>
      </c>
      <c r="AF8" s="164" cm="1">
        <f t="array" ref="AF8">_xlfn.LET(_xlpm.data,_xlfn.VSTACK('MDA1:NCA9'!AF8),_xlpm.states,_xlfn.VSTACK('MDA1:NCA9'!$B$2),
SUM(_xlfn._xlws.FILTER(_xlpm.data,(_xlpm.states="new jersey")+(_xlpm.states="M&amp;A"))))</f>
        <v>89.039999999999992</v>
      </c>
      <c r="AG8" s="164" cm="1">
        <f t="array" ref="AG8">_xlfn.LET(_xlpm.data,_xlfn.VSTACK('MDA1:NCA9'!AG8),_xlpm.states,_xlfn.VSTACK('MDA1:NCA9'!$B$2),
SUM(_xlfn._xlws.FILTER(_xlpm.data,(_xlpm.states="new jersey")+(_xlpm.states="M&amp;A"))))</f>
        <v>91.199999999999974</v>
      </c>
      <c r="AH8" s="164" cm="1">
        <f t="array" ref="AH8">_xlfn.LET(_xlpm.data,_xlfn.VSTACK('MDA1:NCA9'!AH8),_xlpm.states,_xlfn.VSTACK('MDA1:NCA9'!$B$2),
SUM(_xlfn._xlws.FILTER(_xlpm.data,(_xlpm.states="new jersey")+(_xlpm.states="M&amp;A"))))</f>
        <v>93.46</v>
      </c>
      <c r="AI8" s="164" cm="1">
        <f t="array" ref="AI8">_xlfn.LET(_xlpm.data,_xlfn.VSTACK('MDA1:NCA9'!AI8),_xlpm.states,_xlfn.VSTACK('MDA1:NCA9'!$B$2),
SUM(_xlfn._xlws.FILTER(_xlpm.data,(_xlpm.states="new jersey")+(_xlpm.states="M&amp;A"))))</f>
        <v>96.34</v>
      </c>
      <c r="AJ8" s="164" cm="1">
        <f t="array" ref="AJ8">_xlfn.LET(_xlpm.data,_xlfn.VSTACK('MDA1:NCA9'!AJ8),_xlpm.states,_xlfn.VSTACK('MDA1:NCA9'!$B$2),
SUM(_xlfn._xlws.FILTER(_xlpm.data,(_xlpm.states="new jersey")+(_xlpm.states="M&amp;A"))))</f>
        <v>99.359999999999985</v>
      </c>
      <c r="AK8" s="164" cm="1">
        <f t="array" ref="AK8">_xlfn.LET(_xlpm.data,_xlfn.VSTACK('MDA1:NCA9'!AK8),_xlpm.states,_xlfn.VSTACK('MDA1:NCA9'!$B$2),
SUM(_xlfn._xlws.FILTER(_xlpm.data,(_xlpm.states="new jersey")+(_xlpm.states="M&amp;A"))))</f>
        <v>102.48999999999998</v>
      </c>
      <c r="AL8" s="164" cm="1">
        <f t="array" ref="AL8">_xlfn.LET(_xlpm.data,_xlfn.VSTACK('MDA1:NCA9'!AL8),_xlpm.states,_xlfn.VSTACK('MDA1:NCA9'!$B$2),
SUM(_xlfn._xlws.FILTER(_xlpm.data,(_xlpm.states="new jersey")+(_xlpm.states="M&amp;A"))))</f>
        <v>105.7</v>
      </c>
      <c r="AM8" s="164" cm="1">
        <f t="array" ref="AM8">_xlfn.LET(_xlpm.data,_xlfn.VSTACK('MDA1:NCA9'!AM8),_xlpm.states,_xlfn.VSTACK('MDA1:NCA9'!$B$2),
SUM(_xlfn._xlws.FILTER(_xlpm.data,(_xlpm.states="new jersey")+(_xlpm.states="M&amp;A"))))</f>
        <v>109.44</v>
      </c>
      <c r="AN8" s="164" cm="1">
        <f t="array" ref="AN8">_xlfn.LET(_xlpm.data,_xlfn.VSTACK('MDA1:NCA9'!AN8),_xlpm.states,_xlfn.VSTACK('MDA1:NCA9'!$B$2),
SUM(_xlfn._xlws.FILTER(_xlpm.data,(_xlpm.states="new jersey")+(_xlpm.states="M&amp;A"))))</f>
        <v>112.99999999999997</v>
      </c>
    </row>
    <row r="9" spans="1:40" collapsed="1" x14ac:dyDescent="0.25">
      <c r="B9" s="94"/>
      <c r="C9" s="3"/>
      <c r="D9" s="3"/>
      <c r="E9" s="69"/>
      <c r="F9" s="69"/>
      <c r="G9" s="69"/>
      <c r="H9" s="69"/>
      <c r="I9" s="69"/>
      <c r="J9" s="69"/>
      <c r="K9" s="69"/>
      <c r="L9" s="69"/>
      <c r="M9" s="69"/>
      <c r="N9" s="69"/>
      <c r="O9" s="69"/>
      <c r="P9" s="69"/>
      <c r="Q9" s="69"/>
      <c r="R9" s="69"/>
      <c r="S9" s="69"/>
      <c r="T9" s="69"/>
      <c r="U9" s="69"/>
      <c r="V9" s="69"/>
      <c r="W9" s="69"/>
      <c r="X9" s="69"/>
      <c r="Y9" s="69"/>
      <c r="Z9" s="69"/>
      <c r="AA9" s="69"/>
      <c r="AB9" s="69"/>
      <c r="AC9" s="69"/>
      <c r="AD9" s="69"/>
      <c r="AE9" s="69"/>
      <c r="AF9" s="69"/>
      <c r="AG9" s="69"/>
      <c r="AH9" s="69"/>
      <c r="AI9" s="69"/>
      <c r="AJ9" s="69"/>
      <c r="AK9" s="69"/>
      <c r="AL9" s="69"/>
      <c r="AM9" s="69"/>
      <c r="AN9" s="69"/>
    </row>
    <row r="10" spans="1:40" hidden="1" outlineLevel="1" x14ac:dyDescent="0.25">
      <c r="B10" s="55" t="s">
        <v>391</v>
      </c>
      <c r="C10" s="3"/>
      <c r="D10" s="94"/>
      <c r="E10" s="164" cm="1">
        <f t="array" ref="E10">_xlfn.LET(_xlpm.data,_xlfn.VSTACK(_xlfn.VSTACK(MS:META!E10),_xlfn.VSTACK('MDA1:NCA9'!E1)),_xlpm.states,_xlfn.VSTACK('MS:NCA9'!$B$2),
SUM(_xlfn._xlws.FILTER(_xlpm.data,(_xlpm.states="new jersey")+(_xlpm.states="M&amp;A"))))</f>
        <v>121</v>
      </c>
      <c r="F10" s="164" cm="1">
        <f t="array" ref="F10">_xlfn.LET(_xlpm.data,_xlfn.VSTACK(_xlfn.VSTACK(MS:META!F10),_xlfn.VSTACK('MDA1:NCA9'!F1)),_xlpm.states,_xlfn.VSTACK('MS:NCA9'!$B$2),
SUM(_xlfn._xlws.FILTER(_xlpm.data,(_xlpm.states="new jersey")+(_xlpm.states="M&amp;A"))))</f>
        <v>150.1</v>
      </c>
      <c r="G10" s="164" cm="1">
        <f t="array" ref="G10">_xlfn.LET(_xlpm.data,_xlfn.VSTACK(_xlfn.VSTACK(MS:META!G10),_xlfn.VSTACK('MDA1:NCA9'!G1)),_xlpm.states,_xlfn.VSTACK('MS:NCA9'!$B$2),
SUM(_xlfn._xlws.FILTER(_xlpm.data,(_xlpm.states="new jersey")+(_xlpm.states="M&amp;A"))))</f>
        <v>175.1</v>
      </c>
      <c r="H10" s="164" cm="1">
        <f t="array" ref="H10">_xlfn.LET(_xlpm.data,_xlfn.VSTACK(_xlfn.VSTACK(MS:META!H10),_xlfn.VSTACK('MDA1:NCA9'!H1)),_xlpm.states,_xlfn.VSTACK('MS:NCA9'!$B$2),
SUM(_xlfn._xlws.FILTER(_xlpm.data,(_xlpm.states="new jersey")+(_xlpm.states="M&amp;A"))))</f>
        <v>204.2</v>
      </c>
      <c r="I10" s="164" cm="1">
        <f t="array" ref="I10">_xlfn.LET(_xlpm.data,_xlfn.VSTACK(_xlfn.VSTACK(MS:META!I10),_xlfn.VSTACK('MDA1:NCA9'!I1)),_xlpm.states,_xlfn.VSTACK('MS:NCA9'!$B$2),
SUM(_xlfn._xlws.FILTER(_xlpm.data,(_xlpm.states="new jersey")+(_xlpm.states="M&amp;A"))))</f>
        <v>228.3</v>
      </c>
      <c r="J10" s="164" cm="1">
        <f t="array" ref="J10">_xlfn.LET(_xlpm.data,_xlfn.VSTACK(_xlfn.VSTACK(MS:META!J10),_xlfn.VSTACK('MDA1:NCA9'!J1)),_xlpm.states,_xlfn.VSTACK('MS:NCA9'!$B$2),
SUM(_xlfn._xlws.FILTER(_xlpm.data,(_xlpm.states="new jersey")+(_xlpm.states="M&amp;A"))))</f>
        <v>255.3</v>
      </c>
      <c r="K10" s="164" cm="1">
        <f t="array" ref="K10">_xlfn.LET(_xlpm.data,_xlfn.VSTACK(_xlfn.VSTACK(MS:META!K10),_xlfn.VSTACK('MDA1:NCA9'!K1)),_xlpm.states,_xlfn.VSTACK('MS:NCA9'!$B$2),
SUM(_xlfn._xlws.FILTER(_xlpm.data,(_xlpm.states="new jersey")+(_xlpm.states="M&amp;A"))))</f>
        <v>216.4</v>
      </c>
      <c r="L10" s="164" cm="1">
        <f t="array" ref="L10">_xlfn.LET(_xlpm.data,_xlfn.VSTACK(_xlfn.VSTACK(MS:META!L10),_xlfn.VSTACK('MDA1:NCA9'!L1)),_xlpm.states,_xlfn.VSTACK('MS:NCA9'!$B$2),
SUM(_xlfn._xlws.FILTER(_xlpm.data,(_xlpm.states="new jersey")+(_xlpm.states="M&amp;A"))))</f>
        <v>237.8</v>
      </c>
      <c r="M10" s="164" cm="1">
        <f t="array" ref="M10">_xlfn.LET(_xlpm.data,_xlfn.VSTACK(_xlfn.VSTACK(MS:META!M10),_xlfn.VSTACK('MDA1:NCA9'!M1)),_xlpm.states,_xlfn.VSTACK('MS:NCA9'!$B$2),
SUM(_xlfn._xlws.FILTER(_xlpm.data,(_xlpm.states="new jersey")+(_xlpm.states="M&amp;A"))))</f>
        <v>263.2</v>
      </c>
      <c r="N10" s="164" cm="1">
        <f t="array" ref="N10">_xlfn.LET(_xlpm.data,_xlfn.VSTACK(_xlfn.VSTACK(MS:META!N10),_xlfn.VSTACK('MDA1:NCA9'!N1)),_xlpm.states,_xlfn.VSTACK('MS:NCA9'!$B$2),
SUM(_xlfn._xlws.FILTER(_xlpm.data,(_xlpm.states="new jersey")+(_xlpm.states="M&amp;A"))))</f>
        <v>311.60000000000002</v>
      </c>
      <c r="O10" s="164" cm="1">
        <f t="array" ref="O10">_xlfn.LET(_xlpm.data,_xlfn.VSTACK(_xlfn.VSTACK(MS:META!O10),_xlfn.VSTACK('MDA1:NCA9'!O1)),_xlpm.states,_xlfn.VSTACK('MS:NCA9'!$B$2),
SUM(_xlfn._xlws.FILTER(_xlpm.data,(_xlpm.states="new jersey")+(_xlpm.states="M&amp;A"))))</f>
        <v>345.2</v>
      </c>
      <c r="P10" s="164" cm="1">
        <f t="array" ref="P10">_xlfn.LET(_xlpm.data,_xlfn.VSTACK(_xlfn.VSTACK(MS:META!P10),_xlfn.VSTACK('MDA1:NCA9'!P1)),_xlpm.states,_xlfn.VSTACK('MS:NCA9'!$B$2),
SUM(_xlfn._xlws.FILTER(_xlpm.data,(_xlpm.states="new jersey")+(_xlpm.states="M&amp;A"))))</f>
        <v>377.9</v>
      </c>
      <c r="Q10" s="164" cm="1">
        <f t="array" ref="Q10">_xlfn.LET(_xlpm.data,_xlfn.VSTACK(_xlfn.VSTACK(MS:META!Q10),_xlfn.VSTACK('MDA1:NCA9'!Q1)),_xlpm.states,_xlfn.VSTACK('MS:NCA9'!$B$2),
SUM(_xlfn._xlws.FILTER(_xlpm.data,(_xlpm.states="new jersey")+(_xlpm.states="M&amp;A"))))</f>
        <v>433.5</v>
      </c>
      <c r="R10" s="164" cm="1">
        <f t="array" ref="R10">_xlfn.LET(_xlpm.data,_xlfn.VSTACK(_xlfn.VSTACK(MS:META!R10),_xlfn.VSTACK('MDA1:NCA9'!R1)),_xlpm.states,_xlfn.VSTACK('MS:NCA9'!$B$2),
SUM(_xlfn._xlws.FILTER(_xlpm.data,(_xlpm.states="new jersey")+(_xlpm.states="M&amp;A"))))</f>
        <v>464.3</v>
      </c>
      <c r="S10" s="164" cm="1">
        <f t="array" ref="S10">_xlfn.LET(_xlpm.data,_xlfn.VSTACK(_xlfn.VSTACK(MS:META!S10),_xlfn.VSTACK('MDA1:NCA9'!S1)),_xlpm.states,_xlfn.VSTACK('MS:NCA9'!$B$2),
SUM(_xlfn._xlws.FILTER(_xlpm.data,(_xlpm.states="new jersey")+(_xlpm.states="M&amp;A"))))</f>
        <v>499.2</v>
      </c>
      <c r="T10" s="164" cm="1">
        <f t="array" ref="T10">_xlfn.LET(_xlpm.data,_xlfn.VSTACK(_xlfn.VSTACK(MS:META!T10),_xlfn.VSTACK('MDA1:NCA9'!T1)),_xlpm.states,_xlfn.VSTACK('MS:NCA9'!$B$2),
SUM(_xlfn._xlws.FILTER(_xlpm.data,(_xlpm.states="new jersey")+(_xlpm.states="M&amp;A"))))</f>
        <v>517.1</v>
      </c>
      <c r="U10" s="164" cm="1">
        <f t="array" ref="U10">_xlfn.LET(_xlpm.data,_xlfn.VSTACK(_xlfn.VSTACK(MS:META!U10),_xlfn.VSTACK('MDA1:NCA9'!U1)),_xlpm.states,_xlfn.VSTACK('MS:NCA9'!$B$2),
SUM(_xlfn._xlws.FILTER(_xlpm.data,(_xlpm.states="new jersey")+(_xlpm.states="M&amp;A"))))</f>
        <v>544.20000000000005</v>
      </c>
      <c r="V10" s="164" cm="1">
        <f t="array" ref="V10">_xlfn.LET(_xlpm.data,_xlfn.VSTACK(_xlfn.VSTACK(MS:META!V10),_xlfn.VSTACK('MDA1:NCA9'!V1)),_xlpm.states,_xlfn.VSTACK('MS:NCA9'!$B$2),
SUM(_xlfn._xlws.FILTER(_xlpm.data,(_xlpm.states="new jersey")+(_xlpm.states="M&amp;A"))))</f>
        <v>567.4</v>
      </c>
      <c r="W10" s="164" cm="1">
        <f t="array" ref="W10">_xlfn.LET(_xlpm.data,_xlfn.VSTACK(_xlfn.VSTACK(MS:META!W10),_xlfn.VSTACK('MDA1:NCA9'!W1)),_xlpm.states,_xlfn.VSTACK('MS:NCA9'!$B$2),
SUM(_xlfn._xlws.FILTER(_xlpm.data,(_xlpm.states="new jersey")+(_xlpm.states="M&amp;A"))))</f>
        <v>576.6</v>
      </c>
      <c r="X10" s="164" cm="1">
        <f t="array" ref="X10">_xlfn.LET(_xlpm.data,_xlfn.VSTACK(_xlfn.VSTACK(MS:META!X10),_xlfn.VSTACK('MDA1:NCA9'!X1)),_xlpm.states,_xlfn.VSTACK('MS:NCA9'!$B$2),
SUM(_xlfn._xlws.FILTER(_xlpm.data,(_xlpm.states="new jersey")+(_xlpm.states="M&amp;A"))))</f>
        <v>604.1</v>
      </c>
      <c r="Y10" s="164" cm="1">
        <f t="array" ref="Y10">_xlfn.LET(_xlpm.data,_xlfn.VSTACK(_xlfn.VSTACK(MS:META!Y10),_xlfn.VSTACK('MDA1:NCA9'!Y1)),_xlpm.states,_xlfn.VSTACK('MS:NCA9'!$B$2),
SUM(_xlfn._xlws.FILTER(_xlpm.data,(_xlpm.states="new jersey")+(_xlpm.states="M&amp;A"))))</f>
        <v>623.70000000000005</v>
      </c>
      <c r="Z10" s="164" cm="1">
        <f t="array" ref="Z10">_xlfn.LET(_xlpm.data,_xlfn.VSTACK(_xlfn.VSTACK(MS:META!Z10),_xlfn.VSTACK('MDA1:NCA9'!Z1)),_xlpm.states,_xlfn.VSTACK('MS:NCA9'!$B$2),
SUM(_xlfn._xlws.FILTER(_xlpm.data,(_xlpm.states="new jersey")+(_xlpm.states="M&amp;A"))))</f>
        <v>651.1</v>
      </c>
      <c r="AA10" s="164" cm="1">
        <f t="array" ref="AA10">_xlfn.LET(_xlpm.data,_xlfn.VSTACK(_xlfn.VSTACK(MS:META!AA10),_xlfn.VSTACK('MDA1:NCA9'!AA1)),_xlpm.states,_xlfn.VSTACK('MS:NCA9'!$B$2),
SUM(_xlfn._xlws.FILTER(_xlpm.data,(_xlpm.states="new jersey")+(_xlpm.states="M&amp;A"))))</f>
        <v>676.7</v>
      </c>
      <c r="AB10" s="164" cm="1">
        <f t="array" ref="AB10">_xlfn.LET(_xlpm.data,_xlfn.VSTACK(_xlfn.VSTACK(MS:META!AB10),_xlfn.VSTACK('MDA1:NCA9'!AB1)),_xlpm.states,_xlfn.VSTACK('MS:NCA9'!$B$2),
SUM(_xlfn._xlws.FILTER(_xlpm.data,(_xlpm.states="new jersey")+(_xlpm.states="M&amp;A"))))</f>
        <v>703.2</v>
      </c>
      <c r="AC10" s="164" cm="1">
        <f t="array" ref="AC10">_xlfn.LET(_xlpm.data,_xlfn.VSTACK(_xlfn.VSTACK(MS:META!AC10),_xlfn.VSTACK('MDA1:NCA9'!AC1)),_xlpm.states,_xlfn.VSTACK('MS:NCA9'!$B$2),
SUM(_xlfn._xlws.FILTER(_xlpm.data,(_xlpm.states="new jersey")+(_xlpm.states="M&amp;A"))))</f>
        <v>746.7</v>
      </c>
      <c r="AD10" s="164" cm="1">
        <f t="array" ref="AD10">_xlfn.LET(_xlpm.data,_xlfn.VSTACK(_xlfn.VSTACK(MS:META!AD10),_xlfn.VSTACK('MDA1:NCA9'!AD1)),_xlpm.states,_xlfn.VSTACK('MS:NCA9'!$B$2),
SUM(_xlfn._xlws.FILTER(_xlpm.data,(_xlpm.states="new jersey")+(_xlpm.states="M&amp;A"))))</f>
        <v>766.5</v>
      </c>
      <c r="AE10" s="164" cm="1">
        <f t="array" ref="AE10">_xlfn.LET(_xlpm.data,_xlfn.VSTACK(_xlfn.VSTACK(MS:META!AE10),_xlfn.VSTACK('MDA1:NCA9'!AE1)),_xlpm.states,_xlfn.VSTACK('MS:NCA9'!$B$2),
SUM(_xlfn._xlws.FILTER(_xlpm.data,(_xlpm.states="new jersey")+(_xlpm.states="M&amp;A"))))</f>
        <v>792.8</v>
      </c>
      <c r="AF10" s="164" cm="1">
        <f t="array" ref="AF10">_xlfn.LET(_xlpm.data,_xlfn.VSTACK(_xlfn.VSTACK(MS:META!AF10),_xlfn.VSTACK('MDA1:NCA9'!AF1)),_xlpm.states,_xlfn.VSTACK('MS:NCA9'!$B$2),
SUM(_xlfn._xlws.FILTER(_xlpm.data,(_xlpm.states="new jersey")+(_xlpm.states="M&amp;A"))))</f>
        <v>815.2</v>
      </c>
      <c r="AG10" s="164" cm="1">
        <f t="array" ref="AG10">_xlfn.LET(_xlpm.data,_xlfn.VSTACK(_xlfn.VSTACK(MS:META!AG10),_xlfn.VSTACK('MDA1:NCA9'!AG1)),_xlpm.states,_xlfn.VSTACK('MS:NCA9'!$B$2),
SUM(_xlfn._xlws.FILTER(_xlpm.data,(_xlpm.states="new jersey")+(_xlpm.states="M&amp;A"))))</f>
        <v>835.5</v>
      </c>
      <c r="AH10" s="164" cm="1">
        <f t="array" ref="AH10">_xlfn.LET(_xlpm.data,_xlfn.VSTACK(_xlfn.VSTACK(MS:META!AH10),_xlfn.VSTACK('MDA1:NCA9'!AH1)),_xlpm.states,_xlfn.VSTACK('MS:NCA9'!$B$2),
SUM(_xlfn._xlws.FILTER(_xlpm.data,(_xlpm.states="new jersey")+(_xlpm.states="M&amp;A"))))</f>
        <v>858.8</v>
      </c>
      <c r="AI10" s="164" cm="1">
        <f t="array" ref="AI10">_xlfn.LET(_xlpm.data,_xlfn.VSTACK(_xlfn.VSTACK(MS:META!AI10),_xlfn.VSTACK('MDA1:NCA9'!AI1)),_xlpm.states,_xlfn.VSTACK('MS:NCA9'!$B$2),
SUM(_xlfn._xlws.FILTER(_xlpm.data,(_xlpm.states="new jersey")+(_xlpm.states="M&amp;A"))))</f>
        <v>865.3</v>
      </c>
      <c r="AJ10" s="164" cm="1">
        <f t="array" ref="AJ10">_xlfn.LET(_xlpm.data,_xlfn.VSTACK(_xlfn.VSTACK(MS:META!AJ10),_xlfn.VSTACK('MDA1:NCA9'!AJ1)),_xlpm.states,_xlfn.VSTACK('MS:NCA9'!$B$2),
SUM(_xlfn._xlws.FILTER(_xlpm.data,(_xlpm.states="new jersey")+(_xlpm.states="M&amp;A"))))</f>
        <v>892.8</v>
      </c>
      <c r="AK10" s="164" cm="1">
        <f t="array" ref="AK10">_xlfn.LET(_xlpm.data,_xlfn.VSTACK(_xlfn.VSTACK(MS:META!AK10),_xlfn.VSTACK('MDA1:NCA9'!AK1)),_xlpm.states,_xlfn.VSTACK('MS:NCA9'!$B$2),
SUM(_xlfn._xlws.FILTER(_xlpm.data,(_xlpm.states="new jersey")+(_xlpm.states="M&amp;A"))))</f>
        <v>916.6</v>
      </c>
      <c r="AL10" s="164" cm="1">
        <f t="array" ref="AL10">_xlfn.LET(_xlpm.data,_xlfn.VSTACK(_xlfn.VSTACK(MS:META!AL10),_xlfn.VSTACK('MDA1:NCA9'!AL1)),_xlpm.states,_xlfn.VSTACK('MS:NCA9'!$B$2),
SUM(_xlfn._xlws.FILTER(_xlpm.data,(_xlpm.states="new jersey")+(_xlpm.states="M&amp;A"))))</f>
        <v>944.2</v>
      </c>
      <c r="AM10" s="164" cm="1">
        <f t="array" ref="AM10">_xlfn.LET(_xlpm.data,_xlfn.VSTACK(_xlfn.VSTACK(MS:META!AM10),_xlfn.VSTACK('MDA1:NCA9'!AM1)),_xlpm.states,_xlfn.VSTACK('MS:NCA9'!$B$2),
SUM(_xlfn._xlws.FILTER(_xlpm.data,(_xlpm.states="new jersey")+(_xlpm.states="M&amp;A"))))</f>
        <v>969.9</v>
      </c>
      <c r="AN10" s="164" cm="1">
        <f t="array" ref="AN10">_xlfn.LET(_xlpm.data,_xlfn.VSTACK(_xlfn.VSTACK(MS:META!AN10),_xlfn.VSTACK('MDA1:NCA9'!AN1)),_xlpm.states,_xlfn.VSTACK('MS:NCA9'!$B$2),
SUM(_xlfn._xlws.FILTER(_xlpm.data,(_xlpm.states="new jersey")+(_xlpm.states="M&amp;A"))))</f>
        <v>996.1</v>
      </c>
    </row>
    <row r="11" spans="1:40" hidden="1" outlineLevel="1" x14ac:dyDescent="0.25">
      <c r="B11" s="55" t="s">
        <v>392</v>
      </c>
      <c r="C11" s="3"/>
      <c r="D11" s="94"/>
      <c r="E11" s="164" cm="1">
        <f t="array" ref="E11">_xlfn.LET(_xlpm.data,_xlfn.VSTACK(_xlfn.VSTACK(MS:META!E11),_xlfn.VSTACK('MDA1:NCA9'!E2)),_xlpm.states,_xlfn.VSTACK('MS:NCA9'!$B$2),
SUM(_xlfn._xlws.FILTER(_xlpm.data,(_xlpm.states="new jersey")+(_xlpm.states="M&amp;A"))))</f>
        <v>21.599999999999998</v>
      </c>
      <c r="F11" s="164" cm="1">
        <f t="array" ref="F11">_xlfn.LET(_xlpm.data,_xlfn.VSTACK(_xlfn.VSTACK(MS:META!F11),_xlfn.VSTACK('MDA1:NCA9'!F2)),_xlpm.states,_xlfn.VSTACK('MS:NCA9'!$B$2),
SUM(_xlfn._xlws.FILTER(_xlpm.data,(_xlpm.states="new jersey")+(_xlpm.states="M&amp;A"))))</f>
        <v>29.266666666666666</v>
      </c>
      <c r="G11" s="164" cm="1">
        <f t="array" ref="G11">_xlfn.LET(_xlpm.data,_xlfn.VSTACK(_xlfn.VSTACK(MS:META!G11),_xlfn.VSTACK('MDA1:NCA9'!G2)),_xlpm.states,_xlfn.VSTACK('MS:NCA9'!$B$2),
SUM(_xlfn._xlws.FILTER(_xlpm.data,(_xlpm.states="new jersey")+(_xlpm.states="M&amp;A"))))</f>
        <v>37.033333333333331</v>
      </c>
      <c r="H11" s="164" cm="1">
        <f t="array" ref="H11">_xlfn.LET(_xlpm.data,_xlfn.VSTACK(_xlfn.VSTACK(MS:META!H11),_xlfn.VSTACK('MDA1:NCA9'!H2)),_xlpm.states,_xlfn.VSTACK('MS:NCA9'!$B$2),
SUM(_xlfn._xlws.FILTER(_xlpm.data,(_xlpm.states="new jersey")+(_xlpm.states="M&amp;A"))))</f>
        <v>45.633333333333333</v>
      </c>
      <c r="I11" s="164" cm="1">
        <f t="array" ref="I11">_xlfn.LET(_xlpm.data,_xlfn.VSTACK(_xlfn.VSTACK(MS:META!I11),_xlfn.VSTACK('MDA1:NCA9'!I2)),_xlpm.states,_xlfn.VSTACK('MS:NCA9'!$B$2),
SUM(_xlfn._xlws.FILTER(_xlpm.data,(_xlpm.states="new jersey")+(_xlpm.states="M&amp;A"))))</f>
        <v>58.680952380952391</v>
      </c>
      <c r="J11" s="164" cm="1">
        <f t="array" ref="J11">_xlfn.LET(_xlpm.data,_xlfn.VSTACK(_xlfn.VSTACK(MS:META!J11),_xlfn.VSTACK('MDA1:NCA9'!J2)),_xlpm.states,_xlfn.VSTACK('MS:NCA9'!$B$2),
SUM(_xlfn._xlws.FILTER(_xlpm.data,(_xlpm.states="new jersey")+(_xlpm.states="M&amp;A"))))</f>
        <v>68.828571428571436</v>
      </c>
      <c r="K11" s="164" cm="1">
        <f t="array" ref="K11">_xlfn.LET(_xlpm.data,_xlfn.VSTACK(_xlfn.VSTACK(MS:META!K11),_xlfn.VSTACK('MDA1:NCA9'!K2)),_xlpm.states,_xlfn.VSTACK('MS:NCA9'!$B$2),
SUM(_xlfn._xlws.FILTER(_xlpm.data,(_xlpm.states="new jersey")+(_xlpm.states="M&amp;A"))))</f>
        <v>70.561904761904771</v>
      </c>
      <c r="L11" s="164" cm="1">
        <f t="array" ref="L11">_xlfn.LET(_xlpm.data,_xlfn.VSTACK(_xlfn.VSTACK(MS:META!L11),_xlfn.VSTACK('MDA1:NCA9'!L2)),_xlpm.states,_xlfn.VSTACK('MS:NCA9'!$B$2),
SUM(_xlfn._xlws.FILTER(_xlpm.data,(_xlpm.states="new jersey")+(_xlpm.states="M&amp;A"))))</f>
        <v>75.461904761904762</v>
      </c>
      <c r="M11" s="164" cm="1">
        <f t="array" ref="M11">_xlfn.LET(_xlpm.data,_xlfn.VSTACK(_xlfn.VSTACK(MS:META!M11),_xlfn.VSTACK('MDA1:NCA9'!M2)),_xlpm.states,_xlfn.VSTACK('MS:NCA9'!$B$2),
SUM(_xlfn._xlws.FILTER(_xlpm.data,(_xlpm.states="new jersey")+(_xlpm.states="M&amp;A"))))</f>
        <v>77.361904761904754</v>
      </c>
      <c r="N11" s="164" cm="1">
        <f t="array" ref="N11">_xlfn.LET(_xlpm.data,_xlfn.VSTACK(_xlfn.VSTACK(MS:META!N11),_xlfn.VSTACK('MDA1:NCA9'!N2)),_xlpm.states,_xlfn.VSTACK('MS:NCA9'!$B$2),
SUM(_xlfn._xlws.FILTER(_xlpm.data,(_xlpm.states="new jersey")+(_xlpm.states="M&amp;A"))))</f>
        <v>84.628571428571433</v>
      </c>
      <c r="O11" s="164" cm="1">
        <f t="array" ref="O11">_xlfn.LET(_xlpm.data,_xlfn.VSTACK(_xlfn.VSTACK(MS:META!O11),_xlfn.VSTACK('MDA1:NCA9'!O2)),_xlpm.states,_xlfn.VSTACK('MS:NCA9'!$B$2),
SUM(_xlfn._xlws.FILTER(_xlpm.data,(_xlpm.states="new jersey")+(_xlpm.states="M&amp;A"))))</f>
        <v>90.876190476190487</v>
      </c>
      <c r="P11" s="164" cm="1">
        <f t="array" ref="P11">_xlfn.LET(_xlpm.data,_xlfn.VSTACK(_xlfn.VSTACK(MS:META!P11),_xlfn.VSTACK('MDA1:NCA9'!P2)),_xlpm.states,_xlfn.VSTACK('MS:NCA9'!$B$2),
SUM(_xlfn._xlws.FILTER(_xlpm.data,(_xlpm.states="new jersey")+(_xlpm.states="M&amp;A"))))</f>
        <v>100.35714285714286</v>
      </c>
      <c r="Q11" s="164" cm="1">
        <f t="array" ref="Q11">_xlfn.LET(_xlpm.data,_xlfn.VSTACK(_xlfn.VSTACK(MS:META!Q11),_xlfn.VSTACK('MDA1:NCA9'!Q2)),_xlpm.states,_xlfn.VSTACK('MS:NCA9'!$B$2),
SUM(_xlfn._xlws.FILTER(_xlpm.data,(_xlpm.states="new jersey")+(_xlpm.states="M&amp;A"))))</f>
        <v>101.32380952380952</v>
      </c>
      <c r="R11" s="164" cm="1">
        <f t="array" ref="R11">_xlfn.LET(_xlpm.data,_xlfn.VSTACK(_xlfn.VSTACK(MS:META!R11),_xlfn.VSTACK('MDA1:NCA9'!R2)),_xlpm.states,_xlfn.VSTACK('MS:NCA9'!$B$2),
SUM(_xlfn._xlws.FILTER(_xlpm.data,(_xlpm.states="new jersey")+(_xlpm.states="M&amp;A"))))</f>
        <v>108.39047619047618</v>
      </c>
      <c r="S11" s="164" cm="1">
        <f t="array" ref="S11">_xlfn.LET(_xlpm.data,_xlfn.VSTACK(_xlfn.VSTACK(MS:META!S11),_xlfn.VSTACK('MDA1:NCA9'!S2)),_xlpm.states,_xlfn.VSTACK('MS:NCA9'!$B$2),
SUM(_xlfn._xlws.FILTER(_xlpm.data,(_xlpm.states="new jersey")+(_xlpm.states="M&amp;A"))))</f>
        <v>117.33809523809524</v>
      </c>
      <c r="T11" s="164" cm="1">
        <f t="array" ref="T11">_xlfn.LET(_xlpm.data,_xlfn.VSTACK(_xlfn.VSTACK(MS:META!T11),_xlfn.VSTACK('MDA1:NCA9'!T2)),_xlpm.states,_xlfn.VSTACK('MS:NCA9'!$B$2),
SUM(_xlfn._xlws.FILTER(_xlpm.data,(_xlpm.states="new jersey")+(_xlpm.states="M&amp;A"))))</f>
        <v>119.93809523809526</v>
      </c>
      <c r="U11" s="164" cm="1">
        <f t="array" ref="U11">_xlfn.LET(_xlpm.data,_xlfn.VSTACK(_xlfn.VSTACK(MS:META!U11),_xlfn.VSTACK('MDA1:NCA9'!U2)),_xlpm.states,_xlfn.VSTACK('MS:NCA9'!$B$2),
SUM(_xlfn._xlws.FILTER(_xlpm.data,(_xlpm.states="new jersey")+(_xlpm.states="M&amp;A"))))</f>
        <v>120.75714285714282</v>
      </c>
      <c r="V11" s="164" cm="1">
        <f t="array" ref="V11">_xlfn.LET(_xlpm.data,_xlfn.VSTACK(_xlfn.VSTACK(MS:META!V11),_xlfn.VSTACK('MDA1:NCA9'!V2)),_xlpm.states,_xlfn.VSTACK('MS:NCA9'!$B$2),
SUM(_xlfn._xlws.FILTER(_xlpm.data,(_xlpm.states="new jersey")+(_xlpm.states="M&amp;A"))))</f>
        <v>124.24285714285715</v>
      </c>
      <c r="W11" s="164" cm="1">
        <f t="array" ref="W11">_xlfn.LET(_xlpm.data,_xlfn.VSTACK(_xlfn.VSTACK(MS:META!W11),_xlfn.VSTACK('MDA1:NCA9'!W2)),_xlpm.states,_xlfn.VSTACK('MS:NCA9'!$B$2),
SUM(_xlfn._xlws.FILTER(_xlpm.data,(_xlpm.states="new jersey")+(_xlpm.states="M&amp;A"))))</f>
        <v>129.62380952380957</v>
      </c>
      <c r="X11" s="164" cm="1">
        <f t="array" ref="X11">_xlfn.LET(_xlpm.data,_xlfn.VSTACK(_xlfn.VSTACK(MS:META!X11),_xlfn.VSTACK('MDA1:NCA9'!X2)),_xlpm.states,_xlfn.VSTACK('MS:NCA9'!$B$2),
SUM(_xlfn._xlws.FILTER(_xlpm.data,(_xlpm.states="new jersey")+(_xlpm.states="M&amp;A"))))</f>
        <v>133.55714285714282</v>
      </c>
      <c r="Y11" s="164" cm="1">
        <f t="array" ref="Y11">_xlfn.LET(_xlpm.data,_xlfn.VSTACK(_xlfn.VSTACK(MS:META!Y11),_xlfn.VSTACK('MDA1:NCA9'!Y2)),_xlpm.states,_xlfn.VSTACK('MS:NCA9'!$B$2),
SUM(_xlfn._xlws.FILTER(_xlpm.data,(_xlpm.states="new jersey")+(_xlpm.states="M&amp;A"))))</f>
        <v>140.45714285714286</v>
      </c>
      <c r="Z11" s="164" cm="1">
        <f t="array" ref="Z11">_xlfn.LET(_xlpm.data,_xlfn.VSTACK(_xlfn.VSTACK(MS:META!Z11),_xlfn.VSTACK('MDA1:NCA9'!Z2)),_xlpm.states,_xlfn.VSTACK('MS:NCA9'!$B$2),
SUM(_xlfn._xlws.FILTER(_xlpm.data,(_xlpm.states="new jersey")+(_xlpm.states="M&amp;A"))))</f>
        <v>141.55714285714288</v>
      </c>
      <c r="AA11" s="164" cm="1">
        <f t="array" ref="AA11">_xlfn.LET(_xlpm.data,_xlfn.VSTACK(_xlfn.VSTACK(MS:META!AA11),_xlfn.VSTACK('MDA1:NCA9'!AA2)),_xlpm.states,_xlfn.VSTACK('MS:NCA9'!$B$2),
SUM(_xlfn._xlws.FILTER(_xlpm.data,(_xlpm.states="new jersey")+(_xlpm.states="M&amp;A"))))</f>
        <v>145.55714285714282</v>
      </c>
      <c r="AB11" s="164" cm="1">
        <f t="array" ref="AB11">_xlfn.LET(_xlpm.data,_xlfn.VSTACK(_xlfn.VSTACK(MS:META!AB11),_xlfn.VSTACK('MDA1:NCA9'!AB2)),_xlpm.states,_xlfn.VSTACK('MS:NCA9'!$B$2),
SUM(_xlfn._xlws.FILTER(_xlpm.data,(_xlpm.states="new jersey")+(_xlpm.states="M&amp;A"))))</f>
        <v>147.84285714285713</v>
      </c>
      <c r="AC11" s="164" cm="1">
        <f t="array" ref="AC11">_xlfn.LET(_xlpm.data,_xlfn.VSTACK(_xlfn.VSTACK(MS:META!AC11),_xlfn.VSTACK('MDA1:NCA9'!AC2)),_xlpm.states,_xlfn.VSTACK('MS:NCA9'!$B$2),
SUM(_xlfn._xlws.FILTER(_xlpm.data,(_xlpm.states="new jersey")+(_xlpm.states="M&amp;A"))))</f>
        <v>156.97619047619048</v>
      </c>
      <c r="AD11" s="164" cm="1">
        <f t="array" ref="AD11">_xlfn.LET(_xlpm.data,_xlfn.VSTACK(_xlfn.VSTACK(MS:META!AD11),_xlfn.VSTACK('MDA1:NCA9'!AD2)),_xlpm.states,_xlfn.VSTACK('MS:NCA9'!$B$2),
SUM(_xlfn._xlws.FILTER(_xlpm.data,(_xlpm.states="new jersey")+(_xlpm.states="M&amp;A"))))</f>
        <v>162.60952380952381</v>
      </c>
      <c r="AE11" s="164" cm="1">
        <f t="array" ref="AE11">_xlfn.LET(_xlpm.data,_xlfn.VSTACK(_xlfn.VSTACK(MS:META!AE11),_xlfn.VSTACK('MDA1:NCA9'!AE2)),_xlpm.states,_xlfn.VSTACK('MS:NCA9'!$B$2),
SUM(_xlfn._xlws.FILTER(_xlpm.data,(_xlpm.states="new jersey")+(_xlpm.states="M&amp;A"))))</f>
        <v>166.46190476190475</v>
      </c>
      <c r="AF11" s="164" cm="1">
        <f t="array" ref="AF11">_xlfn.LET(_xlpm.data,_xlfn.VSTACK(_xlfn.VSTACK(MS:META!AF11),_xlfn.VSTACK('MDA1:NCA9'!AF2)),_xlpm.states,_xlfn.VSTACK('MS:NCA9'!$B$2),
SUM(_xlfn._xlws.FILTER(_xlpm.data,(_xlpm.states="new jersey")+(_xlpm.states="M&amp;A"))))</f>
        <v>170.47619047619048</v>
      </c>
      <c r="AG11" s="164" cm="1">
        <f t="array" ref="AG11">_xlfn.LET(_xlpm.data,_xlfn.VSTACK(_xlfn.VSTACK(MS:META!AG11),_xlfn.VSTACK('MDA1:NCA9'!AG2)),_xlpm.states,_xlfn.VSTACK('MS:NCA9'!$B$2),
SUM(_xlfn._xlws.FILTER(_xlpm.data,(_xlpm.states="new jersey")+(_xlpm.states="M&amp;A"))))</f>
        <v>175.60952380952381</v>
      </c>
      <c r="AH11" s="164" cm="1">
        <f t="array" ref="AH11">_xlfn.LET(_xlpm.data,_xlfn.VSTACK(_xlfn.VSTACK(MS:META!AH11),_xlfn.VSTACK('MDA1:NCA9'!AH2)),_xlpm.states,_xlfn.VSTACK('MS:NCA9'!$B$2),
SUM(_xlfn._xlws.FILTER(_xlpm.data,(_xlpm.states="new jersey")+(_xlpm.states="M&amp;A"))))</f>
        <v>180.94285714285715</v>
      </c>
      <c r="AI11" s="164" cm="1">
        <f t="array" ref="AI11">_xlfn.LET(_xlpm.data,_xlfn.VSTACK(_xlfn.VSTACK(MS:META!AI11),_xlfn.VSTACK('MDA1:NCA9'!AI2)),_xlpm.states,_xlfn.VSTACK('MS:NCA9'!$B$2),
SUM(_xlfn._xlws.FILTER(_xlpm.data,(_xlpm.states="new jersey")+(_xlpm.states="M&amp;A"))))</f>
        <v>184.27619047619049</v>
      </c>
      <c r="AJ11" s="164" cm="1">
        <f t="array" ref="AJ11">_xlfn.LET(_xlpm.data,_xlfn.VSTACK(_xlfn.VSTACK(MS:META!AJ11),_xlfn.VSTACK('MDA1:NCA9'!AJ2)),_xlpm.states,_xlfn.VSTACK('MS:NCA9'!$B$2),
SUM(_xlfn._xlws.FILTER(_xlpm.data,(_xlpm.states="new jersey")+(_xlpm.states="M&amp;A"))))</f>
        <v>187.90952380952382</v>
      </c>
      <c r="AK11" s="164" cm="1">
        <f t="array" ref="AK11">_xlfn.LET(_xlpm.data,_xlfn.VSTACK(_xlfn.VSTACK(MS:META!AK11),_xlfn.VSTACK('MDA1:NCA9'!AK2)),_xlpm.states,_xlfn.VSTACK('MS:NCA9'!$B$2),
SUM(_xlfn._xlws.FILTER(_xlpm.data,(_xlpm.states="new jersey")+(_xlpm.states="M&amp;A"))))</f>
        <v>191.50952380952378</v>
      </c>
      <c r="AL11" s="164" cm="1">
        <f t="array" ref="AL11">_xlfn.LET(_xlpm.data,_xlfn.VSTACK(_xlfn.VSTACK(MS:META!AL11),_xlfn.VSTACK('MDA1:NCA9'!AL2)),_xlpm.states,_xlfn.VSTACK('MS:NCA9'!$B$2),
SUM(_xlfn._xlws.FILTER(_xlpm.data,(_xlpm.states="new jersey")+(_xlpm.states="M&amp;A"))))</f>
        <v>200.09047619047621</v>
      </c>
      <c r="AM11" s="164" cm="1">
        <f t="array" ref="AM11">_xlfn.LET(_xlpm.data,_xlfn.VSTACK(_xlfn.VSTACK(MS:META!AM11),_xlfn.VSTACK('MDA1:NCA9'!AM2)),_xlpm.states,_xlfn.VSTACK('MS:NCA9'!$B$2),
SUM(_xlfn._xlws.FILTER(_xlpm.data,(_xlpm.states="new jersey")+(_xlpm.states="M&amp;A"))))</f>
        <v>204.74285714285713</v>
      </c>
      <c r="AN11" s="164" cm="1">
        <f t="array" ref="AN11">_xlfn.LET(_xlpm.data,_xlfn.VSTACK(_xlfn.VSTACK(MS:META!AN11),_xlfn.VSTACK('MDA1:NCA9'!AN2)),_xlpm.states,_xlfn.VSTACK('MS:NCA9'!$B$2),
SUM(_xlfn._xlws.FILTER(_xlpm.data,(_xlpm.states="new jersey")+(_xlpm.states="M&amp;A"))))</f>
        <v>207.90952380952385</v>
      </c>
    </row>
    <row r="12" spans="1:40" hidden="1" outlineLevel="1" x14ac:dyDescent="0.25">
      <c r="B12" s="55" t="s">
        <v>393</v>
      </c>
      <c r="C12" s="3"/>
      <c r="D12" s="94"/>
      <c r="E12" s="164" cm="1">
        <f t="array" ref="E12">_xlfn.LET(_xlpm.data,_xlfn.VSTACK(_xlfn.VSTACK(MS:META!E12),_xlfn.VSTACK('MDA1:NCA9'!E3)),_xlpm.states,_xlfn.VSTACK('MS:NCA9'!$B$2),
SUM(_xlfn._xlws.FILTER(_xlpm.data,(_xlpm.states="new jersey")+(_xlpm.states="M&amp;A"))))</f>
        <v>81.099999999999994</v>
      </c>
      <c r="F12" s="164" cm="1">
        <f t="array" ref="F12">_xlfn.LET(_xlpm.data,_xlfn.VSTACK(_xlfn.VSTACK(MS:META!F12),_xlfn.VSTACK('MDA1:NCA9'!F3)),_xlpm.states,_xlfn.VSTACK('MS:NCA9'!$B$2),
SUM(_xlfn._xlws.FILTER(_xlpm.data,(_xlpm.states="new jersey")+(_xlpm.states="M&amp;A"))))</f>
        <v>158.76666666666668</v>
      </c>
      <c r="G12" s="164" cm="1">
        <f t="array" ref="G12">_xlfn.LET(_xlpm.data,_xlfn.VSTACK(_xlfn.VSTACK(MS:META!G12),_xlfn.VSTACK('MDA1:NCA9'!G3)),_xlpm.states,_xlfn.VSTACK('MS:NCA9'!$B$2),
SUM(_xlfn._xlws.FILTER(_xlpm.data,(_xlpm.states="new jersey")+(_xlpm.states="M&amp;A"))))</f>
        <v>237.5333333333333</v>
      </c>
      <c r="H12" s="164" cm="1">
        <f t="array" ref="H12">_xlfn.LET(_xlpm.data,_xlfn.VSTACK(_xlfn.VSTACK(MS:META!H12),_xlfn.VSTACK('MDA1:NCA9'!H3)),_xlpm.states,_xlfn.VSTACK('MS:NCA9'!$B$2),
SUM(_xlfn._xlws.FILTER(_xlpm.data,(_xlpm.states="new jersey")+(_xlpm.states="M&amp;A"))))</f>
        <v>316.63333333333338</v>
      </c>
      <c r="I12" s="164" cm="1">
        <f t="array" ref="I12">_xlfn.LET(_xlpm.data,_xlfn.VSTACK(_xlfn.VSTACK(MS:META!I12),_xlfn.VSTACK('MDA1:NCA9'!I3)),_xlpm.states,_xlfn.VSTACK('MS:NCA9'!$B$2),
SUM(_xlfn._xlws.FILTER(_xlpm.data,(_xlpm.states="new jersey")+(_xlpm.states="M&amp;A"))))</f>
        <v>394.96666666666664</v>
      </c>
      <c r="J12" s="164" cm="1">
        <f t="array" ref="J12">_xlfn.LET(_xlpm.data,_xlfn.VSTACK(_xlfn.VSTACK(MS:META!J12),_xlfn.VSTACK('MDA1:NCA9'!J3)),_xlpm.states,_xlfn.VSTACK('MS:NCA9'!$B$2),
SUM(_xlfn._xlws.FILTER(_xlpm.data,(_xlpm.states="new jersey")+(_xlpm.states="M&amp;A"))))</f>
        <v>474.4</v>
      </c>
      <c r="K12" s="164" cm="1">
        <f t="array" ref="K12">_xlfn.LET(_xlpm.data,_xlfn.VSTACK(_xlfn.VSTACK(MS:META!K12),_xlfn.VSTACK('MDA1:NCA9'!K3)),_xlpm.states,_xlfn.VSTACK('MS:NCA9'!$B$2),
SUM(_xlfn._xlws.FILTER(_xlpm.data,(_xlpm.states="new jersey")+(_xlpm.states="M&amp;A"))))</f>
        <v>480.13333333333338</v>
      </c>
      <c r="L12" s="164" cm="1">
        <f t="array" ref="L12">_xlfn.LET(_xlpm.data,_xlfn.VSTACK(_xlfn.VSTACK(MS:META!L12),_xlfn.VSTACK('MDA1:NCA9'!L3)),_xlpm.states,_xlfn.VSTACK('MS:NCA9'!$B$2),
SUM(_xlfn._xlws.FILTER(_xlpm.data,(_xlpm.states="new jersey")+(_xlpm.states="M&amp;A"))))</f>
        <v>486.0333333333333</v>
      </c>
      <c r="M12" s="164" cm="1">
        <f t="array" ref="M12">_xlfn.LET(_xlpm.data,_xlfn.VSTACK(_xlfn.VSTACK(MS:META!M12),_xlfn.VSTACK('MDA1:NCA9'!M3)),_xlpm.states,_xlfn.VSTACK('MS:NCA9'!$B$2),
SUM(_xlfn._xlws.FILTER(_xlpm.data,(_xlpm.states="new jersey")+(_xlpm.states="M&amp;A"))))</f>
        <v>491.93333333333334</v>
      </c>
      <c r="N12" s="164" cm="1">
        <f t="array" ref="N12">_xlfn.LET(_xlpm.data,_xlfn.VSTACK(_xlfn.VSTACK(MS:META!N12),_xlfn.VSTACK('MDA1:NCA9'!N3)),_xlpm.states,_xlfn.VSTACK('MS:NCA9'!$B$2),
SUM(_xlfn._xlws.FILTER(_xlpm.data,(_xlpm.states="new jersey")+(_xlpm.states="M&amp;A"))))</f>
        <v>522.20000000000005</v>
      </c>
      <c r="O12" s="164" cm="1">
        <f t="array" ref="O12">_xlfn.LET(_xlpm.data,_xlfn.VSTACK(_xlfn.VSTACK(MS:META!O12),_xlfn.VSTACK('MDA1:NCA9'!O3)),_xlpm.states,_xlfn.VSTACK('MS:NCA9'!$B$2),
SUM(_xlfn._xlws.FILTER(_xlpm.data,(_xlpm.states="new jersey")+(_xlpm.states="M&amp;A"))))</f>
        <v>553.73333333333335</v>
      </c>
      <c r="P12" s="164" cm="1">
        <f t="array" ref="P12">_xlfn.LET(_xlpm.data,_xlfn.VSTACK(_xlfn.VSTACK(MS:META!P12),_xlfn.VSTACK('MDA1:NCA9'!P3)),_xlpm.states,_xlfn.VSTACK('MS:NCA9'!$B$2),
SUM(_xlfn._xlws.FILTER(_xlpm.data,(_xlpm.states="new jersey")+(_xlpm.states="M&amp;A"))))</f>
        <v>584.5</v>
      </c>
      <c r="Q12" s="164" cm="1">
        <f t="array" ref="Q12">_xlfn.LET(_xlpm.data,_xlfn.VSTACK(_xlfn.VSTACK(MS:META!Q12),_xlfn.VSTACK('MDA1:NCA9'!Q3)),_xlpm.states,_xlfn.VSTACK('MS:NCA9'!$B$2),
SUM(_xlfn._xlws.FILTER(_xlpm.data,(_xlpm.states="new jersey")+(_xlpm.states="M&amp;A"))))</f>
        <v>639.4666666666667</v>
      </c>
      <c r="R12" s="164" cm="1">
        <f t="array" ref="R12">_xlfn.LET(_xlpm.data,_xlfn.VSTACK(_xlfn.VSTACK(MS:META!R12),_xlfn.VSTACK('MDA1:NCA9'!R3)),_xlpm.states,_xlfn.VSTACK('MS:NCA9'!$B$2),
SUM(_xlfn._xlws.FILTER(_xlpm.data,(_xlpm.states="new jersey")+(_xlpm.states="M&amp;A"))))</f>
        <v>695.53333333333342</v>
      </c>
      <c r="S12" s="164" cm="1">
        <f t="array" ref="S12">_xlfn.LET(_xlpm.data,_xlfn.VSTACK(_xlfn.VSTACK(MS:META!S12),_xlfn.VSTACK('MDA1:NCA9'!S3)),_xlpm.states,_xlfn.VSTACK('MS:NCA9'!$B$2),
SUM(_xlfn._xlws.FILTER(_xlpm.data,(_xlpm.states="new jersey")+(_xlpm.states="M&amp;A"))))</f>
        <v>751.76666666666665</v>
      </c>
      <c r="T12" s="164" cm="1">
        <f t="array" ref="T12">_xlfn.LET(_xlpm.data,_xlfn.VSTACK(_xlfn.VSTACK(MS:META!T12),_xlfn.VSTACK('MDA1:NCA9'!T3)),_xlpm.states,_xlfn.VSTACK('MS:NCA9'!$B$2),
SUM(_xlfn._xlws.FILTER(_xlpm.data,(_xlpm.states="new jersey")+(_xlpm.states="M&amp;A"))))</f>
        <v>788.36666666666656</v>
      </c>
      <c r="U12" s="164" cm="1">
        <f t="array" ref="U12">_xlfn.LET(_xlpm.data,_xlfn.VSTACK(_xlfn.VSTACK(MS:META!U12),_xlfn.VSTACK('MDA1:NCA9'!U3)),_xlpm.states,_xlfn.VSTACK('MS:NCA9'!$B$2),
SUM(_xlfn._xlws.FILTER(_xlpm.data,(_xlpm.states="new jersey")+(_xlpm.states="M&amp;A"))))</f>
        <v>825.90000000000009</v>
      </c>
      <c r="V12" s="164" cm="1">
        <f t="array" ref="V12">_xlfn.LET(_xlpm.data,_xlfn.VSTACK(_xlfn.VSTACK(MS:META!V12),_xlfn.VSTACK('MDA1:NCA9'!V3)),_xlpm.states,_xlfn.VSTACK('MS:NCA9'!$B$2),
SUM(_xlfn._xlws.FILTER(_xlpm.data,(_xlpm.states="new jersey")+(_xlpm.states="M&amp;A"))))</f>
        <v>863.1</v>
      </c>
      <c r="W12" s="164" cm="1">
        <f t="array" ref="W12">_xlfn.LET(_xlpm.data,_xlfn.VSTACK(_xlfn.VSTACK(MS:META!W12),_xlfn.VSTACK('MDA1:NCA9'!W3)),_xlpm.states,_xlfn.VSTACK('MS:NCA9'!$B$2),
SUM(_xlfn._xlws.FILTER(_xlpm.data,(_xlpm.states="new jersey")+(_xlpm.states="M&amp;A"))))</f>
        <v>881.76666666666654</v>
      </c>
      <c r="X12" s="164" cm="1">
        <f t="array" ref="X12">_xlfn.LET(_xlpm.data,_xlfn.VSTACK(_xlfn.VSTACK(MS:META!X12),_xlfn.VSTACK('MDA1:NCA9'!X3)),_xlpm.states,_xlfn.VSTACK('MS:NCA9'!$B$2),
SUM(_xlfn._xlws.FILTER(_xlpm.data,(_xlpm.states="new jersey")+(_xlpm.states="M&amp;A"))))</f>
        <v>901.70000000000016</v>
      </c>
      <c r="Y12" s="164" cm="1">
        <f t="array" ref="Y12">_xlfn.LET(_xlpm.data,_xlfn.VSTACK(_xlfn.VSTACK(MS:META!Y12),_xlfn.VSTACK('MDA1:NCA9'!Y3)),_xlpm.states,_xlfn.VSTACK('MS:NCA9'!$B$2),
SUM(_xlfn._xlws.FILTER(_xlpm.data,(_xlpm.states="new jersey")+(_xlpm.states="M&amp;A"))))</f>
        <v>919.59999999999991</v>
      </c>
      <c r="Z12" s="164" cm="1">
        <f t="array" ref="Z12">_xlfn.LET(_xlpm.data,_xlfn.VSTACK(_xlfn.VSTACK(MS:META!Z12),_xlfn.VSTACK('MDA1:NCA9'!Z3)),_xlpm.states,_xlfn.VSTACK('MS:NCA9'!$B$2),
SUM(_xlfn._xlws.FILTER(_xlpm.data,(_xlpm.states="new jersey")+(_xlpm.states="M&amp;A"))))</f>
        <v>939.69999999999982</v>
      </c>
      <c r="AA12" s="164" cm="1">
        <f t="array" ref="AA12">_xlfn.LET(_xlpm.data,_xlfn.VSTACK(_xlfn.VSTACK(MS:META!AA12),_xlfn.VSTACK('MDA1:NCA9'!AA3)),_xlpm.states,_xlfn.VSTACK('MS:NCA9'!$B$2),
SUM(_xlfn._xlws.FILTER(_xlpm.data,(_xlpm.states="new jersey")+(_xlpm.states="M&amp;A"))))</f>
        <v>958.70000000000016</v>
      </c>
      <c r="AB12" s="164" cm="1">
        <f t="array" ref="AB12">_xlfn.LET(_xlpm.data,_xlfn.VSTACK(_xlfn.VSTACK(MS:META!AB12),_xlfn.VSTACK('MDA1:NCA9'!AB3)),_xlpm.states,_xlfn.VSTACK('MS:NCA9'!$B$2),
SUM(_xlfn._xlws.FILTER(_xlpm.data,(_xlpm.states="new jersey")+(_xlpm.states="M&amp;A"))))</f>
        <v>977.7</v>
      </c>
      <c r="AC12" s="164" cm="1">
        <f t="array" ref="AC12">_xlfn.LET(_xlpm.data,_xlfn.VSTACK(_xlfn.VSTACK(MS:META!AC12),_xlfn.VSTACK('MDA1:NCA9'!AC3)),_xlpm.states,_xlfn.VSTACK('MS:NCA9'!$B$2),
SUM(_xlfn._xlws.FILTER(_xlpm.data,(_xlpm.states="new jersey")+(_xlpm.states="M&amp;A"))))</f>
        <v>1021.8333333333333</v>
      </c>
      <c r="AD12" s="164" cm="1">
        <f t="array" ref="AD12">_xlfn.LET(_xlpm.data,_xlfn.VSTACK(_xlfn.VSTACK(MS:META!AD12),_xlfn.VSTACK('MDA1:NCA9'!AD3)),_xlpm.states,_xlfn.VSTACK('MS:NCA9'!$B$2),
SUM(_xlfn._xlws.FILTER(_xlpm.data,(_xlpm.states="new jersey")+(_xlpm.states="M&amp;A"))))</f>
        <v>1060.4666666666665</v>
      </c>
      <c r="AE12" s="164" cm="1">
        <f t="array" ref="AE12">_xlfn.LET(_xlpm.data,_xlfn.VSTACK(_xlfn.VSTACK(MS:META!AE12),_xlfn.VSTACK('MDA1:NCA9'!AE3)),_xlpm.states,_xlfn.VSTACK('MS:NCA9'!$B$2),
SUM(_xlfn._xlws.FILTER(_xlpm.data,(_xlpm.states="new jersey")+(_xlpm.states="M&amp;A"))))</f>
        <v>1100.0333333333333</v>
      </c>
      <c r="AF12" s="164" cm="1">
        <f t="array" ref="AF12">_xlfn.LET(_xlpm.data,_xlfn.VSTACK(_xlfn.VSTACK(MS:META!AF12),_xlfn.VSTACK('MDA1:NCA9'!AF3)),_xlpm.states,_xlfn.VSTACK('MS:NCA9'!$B$2),
SUM(_xlfn._xlws.FILTER(_xlpm.data,(_xlpm.states="new jersey")+(_xlpm.states="M&amp;A"))))</f>
        <v>1138.3333333333335</v>
      </c>
      <c r="AG12" s="164" cm="1">
        <f t="array" ref="AG12">_xlfn.LET(_xlpm.data,_xlfn.VSTACK(_xlfn.VSTACK(MS:META!AG12),_xlfn.VSTACK('MDA1:NCA9'!AG3)),_xlpm.states,_xlfn.VSTACK('MS:NCA9'!$B$2),
SUM(_xlfn._xlws.FILTER(_xlpm.data,(_xlpm.states="new jersey")+(_xlpm.states="M&amp;A"))))</f>
        <v>1176.4666666666665</v>
      </c>
      <c r="AH12" s="164" cm="1">
        <f t="array" ref="AH12">_xlfn.LET(_xlpm.data,_xlfn.VSTACK(_xlfn.VSTACK(MS:META!AH12),_xlfn.VSTACK('MDA1:NCA9'!AH3)),_xlpm.states,_xlfn.VSTACK('MS:NCA9'!$B$2),
SUM(_xlfn._xlws.FILTER(_xlpm.data,(_xlpm.states="new jersey")+(_xlpm.states="M&amp;A"))))</f>
        <v>1216.8</v>
      </c>
      <c r="AI12" s="164" cm="1">
        <f t="array" ref="AI12">_xlfn.LET(_xlpm.data,_xlfn.VSTACK(_xlfn.VSTACK(MS:META!AI12),_xlfn.VSTACK('MDA1:NCA9'!AI3)),_xlpm.states,_xlfn.VSTACK('MS:NCA9'!$B$2),
SUM(_xlfn._xlws.FILTER(_xlpm.data,(_xlpm.states="new jersey")+(_xlpm.states="M&amp;A"))))</f>
        <v>1235.1333333333334</v>
      </c>
      <c r="AJ12" s="164" cm="1">
        <f t="array" ref="AJ12">_xlfn.LET(_xlpm.data,_xlfn.VSTACK(_xlfn.VSTACK(MS:META!AJ12),_xlfn.VSTACK('MDA1:NCA9'!AJ3)),_xlpm.states,_xlfn.VSTACK('MS:NCA9'!$B$2),
SUM(_xlfn._xlws.FILTER(_xlpm.data,(_xlpm.states="new jersey")+(_xlpm.states="M&amp;A"))))</f>
        <v>1256.7666666666664</v>
      </c>
      <c r="AK12" s="164" cm="1">
        <f t="array" ref="AK12">_xlfn.LET(_xlpm.data,_xlfn.VSTACK(_xlfn.VSTACK(MS:META!AK12),_xlfn.VSTACK('MDA1:NCA9'!AK3)),_xlpm.states,_xlfn.VSTACK('MS:NCA9'!$B$2),
SUM(_xlfn._xlws.FILTER(_xlpm.data,(_xlpm.states="new jersey")+(_xlpm.states="M&amp;A"))))</f>
        <v>1276.3666666666668</v>
      </c>
      <c r="AL12" s="164" cm="1">
        <f t="array" ref="AL12">_xlfn.LET(_xlpm.data,_xlfn.VSTACK(_xlfn.VSTACK(MS:META!AL12),_xlfn.VSTACK('MDA1:NCA9'!AL3)),_xlpm.states,_xlfn.VSTACK('MS:NCA9'!$B$2),
SUM(_xlfn._xlws.FILTER(_xlpm.data,(_xlpm.states="new jersey")+(_xlpm.states="M&amp;A"))))</f>
        <v>1297.2333333333333</v>
      </c>
      <c r="AM12" s="164" cm="1">
        <f t="array" ref="AM12">_xlfn.LET(_xlpm.data,_xlfn.VSTACK(_xlfn.VSTACK(MS:META!AM12),_xlfn.VSTACK('MDA1:NCA9'!AM3)),_xlpm.states,_xlfn.VSTACK('MS:NCA9'!$B$2),
SUM(_xlfn._xlws.FILTER(_xlpm.data,(_xlpm.states="new jersey")+(_xlpm.states="M&amp;A"))))</f>
        <v>1312.6</v>
      </c>
      <c r="AN12" s="164" cm="1">
        <f t="array" ref="AN12">_xlfn.LET(_xlpm.data,_xlfn.VSTACK(_xlfn.VSTACK(MS:META!AN12),_xlfn.VSTACK('MDA1:NCA9'!AN3)),_xlpm.states,_xlfn.VSTACK('MS:NCA9'!$B$2),
SUM(_xlfn._xlws.FILTER(_xlpm.data,(_xlpm.states="new jersey")+(_xlpm.states="M&amp;A"))))</f>
        <v>1325.7666666666669</v>
      </c>
    </row>
    <row r="13" spans="1:40" collapsed="1" x14ac:dyDescent="0.25">
      <c r="B13" s="3"/>
      <c r="C13" s="3"/>
      <c r="D13" s="3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</row>
    <row r="14" spans="1:40" hidden="1" outlineLevel="1" x14ac:dyDescent="0.25">
      <c r="B14" s="3"/>
      <c r="C14" s="3"/>
      <c r="D14" s="3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</row>
    <row r="15" spans="1:40" hidden="1" outlineLevel="1" x14ac:dyDescent="0.25">
      <c r="B15" s="3"/>
      <c r="C15" s="3"/>
      <c r="D15" s="3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</row>
    <row r="16" spans="1:40" hidden="1" outlineLevel="1" x14ac:dyDescent="0.25">
      <c r="B16" s="3"/>
      <c r="C16" s="3"/>
      <c r="D16" s="3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</row>
    <row r="17" spans="2:40" hidden="1" outlineLevel="1" x14ac:dyDescent="0.25">
      <c r="B17" s="3"/>
      <c r="C17" s="3"/>
      <c r="D17" s="3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</row>
    <row r="18" spans="2:40" hidden="1" outlineLevel="1" x14ac:dyDescent="0.25">
      <c r="B18" s="3"/>
      <c r="C18" s="3"/>
      <c r="D18" s="3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</row>
    <row r="19" spans="2:40" hidden="1" outlineLevel="1" x14ac:dyDescent="0.25">
      <c r="B19" s="3"/>
      <c r="C19" s="3"/>
      <c r="D19" s="3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</row>
    <row r="20" spans="2:40" hidden="1" outlineLevel="1" x14ac:dyDescent="0.25">
      <c r="B20" s="3"/>
      <c r="C20" s="3"/>
      <c r="D20" s="3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</row>
    <row r="21" spans="2:40" hidden="1" outlineLevel="1" collapsed="1" x14ac:dyDescent="0.25">
      <c r="B21" s="2"/>
      <c r="D21" s="55"/>
      <c r="E21" s="60"/>
      <c r="F21" s="60"/>
      <c r="G21" s="60"/>
      <c r="H21" s="60"/>
      <c r="I21" s="60"/>
      <c r="J21" s="60"/>
      <c r="K21" s="60"/>
      <c r="L21" s="60"/>
      <c r="M21" s="60"/>
      <c r="N21" s="60"/>
      <c r="O21" s="60"/>
      <c r="P21" s="60"/>
      <c r="Q21" s="60"/>
      <c r="R21" s="60"/>
      <c r="S21" s="60"/>
      <c r="T21" s="60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60"/>
      <c r="AG21" s="60"/>
      <c r="AH21" s="60"/>
      <c r="AI21" s="60"/>
      <c r="AJ21" s="60"/>
      <c r="AK21" s="60"/>
      <c r="AL21" s="60"/>
      <c r="AM21" s="60"/>
      <c r="AN21" s="60"/>
    </row>
    <row r="22" spans="2:40" collapsed="1" x14ac:dyDescent="0.25">
      <c r="B22" s="2" t="s">
        <v>286</v>
      </c>
      <c r="D22" s="55"/>
      <c r="E22" s="60" cm="1">
        <f t="array" ref="E22:AN22">_xlfn.BYCOL($E$26:$AN$30,_xlfn.LAMBDA(_xlpm.a,SUM(_xlpm.a)))/$E$23:$AN$23*0.94</f>
        <v>167.97826809444499</v>
      </c>
      <c r="F22" s="60">
        <v>168.39586033175758</v>
      </c>
      <c r="G22" s="60">
        <v>168.52631447833534</v>
      </c>
      <c r="H22" s="60">
        <v>168.55537002308739</v>
      </c>
      <c r="I22" s="60">
        <v>168.60971621311978</v>
      </c>
      <c r="J22" s="60">
        <v>168.6521881950961</v>
      </c>
      <c r="K22" s="60">
        <v>168.52249741606181</v>
      </c>
      <c r="L22" s="60">
        <v>168.40721916186789</v>
      </c>
      <c r="M22" s="60">
        <v>168.28762663914947</v>
      </c>
      <c r="N22" s="60">
        <v>168.23218886093159</v>
      </c>
      <c r="O22" s="60">
        <v>168.17411958261562</v>
      </c>
      <c r="P22" s="60">
        <v>168.12488300867318</v>
      </c>
      <c r="Q22" s="60">
        <v>142.26124044890204</v>
      </c>
      <c r="R22" s="60">
        <v>139.51350604468422</v>
      </c>
      <c r="S22" s="60">
        <v>137.27669169672481</v>
      </c>
      <c r="T22" s="60">
        <v>137.04760567672093</v>
      </c>
      <c r="U22" s="60">
        <v>136.36960912787779</v>
      </c>
      <c r="V22" s="60">
        <v>135.74092300315414</v>
      </c>
      <c r="W22" s="60">
        <v>136.99693006817012</v>
      </c>
      <c r="X22" s="60">
        <v>138.06954026471357</v>
      </c>
      <c r="Y22" s="60">
        <v>138.90925120804826</v>
      </c>
      <c r="Z22" s="60">
        <v>139.62658772557236</v>
      </c>
      <c r="AA22" s="60">
        <v>140.3413238432031</v>
      </c>
      <c r="AB22" s="60">
        <v>140.75856844017414</v>
      </c>
      <c r="AC22" s="60">
        <v>139.42143034637996</v>
      </c>
      <c r="AD22" s="60">
        <v>138.55003015567453</v>
      </c>
      <c r="AE22" s="60">
        <v>137.50215160383459</v>
      </c>
      <c r="AF22" s="60">
        <v>136.59781350734366</v>
      </c>
      <c r="AG22" s="60">
        <v>135.69316376386737</v>
      </c>
      <c r="AH22" s="60">
        <v>135.15663853686735</v>
      </c>
      <c r="AI22" s="60">
        <v>135.99006098664407</v>
      </c>
      <c r="AJ22" s="60">
        <v>136.6196315145595</v>
      </c>
      <c r="AK22" s="60">
        <v>137.14757053900863</v>
      </c>
      <c r="AL22" s="60">
        <v>137.38236354279411</v>
      </c>
      <c r="AM22" s="60">
        <v>137.96022160604488</v>
      </c>
      <c r="AN22" s="60">
        <v>138.55374292406063</v>
      </c>
    </row>
    <row r="23" spans="2:40" x14ac:dyDescent="0.25">
      <c r="B23" s="2" t="s">
        <v>53</v>
      </c>
      <c r="C23" s="3"/>
      <c r="D23" s="3"/>
      <c r="E23" s="53" cm="1">
        <f t="array" ref="E23">_xlfn.LET(_xlpm.data,_xlfn.VSTACK('MS:NCA9'!E23),_xlpm.states,_xlfn.VSTACK('MS:NCA9'!$B$2),
SUM(_xlfn._xlws.FILTER(_xlpm.data,(_xlpm.states="new jersey")+(_xlpm.states="M&amp;A"))))</f>
        <v>9110.3466666666664</v>
      </c>
      <c r="F23" s="53" cm="1">
        <f t="array" ref="F23">_xlfn.LET(_xlpm.data,_xlfn.VSTACK('MS:NCA9'!F23),_xlpm.states,_xlfn.VSTACK('MS:NCA9'!$B$2),
SUM(_xlfn._xlws.FILTER(_xlpm.data,(_xlpm.states="new jersey")+(_xlpm.states="M&amp;A"))))</f>
        <v>13877.599999999999</v>
      </c>
      <c r="G23" s="53" cm="1">
        <f t="array" ref="G23">_xlfn.LET(_xlpm.data,_xlfn.VSTACK('MS:NCA9'!G23),_xlpm.states,_xlfn.VSTACK('MS:NCA9'!$B$2),
SUM(_xlfn._xlws.FILTER(_xlpm.data,(_xlpm.states="new jersey")+(_xlpm.states="M&amp;A"))))</f>
        <v>19221.546666666669</v>
      </c>
      <c r="H23" s="53" cm="1">
        <f t="array" ref="H23">_xlfn.LET(_xlpm.data,_xlfn.VSTACK('MS:NCA9'!H23),_xlpm.states,_xlfn.VSTACK('MS:NCA9'!$B$2),
SUM(_xlfn._xlws.FILTER(_xlpm.data,(_xlpm.states="new jersey")+(_xlpm.states="M&amp;A"))))</f>
        <v>25035.266666666663</v>
      </c>
      <c r="I23" s="53" cm="1">
        <f t="array" ref="I23">_xlfn.LET(_xlpm.data,_xlfn.VSTACK('MS:NCA9'!I23),_xlpm.states,_xlfn.VSTACK('MS:NCA9'!$B$2),
SUM(_xlfn._xlws.FILTER(_xlpm.data,(_xlpm.states="new jersey")+(_xlpm.states="M&amp;A"))))</f>
        <v>30375.399999999994</v>
      </c>
      <c r="J23" s="53" cm="1">
        <f t="array" ref="J23">_xlfn.LET(_xlpm.data,_xlfn.VSTACK('MS:NCA9'!J23),_xlpm.states,_xlfn.VSTACK('MS:NCA9'!$B$2),
SUM(_xlfn._xlws.FILTER(_xlpm.data,(_xlpm.states="new jersey")+(_xlpm.states="M&amp;A"))))</f>
        <v>35818.786666666667</v>
      </c>
      <c r="K23" s="53" cm="1">
        <f t="array" ref="K23">_xlfn.LET(_xlpm.data,_xlfn.VSTACK('MS:NCA9'!K23),_xlpm.states,_xlfn.VSTACK('MS:NCA9'!$B$2),
SUM(_xlfn._xlws.FILTER(_xlpm.data,(_xlpm.states="new jersey")+(_xlpm.states="M&amp;A"))))</f>
        <v>38068.506666666661</v>
      </c>
      <c r="L23" s="53" cm="1">
        <f t="array" ref="L23">_xlfn.LET(_xlpm.data,_xlfn.VSTACK('MS:NCA9'!L23),_xlpm.states,_xlfn.VSTACK('MS:NCA9'!$B$2),
SUM(_xlfn._xlws.FILTER(_xlpm.data,(_xlpm.states="new jersey")+(_xlpm.states="M&amp;A"))))</f>
        <v>40316.32</v>
      </c>
      <c r="M23" s="53" cm="1">
        <f t="array" ref="M23">_xlfn.LET(_xlpm.data,_xlfn.VSTACK('MS:NCA9'!M23),_xlpm.states,_xlfn.VSTACK('MS:NCA9'!$B$2),
SUM(_xlfn._xlws.FILTER(_xlpm.data,(_xlpm.states="new jersey")+(_xlpm.states="M&amp;A"))))</f>
        <v>42930.799999999996</v>
      </c>
      <c r="N23" s="53" cm="1">
        <f t="array" ref="N23">_xlfn.LET(_xlpm.data,_xlfn.VSTACK('MS:NCA9'!N23),_xlpm.states,_xlfn.VSTACK('MS:NCA9'!$B$2),
SUM(_xlfn._xlws.FILTER(_xlpm.data,(_xlpm.states="new jersey")+(_xlpm.states="M&amp;A"))))</f>
        <v>46732.693333333329</v>
      </c>
      <c r="O23" s="53" cm="1">
        <f t="array" ref="O23">_xlfn.LET(_xlpm.data,_xlfn.VSTACK('MS:NCA9'!O23),_xlpm.states,_xlfn.VSTACK('MS:NCA9'!$B$2),
SUM(_xlfn._xlws.FILTER(_xlpm.data,(_xlpm.states="new jersey")+(_xlpm.states="M&amp;A"))))</f>
        <v>50954.786666666652</v>
      </c>
      <c r="P23" s="53" cm="1">
        <f t="array" ref="P23">_xlfn.LET(_xlpm.data,_xlfn.VSTACK('MS:NCA9'!P23),_xlpm.states,_xlfn.VSTACK('MS:NCA9'!$B$2),
SUM(_xlfn._xlws.FILTER(_xlpm.data,(_xlpm.states="new jersey")+(_xlpm.states="M&amp;A"))))</f>
        <v>55174.973333333335</v>
      </c>
      <c r="Q23" s="53" cm="1">
        <f t="array" ref="Q23">_xlfn.LET(_xlpm.data,_xlfn.VSTACK('MS:NCA9'!Q23),_xlpm.states,_xlfn.VSTACK('MS:NCA9'!$B$2),
SUM(_xlfn._xlws.FILTER(_xlpm.data,(_xlpm.states="new jersey")+(_xlpm.states="M&amp;A"))))</f>
        <v>60530.946666666663</v>
      </c>
      <c r="R23" s="53" cm="1">
        <f t="array" ref="R23">_xlfn.LET(_xlpm.data,_xlfn.VSTACK('MS:NCA9'!R23),_xlpm.states,_xlfn.VSTACK('MS:NCA9'!$B$2),
SUM(_xlfn._xlws.FILTER(_xlpm.data,(_xlpm.states="new jersey")+(_xlpm.states="M&amp;A"))))</f>
        <v>65310.373333333329</v>
      </c>
      <c r="S23" s="53" cm="1">
        <f t="array" ref="S23">_xlfn.LET(_xlpm.data,_xlfn.VSTACK('MS:NCA9'!S23),_xlpm.states,_xlfn.VSTACK('MS:NCA9'!$B$2),
SUM(_xlfn._xlws.FILTER(_xlpm.data,(_xlpm.states="new jersey")+(_xlpm.states="M&amp;A"))))</f>
        <v>70506.186666666646</v>
      </c>
      <c r="T23" s="53" cm="1">
        <f t="array" ref="T23">_xlfn.LET(_xlpm.data,_xlfn.VSTACK('MS:NCA9'!T23),_xlpm.states,_xlfn.VSTACK('MS:NCA9'!$B$2),
SUM(_xlfn._xlws.FILTER(_xlpm.data,(_xlpm.states="new jersey")+(_xlpm.states="M&amp;A"))))</f>
        <v>74824.34666666665</v>
      </c>
      <c r="U23" s="53" cm="1">
        <f t="array" ref="U23">_xlfn.LET(_xlpm.data,_xlfn.VSTACK('MS:NCA9'!U23),_xlpm.states,_xlfn.VSTACK('MS:NCA9'!$B$2),
SUM(_xlfn._xlws.FILTER(_xlpm.data,(_xlpm.states="new jersey")+(_xlpm.states="M&amp;A"))))</f>
        <v>78460.799999999988</v>
      </c>
      <c r="V23" s="53" cm="1">
        <f t="array" ref="V23">_xlfn.LET(_xlpm.data,_xlfn.VSTACK('MS:NCA9'!V23),_xlpm.states,_xlfn.VSTACK('MS:NCA9'!$B$2),
SUM(_xlfn._xlws.FILTER(_xlpm.data,(_xlpm.states="new jersey")+(_xlpm.states="M&amp;A"))))</f>
        <v>81786.026666666643</v>
      </c>
      <c r="W23" s="53" cm="1">
        <f t="array" ref="W23">_xlfn.LET(_xlpm.data,_xlfn.VSTACK('MS:NCA9'!W23),_xlpm.states,_xlfn.VSTACK('MS:NCA9'!$B$2),
SUM(_xlfn._xlws.FILTER(_xlpm.data,(_xlpm.states="new jersey")+(_xlpm.states="M&amp;A"))))</f>
        <v>84548.639999999985</v>
      </c>
      <c r="X23" s="53" cm="1">
        <f t="array" ref="X23">_xlfn.LET(_xlpm.data,_xlfn.VSTACK('MS:NCA9'!X23),_xlpm.states,_xlfn.VSTACK('MS:NCA9'!$B$2),
SUM(_xlfn._xlws.FILTER(_xlpm.data,(_xlpm.states="new jersey")+(_xlpm.states="M&amp;A"))))</f>
        <v>87626.293333333306</v>
      </c>
      <c r="Y23" s="53" cm="1">
        <f t="array" ref="Y23">_xlfn.LET(_xlpm.data,_xlfn.VSTACK('MS:NCA9'!Y23),_xlpm.states,_xlfn.VSTACK('MS:NCA9'!$B$2),
SUM(_xlfn._xlws.FILTER(_xlpm.data,(_xlpm.states="new jersey")+(_xlpm.states="M&amp;A"))))</f>
        <v>90182.39999999998</v>
      </c>
      <c r="Z23" s="53" cm="1">
        <f t="array" ref="Z23">_xlfn.LET(_xlpm.data,_xlfn.VSTACK('MS:NCA9'!Z23),_xlpm.states,_xlfn.VSTACK('MS:NCA9'!$B$2),
SUM(_xlfn._xlws.FILTER(_xlpm.data,(_xlpm.states="new jersey")+(_xlpm.states="M&amp;A"))))</f>
        <v>93048.266666666648</v>
      </c>
      <c r="AA23" s="53" cm="1">
        <f t="array" ref="AA23">_xlfn.LET(_xlpm.data,_xlfn.VSTACK('MS:NCA9'!AA23),_xlpm.states,_xlfn.VSTACK('MS:NCA9'!$B$2),
SUM(_xlfn._xlws.FILTER(_xlpm.data,(_xlpm.states="new jersey")+(_xlpm.states="M&amp;A"))))</f>
        <v>95914.133333333302</v>
      </c>
      <c r="AB23" s="53" cm="1">
        <f t="array" ref="AB23">_xlfn.LET(_xlpm.data,_xlfn.VSTACK('MS:NCA9'!AB23),_xlpm.states,_xlfn.VSTACK('MS:NCA9'!$B$2),
SUM(_xlfn._xlws.FILTER(_xlpm.data,(_xlpm.states="new jersey")+(_xlpm.states="M&amp;A"))))</f>
        <v>98940.15999999996</v>
      </c>
      <c r="AC23" s="53" cm="1">
        <f t="array" ref="AC23">_xlfn.LET(_xlpm.data,_xlfn.VSTACK('MS:NCA9'!AC23),_xlpm.states,_xlfn.VSTACK('MS:NCA9'!$B$2),
SUM(_xlfn._xlws.FILTER(_xlpm.data,(_xlpm.states="new jersey")+(_xlpm.states="M&amp;A"))))</f>
        <v>102683.67999999995</v>
      </c>
      <c r="AD23" s="53" cm="1">
        <f t="array" ref="AD23">_xlfn.LET(_xlpm.data,_xlfn.VSTACK('MS:NCA9'!AD23),_xlpm.states,_xlfn.VSTACK('MS:NCA9'!$B$2),
SUM(_xlfn._xlws.FILTER(_xlpm.data,(_xlpm.states="new jersey")+(_xlpm.states="M&amp;A"))))</f>
        <v>106272.31999999995</v>
      </c>
      <c r="AE23" s="53" cm="1">
        <f t="array" ref="AE23">_xlfn.LET(_xlpm.data,_xlfn.VSTACK('MS:NCA9'!AE23),_xlpm.states,_xlfn.VSTACK('MS:NCA9'!$B$2),
SUM(_xlfn._xlws.FILTER(_xlpm.data,(_xlpm.states="new jersey")+(_xlpm.states="M&amp;A"))))</f>
        <v>109964.21333333327</v>
      </c>
      <c r="AF23" s="53" cm="1">
        <f t="array" ref="AF23">_xlfn.LET(_xlpm.data,_xlfn.VSTACK('MS:NCA9'!AF23),_xlpm.states,_xlfn.VSTACK('MS:NCA9'!$B$2),
SUM(_xlfn._xlws.FILTER(_xlpm.data,(_xlpm.states="new jersey")+(_xlpm.states="M&amp;A"))))</f>
        <v>113501.22666666661</v>
      </c>
      <c r="AG23" s="53" cm="1">
        <f t="array" ref="AG23">_xlfn.LET(_xlpm.data,_xlfn.VSTACK('MS:NCA9'!AG23),_xlpm.states,_xlfn.VSTACK('MS:NCA9'!$B$2),
SUM(_xlfn._xlws.FILTER(_xlpm.data,(_xlpm.states="new jersey")+(_xlpm.states="M&amp;A"))))</f>
        <v>116723.19999999994</v>
      </c>
      <c r="AH23" s="53" cm="1">
        <f t="array" ref="AH23">_xlfn.LET(_xlpm.data,_xlfn.VSTACK('MS:NCA9'!AH23),_xlpm.states,_xlfn.VSTACK('MS:NCA9'!$B$2),
SUM(_xlfn._xlws.FILTER(_xlpm.data,(_xlpm.states="new jersey")+(_xlpm.states="M&amp;A"))))</f>
        <v>120100.05333333327</v>
      </c>
      <c r="AI23" s="53" cm="1">
        <f t="array" ref="AI23">_xlfn.LET(_xlpm.data,_xlfn.VSTACK('MS:NCA9'!AI23),_xlpm.states,_xlfn.VSTACK('MS:NCA9'!$B$2),
SUM(_xlfn._xlws.FILTER(_xlpm.data,(_xlpm.states="new jersey")+(_xlpm.states="M&amp;A"))))</f>
        <v>122862.6666666666</v>
      </c>
      <c r="AJ23" s="53" cm="1">
        <f t="array" ref="AJ23">_xlfn.LET(_xlpm.data,_xlfn.VSTACK('MS:NCA9'!AJ23),_xlpm.states,_xlfn.VSTACK('MS:NCA9'!$B$2),
SUM(_xlfn._xlws.FILTER(_xlpm.data,(_xlpm.states="new jersey")+(_xlpm.states="M&amp;A"))))</f>
        <v>125940.31999999992</v>
      </c>
      <c r="AK23" s="53" cm="1">
        <f t="array" ref="AK23">_xlfn.LET(_xlpm.data,_xlfn.VSTACK('MS:NCA9'!AK23),_xlpm.states,_xlfn.VSTACK('MS:NCA9'!$B$2),
SUM(_xlfn._xlws.FILTER(_xlpm.data,(_xlpm.states="new jersey")+(_xlpm.states="M&amp;A"))))</f>
        <v>128966.34666666658</v>
      </c>
      <c r="AL23" s="53" cm="1">
        <f t="array" ref="AL23">_xlfn.LET(_xlpm.data,_xlfn.VSTACK('MS:NCA9'!AL23),_xlpm.states,_xlfn.VSTACK('MS:NCA9'!$B$2),
SUM(_xlfn._xlws.FILTER(_xlpm.data,(_xlpm.states="new jersey")+(_xlpm.states="M&amp;A"))))</f>
        <v>132095.62666666659</v>
      </c>
      <c r="AM23" s="53" cm="1">
        <f t="array" ref="AM23">_xlfn.LET(_xlpm.data,_xlfn.VSTACK('MS:NCA9'!AM23),_xlpm.states,_xlfn.VSTACK('MS:NCA9'!$B$2),
SUM(_xlfn._xlws.FILTER(_xlpm.data,(_xlpm.states="new jersey")+(_xlpm.states="M&amp;A"))))</f>
        <v>135333.43999999992</v>
      </c>
      <c r="AN23" s="53" cm="1">
        <f t="array" ref="AN23">_xlfn.LET(_xlpm.data,_xlfn.VSTACK('MS:NCA9'!AN23),_xlpm.states,_xlfn.VSTACK('MS:NCA9'!$B$2),
SUM(_xlfn._xlws.FILTER(_xlpm.data,(_xlpm.states="new jersey")+(_xlpm.states="M&amp;A"))))</f>
        <v>138364.74666666659</v>
      </c>
    </row>
    <row r="24" spans="2:40" x14ac:dyDescent="0.25">
      <c r="B24" s="3"/>
      <c r="C24" s="3"/>
      <c r="D24" s="3"/>
      <c r="E24" s="56"/>
      <c r="F24" s="56"/>
      <c r="G24" s="56"/>
      <c r="H24" s="56"/>
      <c r="I24" s="56"/>
      <c r="J24" s="56"/>
      <c r="K24" s="56"/>
      <c r="L24" s="56"/>
      <c r="M24" s="56"/>
      <c r="N24" s="56"/>
      <c r="O24" s="56"/>
      <c r="P24" s="56"/>
      <c r="Q24" s="56"/>
      <c r="R24" s="56"/>
      <c r="S24" s="56"/>
      <c r="T24" s="56"/>
      <c r="U24" s="56"/>
      <c r="V24" s="56"/>
      <c r="W24" s="56"/>
      <c r="X24" s="56"/>
      <c r="Y24" s="56"/>
      <c r="Z24" s="56"/>
      <c r="AA24" s="56"/>
      <c r="AB24" s="56"/>
      <c r="AC24" s="56"/>
      <c r="AD24" s="56"/>
      <c r="AE24" s="56"/>
      <c r="AF24" s="56"/>
      <c r="AG24" s="56"/>
      <c r="AH24" s="56"/>
      <c r="AI24" s="56"/>
      <c r="AJ24" s="56"/>
      <c r="AK24" s="56"/>
      <c r="AL24" s="56"/>
      <c r="AM24" s="56"/>
      <c r="AN24" s="56"/>
    </row>
    <row r="25" spans="2:40" x14ac:dyDescent="0.25">
      <c r="B25" s="1" t="s">
        <v>21</v>
      </c>
      <c r="E25" s="38" cm="1">
        <f t="array" ref="E25:AB25">DATE(Base!BJ4,_xlfn.SEQUENCE(1,COUNTA(Base!$BJ$4:$BL$4)*12-12,1),1)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/>
      <c r="AD25" s="38"/>
      <c r="AE25" s="38"/>
      <c r="AF25" s="38"/>
      <c r="AG25" s="38"/>
      <c r="AH25" s="38"/>
      <c r="AI25" s="38"/>
      <c r="AJ25" s="38"/>
      <c r="AK25" s="38"/>
      <c r="AL25" s="38"/>
      <c r="AM25" s="38"/>
      <c r="AN25" s="38"/>
    </row>
    <row r="26" spans="2:40" outlineLevel="1" x14ac:dyDescent="0.25">
      <c r="B26" s="39" t="s">
        <v>379</v>
      </c>
      <c r="E26" s="12" cm="1">
        <f t="array" ref="E26">_xlfn.LET(_xlpm.data,_xlfn.VSTACK('MS:NCA9'!E26),_xlpm.states,_xlfn.VSTACK('MS:NCA9'!$B$2),
SUM(_xlfn._xlws.FILTER(_xlpm.data,(_xlpm.states="New Jersey")+(_xlpm.states="M&amp;A"))))</f>
        <v>1355790.67</v>
      </c>
      <c r="F26" s="12" cm="1">
        <f t="array" ref="F26">_xlfn.LET(_xlpm.data,_xlfn.VSTACK('MS:NCA9'!F26),_xlpm.states,_xlfn.VSTACK('MS:NCA9'!$B$2),
SUM(_xlfn._xlws.FILTER(_xlpm.data,(_xlpm.states="New Jersey")+(_xlpm.states="M&amp;A"))))</f>
        <v>2077226.8833333326</v>
      </c>
      <c r="G26" s="12" cm="1">
        <f t="array" ref="G26">_xlfn.LET(_xlpm.data,_xlfn.VSTACK('MS:NCA9'!G26),_xlpm.states,_xlfn.VSTACK('MS:NCA9'!$B$2),
SUM(_xlfn._xlws.FILTER(_xlpm.data,(_xlpm.states="New Jersey")+(_xlpm.states="M&amp;A"))))</f>
        <v>2882302.8866666663</v>
      </c>
      <c r="H26" s="12" cm="1">
        <f t="array" ref="H26">_xlfn.LET(_xlpm.data,_xlfn.VSTACK('MS:NCA9'!H26),_xlpm.states,_xlfn.VSTACK('MS:NCA9'!$B$2),
SUM(_xlfn._xlws.FILTER(_xlpm.data,(_xlpm.states="New Jersey")+(_xlpm.states="M&amp;A"))))</f>
        <v>3755529.8299999991</v>
      </c>
      <c r="I26" s="12" cm="1">
        <f t="array" ref="I26">_xlfn.LET(_xlpm.data,_xlfn.VSTACK('MS:NCA9'!I26),_xlpm.states,_xlfn.VSTACK('MS:NCA9'!$B$2),
SUM(_xlfn._xlws.FILTER(_xlpm.data,(_xlpm.states="New Jersey")+(_xlpm.states="M&amp;A"))))</f>
        <v>4559917.4399999985</v>
      </c>
      <c r="J26" s="12" cm="1">
        <f t="array" ref="J26">_xlfn.LET(_xlpm.data,_xlfn.VSTACK('MS:NCA9'!J26),_xlpm.states,_xlfn.VSTACK('MS:NCA9'!$B$2),
SUM(_xlfn._xlws.FILTER(_xlpm.data,(_xlpm.states="New Jersey")+(_xlpm.states="M&amp;A"))))</f>
        <v>5380138.0966666657</v>
      </c>
      <c r="K26" s="12" cm="1">
        <f t="array" ref="K26">_xlfn.LET(_xlpm.data,_xlfn.VSTACK('MS:NCA9'!K26),_xlpm.states,_xlfn.VSTACK('MS:NCA9'!$B$2),
SUM(_xlfn._xlws.FILTER(_xlpm.data,(_xlpm.states="New Jersey")+(_xlpm.states="M&amp;A"))))</f>
        <v>5707813.3233333323</v>
      </c>
      <c r="L26" s="12" cm="1">
        <f t="array" ref="L26">_xlfn.LET(_xlpm.data,_xlfn.VSTACK('MS:NCA9'!L26),_xlpm.states,_xlfn.VSTACK('MS:NCA9'!$B$2),
SUM(_xlfn._xlws.FILTER(_xlpm.data,(_xlpm.states="New Jersey")+(_xlpm.states="M&amp;A"))))</f>
        <v>6035144.3533333307</v>
      </c>
      <c r="M26" s="12" cm="1">
        <f t="array" ref="M26">_xlfn.LET(_xlpm.data,_xlfn.VSTACK('MS:NCA9'!M26),_xlpm.states,_xlfn.VSTACK('MS:NCA9'!$B$2),
SUM(_xlfn._xlws.FILTER(_xlpm.data,(_xlpm.states="New Jersey")+(_xlpm.states="M&amp;A"))))</f>
        <v>6415825.8666666644</v>
      </c>
      <c r="N26" s="12" cm="1">
        <f t="array" ref="N26">_xlfn.LET(_xlpm.data,_xlfn.VSTACK('MS:NCA9'!N26),_xlpm.states,_xlfn.VSTACK('MS:NCA9'!$B$2),
SUM(_xlfn._xlws.FILTER(_xlpm.data,(_xlpm.states="New Jersey")+(_xlpm.states="M&amp;A"))))</f>
        <v>6978587.4166666651</v>
      </c>
      <c r="O26" s="12" cm="1">
        <f t="array" ref="O26">_xlfn.LET(_xlpm.data,_xlfn.VSTACK('MS:NCA9'!O26),_xlpm.states,_xlfn.VSTACK('MS:NCA9'!$B$2),
SUM(_xlfn._xlws.FILTER(_xlpm.data,(_xlpm.states="New Jersey")+(_xlpm.states="M&amp;A"))))</f>
        <v>7602960.1699999981</v>
      </c>
      <c r="P26" s="12" cm="1">
        <f t="array" ref="P26">_xlfn.LET(_xlpm.data,_xlfn.VSTACK('MS:NCA9'!P26),_xlpm.states,_xlfn.VSTACK('MS:NCA9'!$B$2),
SUM(_xlfn._xlws.FILTER(_xlpm.data,(_xlpm.states="New Jersey")+(_xlpm.states="M&amp;A"))))</f>
        <v>8226988.7266666647</v>
      </c>
      <c r="Q26" s="12">
        <f>SUM('MDA1:NCA9'!Q26)</f>
        <v>7246674.4567865441</v>
      </c>
      <c r="R26" s="12">
        <f>SUM('MDA1:NCA9'!R26)</f>
        <v>7673091.9829694852</v>
      </c>
      <c r="S26" s="12">
        <f>SUM('MDA1:NCA9'!S26)</f>
        <v>8157576.2544493508</v>
      </c>
      <c r="T26" s="12">
        <f>SUM('MDA1:NCA9'!T26)</f>
        <v>8649763.6672738884</v>
      </c>
      <c r="U26" s="12">
        <f>SUM('MDA1:NCA9'!U26)</f>
        <v>9028968.6603380516</v>
      </c>
      <c r="V26" s="12">
        <f>SUM('MDA1:NCA9'!V26)</f>
        <v>9369484.6377557535</v>
      </c>
      <c r="W26" s="12">
        <f>SUM('MDA1:NCA9'!W26)</f>
        <v>9775126.7317962442</v>
      </c>
      <c r="X26" s="12">
        <f>SUM('MDA1:NCA9'!X26)</f>
        <v>10212405.864029633</v>
      </c>
      <c r="Y26" s="12">
        <f>SUM('MDA1:NCA9'!Y26)</f>
        <v>10575256.763147335</v>
      </c>
      <c r="Z26" s="12">
        <f>SUM('MDA1:NCA9'!Z26)</f>
        <v>10970723.738398371</v>
      </c>
      <c r="AA26" s="12">
        <f>SUM('MDA1:NCA9'!AA26)</f>
        <v>11370026.238756239</v>
      </c>
      <c r="AB26" s="12">
        <f>SUM('MDA1:NCA9'!AB26)</f>
        <v>11769917.784442147</v>
      </c>
      <c r="AC26" s="12">
        <f>SUM('MDA1:NCA9'!AC26)</f>
        <v>12102417.910465891</v>
      </c>
      <c r="AD26" s="12">
        <f>SUM('MDA1:NCA9'!AD26)</f>
        <v>12451226.074556306</v>
      </c>
      <c r="AE26" s="12">
        <f>SUM('MDA1:NCA9'!AE26)</f>
        <v>12791730.41473929</v>
      </c>
      <c r="AF26" s="12">
        <f>SUM('MDA1:NCA9'!AF26)</f>
        <v>13119879.955705533</v>
      </c>
      <c r="AG26" s="12">
        <f>SUM('MDA1:NCA9'!AG26)</f>
        <v>13405100.134109611</v>
      </c>
      <c r="AH26" s="12">
        <f>SUM('MDA1:NCA9'!AH26)</f>
        <v>13736312.795783168</v>
      </c>
      <c r="AI26" s="12">
        <f>SUM('MDA1:NCA9'!AI26)</f>
        <v>14138451.329411155</v>
      </c>
      <c r="AJ26" s="12">
        <f>SUM('MDA1:NCA9'!AJ26)</f>
        <v>14559057.168501297</v>
      </c>
      <c r="AK26" s="12">
        <f>SUM('MDA1:NCA9'!AK26)</f>
        <v>14969487.88880199</v>
      </c>
      <c r="AL26" s="12">
        <f>SUM('MDA1:NCA9'!AL26)</f>
        <v>15364610.062872738</v>
      </c>
      <c r="AM26" s="12">
        <f>SUM('MDA1:NCA9'!AM26)</f>
        <v>15814683.234776814</v>
      </c>
      <c r="AN26" s="12">
        <f>SUM('MDA1:NCA9'!AN26)</f>
        <v>16244580.752376389</v>
      </c>
    </row>
    <row r="27" spans="2:40" outlineLevel="1" x14ac:dyDescent="0.25">
      <c r="B27" s="39" t="s">
        <v>380</v>
      </c>
      <c r="E27" s="12" cm="1">
        <f t="array" ref="E27">_xlfn.LET(_xlpm.data,_xlfn.VSTACK('MS:NCA9'!E27),_xlpm.states,_xlfn.VSTACK('MS:NCA9'!$B$2),
SUM(_xlfn._xlws.FILTER(_xlpm.data,(_xlpm.states="New Jersey")+(_xlpm.states="M&amp;A"))))</f>
        <v>38183.426666666659</v>
      </c>
      <c r="F27" s="12" cm="1">
        <f t="array" ref="F27">_xlfn.LET(_xlpm.data,_xlfn.VSTACK('MS:NCA9'!F27),_xlpm.states,_xlfn.VSTACK('MS:NCA9'!$B$2),
SUM(_xlfn._xlws.FILTER(_xlpm.data,(_xlpm.states="New Jersey")+(_xlpm.states="M&amp;A"))))</f>
        <v>47063.293333333328</v>
      </c>
      <c r="G27" s="12" cm="1">
        <f t="array" ref="G27">_xlfn.LET(_xlpm.data,_xlfn.VSTACK('MS:NCA9'!G27),_xlpm.states,_xlfn.VSTACK('MS:NCA9'!$B$2),
SUM(_xlfn._xlws.FILTER(_xlpm.data,(_xlpm.states="New Jersey")+(_xlpm.states="M&amp;A"))))</f>
        <v>60383.093333333316</v>
      </c>
      <c r="H27" s="12" cm="1">
        <f t="array" ref="H27">_xlfn.LET(_xlpm.data,_xlfn.VSTACK('MS:NCA9'!H27),_xlpm.states,_xlfn.VSTACK('MS:NCA9'!$B$2),
SUM(_xlfn._xlws.FILTER(_xlpm.data,(_xlpm.states="New Jersey")+(_xlpm.states="M&amp;A"))))</f>
        <v>77254.84</v>
      </c>
      <c r="I27" s="12" cm="1">
        <f t="array" ref="I27">_xlfn.LET(_xlpm.data,_xlfn.VSTACK('MS:NCA9'!I27),_xlpm.states,_xlfn.VSTACK('MS:NCA9'!$B$2),
SUM(_xlfn._xlws.FILTER(_xlpm.data,(_xlpm.states="New Jersey")+(_xlpm.states="M&amp;A"))))</f>
        <v>90574.64</v>
      </c>
      <c r="J27" s="12" cm="1">
        <f t="array" ref="J27">_xlfn.LET(_xlpm.data,_xlfn.VSTACK('MS:NCA9'!J27),_xlpm.states,_xlfn.VSTACK('MS:NCA9'!$B$2),
SUM(_xlfn._xlws.FILTER(_xlpm.data,(_xlpm.states="New Jersey")+(_xlpm.states="M&amp;A"))))</f>
        <v>103894.43999999999</v>
      </c>
      <c r="K27" s="12" cm="1">
        <f t="array" ref="K27">_xlfn.LET(_xlpm.data,_xlfn.VSTACK('MS:NCA9'!K27),_xlpm.states,_xlfn.VSTACK('MS:NCA9'!$B$2),
SUM(_xlfn._xlws.FILTER(_xlpm.data,(_xlpm.states="New Jersey")+(_xlpm.states="M&amp;A"))))</f>
        <v>119878.19999999998</v>
      </c>
      <c r="L27" s="12" cm="1">
        <f t="array" ref="L27">_xlfn.LET(_xlpm.data,_xlfn.VSTACK('MS:NCA9'!L27),_xlpm.states,_xlfn.VSTACK('MS:NCA9'!$B$2),
SUM(_xlfn._xlws.FILTER(_xlpm.data,(_xlpm.states="New Jersey")+(_xlpm.states="M&amp;A"))))</f>
        <v>135861.96</v>
      </c>
      <c r="M27" s="12" cm="1">
        <f t="array" ref="M27">_xlfn.LET(_xlpm.data,_xlfn.VSTACK('MS:NCA9'!M27),_xlpm.states,_xlfn.VSTACK('MS:NCA9'!$B$2),
SUM(_xlfn._xlws.FILTER(_xlpm.data,(_xlpm.states="New Jersey")+(_xlpm.states="M&amp;A"))))</f>
        <v>154509.67999999996</v>
      </c>
      <c r="N27" s="12" cm="1">
        <f t="array" ref="N27">_xlfn.LET(_xlpm.data,_xlfn.VSTACK('MS:NCA9'!N27),_xlpm.states,_xlfn.VSTACK('MS:NCA9'!$B$2),
SUM(_xlfn._xlws.FILTER(_xlpm.data,(_xlpm.states="New Jersey")+(_xlpm.states="M&amp;A"))))</f>
        <v>173157.4</v>
      </c>
      <c r="O27" s="12" cm="1">
        <f t="array" ref="O27">_xlfn.LET(_xlpm.data,_xlfn.VSTACK('MS:NCA9'!O27),_xlpm.states,_xlfn.VSTACK('MS:NCA9'!$B$2),
SUM(_xlfn._xlws.FILTER(_xlpm.data,(_xlpm.states="New Jersey")+(_xlpm.states="M&amp;A"))))</f>
        <v>194469.07999999996</v>
      </c>
      <c r="P27" s="12" cm="1">
        <f t="array" ref="P27">_xlfn.LET(_xlpm.data,_xlfn.VSTACK('MS:NCA9'!P27),_xlpm.states,_xlfn.VSTACK('MS:NCA9'!$B$2),
SUM(_xlfn._xlws.FILTER(_xlpm.data,(_xlpm.states="New Jersey")+(_xlpm.states="M&amp;A"))))</f>
        <v>215780.75999999998</v>
      </c>
      <c r="Q27" s="12">
        <f>SUM('MDA1:NCA9'!Q27)</f>
        <v>398361.84214943997</v>
      </c>
      <c r="R27" s="12">
        <f>SUM('MDA1:NCA9'!R27)</f>
        <v>424369.22158175992</v>
      </c>
      <c r="S27" s="12">
        <f>SUM('MDA1:NCA9'!S27)</f>
        <v>453636.75193823996</v>
      </c>
      <c r="T27" s="12">
        <f>SUM('MDA1:NCA9'!T27)</f>
        <v>482904.28229472</v>
      </c>
      <c r="U27" s="12">
        <f>SUM('MDA1:NCA9'!U27)</f>
        <v>505265.46132053336</v>
      </c>
      <c r="V27" s="12">
        <f>SUM('MDA1:NCA9'!V27)</f>
        <v>526301.35527701338</v>
      </c>
      <c r="W27" s="12">
        <f>SUM('MDA1:NCA9'!W27)</f>
        <v>554336.90922549332</v>
      </c>
      <c r="X27" s="12">
        <f>SUM('MDA1:NCA9'!X27)</f>
        <v>581893.10503029346</v>
      </c>
      <c r="Y27" s="12">
        <f>SUM('MDA1:NCA9'!Y27)</f>
        <v>605672.87778677337</v>
      </c>
      <c r="Z27" s="12">
        <f>SUM('MDA1:NCA9'!Z27)</f>
        <v>629452.6505432534</v>
      </c>
      <c r="AA27" s="12">
        <f>SUM('MDA1:NCA9'!AA27)</f>
        <v>653232.42329973343</v>
      </c>
      <c r="AB27" s="12">
        <f>SUM('MDA1:NCA9'!AB27)</f>
        <v>675500.29366421339</v>
      </c>
      <c r="AC27" s="12">
        <f>SUM('MDA1:NCA9'!AC27)</f>
        <v>695024.28522869339</v>
      </c>
      <c r="AD27" s="12">
        <f>SUM('MDA1:NCA9'!AD27)</f>
        <v>714548.2767931734</v>
      </c>
      <c r="AE27" s="12">
        <f>SUM('MDA1:NCA9'!AE27)</f>
        <v>733555.99623349344</v>
      </c>
      <c r="AF27" s="12">
        <f>SUM('MDA1:NCA9'!AF27)</f>
        <v>753079.98779797333</v>
      </c>
      <c r="AG27" s="12">
        <f>SUM('MDA1:NCA9'!AG27)</f>
        <v>769860.10056245339</v>
      </c>
      <c r="AH27" s="12">
        <f>SUM('MDA1:NCA9'!AH27)</f>
        <v>791928.53876725328</v>
      </c>
      <c r="AI27" s="12">
        <f>SUM('MDA1:NCA9'!AI27)</f>
        <v>817257.12789621344</v>
      </c>
      <c r="AJ27" s="12">
        <f>SUM('MDA1:NCA9'!AJ27)</f>
        <v>845329.59582517319</v>
      </c>
      <c r="AK27" s="12">
        <f>SUM('MDA1:NCA9'!AK27)</f>
        <v>869146.28256213316</v>
      </c>
      <c r="AL27" s="12">
        <f>SUM('MDA1:NCA9'!AL27)</f>
        <v>891414.15292661323</v>
      </c>
      <c r="AM27" s="12">
        <f>SUM('MDA1:NCA9'!AM27)</f>
        <v>916425.90209109324</v>
      </c>
      <c r="AN27" s="12">
        <f>SUM('MDA1:NCA9'!AN27)</f>
        <v>941437.65125557338</v>
      </c>
    </row>
    <row r="28" spans="2:40" outlineLevel="1" x14ac:dyDescent="0.25">
      <c r="B28" s="39" t="s">
        <v>381</v>
      </c>
      <c r="E28" s="12" cm="1">
        <f t="array" ref="E28">_xlfn.LET(_xlpm.data,_xlfn.VSTACK('MS:NCA9'!E28),_xlpm.states,_xlfn.VSTACK('MS:NCA9'!$B$2),
SUM(_xlfn._xlws.FILTER(_xlpm.data,(_xlpm.states="New Jersey")+(_xlpm.states="M&amp;A"))))</f>
        <v>184659.47499999995</v>
      </c>
      <c r="F28" s="12" cm="1">
        <f t="array" ref="F28">_xlfn.LET(_xlpm.data,_xlfn.VSTACK('MS:NCA9'!F28),_xlpm.states,_xlfn.VSTACK('MS:NCA9'!$B$2),
SUM(_xlfn._xlws.FILTER(_xlpm.data,(_xlpm.states="New Jersey")+(_xlpm.states="M&amp;A"))))</f>
        <v>281737.59899999993</v>
      </c>
      <c r="G28" s="12" cm="1">
        <f t="array" ref="G28">_xlfn.LET(_xlpm.data,_xlfn.VSTACK('MS:NCA9'!G28),_xlpm.states,_xlfn.VSTACK('MS:NCA9'!$B$2),
SUM(_xlfn._xlws.FILTER(_xlpm.data,(_xlpm.states="New Jersey")+(_xlpm.states="M&amp;A"))))</f>
        <v>390422.88999999978</v>
      </c>
      <c r="H28" s="12" cm="1">
        <f t="array" ref="H28">_xlfn.LET(_xlpm.data,_xlfn.VSTACK('MS:NCA9'!H28),_xlpm.states,_xlfn.VSTACK('MS:NCA9'!$B$2),
SUM(_xlfn._xlws.FILTER(_xlpm.data,(_xlpm.states="New Jersey")+(_xlpm.states="M&amp;A"))))</f>
        <v>508604.95399999979</v>
      </c>
      <c r="I28" s="12" cm="1">
        <f t="array" ref="I28">_xlfn.LET(_xlpm.data,_xlfn.VSTACK('MS:NCA9'!I28),_xlpm.states,_xlfn.VSTACK('MS:NCA9'!$B$2),
SUM(_xlfn._xlws.FILTER(_xlpm.data,(_xlpm.states="New Jersey")+(_xlpm.states="M&amp;A"))))</f>
        <v>617290.24499999976</v>
      </c>
      <c r="J28" s="12" cm="1">
        <f t="array" ref="J28">_xlfn.LET(_xlpm.data,_xlfn.VSTACK('MS:NCA9'!J28),_xlpm.states,_xlfn.VSTACK('MS:NCA9'!$B$2),
SUM(_xlfn._xlws.FILTER(_xlpm.data,(_xlpm.states="New Jersey")+(_xlpm.states="M&amp;A"))))</f>
        <v>728085.92999999982</v>
      </c>
      <c r="K28" s="12" cm="1">
        <f t="array" ref="K28">_xlfn.LET(_xlpm.data,_xlfn.VSTACK('MS:NCA9'!K28),_xlpm.states,_xlfn.VSTACK('MS:NCA9'!$B$2),
SUM(_xlfn._xlws.FILTER(_xlpm.data,(_xlpm.states="New Jersey")+(_xlpm.states="M&amp;A"))))</f>
        <v>773459.40099999984</v>
      </c>
      <c r="L28" s="12" cm="1">
        <f t="array" ref="L28">_xlfn.LET(_xlpm.data,_xlfn.VSTACK('MS:NCA9'!L28),_xlpm.states,_xlfn.VSTACK('MS:NCA9'!$B$2),
SUM(_xlfn._xlws.FILTER(_xlpm.data,(_xlpm.states="New Jersey")+(_xlpm.states="M&amp;A"))))</f>
        <v>818832.87199999974</v>
      </c>
      <c r="M28" s="12" cm="1">
        <f t="array" ref="M28">_xlfn.LET(_xlpm.data,_xlfn.VSTACK('MS:NCA9'!M28),_xlpm.states,_xlfn.VSTACK('MS:NCA9'!$B$2),
SUM(_xlfn._xlws.FILTER(_xlpm.data,(_xlpm.states="New Jersey")+(_xlpm.states="M&amp;A"))))</f>
        <v>871592.7219999996</v>
      </c>
      <c r="N28" s="12" cm="1">
        <f t="array" ref="N28">_xlfn.LET(_xlpm.data,_xlfn.VSTACK('MS:NCA9'!N28),_xlpm.states,_xlfn.VSTACK('MS:NCA9'!$B$2),
SUM(_xlfn._xlws.FILTER(_xlpm.data,(_xlpm.states="New Jersey")+(_xlpm.states="M&amp;A"))))</f>
        <v>948622.10299999965</v>
      </c>
      <c r="O28" s="12" cm="1">
        <f t="array" ref="O28">_xlfn.LET(_xlpm.data,_xlfn.VSTACK('MS:NCA9'!O28),_xlpm.states,_xlfn.VSTACK('MS:NCA9'!$B$2),
SUM(_xlfn._xlws.FILTER(_xlpm.data,(_xlpm.states="New Jersey")+(_xlpm.states="M&amp;A"))))</f>
        <v>1034093.0599999999</v>
      </c>
      <c r="P28" s="12" cm="1">
        <f t="array" ref="P28">_xlfn.LET(_xlpm.data,_xlfn.VSTACK('MS:NCA9'!P28),_xlpm.states,_xlfn.VSTACK('MS:NCA9'!$B$2),
SUM(_xlfn._xlws.FILTER(_xlpm.data,(_xlpm.states="New Jersey")+(_xlpm.states="M&amp;A"))))</f>
        <v>1119564.0169999995</v>
      </c>
      <c r="Q28" s="12">
        <f>SUM('MDA1:NCA9'!Q28)</f>
        <v>1255550.9788993597</v>
      </c>
      <c r="R28" s="12">
        <f>SUM('MDA1:NCA9'!R28)</f>
        <v>1321755.8076709996</v>
      </c>
      <c r="S28" s="12">
        <f>SUM('MDA1:NCA9'!S28)</f>
        <v>1396263.2622735675</v>
      </c>
      <c r="T28" s="12">
        <f>SUM('MDA1:NCA9'!T28)</f>
        <v>1471766.5966103876</v>
      </c>
      <c r="U28" s="12">
        <f>SUM('MDA1:NCA9'!U28)</f>
        <v>1531363.8928576037</v>
      </c>
      <c r="V28" s="12">
        <f>SUM('MDA1:NCA9'!V28)</f>
        <v>1586002.2126955239</v>
      </c>
      <c r="W28" s="12">
        <f>SUM('MDA1:NCA9'!W28)</f>
        <v>1651067.0026202037</v>
      </c>
      <c r="X28" s="12">
        <f>SUM('MDA1:NCA9'!X28)</f>
        <v>1721054.5817239839</v>
      </c>
      <c r="Y28" s="12">
        <f>SUM('MDA1:NCA9'!Y28)</f>
        <v>1778953.4602919042</v>
      </c>
      <c r="Z28" s="12">
        <f>SUM('MDA1:NCA9'!Z28)</f>
        <v>1841199.7504998234</v>
      </c>
      <c r="AA28" s="12">
        <f>SUM('MDA1:NCA9'!AA28)</f>
        <v>1903660.849916643</v>
      </c>
      <c r="AB28" s="12">
        <f>SUM('MDA1:NCA9'!AB28)</f>
        <v>1964787.0580870996</v>
      </c>
      <c r="AC28" s="12">
        <f>SUM('MDA1:NCA9'!AC28)</f>
        <v>2016912.6605929076</v>
      </c>
      <c r="AD28" s="12">
        <f>SUM('MDA1:NCA9'!AD28)</f>
        <v>2071211.9689187149</v>
      </c>
      <c r="AE28" s="12">
        <f>SUM('MDA1:NCA9'!AE28)</f>
        <v>2122721.0822738432</v>
      </c>
      <c r="AF28" s="12">
        <f>SUM('MDA1:NCA9'!AF28)</f>
        <v>2173408.3797620991</v>
      </c>
      <c r="AG28" s="12">
        <f>SUM('MDA1:NCA9'!AG28)</f>
        <v>2218355.6303157075</v>
      </c>
      <c r="AH28" s="12">
        <f>SUM('MDA1:NCA9'!AH28)</f>
        <v>2273342.0778883868</v>
      </c>
      <c r="AI28" s="12">
        <f>SUM('MDA1:NCA9'!AI28)</f>
        <v>2339156.3092195471</v>
      </c>
      <c r="AJ28" s="12">
        <f>SUM('MDA1:NCA9'!AJ28)</f>
        <v>2407450.0287553552</v>
      </c>
      <c r="AK28" s="12">
        <f>SUM('MDA1:NCA9'!AK28)</f>
        <v>2472925.2485744036</v>
      </c>
      <c r="AL28" s="12">
        <f>SUM('MDA1:NCA9'!AL28)</f>
        <v>2533088.439868011</v>
      </c>
      <c r="AM28" s="12">
        <f>SUM('MDA1:NCA9'!AM28)</f>
        <v>2600859.6015316192</v>
      </c>
      <c r="AN28" s="12">
        <f>SUM('MDA1:NCA9'!AN28)</f>
        <v>2665675.9868498752</v>
      </c>
    </row>
    <row r="29" spans="2:40" outlineLevel="1" x14ac:dyDescent="0.25">
      <c r="B29" s="39" t="s">
        <v>383</v>
      </c>
      <c r="E29" s="12" cm="1">
        <f t="array" ref="E29">_xlfn.LET(_xlpm.data,_xlfn.VSTACK('MS:NCA9'!E29),_xlpm.states,_xlfn.VSTACK('MS:NCA9'!$B$2),
SUM(_xlfn._xlws.FILTER(_xlpm.data,(_xlpm.states="New Jersey")+(_xlpm.states="M&amp;A"))))</f>
        <v>21428.615999999998</v>
      </c>
      <c r="F29" s="12" cm="1">
        <f t="array" ref="F29">_xlfn.LET(_xlpm.data,_xlfn.VSTACK('MS:NCA9'!F29),_xlpm.states,_xlfn.VSTACK('MS:NCA9'!$B$2),
SUM(_xlfn._xlws.FILTER(_xlpm.data,(_xlpm.states="New Jersey")+(_xlpm.states="M&amp;A"))))</f>
        <v>34740.332000000002</v>
      </c>
      <c r="G29" s="12" cm="1">
        <f t="array" ref="G29">_xlfn.LET(_xlpm.data,_xlfn.VSTACK('MS:NCA9'!G29),_xlpm.states,_xlfn.VSTACK('MS:NCA9'!$B$2),
SUM(_xlfn._xlws.FILTER(_xlpm.data,(_xlpm.states="New Jersey")+(_xlpm.states="M&amp;A"))))</f>
        <v>49026.075999999994</v>
      </c>
      <c r="H29" s="12" cm="1">
        <f t="array" ref="H29">_xlfn.LET(_xlpm.data,_xlfn.VSTACK('MS:NCA9'!H29),_xlpm.states,_xlfn.VSTACK('MS:NCA9'!$B$2),
SUM(_xlfn._xlws.FILTER(_xlpm.data,(_xlpm.states="New Jersey")+(_xlpm.states="M&amp;A"))))</f>
        <v>64123.51</v>
      </c>
      <c r="I29" s="12" cm="1">
        <f t="array" ref="I29">_xlfn.LET(_xlpm.data,_xlfn.VSTACK('MS:NCA9'!I29),_xlpm.states,_xlfn.VSTACK('MS:NCA9'!$B$2),
SUM(_xlfn._xlws.FILTER(_xlpm.data,(_xlpm.states="New Jersey")+(_xlpm.states="M&amp;A"))))</f>
        <v>78409.254000000015</v>
      </c>
      <c r="J29" s="12" cm="1">
        <f t="array" ref="J29">_xlfn.LET(_xlpm.data,_xlfn.VSTACK('MS:NCA9'!J29),_xlpm.states,_xlfn.VSTACK('MS:NCA9'!$B$2),
SUM(_xlfn._xlws.FILTER(_xlpm.data,(_xlpm.states="New Jersey")+(_xlpm.states="M&amp;A"))))</f>
        <v>93019.67399999997</v>
      </c>
      <c r="K29" s="12" cm="1">
        <f t="array" ref="K29">_xlfn.LET(_xlpm.data,_xlfn.VSTACK('MS:NCA9'!K29),_xlpm.states,_xlfn.VSTACK('MS:NCA9'!$B$2),
SUM(_xlfn._xlws.FILTER(_xlpm.data,(_xlpm.states="New Jersey")+(_xlpm.states="M&amp;A"))))</f>
        <v>97078.123999999982</v>
      </c>
      <c r="L29" s="12" cm="1">
        <f t="array" ref="L29">_xlfn.LET(_xlpm.data,_xlfn.VSTACK('MS:NCA9'!L29),_xlpm.states,_xlfn.VSTACK('MS:NCA9'!$B$2),
SUM(_xlfn._xlws.FILTER(_xlpm.data,(_xlpm.states="New Jersey")+(_xlpm.states="M&amp;A"))))</f>
        <v>101136.57400000002</v>
      </c>
      <c r="M29" s="12" cm="1">
        <f t="array" ref="M29">_xlfn.LET(_xlpm.data,_xlfn.VSTACK('MS:NCA9'!M29),_xlpm.states,_xlfn.VSTACK('MS:NCA9'!$B$2),
SUM(_xlfn._xlws.FILTER(_xlpm.data,(_xlpm.states="New Jersey")+(_xlpm.states="M&amp;A"))))</f>
        <v>105844.37599999997</v>
      </c>
      <c r="N29" s="12" cm="1">
        <f t="array" ref="N29">_xlfn.LET(_xlpm.data,_xlfn.VSTACK('MS:NCA9'!N29),_xlpm.states,_xlfn.VSTACK('MS:NCA9'!$B$2),
SUM(_xlfn._xlws.FILTER(_xlpm.data,(_xlpm.states="New Jersey")+(_xlpm.states="M&amp;A"))))</f>
        <v>114285.95199999998</v>
      </c>
      <c r="O29" s="12" cm="1">
        <f t="array" ref="O29">_xlfn.LET(_xlpm.data,_xlfn.VSTACK('MS:NCA9'!O29),_xlpm.states,_xlfn.VSTACK('MS:NCA9'!$B$2),
SUM(_xlfn._xlws.FILTER(_xlpm.data,(_xlpm.states="New Jersey")+(_xlpm.states="M&amp;A"))))</f>
        <v>123539.21799999999</v>
      </c>
      <c r="P29" s="12" cm="1">
        <f t="array" ref="P29">_xlfn.LET(_xlpm.data,_xlfn.VSTACK('MS:NCA9'!P29),_xlpm.states,_xlfn.VSTACK('MS:NCA9'!$B$2),
SUM(_xlfn._xlws.FILTER(_xlpm.data,(_xlpm.states="New Jersey")+(_xlpm.states="M&amp;A"))))</f>
        <v>132792.48399999997</v>
      </c>
      <c r="Q29" s="12">
        <f>SUM('MDA1:NCA9'!Q29)</f>
        <v>100365.38593603995</v>
      </c>
      <c r="R29" s="12">
        <f>SUM('MDA1:NCA9'!R29)</f>
        <v>106056.70177684</v>
      </c>
      <c r="S29" s="12">
        <f>SUM('MDA1:NCA9'!S29)</f>
        <v>112316.83105119994</v>
      </c>
      <c r="T29" s="12">
        <f>SUM('MDA1:NCA9'!T29)</f>
        <v>118698.39719784002</v>
      </c>
      <c r="U29" s="12">
        <f>SUM('MDA1:NCA9'!U29)</f>
        <v>123788.0694922</v>
      </c>
      <c r="V29" s="12">
        <f>SUM('MDA1:NCA9'!V29)</f>
        <v>128464.50666824001</v>
      </c>
      <c r="W29" s="12">
        <f>SUM('MDA1:NCA9'!W29)</f>
        <v>133819.34686763995</v>
      </c>
      <c r="X29" s="12">
        <f>SUM('MDA1:NCA9'!X29)</f>
        <v>139376.63052236001</v>
      </c>
      <c r="Y29" s="12">
        <f>SUM('MDA1:NCA9'!Y29)</f>
        <v>144053.06769840003</v>
      </c>
      <c r="Z29" s="12">
        <f>SUM('MDA1:NCA9'!Z29)</f>
        <v>149398.33743444001</v>
      </c>
      <c r="AA29" s="12">
        <f>SUM('MDA1:NCA9'!AA29)</f>
        <v>154776.65474107998</v>
      </c>
      <c r="AB29" s="12">
        <f>SUM('MDA1:NCA9'!AB29)</f>
        <v>159935.57541039999</v>
      </c>
      <c r="AC29" s="12">
        <f>SUM('MDA1:NCA9'!AC29)</f>
        <v>164179.63654139993</v>
      </c>
      <c r="AD29" s="12">
        <f>SUM('MDA1:NCA9'!AD29)</f>
        <v>168758.11395240002</v>
      </c>
      <c r="AE29" s="12">
        <f>SUM('MDA1:NCA9'!AE29)</f>
        <v>173145.99519056006</v>
      </c>
      <c r="AF29" s="12">
        <f>SUM('MDA1:NCA9'!AF29)</f>
        <v>177200.55402108</v>
      </c>
      <c r="AG29" s="12">
        <f>SUM('MDA1:NCA9'!AG29)</f>
        <v>180841.87773327998</v>
      </c>
      <c r="AH29" s="12">
        <f>SUM('MDA1:NCA9'!AH29)</f>
        <v>185094.54383859999</v>
      </c>
      <c r="AI29" s="12">
        <f>SUM('MDA1:NCA9'!AI29)</f>
        <v>190272.73381796008</v>
      </c>
      <c r="AJ29" s="12">
        <f>SUM('MDA1:NCA9'!AJ29)</f>
        <v>195362.53449564002</v>
      </c>
      <c r="AK29" s="12">
        <f>SUM('MDA1:NCA9'!AK29)</f>
        <v>200442.76470995994</v>
      </c>
      <c r="AL29" s="12">
        <f>SUM('MDA1:NCA9'!AL29)</f>
        <v>205421.75354215998</v>
      </c>
      <c r="AM29" s="12">
        <f>SUM('MDA1:NCA9'!AM29)</f>
        <v>211069.57493435999</v>
      </c>
      <c r="AN29" s="12">
        <f>SUM('MDA1:NCA9'!AN29)</f>
        <v>216294.59074487994</v>
      </c>
    </row>
    <row r="30" spans="2:40" outlineLevel="1" x14ac:dyDescent="0.25">
      <c r="B30" s="39" t="s">
        <v>382</v>
      </c>
      <c r="E30" s="12" cm="1">
        <f t="array" ref="E30">_xlfn.LET(_xlpm.data,_xlfn.VSTACK('MS:NCA9'!E30),_xlpm.states,_xlfn.VSTACK('MS:NCA9'!$B$2),
SUM(_xlfn._xlws.FILTER(_xlpm.data,(_xlpm.states="New Jersey")+(_xlpm.states="M&amp;A"))))</f>
        <v>27959.359999999997</v>
      </c>
      <c r="F30" s="12" cm="1">
        <f t="array" ref="F30">_xlfn.LET(_xlpm.data,_xlfn.VSTACK('MS:NCA9'!F30),_xlpm.states,_xlfn.VSTACK('MS:NCA9'!$B$2),
SUM(_xlfn._xlws.FILTER(_xlpm.data,(_xlpm.states="New Jersey")+(_xlpm.states="M&amp;A"))))</f>
        <v>45328.05333333333</v>
      </c>
      <c r="G30" s="12" cm="1">
        <f t="array" ref="G30">_xlfn.LET(_xlpm.data,_xlfn.VSTACK('MS:NCA9'!G30),_xlpm.states,_xlfn.VSTACK('MS:NCA9'!$B$2),
SUM(_xlfn._xlws.FILTER(_xlpm.data,(_xlpm.states="New Jersey")+(_xlpm.states="M&amp;A"))))</f>
        <v>63967.626666666663</v>
      </c>
      <c r="H30" s="12" cm="1">
        <f t="array" ref="H30">_xlfn.LET(_xlpm.data,_xlfn.VSTACK('MS:NCA9'!H30),_xlpm.states,_xlfn.VSTACK('MS:NCA9'!$B$2),
SUM(_xlfn._xlws.FILTER(_xlpm.data,(_xlpm.states="New Jersey")+(_xlpm.states="M&amp;A"))))</f>
        <v>83666.266666666677</v>
      </c>
      <c r="I30" s="12" cm="1">
        <f t="array" ref="I30">_xlfn.LET(_xlpm.data,_xlfn.VSTACK('MS:NCA9'!I30),_xlpm.states,_xlfn.VSTACK('MS:NCA9'!$B$2),
SUM(_xlfn._xlws.FILTER(_xlpm.data,(_xlpm.states="New Jersey")+(_xlpm.states="M&amp;A"))))</f>
        <v>102305.84000000003</v>
      </c>
      <c r="J30" s="12" cm="1">
        <f t="array" ref="J30">_xlfn.LET(_xlpm.data,_xlfn.VSTACK('MS:NCA9'!J30),_xlpm.states,_xlfn.VSTACK('MS:NCA9'!$B$2),
SUM(_xlfn._xlws.FILTER(_xlpm.data,(_xlpm.states="New Jersey")+(_xlpm.states="M&amp;A"))))</f>
        <v>121369.04</v>
      </c>
      <c r="K30" s="12" cm="1">
        <f t="array" ref="K30">_xlfn.LET(_xlpm.data,_xlfn.VSTACK('MS:NCA9'!K30),_xlpm.states,_xlfn.VSTACK('MS:NCA9'!$B$2),
SUM(_xlfn._xlws.FILTER(_xlpm.data,(_xlpm.states="New Jersey")+(_xlpm.states="M&amp;A"))))</f>
        <v>126664.37333333334</v>
      </c>
      <c r="L30" s="12" cm="1">
        <f t="array" ref="L30">_xlfn.LET(_xlpm.data,_xlfn.VSTACK('MS:NCA9'!L30),_xlpm.states,_xlfn.VSTACK('MS:NCA9'!$B$2),
SUM(_xlfn._xlws.FILTER(_xlpm.data,(_xlpm.states="New Jersey")+(_xlpm.states="M&amp;A"))))</f>
        <v>131959.70666666664</v>
      </c>
      <c r="M30" s="12" cm="1">
        <f t="array" ref="M30">_xlfn.LET(_xlpm.data,_xlfn.VSTACK('MS:NCA9'!M30),_xlpm.states,_xlfn.VSTACK('MS:NCA9'!$B$2),
SUM(_xlfn._xlws.FILTER(_xlpm.data,(_xlpm.states="New Jersey")+(_xlpm.states="M&amp;A"))))</f>
        <v>138102.29333333331</v>
      </c>
      <c r="N30" s="12" cm="1">
        <f t="array" ref="N30">_xlfn.LET(_xlpm.data,_xlfn.VSTACK('MS:NCA9'!N30),_xlpm.states,_xlfn.VSTACK('MS:NCA9'!$B$2),
SUM(_xlfn._xlws.FILTER(_xlpm.data,(_xlpm.states="New Jersey")+(_xlpm.states="M&amp;A"))))</f>
        <v>149116.58666666661</v>
      </c>
      <c r="O30" s="12" cm="1">
        <f t="array" ref="O30">_xlfn.LET(_xlpm.data,_xlfn.VSTACK('MS:NCA9'!O30),_xlpm.states,_xlfn.VSTACK('MS:NCA9'!$B$2),
SUM(_xlfn._xlws.FILTER(_xlpm.data,(_xlpm.states="New Jersey")+(_xlpm.states="M&amp;A"))))</f>
        <v>161189.94666666663</v>
      </c>
      <c r="P30" s="12" cm="1">
        <f t="array" ref="P30">_xlfn.LET(_xlpm.data,_xlfn.VSTACK('MS:NCA9'!P30),_xlpm.states,_xlfn.VSTACK('MS:NCA9'!$B$2),
SUM(_xlfn._xlws.FILTER(_xlpm.data,(_xlpm.states="New Jersey")+(_xlpm.states="M&amp;A"))))</f>
        <v>173263.3066666667</v>
      </c>
      <c r="Q30" s="12">
        <f>SUM('MDA1:NCA9'!Q30)</f>
        <v>159906.44085237331</v>
      </c>
      <c r="R30" s="12">
        <f>SUM('MDA1:NCA9'!R30)</f>
        <v>168001.99325685334</v>
      </c>
      <c r="S30" s="12">
        <f>SUM('MDA1:NCA9'!S30)</f>
        <v>176862.27236394663</v>
      </c>
      <c r="T30" s="12">
        <f>SUM('MDA1:NCA9'!T30)</f>
        <v>185907.01086954668</v>
      </c>
      <c r="U30" s="12">
        <f>SUM('MDA1:NCA9'!U30)</f>
        <v>193240.11584330664</v>
      </c>
      <c r="V30" s="12">
        <f>SUM('MDA1:NCA9'!V30)</f>
        <v>200077.87110762665</v>
      </c>
      <c r="W30" s="12">
        <f>SUM('MDA1:NCA9'!W30)</f>
        <v>207888.43655306668</v>
      </c>
      <c r="X30" s="12">
        <f>SUM('MDA1:NCA9'!X30)</f>
        <v>216037.94170890673</v>
      </c>
      <c r="Y30" s="12">
        <f>SUM('MDA1:NCA9'!Y30)</f>
        <v>222840.06101674665</v>
      </c>
      <c r="Z30" s="12">
        <f>SUM('MDA1:NCA9'!Z30)</f>
        <v>230514.85125791997</v>
      </c>
      <c r="AA30" s="12">
        <f>SUM('MDA1:NCA9'!AA30)</f>
        <v>238214.94740703999</v>
      </c>
      <c r="AB30" s="12">
        <f>SUM('MDA1:NCA9'!AB30)</f>
        <v>245471.29141930671</v>
      </c>
      <c r="AC30" s="12">
        <f>SUM('MDA1:NCA9'!AC30)</f>
        <v>251577.78252213335</v>
      </c>
      <c r="AD30" s="12">
        <f>SUM('MDA1:NCA9'!AD30)</f>
        <v>258120.60909162657</v>
      </c>
      <c r="AE30" s="12">
        <f>SUM('MDA1:NCA9'!AE30)</f>
        <v>264288.99321856</v>
      </c>
      <c r="AF30" s="12">
        <f>SUM('MDA1:NCA9'!AF30)</f>
        <v>270068.77491338673</v>
      </c>
      <c r="AG30" s="12">
        <f>SUM('MDA1:NCA9'!AG30)</f>
        <v>275353.20689877332</v>
      </c>
      <c r="AH30" s="12">
        <f>SUM('MDA1:NCA9'!AH30)</f>
        <v>281747.04013941332</v>
      </c>
      <c r="AI30" s="12">
        <f>SUM('MDA1:NCA9'!AI30)</f>
        <v>289438.59857183998</v>
      </c>
      <c r="AJ30" s="12">
        <f>SUM('MDA1:NCA9'!AJ30)</f>
        <v>296971.00351370667</v>
      </c>
      <c r="AK30" s="12">
        <f>SUM('MDA1:NCA9'!AK30)</f>
        <v>304403.26920778671</v>
      </c>
      <c r="AL30" s="12">
        <f>SUM('MDA1:NCA9'!AL30)</f>
        <v>311433.04305984004</v>
      </c>
      <c r="AM30" s="12">
        <f>SUM('MDA1:NCA9'!AM30)</f>
        <v>319335.48784522666</v>
      </c>
      <c r="AN30" s="12">
        <f>SUM('MDA1:NCA9'!AN30)</f>
        <v>326642.4436733867</v>
      </c>
    </row>
    <row r="31" spans="2:40" outlineLevel="1" x14ac:dyDescent="0.25">
      <c r="B31" s="39" t="s">
        <v>403</v>
      </c>
      <c r="E31" s="12" cm="1">
        <f t="array" ref="E31">_xlfn.LET(_xlpm.data,_xlfn.VSTACK('MS:NCA9'!E31),_xlpm.states,_xlfn.VSTACK('MS:NCA9'!$B$2),
SUM(_xlfn._xlws.FILTER(_xlpm.data,(_xlpm.states="New Jersey")+(_xlpm.states="M&amp;A"))))</f>
        <v>0</v>
      </c>
      <c r="F31" s="12" cm="1">
        <f t="array" ref="F31">_xlfn.LET(_xlpm.data,_xlfn.VSTACK('MS:NCA9'!F31),_xlpm.states,_xlfn.VSTACK('MS:NCA9'!$B$2),
SUM(_xlfn._xlws.FILTER(_xlpm.data,(_xlpm.states="New Jersey")+(_xlpm.states="M&amp;A"))))</f>
        <v>0</v>
      </c>
      <c r="G31" s="12" cm="1">
        <f t="array" ref="G31">_xlfn.LET(_xlpm.data,_xlfn.VSTACK('MS:NCA9'!G31),_xlpm.states,_xlfn.VSTACK('MS:NCA9'!$B$2),
SUM(_xlfn._xlws.FILTER(_xlpm.data,(_xlpm.states="New Jersey")+(_xlpm.states="M&amp;A"))))</f>
        <v>0</v>
      </c>
      <c r="H31" s="12" cm="1">
        <f t="array" ref="H31">_xlfn.LET(_xlpm.data,_xlfn.VSTACK('MS:NCA9'!H31),_xlpm.states,_xlfn.VSTACK('MS:NCA9'!$B$2),
SUM(_xlfn._xlws.FILTER(_xlpm.data,(_xlpm.states="New Jersey")+(_xlpm.states="M&amp;A"))))</f>
        <v>0</v>
      </c>
      <c r="I31" s="12" cm="1">
        <f t="array" ref="I31">_xlfn.LET(_xlpm.data,_xlfn.VSTACK('MS:NCA9'!I31),_xlpm.states,_xlfn.VSTACK('MS:NCA9'!$B$2),
SUM(_xlfn._xlws.FILTER(_xlpm.data,(_xlpm.states="New Jersey")+(_xlpm.states="M&amp;A"))))</f>
        <v>0</v>
      </c>
      <c r="J31" s="12" cm="1">
        <f t="array" ref="J31">_xlfn.LET(_xlpm.data,_xlfn.VSTACK('MS:NCA9'!J31),_xlpm.states,_xlfn.VSTACK('MS:NCA9'!$B$2),
SUM(_xlfn._xlws.FILTER(_xlpm.data,(_xlpm.states="New Jersey")+(_xlpm.states="M&amp;A"))))</f>
        <v>0</v>
      </c>
      <c r="K31" s="12" cm="1">
        <f t="array" ref="K31">_xlfn.LET(_xlpm.data,_xlfn.VSTACK('MS:NCA9'!K31),_xlpm.states,_xlfn.VSTACK('MS:NCA9'!$B$2),
SUM(_xlfn._xlws.FILTER(_xlpm.data,(_xlpm.states="New Jersey")+(_xlpm.states="M&amp;A"))))</f>
        <v>0</v>
      </c>
      <c r="L31" s="12" cm="1">
        <f t="array" ref="L31">_xlfn.LET(_xlpm.data,_xlfn.VSTACK('MS:NCA9'!L31),_xlpm.states,_xlfn.VSTACK('MS:NCA9'!$B$2),
SUM(_xlfn._xlws.FILTER(_xlpm.data,(_xlpm.states="New Jersey")+(_xlpm.states="M&amp;A"))))</f>
        <v>0</v>
      </c>
      <c r="M31" s="12" cm="1">
        <f t="array" ref="M31">_xlfn.LET(_xlpm.data,_xlfn.VSTACK('MS:NCA9'!M31),_xlpm.states,_xlfn.VSTACK('MS:NCA9'!$B$2),
SUM(_xlfn._xlws.FILTER(_xlpm.data,(_xlpm.states="New Jersey")+(_xlpm.states="M&amp;A"))))</f>
        <v>0</v>
      </c>
      <c r="N31" s="12" cm="1">
        <f t="array" ref="N31">_xlfn.LET(_xlpm.data,_xlfn.VSTACK('MS:NCA9'!N31),_xlpm.states,_xlfn.VSTACK('MS:NCA9'!$B$2),
SUM(_xlfn._xlws.FILTER(_xlpm.data,(_xlpm.states="New Jersey")+(_xlpm.states="M&amp;A"))))</f>
        <v>0</v>
      </c>
      <c r="O31" s="12" cm="1">
        <f t="array" ref="O31">_xlfn.LET(_xlpm.data,_xlfn.VSTACK('MS:NCA9'!O31),_xlpm.states,_xlfn.VSTACK('MS:NCA9'!$B$2),
SUM(_xlfn._xlws.FILTER(_xlpm.data,(_xlpm.states="New Jersey")+(_xlpm.states="M&amp;A"))))</f>
        <v>0</v>
      </c>
      <c r="P31" s="12" cm="1">
        <f t="array" ref="P31">_xlfn.LET(_xlpm.data,_xlfn.VSTACK('MS:NCA9'!P31),_xlpm.states,_xlfn.VSTACK('MS:NCA9'!$B$2),
SUM(_xlfn._xlws.FILTER(_xlpm.data,(_xlpm.states="New Jersey")+(_xlpm.states="M&amp;A"))))</f>
        <v>0</v>
      </c>
      <c r="Q31" s="12">
        <f>SUM('MDA1:NCA9'!Q31)</f>
        <v>0</v>
      </c>
      <c r="R31" s="12">
        <f>SUM('MDA1:NCA9'!R31)</f>
        <v>0</v>
      </c>
      <c r="S31" s="12">
        <f>SUM('MDA1:NCA9'!S31)</f>
        <v>0</v>
      </c>
      <c r="T31" s="12">
        <f>SUM('MDA1:NCA9'!T31)</f>
        <v>0</v>
      </c>
      <c r="U31" s="12">
        <f>SUM('MDA1:NCA9'!U31)</f>
        <v>0</v>
      </c>
      <c r="V31" s="12">
        <f>SUM('MDA1:NCA9'!V31)</f>
        <v>0</v>
      </c>
      <c r="W31" s="12">
        <f>SUM('MDA1:NCA9'!W31)</f>
        <v>0</v>
      </c>
      <c r="X31" s="12">
        <f>SUM('MDA1:NCA9'!X31)</f>
        <v>0</v>
      </c>
      <c r="Y31" s="12">
        <f>SUM('MDA1:NCA9'!Y31)</f>
        <v>0</v>
      </c>
      <c r="Z31" s="12">
        <f>SUM('MDA1:NCA9'!Z31)</f>
        <v>0</v>
      </c>
      <c r="AA31" s="12">
        <f>SUM('MDA1:NCA9'!AA31)</f>
        <v>0</v>
      </c>
      <c r="AB31" s="12">
        <f>SUM('MDA1:NCA9'!AB31)</f>
        <v>0</v>
      </c>
      <c r="AC31" s="12">
        <f>SUM('MDA1:NCA9'!AC31)</f>
        <v>0</v>
      </c>
      <c r="AD31" s="12">
        <f>SUM('MDA1:NCA9'!AD31)</f>
        <v>0</v>
      </c>
      <c r="AE31" s="12">
        <f>SUM('MDA1:NCA9'!AE31)</f>
        <v>0</v>
      </c>
      <c r="AF31" s="12">
        <f>SUM('MDA1:NCA9'!AF31)</f>
        <v>0</v>
      </c>
      <c r="AG31" s="12">
        <f>SUM('MDA1:NCA9'!AG31)</f>
        <v>0</v>
      </c>
      <c r="AH31" s="12">
        <f>SUM('MDA1:NCA9'!AH31)</f>
        <v>0</v>
      </c>
      <c r="AI31" s="12">
        <f>SUM('MDA1:NCA9'!AI31)</f>
        <v>0</v>
      </c>
      <c r="AJ31" s="12">
        <f>SUM('MDA1:NCA9'!AJ31)</f>
        <v>0</v>
      </c>
      <c r="AK31" s="12">
        <f>SUM('MDA1:NCA9'!AK31)</f>
        <v>0</v>
      </c>
      <c r="AL31" s="12">
        <f>SUM('MDA1:NCA9'!AL31)</f>
        <v>0</v>
      </c>
      <c r="AM31" s="12">
        <f>SUM('MDA1:NCA9'!AM31)</f>
        <v>0</v>
      </c>
      <c r="AN31" s="12">
        <f>SUM('MDA1:NCA9'!AN31)</f>
        <v>0</v>
      </c>
    </row>
    <row r="32" spans="2:40" outlineLevel="1" x14ac:dyDescent="0.25">
      <c r="B32" s="39" t="s">
        <v>404</v>
      </c>
      <c r="E32" s="12" cm="1">
        <f t="array" ref="E32">_xlfn.LET(_xlpm.data,_xlfn.VSTACK('MS:NCA9'!E32),_xlpm.states,_xlfn.VSTACK('MS:NCA9'!$B$2),
SUM(_xlfn._xlws.FILTER(_xlpm.data,(_xlpm.states="New Jersey")+(_xlpm.states="M&amp;A"))))</f>
        <v>0</v>
      </c>
      <c r="F32" s="12" cm="1">
        <f t="array" ref="F32">_xlfn.LET(_xlpm.data,_xlfn.VSTACK('MS:NCA9'!F32),_xlpm.states,_xlfn.VSTACK('MS:NCA9'!$B$2),
SUM(_xlfn._xlws.FILTER(_xlpm.data,(_xlpm.states="New Jersey")+(_xlpm.states="M&amp;A"))))</f>
        <v>0</v>
      </c>
      <c r="G32" s="12" cm="1">
        <f t="array" ref="G32">_xlfn.LET(_xlpm.data,_xlfn.VSTACK('MS:NCA9'!G32),_xlpm.states,_xlfn.VSTACK('MS:NCA9'!$B$2),
SUM(_xlfn._xlws.FILTER(_xlpm.data,(_xlpm.states="New Jersey")+(_xlpm.states="M&amp;A"))))</f>
        <v>0</v>
      </c>
      <c r="H32" s="12" cm="1">
        <f t="array" ref="H32">_xlfn.LET(_xlpm.data,_xlfn.VSTACK('MS:NCA9'!H32),_xlpm.states,_xlfn.VSTACK('MS:NCA9'!$B$2),
SUM(_xlfn._xlws.FILTER(_xlpm.data,(_xlpm.states="New Jersey")+(_xlpm.states="M&amp;A"))))</f>
        <v>0</v>
      </c>
      <c r="I32" s="12" cm="1">
        <f t="array" ref="I32">_xlfn.LET(_xlpm.data,_xlfn.VSTACK('MS:NCA9'!I32),_xlpm.states,_xlfn.VSTACK('MS:NCA9'!$B$2),
SUM(_xlfn._xlws.FILTER(_xlpm.data,(_xlpm.states="New Jersey")+(_xlpm.states="M&amp;A"))))</f>
        <v>0</v>
      </c>
      <c r="J32" s="12" cm="1">
        <f t="array" ref="J32">_xlfn.LET(_xlpm.data,_xlfn.VSTACK('MS:NCA9'!J32),_xlpm.states,_xlfn.VSTACK('MS:NCA9'!$B$2),
SUM(_xlfn._xlws.FILTER(_xlpm.data,(_xlpm.states="New Jersey")+(_xlpm.states="M&amp;A"))))</f>
        <v>0</v>
      </c>
      <c r="K32" s="12" cm="1">
        <f t="array" ref="K32">_xlfn.LET(_xlpm.data,_xlfn.VSTACK('MS:NCA9'!K32),_xlpm.states,_xlfn.VSTACK('MS:NCA9'!$B$2),
SUM(_xlfn._xlws.FILTER(_xlpm.data,(_xlpm.states="New Jersey")+(_xlpm.states="M&amp;A"))))</f>
        <v>0</v>
      </c>
      <c r="L32" s="12" cm="1">
        <f t="array" ref="L32">_xlfn.LET(_xlpm.data,_xlfn.VSTACK('MS:NCA9'!L32),_xlpm.states,_xlfn.VSTACK('MS:NCA9'!$B$2),
SUM(_xlfn._xlws.FILTER(_xlpm.data,(_xlpm.states="New Jersey")+(_xlpm.states="M&amp;A"))))</f>
        <v>0</v>
      </c>
      <c r="M32" s="12" cm="1">
        <f t="array" ref="M32">_xlfn.LET(_xlpm.data,_xlfn.VSTACK('MS:NCA9'!M32),_xlpm.states,_xlfn.VSTACK('MS:NCA9'!$B$2),
SUM(_xlfn._xlws.FILTER(_xlpm.data,(_xlpm.states="New Jersey")+(_xlpm.states="M&amp;A"))))</f>
        <v>0</v>
      </c>
      <c r="N32" s="12" cm="1">
        <f t="array" ref="N32">_xlfn.LET(_xlpm.data,_xlfn.VSTACK('MS:NCA9'!N32),_xlpm.states,_xlfn.VSTACK('MS:NCA9'!$B$2),
SUM(_xlfn._xlws.FILTER(_xlpm.data,(_xlpm.states="New Jersey")+(_xlpm.states="M&amp;A"))))</f>
        <v>0</v>
      </c>
      <c r="O32" s="12" cm="1">
        <f t="array" ref="O32">_xlfn.LET(_xlpm.data,_xlfn.VSTACK('MS:NCA9'!O32),_xlpm.states,_xlfn.VSTACK('MS:NCA9'!$B$2),
SUM(_xlfn._xlws.FILTER(_xlpm.data,(_xlpm.states="New Jersey")+(_xlpm.states="M&amp;A"))))</f>
        <v>0</v>
      </c>
      <c r="P32" s="12" cm="1">
        <f t="array" ref="P32">_xlfn.LET(_xlpm.data,_xlfn.VSTACK('MS:NCA9'!P32),_xlpm.states,_xlfn.VSTACK('MS:NCA9'!$B$2),
SUM(_xlfn._xlws.FILTER(_xlpm.data,(_xlpm.states="New Jersey")+(_xlpm.states="M&amp;A"))))</f>
        <v>0</v>
      </c>
      <c r="Q32" s="12">
        <f>SUM('MDA1:NCA9'!Q32)</f>
        <v>0</v>
      </c>
      <c r="R32" s="12">
        <f>SUM('MDA1:NCA9'!R32)</f>
        <v>0</v>
      </c>
      <c r="S32" s="12">
        <f>SUM('MDA1:NCA9'!S32)</f>
        <v>0</v>
      </c>
      <c r="T32" s="12">
        <f>SUM('MDA1:NCA9'!T32)</f>
        <v>0</v>
      </c>
      <c r="U32" s="12">
        <f>SUM('MDA1:NCA9'!U32)</f>
        <v>0</v>
      </c>
      <c r="V32" s="12">
        <f>SUM('MDA1:NCA9'!V32)</f>
        <v>0</v>
      </c>
      <c r="W32" s="12">
        <f>SUM('MDA1:NCA9'!W32)</f>
        <v>0</v>
      </c>
      <c r="X32" s="12">
        <f>SUM('MDA1:NCA9'!X32)</f>
        <v>0</v>
      </c>
      <c r="Y32" s="12">
        <f>SUM('MDA1:NCA9'!Y32)</f>
        <v>0</v>
      </c>
      <c r="Z32" s="12">
        <f>SUM('MDA1:NCA9'!Z32)</f>
        <v>0</v>
      </c>
      <c r="AA32" s="12">
        <f>SUM('MDA1:NCA9'!AA32)</f>
        <v>0</v>
      </c>
      <c r="AB32" s="12">
        <f>SUM('MDA1:NCA9'!AB32)</f>
        <v>0</v>
      </c>
      <c r="AC32" s="12">
        <f>SUM('MDA1:NCA9'!AC32)</f>
        <v>0</v>
      </c>
      <c r="AD32" s="12">
        <f>SUM('MDA1:NCA9'!AD32)</f>
        <v>0</v>
      </c>
      <c r="AE32" s="12">
        <f>SUM('MDA1:NCA9'!AE32)</f>
        <v>0</v>
      </c>
      <c r="AF32" s="12">
        <f>SUM('MDA1:NCA9'!AF32)</f>
        <v>0</v>
      </c>
      <c r="AG32" s="12">
        <f>SUM('MDA1:NCA9'!AG32)</f>
        <v>0</v>
      </c>
      <c r="AH32" s="12">
        <f>SUM('MDA1:NCA9'!AH32)</f>
        <v>0</v>
      </c>
      <c r="AI32" s="12">
        <f>SUM('MDA1:NCA9'!AI32)</f>
        <v>0</v>
      </c>
      <c r="AJ32" s="12">
        <f>SUM('MDA1:NCA9'!AJ32)</f>
        <v>0</v>
      </c>
      <c r="AK32" s="12">
        <f>SUM('MDA1:NCA9'!AK32)</f>
        <v>0</v>
      </c>
      <c r="AL32" s="12">
        <f>SUM('MDA1:NCA9'!AL32)</f>
        <v>0</v>
      </c>
      <c r="AM32" s="12">
        <f>SUM('MDA1:NCA9'!AM32)</f>
        <v>0</v>
      </c>
      <c r="AN32" s="12">
        <f>SUM('MDA1:NCA9'!AN32)</f>
        <v>0</v>
      </c>
    </row>
    <row r="33" spans="2:40" outlineLevel="1" x14ac:dyDescent="0.25">
      <c r="B33" s="39" t="s">
        <v>405</v>
      </c>
      <c r="E33" s="12" cm="1">
        <f t="array" ref="E33">_xlfn.LET(_xlpm.data,_xlfn.VSTACK('MS:NCA9'!E33),_xlpm.states,_xlfn.VSTACK('MS:NCA9'!$B$2),
SUM(_xlfn._xlws.FILTER(_xlpm.data,(_xlpm.states="New Jersey")+(_xlpm.states="M&amp;A"))))</f>
        <v>77734.474999999991</v>
      </c>
      <c r="F33" s="12" cm="1">
        <f t="array" ref="F33">_xlfn.LET(_xlpm.data,_xlfn.VSTACK('MS:NCA9'!F33),_xlpm.states,_xlfn.VSTACK('MS:NCA9'!$B$2),
SUM(_xlfn._xlws.FILTER(_xlpm.data,(_xlpm.states="New Jersey")+(_xlpm.states="M&amp;A"))))</f>
        <v>77734.474999999991</v>
      </c>
      <c r="G33" s="12" cm="1">
        <f t="array" ref="G33">_xlfn.LET(_xlpm.data,_xlfn.VSTACK('MS:NCA9'!G33),_xlpm.states,_xlfn.VSTACK('MS:NCA9'!$B$2),
SUM(_xlfn._xlws.FILTER(_xlpm.data,(_xlpm.states="New Jersey")+(_xlpm.states="M&amp;A"))))</f>
        <v>129557.45833333333</v>
      </c>
      <c r="H33" s="12" cm="1">
        <f t="array" ref="H33">_xlfn.LET(_xlpm.data,_xlfn.VSTACK('MS:NCA9'!H33),_xlpm.states,_xlfn.VSTACK('MS:NCA9'!$B$2),
SUM(_xlfn._xlws.FILTER(_xlpm.data,(_xlpm.states="New Jersey")+(_xlpm.states="M&amp;A"))))</f>
        <v>155468.94999999998</v>
      </c>
      <c r="I33" s="12" cm="1">
        <f t="array" ref="I33">_xlfn.LET(_xlpm.data,_xlfn.VSTACK('MS:NCA9'!I33),_xlpm.states,_xlfn.VSTACK('MS:NCA9'!$B$2),
SUM(_xlfn._xlws.FILTER(_xlpm.data,(_xlpm.states="New Jersey")+(_xlpm.states="M&amp;A"))))</f>
        <v>155468.94999999998</v>
      </c>
      <c r="J33" s="12" cm="1">
        <f t="array" ref="J33">_xlfn.LET(_xlpm.data,_xlfn.VSTACK('MS:NCA9'!J33),_xlpm.states,_xlfn.VSTACK('MS:NCA9'!$B$2),
SUM(_xlfn._xlws.FILTER(_xlpm.data,(_xlpm.states="New Jersey")+(_xlpm.states="M&amp;A"))))</f>
        <v>155468.94999999998</v>
      </c>
      <c r="K33" s="12" cm="1">
        <f t="array" ref="K33">_xlfn.LET(_xlpm.data,_xlfn.VSTACK('MS:NCA9'!K33),_xlpm.states,_xlfn.VSTACK('MS:NCA9'!$B$2),
SUM(_xlfn._xlws.FILTER(_xlpm.data,(_xlpm.states="New Jersey")+(_xlpm.states="M&amp;A"))))</f>
        <v>181380.44166666665</v>
      </c>
      <c r="L33" s="12" cm="1">
        <f t="array" ref="L33">_xlfn.LET(_xlpm.data,_xlfn.VSTACK('MS:NCA9'!L33),_xlpm.states,_xlfn.VSTACK('MS:NCA9'!$B$2),
SUM(_xlfn._xlws.FILTER(_xlpm.data,(_xlpm.states="New Jersey")+(_xlpm.states="M&amp;A"))))</f>
        <v>181380.44166666665</v>
      </c>
      <c r="M33" s="12" cm="1">
        <f t="array" ref="M33">_xlfn.LET(_xlpm.data,_xlfn.VSTACK('MS:NCA9'!M33),_xlpm.states,_xlfn.VSTACK('MS:NCA9'!$B$2),
SUM(_xlfn._xlws.FILTER(_xlpm.data,(_xlpm.states="New Jersey")+(_xlpm.states="M&amp;A"))))</f>
        <v>207291.93333333332</v>
      </c>
      <c r="N33" s="12" cm="1">
        <f t="array" ref="N33">_xlfn.LET(_xlpm.data,_xlfn.VSTACK('MS:NCA9'!N33),_xlpm.states,_xlfn.VSTACK('MS:NCA9'!$B$2),
SUM(_xlfn._xlws.FILTER(_xlpm.data,(_xlpm.states="New Jersey")+(_xlpm.states="M&amp;A"))))</f>
        <v>207291.93333333332</v>
      </c>
      <c r="O33" s="12" cm="1">
        <f t="array" ref="O33">_xlfn.LET(_xlpm.data,_xlfn.VSTACK('MS:NCA9'!O33),_xlpm.states,_xlfn.VSTACK('MS:NCA9'!$B$2),
SUM(_xlfn._xlws.FILTER(_xlpm.data,(_xlpm.states="New Jersey")+(_xlpm.states="M&amp;A"))))</f>
        <v>233203.42499999999</v>
      </c>
      <c r="P33" s="12" cm="1">
        <f t="array" ref="P33">_xlfn.LET(_xlpm.data,_xlfn.VSTACK('MS:NCA9'!P33),_xlpm.states,_xlfn.VSTACK('MS:NCA9'!$B$2),
SUM(_xlfn._xlws.FILTER(_xlpm.data,(_xlpm.states="New Jersey")+(_xlpm.states="M&amp;A"))))</f>
        <v>233203.42499999999</v>
      </c>
      <c r="Q33" s="12">
        <f>SUM('MDA1:NCA9'!Q33)</f>
        <v>366195.94590366667</v>
      </c>
      <c r="R33" s="12">
        <f>SUM('MDA1:NCA9'!R33)</f>
        <v>366195.94590366667</v>
      </c>
      <c r="S33" s="12">
        <f>SUM('MDA1:NCA9'!S33)</f>
        <v>392884.78232033335</v>
      </c>
      <c r="T33" s="12">
        <f>SUM('MDA1:NCA9'!T33)</f>
        <v>392884.78232033335</v>
      </c>
      <c r="U33" s="12">
        <f>SUM('MDA1:NCA9'!U33)</f>
        <v>392884.78232033335</v>
      </c>
      <c r="V33" s="12">
        <f>SUM('MDA1:NCA9'!V33)</f>
        <v>392884.78232033335</v>
      </c>
      <c r="W33" s="12">
        <f>SUM('MDA1:NCA9'!W33)</f>
        <v>444048.0526603334</v>
      </c>
      <c r="X33" s="12">
        <f>SUM('MDA1:NCA9'!X33)</f>
        <v>496574.61960166675</v>
      </c>
      <c r="Y33" s="12">
        <f>SUM('MDA1:NCA9'!Y33)</f>
        <v>496574.61960166675</v>
      </c>
      <c r="Z33" s="12">
        <f>SUM('MDA1:NCA9'!Z33)</f>
        <v>496574.61960166675</v>
      </c>
      <c r="AA33" s="12">
        <f>SUM('MDA1:NCA9'!AA33)</f>
        <v>523263.45601833344</v>
      </c>
      <c r="AB33" s="12">
        <f>SUM('MDA1:NCA9'!AB33)</f>
        <v>549952.29243500007</v>
      </c>
      <c r="AC33" s="12">
        <f>SUM('MDA1:NCA9'!AC33)</f>
        <v>549952.29243500007</v>
      </c>
      <c r="AD33" s="12">
        <f>SUM('MDA1:NCA9'!AD33)</f>
        <v>549952.29243500007</v>
      </c>
      <c r="AE33" s="12">
        <f>SUM('MDA1:NCA9'!AE33)</f>
        <v>549952.29243500007</v>
      </c>
      <c r="AF33" s="12">
        <f>SUM('MDA1:NCA9'!AF33)</f>
        <v>549952.29243500007</v>
      </c>
      <c r="AG33" s="12">
        <f>SUM('MDA1:NCA9'!AG33)</f>
        <v>549952.29243500007</v>
      </c>
      <c r="AH33" s="12">
        <f>SUM('MDA1:NCA9'!AH33)</f>
        <v>600264.45688299998</v>
      </c>
      <c r="AI33" s="12">
        <f>SUM('MDA1:NCA9'!AI33)</f>
        <v>626953.29329966661</v>
      </c>
      <c r="AJ33" s="12">
        <f>SUM('MDA1:NCA9'!AJ33)</f>
        <v>653642.12971633323</v>
      </c>
      <c r="AK33" s="12">
        <f>SUM('MDA1:NCA9'!AK33)</f>
        <v>680330.96613299986</v>
      </c>
      <c r="AL33" s="12">
        <f>SUM('MDA1:NCA9'!AL33)</f>
        <v>707019.80254966649</v>
      </c>
      <c r="AM33" s="12">
        <f>SUM('MDA1:NCA9'!AM33)</f>
        <v>733708.63896633312</v>
      </c>
      <c r="AN33" s="12">
        <f>SUM('MDA1:NCA9'!AN33)</f>
        <v>733708.63896633312</v>
      </c>
    </row>
    <row r="34" spans="2:40" outlineLevel="1" x14ac:dyDescent="0.25">
      <c r="B34" s="39" t="s">
        <v>406</v>
      </c>
      <c r="E34" s="12" cm="1">
        <f t="array" ref="E34">_xlfn.LET(_xlpm.data,_xlfn.VSTACK('MS:NCA9'!E34),_xlpm.states,_xlfn.VSTACK('MS:NCA9'!$B$2),
SUM(_xlfn._xlws.FILTER(_xlpm.data,(_xlpm.states="New Jersey")+(_xlpm.states="M&amp;A"))))</f>
        <v>0</v>
      </c>
      <c r="F34" s="12" cm="1">
        <f t="array" ref="F34">_xlfn.LET(_xlpm.data,_xlfn.VSTACK('MS:NCA9'!F34),_xlpm.states,_xlfn.VSTACK('MS:NCA9'!$B$2),
SUM(_xlfn._xlws.FILTER(_xlpm.data,(_xlpm.states="New Jersey")+(_xlpm.states="M&amp;A"))))</f>
        <v>0</v>
      </c>
      <c r="G34" s="12" cm="1">
        <f t="array" ref="G34">_xlfn.LET(_xlpm.data,_xlfn.VSTACK('MS:NCA9'!G34),_xlpm.states,_xlfn.VSTACK('MS:NCA9'!$B$2),
SUM(_xlfn._xlws.FILTER(_xlpm.data,(_xlpm.states="New Jersey")+(_xlpm.states="M&amp;A"))))</f>
        <v>0</v>
      </c>
      <c r="H34" s="12" cm="1">
        <f t="array" ref="H34">_xlfn.LET(_xlpm.data,_xlfn.VSTACK('MS:NCA9'!H34),_xlpm.states,_xlfn.VSTACK('MS:NCA9'!$B$2),
SUM(_xlfn._xlws.FILTER(_xlpm.data,(_xlpm.states="New Jersey")+(_xlpm.states="M&amp;A"))))</f>
        <v>0</v>
      </c>
      <c r="I34" s="12" cm="1">
        <f t="array" ref="I34">_xlfn.LET(_xlpm.data,_xlfn.VSTACK('MS:NCA9'!I34),_xlpm.states,_xlfn.VSTACK('MS:NCA9'!$B$2),
SUM(_xlfn._xlws.FILTER(_xlpm.data,(_xlpm.states="New Jersey")+(_xlpm.states="M&amp;A"))))</f>
        <v>0</v>
      </c>
      <c r="J34" s="12" cm="1">
        <f t="array" ref="J34">_xlfn.LET(_xlpm.data,_xlfn.VSTACK('MS:NCA9'!J34),_xlpm.states,_xlfn.VSTACK('MS:NCA9'!$B$2),
SUM(_xlfn._xlws.FILTER(_xlpm.data,(_xlpm.states="New Jersey")+(_xlpm.states="M&amp;A"))))</f>
        <v>0</v>
      </c>
      <c r="K34" s="12" cm="1">
        <f t="array" ref="K34">_xlfn.LET(_xlpm.data,_xlfn.VSTACK('MS:NCA9'!K34),_xlpm.states,_xlfn.VSTACK('MS:NCA9'!$B$2),
SUM(_xlfn._xlws.FILTER(_xlpm.data,(_xlpm.states="New Jersey")+(_xlpm.states="M&amp;A"))))</f>
        <v>0</v>
      </c>
      <c r="L34" s="12" cm="1">
        <f t="array" ref="L34">_xlfn.LET(_xlpm.data,_xlfn.VSTACK('MS:NCA9'!L34),_xlpm.states,_xlfn.VSTACK('MS:NCA9'!$B$2),
SUM(_xlfn._xlws.FILTER(_xlpm.data,(_xlpm.states="New Jersey")+(_xlpm.states="M&amp;A"))))</f>
        <v>0</v>
      </c>
      <c r="M34" s="12" cm="1">
        <f t="array" ref="M34">_xlfn.LET(_xlpm.data,_xlfn.VSTACK('MS:NCA9'!M34),_xlpm.states,_xlfn.VSTACK('MS:NCA9'!$B$2),
SUM(_xlfn._xlws.FILTER(_xlpm.data,(_xlpm.states="New Jersey")+(_xlpm.states="M&amp;A"))))</f>
        <v>0</v>
      </c>
      <c r="N34" s="12" cm="1">
        <f t="array" ref="N34">_xlfn.LET(_xlpm.data,_xlfn.VSTACK('MS:NCA9'!N34),_xlpm.states,_xlfn.VSTACK('MS:NCA9'!$B$2),
SUM(_xlfn._xlws.FILTER(_xlpm.data,(_xlpm.states="New Jersey")+(_xlpm.states="M&amp;A"))))</f>
        <v>0</v>
      </c>
      <c r="O34" s="12" cm="1">
        <f t="array" ref="O34">_xlfn.LET(_xlpm.data,_xlfn.VSTACK('MS:NCA9'!O34),_xlpm.states,_xlfn.VSTACK('MS:NCA9'!$B$2),
SUM(_xlfn._xlws.FILTER(_xlpm.data,(_xlpm.states="New Jersey")+(_xlpm.states="M&amp;A"))))</f>
        <v>0</v>
      </c>
      <c r="P34" s="12" cm="1">
        <f t="array" ref="P34">_xlfn.LET(_xlpm.data,_xlfn.VSTACK('MS:NCA9'!P34),_xlpm.states,_xlfn.VSTACK('MS:NCA9'!$B$2),
SUM(_xlfn._xlws.FILTER(_xlpm.data,(_xlpm.states="New Jersey")+(_xlpm.states="M&amp;A"))))</f>
        <v>0</v>
      </c>
      <c r="Q34" s="12">
        <f>SUM('MDA1:NCA9'!Q34)</f>
        <v>0</v>
      </c>
      <c r="R34" s="12">
        <f>SUM('MDA1:NCA9'!R34)</f>
        <v>0</v>
      </c>
      <c r="S34" s="12">
        <f>SUM('MDA1:NCA9'!S34)</f>
        <v>0</v>
      </c>
      <c r="T34" s="12">
        <f>SUM('MDA1:NCA9'!T34)</f>
        <v>0</v>
      </c>
      <c r="U34" s="12">
        <f>SUM('MDA1:NCA9'!U34)</f>
        <v>0</v>
      </c>
      <c r="V34" s="12">
        <f>SUM('MDA1:NCA9'!V34)</f>
        <v>0</v>
      </c>
      <c r="W34" s="12">
        <f>SUM('MDA1:NCA9'!W34)</f>
        <v>0</v>
      </c>
      <c r="X34" s="12">
        <f>SUM('MDA1:NCA9'!X34)</f>
        <v>0</v>
      </c>
      <c r="Y34" s="12">
        <f>SUM('MDA1:NCA9'!Y34)</f>
        <v>0</v>
      </c>
      <c r="Z34" s="12">
        <f>SUM('MDA1:NCA9'!Z34)</f>
        <v>0</v>
      </c>
      <c r="AA34" s="12">
        <f>SUM('MDA1:NCA9'!AA34)</f>
        <v>0</v>
      </c>
      <c r="AB34" s="12">
        <f>SUM('MDA1:NCA9'!AB34)</f>
        <v>0</v>
      </c>
      <c r="AC34" s="12">
        <f>SUM('MDA1:NCA9'!AC34)</f>
        <v>0</v>
      </c>
      <c r="AD34" s="12">
        <f>SUM('MDA1:NCA9'!AD34)</f>
        <v>0</v>
      </c>
      <c r="AE34" s="12">
        <f>SUM('MDA1:NCA9'!AE34)</f>
        <v>0</v>
      </c>
      <c r="AF34" s="12">
        <f>SUM('MDA1:NCA9'!AF34)</f>
        <v>0</v>
      </c>
      <c r="AG34" s="12">
        <f>SUM('MDA1:NCA9'!AG34)</f>
        <v>0</v>
      </c>
      <c r="AH34" s="12">
        <f>SUM('MDA1:NCA9'!AH34)</f>
        <v>0</v>
      </c>
      <c r="AI34" s="12">
        <f>SUM('MDA1:NCA9'!AI34)</f>
        <v>0</v>
      </c>
      <c r="AJ34" s="12">
        <f>SUM('MDA1:NCA9'!AJ34)</f>
        <v>0</v>
      </c>
      <c r="AK34" s="12">
        <f>SUM('MDA1:NCA9'!AK34)</f>
        <v>0</v>
      </c>
      <c r="AL34" s="12">
        <f>SUM('MDA1:NCA9'!AL34)</f>
        <v>0</v>
      </c>
      <c r="AM34" s="12">
        <f>SUM('MDA1:NCA9'!AM34)</f>
        <v>0</v>
      </c>
      <c r="AN34" s="12">
        <f>SUM('MDA1:NCA9'!AN34)</f>
        <v>0</v>
      </c>
    </row>
    <row r="35" spans="2:40" outlineLevel="1" x14ac:dyDescent="0.25">
      <c r="B35" s="39" t="s">
        <v>99</v>
      </c>
      <c r="E35" s="12" cm="1">
        <f t="array" ref="E35">_xlfn.LET(_xlpm.data,_xlfn.VSTACK('MS:NCA9'!E35),_xlpm.states,_xlfn.VSTACK('MS:NCA9'!$B$2),
SUM(_xlfn._xlws.FILTER(_xlpm.data,(_xlpm.states="New Jersey")+(_xlpm.states="M&amp;A"))))</f>
        <v>-204690.72271999999</v>
      </c>
      <c r="F35" s="12" cm="1">
        <f t="array" ref="F35">_xlfn.LET(_xlpm.data,_xlfn.VSTACK('MS:NCA9'!F35),_xlpm.states,_xlfn.VSTACK('MS:NCA9'!$B$2),
SUM(_xlfn._xlws.FILTER(_xlpm.data,(_xlpm.states="New Jersey")+(_xlpm.states="M&amp;A"))))</f>
        <v>-307659.67631999997</v>
      </c>
      <c r="G35" s="12" cm="1">
        <f t="array" ref="G35">_xlfn.LET(_xlpm.data,_xlfn.VSTACK('MS:NCA9'!G35),_xlpm.states,_xlfn.VSTACK('MS:NCA9'!$B$2),
SUM(_xlfn._xlws.FILTER(_xlpm.data,(_xlpm.states="New Jersey")+(_xlpm.states="M&amp;A"))))</f>
        <v>-429079.20371999999</v>
      </c>
      <c r="H35" s="12" cm="1">
        <f t="array" ref="H35">_xlfn.LET(_xlpm.data,_xlfn.VSTACK('MS:NCA9'!H35),_xlpm.states,_xlfn.VSTACK('MS:NCA9'!$B$2),
SUM(_xlfn._xlws.FILTER(_xlpm.data,(_xlpm.states="New Jersey")+(_xlpm.states="M&amp;A"))))</f>
        <v>-557357.80207999982</v>
      </c>
      <c r="I35" s="12" cm="1">
        <f t="array" ref="I35">_xlfn.LET(_xlpm.data,_xlfn.VSTACK('MS:NCA9'!I35),_xlpm.states,_xlfn.VSTACK('MS:NCA9'!$B$2),
SUM(_xlfn._xlws.FILTER(_xlpm.data,(_xlpm.states="New Jersey")+(_xlpm.states="M&amp;A"))))</f>
        <v>-672475.96427999984</v>
      </c>
      <c r="J35" s="12" cm="1">
        <f t="array" ref="J35">_xlfn.LET(_xlpm.data,_xlfn.VSTACK('MS:NCA9'!J35),_xlpm.states,_xlfn.VSTACK('MS:NCA9'!$B$2),
SUM(_xlfn._xlws.FILTER(_xlpm.data,(_xlpm.states="New Jersey")+(_xlpm.states="M&amp;A"))))</f>
        <v>-789837.13567999972</v>
      </c>
      <c r="K35" s="12" cm="1">
        <f t="array" ref="K35">_xlfn.LET(_xlpm.data,_xlfn.VSTACK('MS:NCA9'!K35),_xlpm.states,_xlfn.VSTACK('MS:NCA9'!$B$2),
SUM(_xlfn._xlws.FILTER(_xlpm.data,(_xlpm.states="New Jersey")+(_xlpm.states="M&amp;A"))))</f>
        <v>-840752.86359999969</v>
      </c>
      <c r="L35" s="12" cm="1">
        <f t="array" ref="L35">_xlfn.LET(_xlpm.data,_xlfn.VSTACK('MS:NCA9'!L35),_xlpm.states,_xlfn.VSTACK('MS:NCA9'!$B$2),
SUM(_xlfn._xlws.FILTER(_xlpm.data,(_xlpm.states="New Jersey")+(_xlpm.states="M&amp;A"))))</f>
        <v>-888517.90891999973</v>
      </c>
      <c r="M35" s="12" cm="1">
        <f t="array" ref="M35">_xlfn.LET(_xlpm.data,_xlfn.VSTACK('MS:NCA9'!M35),_xlpm.states,_xlfn.VSTACK('MS:NCA9'!$B$2),
SUM(_xlfn._xlws.FILTER(_xlpm.data,(_xlpm.states="New Jersey")+(_xlpm.states="M&amp;A"))))</f>
        <v>-947180.0245599997</v>
      </c>
      <c r="N35" s="12" cm="1">
        <f t="array" ref="N35">_xlfn.LET(_xlpm.data,_xlfn.VSTACK('MS:NCA9'!N35),_xlpm.states,_xlfn.VSTACK('MS:NCA9'!$B$2),
SUM(_xlfn._xlws.FILTER(_xlpm.data,(_xlpm.states="New Jersey")+(_xlpm.states="M&amp;A"))))</f>
        <v>-1028527.3669999997</v>
      </c>
      <c r="O35" s="12" cm="1">
        <f t="array" ref="O35">_xlfn.LET(_xlpm.data,_xlfn.VSTACK('MS:NCA9'!O35),_xlpm.states,_xlfn.VSTACK('MS:NCA9'!$B$2),
SUM(_xlfn._xlws.FILTER(_xlpm.data,(_xlpm.states="New Jersey")+(_xlpm.states="M&amp;A"))))</f>
        <v>-1121934.5879600001</v>
      </c>
      <c r="P35" s="12" cm="1">
        <f t="array" ref="P35">_xlfn.LET(_xlpm.data,_xlfn.VSTACK('MS:NCA9'!P35),_xlpm.states,_xlfn.VSTACK('MS:NCA9'!$B$2),
SUM(_xlfn._xlws.FILTER(_xlpm.data,(_xlpm.states="New Jersey")+(_xlpm.states="M&amp;A"))))</f>
        <v>-1212191.12632</v>
      </c>
      <c r="Q35" s="12">
        <f>SUM('MDA1:NCA9'!Q35)</f>
        <v>-1143246.6060632905</v>
      </c>
      <c r="R35" s="12">
        <f>SUM('MDA1:NCA9'!R35)</f>
        <v>-1207136.5983791524</v>
      </c>
      <c r="S35" s="12">
        <f>SUM('MDA1:NCA9'!S35)</f>
        <v>-1282744.8185275972</v>
      </c>
      <c r="T35" s="12">
        <f>SUM('MDA1:NCA9'!T35)</f>
        <v>-1356230.9683880059</v>
      </c>
      <c r="U35" s="12">
        <f>SUM('MDA1:NCA9'!U35)</f>
        <v>-1413061.3178606431</v>
      </c>
      <c r="V35" s="12">
        <f>SUM('MDA1:NCA9'!V35)</f>
        <v>-1464385.8438989383</v>
      </c>
      <c r="W35" s="12">
        <f>SUM('MDA1:NCA9'!W35)</f>
        <v>-1531954.3775667574</v>
      </c>
      <c r="X35" s="12">
        <f>SUM('MDA1:NCA9'!X35)</f>
        <v>-1604081.1291140211</v>
      </c>
      <c r="Y35" s="12">
        <f>SUM('MDA1:NCA9'!Y35)</f>
        <v>-1658802.1019451388</v>
      </c>
      <c r="Z35" s="12">
        <f>SUM('MDA1:NCA9'!Z35)</f>
        <v>-1718143.6737282565</v>
      </c>
      <c r="AA35" s="12">
        <f>SUM('MDA1:NCA9'!AA35)</f>
        <v>-1781180.948416688</v>
      </c>
      <c r="AB35" s="12">
        <f>SUM('MDA1:NCA9'!AB35)</f>
        <v>-1843867.7154549803</v>
      </c>
      <c r="AC35" s="12">
        <f>SUM('MDA1:NCA9'!AC35)</f>
        <v>-1893607.7481343234</v>
      </c>
      <c r="AD35" s="12">
        <f>SUM('MDA1:NCA9'!AD35)</f>
        <v>-1945658.0802896663</v>
      </c>
      <c r="AE35" s="12">
        <f>SUM('MDA1:NCA9'!AE35)</f>
        <v>-1996247.3728908892</v>
      </c>
      <c r="AF35" s="12">
        <f>SUM('MDA1:NCA9'!AF35)</f>
        <v>-2045230.7933562088</v>
      </c>
      <c r="AG35" s="12">
        <f>SUM('MDA1:NCA9'!AG35)</f>
        <v>-2087935.5890465793</v>
      </c>
      <c r="AH35" s="12">
        <f>SUM('MDA1:NCA9'!AH35)</f>
        <v>-2144242.734395979</v>
      </c>
      <c r="AI35" s="12">
        <f>SUM('MDA1:NCA9'!AI35)</f>
        <v>-2208183.5270659658</v>
      </c>
      <c r="AJ35" s="12">
        <f>SUM('MDA1:NCA9'!AJ35)</f>
        <v>-2274937.4952969006</v>
      </c>
      <c r="AK35" s="12">
        <f>SUM('MDA1:NCA9'!AK35)</f>
        <v>-2339608.3703987128</v>
      </c>
      <c r="AL35" s="12">
        <f>SUM('MDA1:NCA9'!AL35)</f>
        <v>-2401558.4705782835</v>
      </c>
      <c r="AM35" s="12">
        <f>SUM('MDA1:NCA9'!AM35)</f>
        <v>-2471529.8928174539</v>
      </c>
      <c r="AN35" s="12">
        <f>SUM('MDA1:NCA9'!AN35)</f>
        <v>-2535400.807663972</v>
      </c>
    </row>
    <row r="36" spans="2:40" outlineLevel="1" x14ac:dyDescent="0.25">
      <c r="B36" s="39" t="s">
        <v>261</v>
      </c>
      <c r="C36" s="4"/>
      <c r="E36" s="12" cm="1">
        <f t="array" ref="E36">_xlfn.LET(_xlpm.data,_xlfn.VSTACK('MS:NCA9'!E36),_xlpm.states,_xlfn.VSTACK('MS:NCA9'!$B$2),
SUM(_xlfn._xlws.FILTER(_xlpm.data,(_xlpm.states="New Jersey")+(_xlpm.states="M&amp;A"))))</f>
        <v>0</v>
      </c>
      <c r="F36" s="12" cm="1">
        <f t="array" ref="F36">_xlfn.LET(_xlpm.data,_xlfn.VSTACK('MS:NCA9'!F36),_xlpm.states,_xlfn.VSTACK('MS:NCA9'!$B$2),
SUM(_xlfn._xlws.FILTER(_xlpm.data,(_xlpm.states="New Jersey")+(_xlpm.states="M&amp;A"))))</f>
        <v>0</v>
      </c>
      <c r="G36" s="12" cm="1">
        <f t="array" ref="G36">_xlfn.LET(_xlpm.data,_xlfn.VSTACK('MS:NCA9'!G36),_xlpm.states,_xlfn.VSTACK('MS:NCA9'!$B$2),
SUM(_xlfn._xlws.FILTER(_xlpm.data,(_xlpm.states="New Jersey")+(_xlpm.states="M&amp;A"))))</f>
        <v>0</v>
      </c>
      <c r="H36" s="12" cm="1">
        <f t="array" ref="H36">_xlfn.LET(_xlpm.data,_xlfn.VSTACK('MS:NCA9'!H36),_xlpm.states,_xlfn.VSTACK('MS:NCA9'!$B$2),
SUM(_xlfn._xlws.FILTER(_xlpm.data,(_xlpm.states="New Jersey")+(_xlpm.states="M&amp;A"))))</f>
        <v>0</v>
      </c>
      <c r="I36" s="12" cm="1">
        <f t="array" ref="I36">_xlfn.LET(_xlpm.data,_xlfn.VSTACK('MS:NCA9'!I36),_xlpm.states,_xlfn.VSTACK('MS:NCA9'!$B$2),
SUM(_xlfn._xlws.FILTER(_xlpm.data,(_xlpm.states="New Jersey")+(_xlpm.states="M&amp;A"))))</f>
        <v>0</v>
      </c>
      <c r="J36" s="12" cm="1">
        <f t="array" ref="J36">_xlfn.LET(_xlpm.data,_xlfn.VSTACK('MS:NCA9'!J36),_xlpm.states,_xlfn.VSTACK('MS:NCA9'!$B$2),
SUM(_xlfn._xlws.FILTER(_xlpm.data,(_xlpm.states="New Jersey")+(_xlpm.states="M&amp;A"))))</f>
        <v>0</v>
      </c>
      <c r="K36" s="12" cm="1">
        <f t="array" ref="K36">_xlfn.LET(_xlpm.data,_xlfn.VSTACK('MS:NCA9'!K36),_xlpm.states,_xlfn.VSTACK('MS:NCA9'!$B$2),
SUM(_xlfn._xlws.FILTER(_xlpm.data,(_xlpm.states="New Jersey")+(_xlpm.states="M&amp;A"))))</f>
        <v>0</v>
      </c>
      <c r="L36" s="12" cm="1">
        <f t="array" ref="L36">_xlfn.LET(_xlpm.data,_xlfn.VSTACK('MS:NCA9'!L36),_xlpm.states,_xlfn.VSTACK('MS:NCA9'!$B$2),
SUM(_xlfn._xlws.FILTER(_xlpm.data,(_xlpm.states="New Jersey")+(_xlpm.states="M&amp;A"))))</f>
        <v>0</v>
      </c>
      <c r="M36" s="12" cm="1">
        <f t="array" ref="M36">_xlfn.LET(_xlpm.data,_xlfn.VSTACK('MS:NCA9'!M36),_xlpm.states,_xlfn.VSTACK('MS:NCA9'!$B$2),
SUM(_xlfn._xlws.FILTER(_xlpm.data,(_xlpm.states="New Jersey")+(_xlpm.states="M&amp;A"))))</f>
        <v>0</v>
      </c>
      <c r="N36" s="12" cm="1">
        <f t="array" ref="N36">_xlfn.LET(_xlpm.data,_xlfn.VSTACK('MS:NCA9'!N36),_xlpm.states,_xlfn.VSTACK('MS:NCA9'!$B$2),
SUM(_xlfn._xlws.FILTER(_xlpm.data,(_xlpm.states="New Jersey")+(_xlpm.states="M&amp;A"))))</f>
        <v>0</v>
      </c>
      <c r="O36" s="12" cm="1">
        <f t="array" ref="O36">_xlfn.LET(_xlpm.data,_xlfn.VSTACK('MS:NCA9'!O36),_xlpm.states,_xlfn.VSTACK('MS:NCA9'!$B$2),
SUM(_xlfn._xlws.FILTER(_xlpm.data,(_xlpm.states="New Jersey")+(_xlpm.states="M&amp;A"))))</f>
        <v>0</v>
      </c>
      <c r="P36" s="12" cm="1">
        <f t="array" ref="P36">_xlfn.LET(_xlpm.data,_xlfn.VSTACK('MS:NCA9'!P36),_xlpm.states,_xlfn.VSTACK('MS:NCA9'!$B$2),
SUM(_xlfn._xlws.FILTER(_xlpm.data,(_xlpm.states="New Jersey")+(_xlpm.states="M&amp;A"))))</f>
        <v>0</v>
      </c>
      <c r="Q36" s="12">
        <f>SUM('MDA1:NCA9'!Q36)</f>
        <v>0</v>
      </c>
      <c r="R36" s="12">
        <f>SUM('MDA1:NCA9'!R36)</f>
        <v>0</v>
      </c>
      <c r="S36" s="12">
        <f>SUM('MDA1:NCA9'!S36)</f>
        <v>0</v>
      </c>
      <c r="T36" s="12">
        <f>SUM('MDA1:NCA9'!T36)</f>
        <v>0</v>
      </c>
      <c r="U36" s="12">
        <f>SUM('MDA1:NCA9'!U36)</f>
        <v>0</v>
      </c>
      <c r="V36" s="12">
        <f>SUM('MDA1:NCA9'!V36)</f>
        <v>0</v>
      </c>
      <c r="W36" s="12">
        <f>SUM('MDA1:NCA9'!W36)</f>
        <v>0</v>
      </c>
      <c r="X36" s="12">
        <f>SUM('MDA1:NCA9'!X36)</f>
        <v>0</v>
      </c>
      <c r="Y36" s="12">
        <f>SUM('MDA1:NCA9'!Y36)</f>
        <v>0</v>
      </c>
      <c r="Z36" s="12">
        <f>SUM('MDA1:NCA9'!Z36)</f>
        <v>0</v>
      </c>
      <c r="AA36" s="12">
        <f>SUM('MDA1:NCA9'!AA36)</f>
        <v>0</v>
      </c>
      <c r="AB36" s="12">
        <f>SUM('MDA1:NCA9'!AB36)</f>
        <v>0</v>
      </c>
      <c r="AC36" s="12">
        <f>SUM('MDA1:NCA9'!AC36)</f>
        <v>0</v>
      </c>
      <c r="AD36" s="12">
        <f>SUM('MDA1:NCA9'!AD36)</f>
        <v>0</v>
      </c>
      <c r="AE36" s="12">
        <f>SUM('MDA1:NCA9'!AE36)</f>
        <v>0</v>
      </c>
      <c r="AF36" s="12">
        <f>SUM('MDA1:NCA9'!AF36)</f>
        <v>0</v>
      </c>
      <c r="AG36" s="12">
        <f>SUM('MDA1:NCA9'!AG36)</f>
        <v>0</v>
      </c>
      <c r="AH36" s="12">
        <f>SUM('MDA1:NCA9'!AH36)</f>
        <v>0</v>
      </c>
      <c r="AI36" s="12">
        <f>SUM('MDA1:NCA9'!AI36)</f>
        <v>0</v>
      </c>
      <c r="AJ36" s="12">
        <f>SUM('MDA1:NCA9'!AJ36)</f>
        <v>0</v>
      </c>
      <c r="AK36" s="12">
        <f>SUM('MDA1:NCA9'!AK36)</f>
        <v>0</v>
      </c>
      <c r="AL36" s="12">
        <f>SUM('MDA1:NCA9'!AL36)</f>
        <v>0</v>
      </c>
      <c r="AM36" s="12">
        <f>SUM('MDA1:NCA9'!AM36)</f>
        <v>0</v>
      </c>
      <c r="AN36" s="12">
        <f>SUM('MDA1:NCA9'!AN36)</f>
        <v>0</v>
      </c>
    </row>
    <row r="37" spans="2:40" x14ac:dyDescent="0.25">
      <c r="B37" s="1" t="s">
        <v>271</v>
      </c>
      <c r="C37" s="15"/>
      <c r="E37" s="13">
        <f t="shared" ref="E37:AN37" si="0">SUM(E26:E36)</f>
        <v>1501065.2999466667</v>
      </c>
      <c r="F37" s="13">
        <f t="shared" si="0"/>
        <v>2256170.9596799989</v>
      </c>
      <c r="G37" s="13">
        <f t="shared" si="0"/>
        <v>3146580.8272799989</v>
      </c>
      <c r="H37" s="13">
        <f t="shared" si="0"/>
        <v>4087290.5485866657</v>
      </c>
      <c r="I37" s="13">
        <f t="shared" si="0"/>
        <v>4931490.4047199981</v>
      </c>
      <c r="J37" s="13">
        <f t="shared" si="0"/>
        <v>5792138.9949866664</v>
      </c>
      <c r="K37" s="13">
        <f t="shared" si="0"/>
        <v>6165520.9997333316</v>
      </c>
      <c r="L37" s="13">
        <f t="shared" si="0"/>
        <v>6515797.9987466643</v>
      </c>
      <c r="M37" s="13">
        <f t="shared" si="0"/>
        <v>6945986.8467733311</v>
      </c>
      <c r="N37" s="13">
        <f t="shared" si="0"/>
        <v>7542534.0246666642</v>
      </c>
      <c r="O37" s="13">
        <f t="shared" si="0"/>
        <v>8227520.3117066668</v>
      </c>
      <c r="P37" s="13">
        <f t="shared" si="0"/>
        <v>8889401.5930133294</v>
      </c>
      <c r="Q37" s="13">
        <f t="shared" si="0"/>
        <v>8383808.4444641331</v>
      </c>
      <c r="R37" s="13">
        <f t="shared" si="0"/>
        <v>8852335.0547804534</v>
      </c>
      <c r="S37" s="13">
        <f t="shared" si="0"/>
        <v>9406795.3358690403</v>
      </c>
      <c r="T37" s="13">
        <f t="shared" si="0"/>
        <v>9945693.7681787107</v>
      </c>
      <c r="U37" s="13">
        <f t="shared" si="0"/>
        <v>10362449.664311387</v>
      </c>
      <c r="V37" s="13">
        <f t="shared" si="0"/>
        <v>10738829.521925552</v>
      </c>
      <c r="W37" s="13">
        <f t="shared" si="0"/>
        <v>11234332.102156224</v>
      </c>
      <c r="X37" s="13">
        <f t="shared" si="0"/>
        <v>11763261.613502823</v>
      </c>
      <c r="Y37" s="13">
        <f t="shared" si="0"/>
        <v>12164548.747597687</v>
      </c>
      <c r="Z37" s="13">
        <f t="shared" si="0"/>
        <v>12599720.27400722</v>
      </c>
      <c r="AA37" s="13">
        <f t="shared" si="0"/>
        <v>13061993.621722383</v>
      </c>
      <c r="AB37" s="13">
        <f t="shared" si="0"/>
        <v>13521696.580003185</v>
      </c>
      <c r="AC37" s="13">
        <f t="shared" si="0"/>
        <v>13886456.819651701</v>
      </c>
      <c r="AD37" s="13">
        <f t="shared" si="0"/>
        <v>14268159.255457554</v>
      </c>
      <c r="AE37" s="13">
        <f t="shared" si="0"/>
        <v>14639147.401199857</v>
      </c>
      <c r="AF37" s="13">
        <f t="shared" si="0"/>
        <v>14998359.151278863</v>
      </c>
      <c r="AG37" s="13">
        <f t="shared" si="0"/>
        <v>15311527.653008249</v>
      </c>
      <c r="AH37" s="13">
        <f t="shared" si="0"/>
        <v>15724446.718903845</v>
      </c>
      <c r="AI37" s="13">
        <f t="shared" si="0"/>
        <v>16193345.865150418</v>
      </c>
      <c r="AJ37" s="13">
        <f t="shared" si="0"/>
        <v>16682874.965510601</v>
      </c>
      <c r="AK37" s="13">
        <f t="shared" si="0"/>
        <v>17157128.049590562</v>
      </c>
      <c r="AL37" s="13">
        <f t="shared" si="0"/>
        <v>17611428.784240745</v>
      </c>
      <c r="AM37" s="13">
        <f t="shared" si="0"/>
        <v>18124552.547327995</v>
      </c>
      <c r="AN37" s="13">
        <f t="shared" si="0"/>
        <v>18592939.256202463</v>
      </c>
    </row>
    <row r="39" spans="2:40" x14ac:dyDescent="0.25">
      <c r="B39" s="1" t="s">
        <v>118</v>
      </c>
    </row>
    <row r="40" spans="2:40" outlineLevel="1" x14ac:dyDescent="0.25">
      <c r="B40" s="39" t="s">
        <v>23</v>
      </c>
      <c r="E40" s="12" cm="1">
        <f t="array" ref="E40">_xlfn.LET(_xlpm.data,_xlfn.VSTACK('MS:NCA9'!E40),_xlpm.states,_xlfn.VSTACK('MS:NCA9'!$B$2),
SUM(_xlfn._xlws.FILTER(_xlpm.data,(_xlpm.states="New Jersey")+(_xlpm.states="M&amp;A"))))</f>
        <v>527622.50521214504</v>
      </c>
      <c r="F40" s="12" cm="1">
        <f t="array" ref="F40">_xlfn.LET(_xlpm.data,_xlfn.VSTACK('MS:NCA9'!F40),_xlpm.states,_xlfn.VSTACK('MS:NCA9'!$B$2),
SUM(_xlfn._xlws.FILTER(_xlpm.data,(_xlpm.states="New Jersey")+(_xlpm.states="M&amp;A"))))</f>
        <v>596378.1836787347</v>
      </c>
      <c r="G40" s="12" cm="1">
        <f t="array" ref="G40">_xlfn.LET(_xlpm.data,_xlfn.VSTACK('MS:NCA9'!G40),_xlpm.states,_xlfn.VSTACK('MS:NCA9'!$B$2),
SUM(_xlfn._xlws.FILTER(_xlpm.data,(_xlpm.states="New Jersey")+(_xlpm.states="M&amp;A"))))</f>
        <v>746480.14092977438</v>
      </c>
      <c r="H40" s="12" cm="1">
        <f t="array" ref="H40">_xlfn.LET(_xlpm.data,_xlfn.VSTACK('MS:NCA9'!H40),_xlpm.states,_xlfn.VSTACK('MS:NCA9'!$B$2),
SUM(_xlfn._xlws.FILTER(_xlpm.data,(_xlpm.states="New Jersey")+(_xlpm.states="M&amp;A"))))</f>
        <v>923654.15297277446</v>
      </c>
      <c r="I40" s="12" cm="1">
        <f t="array" ref="I40">_xlfn.LET(_xlpm.data,_xlfn.VSTACK('MS:NCA9'!I40),_xlpm.states,_xlfn.VSTACK('MS:NCA9'!$B$2),
SUM(_xlfn._xlws.FILTER(_xlpm.data,(_xlpm.states="New Jersey")+(_xlpm.states="M&amp;A"))))</f>
        <v>1058868.0152282147</v>
      </c>
      <c r="J40" s="12" cm="1">
        <f t="array" ref="J40">_xlfn.LET(_xlpm.data,_xlfn.VSTACK('MS:NCA9'!J40),_xlpm.states,_xlfn.VSTACK('MS:NCA9'!$B$2),
SUM(_xlfn._xlws.FILTER(_xlpm.data,(_xlpm.states="New Jersey")+(_xlpm.states="M&amp;A"))))</f>
        <v>1173417.7545324997</v>
      </c>
      <c r="K40" s="12" cm="1">
        <f t="array" ref="K40">_xlfn.LET(_xlpm.data,_xlfn.VSTACK('MS:NCA9'!K40),_xlpm.states,_xlfn.VSTACK('MS:NCA9'!$B$2),
SUM(_xlfn._xlws.FILTER(_xlpm.data,(_xlpm.states="New Jersey")+(_xlpm.states="M&amp;A"))))</f>
        <v>1321946.6769441655</v>
      </c>
      <c r="L40" s="12" cm="1">
        <f t="array" ref="L40">_xlfn.LET(_xlpm.data,_xlfn.VSTACK('MS:NCA9'!L40),_xlpm.states,_xlfn.VSTACK('MS:NCA9'!$B$2),
SUM(_xlfn._xlws.FILTER(_xlpm.data,(_xlpm.states="New Jersey")+(_xlpm.states="M&amp;A"))))</f>
        <v>1458463.9688447202</v>
      </c>
      <c r="M40" s="12" cm="1">
        <f t="array" ref="M40">_xlfn.LET(_xlpm.data,_xlfn.VSTACK('MS:NCA9'!M40),_xlpm.states,_xlfn.VSTACK('MS:NCA9'!$B$2),
SUM(_xlfn._xlws.FILTER(_xlpm.data,(_xlpm.states="New Jersey")+(_xlpm.states="M&amp;A"))))</f>
        <v>1628498.2207503449</v>
      </c>
      <c r="N40" s="12" cm="1">
        <f t="array" ref="N40">_xlfn.LET(_xlpm.data,_xlfn.VSTACK('MS:NCA9'!N40),_xlpm.states,_xlfn.VSTACK('MS:NCA9'!$B$2),
SUM(_xlfn._xlws.FILTER(_xlpm.data,(_xlpm.states="New Jersey")+(_xlpm.states="M&amp;A"))))</f>
        <v>1798435.5792270373</v>
      </c>
      <c r="O40" s="12" cm="1">
        <f t="array" ref="O40">_xlfn.LET(_xlpm.data,_xlfn.VSTACK('MS:NCA9'!O40),_xlpm.states,_xlfn.VSTACK('MS:NCA9'!$B$2),
SUM(_xlfn._xlws.FILTER(_xlpm.data,(_xlpm.states="New Jersey")+(_xlpm.states="M&amp;A"))))</f>
        <v>2012853.9924432442</v>
      </c>
      <c r="P40" s="12" cm="1">
        <f t="array" ref="P40">_xlfn.LET(_xlpm.data,_xlfn.VSTACK('MS:NCA9'!P40),_xlpm.states,_xlfn.VSTACK('MS:NCA9'!$B$2),
SUM(_xlfn._xlws.FILTER(_xlpm.data,(_xlpm.states="New Jersey")+(_xlpm.states="M&amp;A"))))</f>
        <v>2205685.0090638516</v>
      </c>
      <c r="Q40" s="12">
        <f>SUM('MDA1:NCA9'!Q40)</f>
        <v>4506093.5848582396</v>
      </c>
      <c r="R40" s="12">
        <f>SUM('MDA1:NCA9'!R40)</f>
        <v>4730586.3727710042</v>
      </c>
      <c r="S40" s="12">
        <f>SUM('MDA1:NCA9'!S40)</f>
        <v>5001140.0444370797</v>
      </c>
      <c r="T40" s="12">
        <f>SUM('MDA1:NCA9'!T40)</f>
        <v>5238684.8364832709</v>
      </c>
      <c r="U40" s="12">
        <f>SUM('MDA1:NCA9'!U40)</f>
        <v>5416713.4171816241</v>
      </c>
      <c r="V40" s="12">
        <f>SUM('MDA1:NCA9'!V40)</f>
        <v>5594617.1171754338</v>
      </c>
      <c r="W40" s="12">
        <f>SUM('MDA1:NCA9'!W40)</f>
        <v>5859892.3544524861</v>
      </c>
      <c r="X40" s="12">
        <f>SUM('MDA1:NCA9'!X40)</f>
        <v>6146382.2687869109</v>
      </c>
      <c r="Y40" s="12">
        <f>SUM('MDA1:NCA9'!Y40)</f>
        <v>6355021.9870909331</v>
      </c>
      <c r="Z40" s="12">
        <f>SUM('MDA1:NCA9'!Z40)</f>
        <v>6554784.9437079318</v>
      </c>
      <c r="AA40" s="12">
        <f>SUM('MDA1:NCA9'!AA40)</f>
        <v>6778789.6626285398</v>
      </c>
      <c r="AB40" s="12">
        <f>SUM('MDA1:NCA9'!AB40)</f>
        <v>7002478.3326482354</v>
      </c>
      <c r="AC40" s="12">
        <f>SUM('MDA1:NCA9'!AC40)</f>
        <v>7911344.4260136206</v>
      </c>
      <c r="AD40" s="12">
        <f>SUM('MDA1:NCA9'!AD40)</f>
        <v>8095624.1689346619</v>
      </c>
      <c r="AE40" s="12">
        <f>SUM('MDA1:NCA9'!AE40)</f>
        <v>8283129.55693461</v>
      </c>
      <c r="AF40" s="12">
        <f>SUM('MDA1:NCA9'!AF40)</f>
        <v>8466498.6627849881</v>
      </c>
      <c r="AG40" s="12">
        <f>SUM('MDA1:NCA9'!AG40)</f>
        <v>8622341.9517061878</v>
      </c>
      <c r="AH40" s="12">
        <f>SUM('MDA1:NCA9'!AH40)</f>
        <v>8882342.0875350107</v>
      </c>
      <c r="AI40" s="12">
        <f>SUM('MDA1:NCA9'!AI40)</f>
        <v>9166822.0456469804</v>
      </c>
      <c r="AJ40" s="12">
        <f>SUM('MDA1:NCA9'!AJ40)</f>
        <v>9436400.843965698</v>
      </c>
      <c r="AK40" s="12">
        <f>SUM('MDA1:NCA9'!AK40)</f>
        <v>9704669.1025728006</v>
      </c>
      <c r="AL40" s="12">
        <f>SUM('MDA1:NCA9'!AL40)</f>
        <v>9966709.6666478589</v>
      </c>
      <c r="AM40" s="12">
        <f>SUM('MDA1:NCA9'!AM40)</f>
        <v>10238678.06103473</v>
      </c>
      <c r="AN40" s="12">
        <f>SUM('MDA1:NCA9'!AN40)</f>
        <v>10483959.539397435</v>
      </c>
    </row>
    <row r="41" spans="2:40" outlineLevel="1" x14ac:dyDescent="0.25">
      <c r="B41" s="39" t="s">
        <v>24</v>
      </c>
      <c r="E41" s="12" cm="1">
        <f t="array" ref="E41">_xlfn.LET(_xlpm.data,_xlfn.VSTACK('MS:NCA9'!E41),_xlpm.states,_xlfn.VSTACK('MS:NCA9'!$B$2),
SUM(_xlfn._xlws.FILTER(_xlpm.data,(_xlpm.states="New Jersey")+(_xlpm.states="M&amp;A"))))</f>
        <v>329894.39999999997</v>
      </c>
      <c r="F41" s="12" cm="1">
        <f t="array" ref="F41">_xlfn.LET(_xlpm.data,_xlfn.VSTACK('MS:NCA9'!F41),_xlpm.states,_xlfn.VSTACK('MS:NCA9'!$B$2),
SUM(_xlfn._xlws.FILTER(_xlpm.data,(_xlpm.states="New Jersey")+(_xlpm.states="M&amp;A"))))</f>
        <v>655142.40000000002</v>
      </c>
      <c r="G41" s="12" cm="1">
        <f t="array" ref="G41">_xlfn.LET(_xlpm.data,_xlfn.VSTACK('MS:NCA9'!G41),_xlpm.states,_xlfn.VSTACK('MS:NCA9'!$B$2),
SUM(_xlfn._xlws.FILTER(_xlpm.data,(_xlpm.states="New Jersey")+(_xlpm.states="M&amp;A"))))</f>
        <v>985036.79999999993</v>
      </c>
      <c r="H41" s="12" cm="1">
        <f t="array" ref="H41">_xlfn.LET(_xlpm.data,_xlfn.VSTACK('MS:NCA9'!H41),_xlpm.states,_xlfn.VSTACK('MS:NCA9'!$B$2),
SUM(_xlfn._xlws.FILTER(_xlpm.data,(_xlpm.states="New Jersey")+(_xlpm.states="M&amp;A"))))</f>
        <v>1314931.1999999997</v>
      </c>
      <c r="I41" s="12" cm="1">
        <f t="array" ref="I41">_xlfn.LET(_xlpm.data,_xlfn.VSTACK('MS:NCA9'!I41),_xlpm.states,_xlfn.VSTACK('MS:NCA9'!$B$2),
SUM(_xlfn._xlws.FILTER(_xlpm.data,(_xlpm.states="New Jersey")+(_xlpm.states="M&amp;A"))))</f>
        <v>1640179.1999999997</v>
      </c>
      <c r="J41" s="12" cm="1">
        <f t="array" ref="J41">_xlfn.LET(_xlpm.data,_xlfn.VSTACK('MS:NCA9'!J41),_xlpm.states,_xlfn.VSTACK('MS:NCA9'!$B$2),
SUM(_xlfn._xlws.FILTER(_xlpm.data,(_xlpm.states="New Jersey")+(_xlpm.states="M&amp;A"))))</f>
        <v>1970073.5999999999</v>
      </c>
      <c r="K41" s="12" cm="1">
        <f t="array" ref="K41">_xlfn.LET(_xlpm.data,_xlfn.VSTACK('MS:NCA9'!K41),_xlpm.states,_xlfn.VSTACK('MS:NCA9'!$B$2),
SUM(_xlfn._xlws.FILTER(_xlpm.data,(_xlpm.states="New Jersey")+(_xlpm.states="M&amp;A"))))</f>
        <v>1988659.2</v>
      </c>
      <c r="L41" s="12" cm="1">
        <f t="array" ref="L41">_xlfn.LET(_xlpm.data,_xlfn.VSTACK('MS:NCA9'!L41),_xlpm.states,_xlfn.VSTACK('MS:NCA9'!$B$2),
SUM(_xlfn._xlws.FILTER(_xlpm.data,(_xlpm.states="New Jersey")+(_xlpm.states="M&amp;A"))))</f>
        <v>2007244.8</v>
      </c>
      <c r="M41" s="12" cm="1">
        <f t="array" ref="M41">_xlfn.LET(_xlpm.data,_xlfn.VSTACK('MS:NCA9'!M41),_xlpm.states,_xlfn.VSTACK('MS:NCA9'!$B$2),
SUM(_xlfn._xlws.FILTER(_xlpm.data,(_xlpm.states="New Jersey")+(_xlpm.states="M&amp;A"))))</f>
        <v>2025830.3999999997</v>
      </c>
      <c r="N41" s="12" cm="1">
        <f t="array" ref="N41">_xlfn.LET(_xlpm.data,_xlfn.VSTACK('MS:NCA9'!N41),_xlpm.states,_xlfn.VSTACK('MS:NCA9'!$B$2),
SUM(_xlfn._xlws.FILTER(_xlpm.data,(_xlpm.states="New Jersey")+(_xlpm.states="M&amp;A"))))</f>
        <v>2146636.7999999998</v>
      </c>
      <c r="O41" s="12" cm="1">
        <f t="array" ref="O41">_xlfn.LET(_xlpm.data,_xlfn.VSTACK('MS:NCA9'!O41),_xlpm.states,_xlfn.VSTACK('MS:NCA9'!$B$2),
SUM(_xlfn._xlws.FILTER(_xlpm.data,(_xlpm.states="New Jersey")+(_xlpm.states="M&amp;A"))))</f>
        <v>2272089.5999999996</v>
      </c>
      <c r="P41" s="12" cm="1">
        <f t="array" ref="P41">_xlfn.LET(_xlpm.data,_xlfn.VSTACK('MS:NCA9'!P41),_xlpm.states,_xlfn.VSTACK('MS:NCA9'!$B$2),
SUM(_xlfn._xlws.FILTER(_xlpm.data,(_xlpm.states="New Jersey")+(_xlpm.states="M&amp;A"))))</f>
        <v>2392896</v>
      </c>
      <c r="Q41" s="12">
        <f>SUM('MDA1:NCA9'!Q41)</f>
        <v>0</v>
      </c>
      <c r="R41" s="12">
        <f>SUM('MDA1:NCA9'!R41)</f>
        <v>0</v>
      </c>
      <c r="S41" s="12">
        <f>SUM('MDA1:NCA9'!S41)</f>
        <v>0</v>
      </c>
      <c r="T41" s="12">
        <f>SUM('MDA1:NCA9'!T41)</f>
        <v>0</v>
      </c>
      <c r="U41" s="12">
        <f>SUM('MDA1:NCA9'!U41)</f>
        <v>0</v>
      </c>
      <c r="V41" s="12">
        <f>SUM('MDA1:NCA9'!V41)</f>
        <v>0</v>
      </c>
      <c r="W41" s="12">
        <f>SUM('MDA1:NCA9'!W41)</f>
        <v>0</v>
      </c>
      <c r="X41" s="12">
        <f>SUM('MDA1:NCA9'!X41)</f>
        <v>0</v>
      </c>
      <c r="Y41" s="12">
        <f>SUM('MDA1:NCA9'!Y41)</f>
        <v>0</v>
      </c>
      <c r="Z41" s="12">
        <f>SUM('MDA1:NCA9'!Z41)</f>
        <v>0</v>
      </c>
      <c r="AA41" s="12">
        <f>SUM('MDA1:NCA9'!AA41)</f>
        <v>0</v>
      </c>
      <c r="AB41" s="12">
        <f>SUM('MDA1:NCA9'!AB41)</f>
        <v>0</v>
      </c>
      <c r="AC41" s="12">
        <f>SUM('MDA1:NCA9'!AC41)</f>
        <v>0</v>
      </c>
      <c r="AD41" s="12">
        <f>SUM('MDA1:NCA9'!AD41)</f>
        <v>0</v>
      </c>
      <c r="AE41" s="12">
        <f>SUM('MDA1:NCA9'!AE41)</f>
        <v>0</v>
      </c>
      <c r="AF41" s="12">
        <f>SUM('MDA1:NCA9'!AF41)</f>
        <v>0</v>
      </c>
      <c r="AG41" s="12">
        <f>SUM('MDA1:NCA9'!AG41)</f>
        <v>0</v>
      </c>
      <c r="AH41" s="12">
        <f>SUM('MDA1:NCA9'!AH41)</f>
        <v>0</v>
      </c>
      <c r="AI41" s="12">
        <f>SUM('MDA1:NCA9'!AI41)</f>
        <v>0</v>
      </c>
      <c r="AJ41" s="12">
        <f>SUM('MDA1:NCA9'!AJ41)</f>
        <v>0</v>
      </c>
      <c r="AK41" s="12">
        <f>SUM('MDA1:NCA9'!AK41)</f>
        <v>0</v>
      </c>
      <c r="AL41" s="12">
        <f>SUM('MDA1:NCA9'!AL41)</f>
        <v>0</v>
      </c>
      <c r="AM41" s="12">
        <f>SUM('MDA1:NCA9'!AM41)</f>
        <v>0</v>
      </c>
      <c r="AN41" s="12">
        <f>SUM('MDA1:NCA9'!AN41)</f>
        <v>0</v>
      </c>
    </row>
    <row r="42" spans="2:40" outlineLevel="1" x14ac:dyDescent="0.25">
      <c r="B42" s="39" t="s">
        <v>28</v>
      </c>
      <c r="E42" s="12" cm="1">
        <f t="array" ref="E42">_xlfn.LET(_xlpm.data,_xlfn.VSTACK('MS:NCA9'!E42),_xlpm.states,_xlfn.VSTACK('MS:NCA9'!$B$2),
SUM(_xlfn._xlws.FILTER(_xlpm.data,(_xlpm.states="New Jersey")+(_xlpm.states="M&amp;A"))))</f>
        <v>51161.490000000005</v>
      </c>
      <c r="F42" s="12" cm="1">
        <f t="array" ref="F42">_xlfn.LET(_xlpm.data,_xlfn.VSTACK('MS:NCA9'!F42),_xlpm.states,_xlfn.VSTACK('MS:NCA9'!$B$2),
SUM(_xlfn._xlws.FILTER(_xlpm.data,(_xlpm.states="New Jersey")+(_xlpm.states="M&amp;A"))))</f>
        <v>51161.490000000005</v>
      </c>
      <c r="G42" s="12" cm="1">
        <f t="array" ref="G42">_xlfn.LET(_xlpm.data,_xlfn.VSTACK('MS:NCA9'!G42),_xlpm.states,_xlfn.VSTACK('MS:NCA9'!$B$2),
SUM(_xlfn._xlws.FILTER(_xlpm.data,(_xlpm.states="New Jersey")+(_xlpm.states="M&amp;A"))))</f>
        <v>81161.490000000005</v>
      </c>
      <c r="H42" s="12" cm="1">
        <f t="array" ref="H42">_xlfn.LET(_xlpm.data,_xlfn.VSTACK('MS:NCA9'!H42),_xlpm.states,_xlfn.VSTACK('MS:NCA9'!$B$2),
SUM(_xlfn._xlws.FILTER(_xlpm.data,(_xlpm.states="New Jersey")+(_xlpm.states="M&amp;A"))))</f>
        <v>96161.49</v>
      </c>
      <c r="I42" s="12" cm="1">
        <f t="array" ref="I42">_xlfn.LET(_xlpm.data,_xlfn.VSTACK('MS:NCA9'!I42),_xlpm.states,_xlfn.VSTACK('MS:NCA9'!$B$2),
SUM(_xlfn._xlws.FILTER(_xlpm.data,(_xlpm.states="New Jersey")+(_xlpm.states="M&amp;A"))))</f>
        <v>96161.49</v>
      </c>
      <c r="J42" s="12" cm="1">
        <f t="array" ref="J42">_xlfn.LET(_xlpm.data,_xlfn.VSTACK('MS:NCA9'!J42),_xlpm.states,_xlfn.VSTACK('MS:NCA9'!$B$2),
SUM(_xlfn._xlws.FILTER(_xlpm.data,(_xlpm.states="New Jersey")+(_xlpm.states="M&amp;A"))))</f>
        <v>96161.49</v>
      </c>
      <c r="K42" s="12" cm="1">
        <f t="array" ref="K42">_xlfn.LET(_xlpm.data,_xlfn.VSTACK('MS:NCA9'!K42),_xlpm.states,_xlfn.VSTACK('MS:NCA9'!$B$2),
SUM(_xlfn._xlws.FILTER(_xlpm.data,(_xlpm.states="New Jersey")+(_xlpm.states="M&amp;A"))))</f>
        <v>111161.49</v>
      </c>
      <c r="L42" s="12" cm="1">
        <f t="array" ref="L42">_xlfn.LET(_xlpm.data,_xlfn.VSTACK('MS:NCA9'!L42),_xlpm.states,_xlfn.VSTACK('MS:NCA9'!$B$2),
SUM(_xlfn._xlws.FILTER(_xlpm.data,(_xlpm.states="New Jersey")+(_xlpm.states="M&amp;A"))))</f>
        <v>111161.49</v>
      </c>
      <c r="M42" s="12" cm="1">
        <f t="array" ref="M42">_xlfn.LET(_xlpm.data,_xlfn.VSTACK('MS:NCA9'!M42),_xlpm.states,_xlfn.VSTACK('MS:NCA9'!$B$2),
SUM(_xlfn._xlws.FILTER(_xlpm.data,(_xlpm.states="New Jersey")+(_xlpm.states="M&amp;A"))))</f>
        <v>126161.49</v>
      </c>
      <c r="N42" s="12" cm="1">
        <f t="array" ref="N42">_xlfn.LET(_xlpm.data,_xlfn.VSTACK('MS:NCA9'!N42),_xlpm.states,_xlfn.VSTACK('MS:NCA9'!$B$2),
SUM(_xlfn._xlws.FILTER(_xlpm.data,(_xlpm.states="New Jersey")+(_xlpm.states="M&amp;A"))))</f>
        <v>126161.49</v>
      </c>
      <c r="O42" s="12" cm="1">
        <f t="array" ref="O42">_xlfn.LET(_xlpm.data,_xlfn.VSTACK('MS:NCA9'!O42),_xlpm.states,_xlfn.VSTACK('MS:NCA9'!$B$2),
SUM(_xlfn._xlws.FILTER(_xlpm.data,(_xlpm.states="New Jersey")+(_xlpm.states="M&amp;A"))))</f>
        <v>141161.49</v>
      </c>
      <c r="P42" s="12" cm="1">
        <f t="array" ref="P42">_xlfn.LET(_xlpm.data,_xlfn.VSTACK('MS:NCA9'!P42),_xlpm.states,_xlfn.VSTACK('MS:NCA9'!$B$2),
SUM(_xlfn._xlws.FILTER(_xlpm.data,(_xlpm.states="New Jersey")+(_xlpm.states="M&amp;A"))))</f>
        <v>141161.49</v>
      </c>
      <c r="Q42" s="12">
        <f>SUM('MDA1:NCA9'!Q42)</f>
        <v>200618.92980000004</v>
      </c>
      <c r="R42" s="12">
        <f>SUM('MDA1:NCA9'!R42)</f>
        <v>200618.92980000004</v>
      </c>
      <c r="S42" s="12">
        <f>SUM('MDA1:NCA9'!S42)</f>
        <v>216068.92980000004</v>
      </c>
      <c r="T42" s="12">
        <f>SUM('MDA1:NCA9'!T42)</f>
        <v>216068.92980000004</v>
      </c>
      <c r="U42" s="12">
        <f>SUM('MDA1:NCA9'!U42)</f>
        <v>216068.92980000004</v>
      </c>
      <c r="V42" s="12">
        <f>SUM('MDA1:NCA9'!V42)</f>
        <v>216068.92980000004</v>
      </c>
      <c r="W42" s="12">
        <f>SUM('MDA1:NCA9'!W42)</f>
        <v>238433.31980000006</v>
      </c>
      <c r="X42" s="12">
        <f>SUM('MDA1:NCA9'!X42)</f>
        <v>268604.46090000006</v>
      </c>
      <c r="Y42" s="12">
        <f>SUM('MDA1:NCA9'!Y42)</f>
        <v>268604.46090000006</v>
      </c>
      <c r="Z42" s="12">
        <f>SUM('MDA1:NCA9'!Z42)</f>
        <v>268604.46090000006</v>
      </c>
      <c r="AA42" s="12">
        <f>SUM('MDA1:NCA9'!AA42)</f>
        <v>284054.46090000006</v>
      </c>
      <c r="AB42" s="12">
        <f>SUM('MDA1:NCA9'!AB42)</f>
        <v>299504.46090000006</v>
      </c>
      <c r="AC42" s="12">
        <f>SUM('MDA1:NCA9'!AC42)</f>
        <v>308489.59472699993</v>
      </c>
      <c r="AD42" s="12">
        <f>SUM('MDA1:NCA9'!AD42)</f>
        <v>308489.59472699993</v>
      </c>
      <c r="AE42" s="12">
        <f>SUM('MDA1:NCA9'!AE42)</f>
        <v>308489.59472699993</v>
      </c>
      <c r="AF42" s="12">
        <f>SUM('MDA1:NCA9'!AF42)</f>
        <v>308489.59472699993</v>
      </c>
      <c r="AG42" s="12">
        <f>SUM('MDA1:NCA9'!AG42)</f>
        <v>308489.59472699993</v>
      </c>
      <c r="AH42" s="12">
        <f>SUM('MDA1:NCA9'!AH42)</f>
        <v>330774.1917599999</v>
      </c>
      <c r="AI42" s="12">
        <f>SUM('MDA1:NCA9'!AI42)</f>
        <v>346687.6917599999</v>
      </c>
      <c r="AJ42" s="12">
        <f>SUM('MDA1:NCA9'!AJ42)</f>
        <v>362601.1917599999</v>
      </c>
      <c r="AK42" s="12">
        <f>SUM('MDA1:NCA9'!AK42)</f>
        <v>378514.6917599999</v>
      </c>
      <c r="AL42" s="12">
        <f>SUM('MDA1:NCA9'!AL42)</f>
        <v>394428.1917599999</v>
      </c>
      <c r="AM42" s="12">
        <f>SUM('MDA1:NCA9'!AM42)</f>
        <v>410341.6917599999</v>
      </c>
      <c r="AN42" s="12">
        <f>SUM('MDA1:NCA9'!AN42)</f>
        <v>410341.6917599999</v>
      </c>
    </row>
    <row r="43" spans="2:40" outlineLevel="1" x14ac:dyDescent="0.25">
      <c r="B43" s="39" t="s">
        <v>31</v>
      </c>
      <c r="E43" s="12" cm="1">
        <f t="array" ref="E43">_xlfn.LET(_xlpm.data,_xlfn.VSTACK('MS:NCA9'!E43),_xlpm.states,_xlfn.VSTACK('MS:NCA9'!$B$2),
SUM(_xlfn._xlws.FILTER(_xlpm.data,(_xlpm.states="New Jersey")+(_xlpm.states="M&amp;A"))))</f>
        <v>22061.67</v>
      </c>
      <c r="F43" s="12" cm="1">
        <f t="array" ref="F43">_xlfn.LET(_xlpm.data,_xlfn.VSTACK('MS:NCA9'!F43),_xlpm.states,_xlfn.VSTACK('MS:NCA9'!$B$2),
SUM(_xlfn._xlws.FILTER(_xlpm.data,(_xlpm.states="New Jersey")+(_xlpm.states="M&amp;A"))))</f>
        <v>22061.67</v>
      </c>
      <c r="G43" s="12" cm="1">
        <f t="array" ref="G43">_xlfn.LET(_xlpm.data,_xlfn.VSTACK('MS:NCA9'!G43),_xlpm.states,_xlfn.VSTACK('MS:NCA9'!$B$2),
SUM(_xlfn._xlws.FILTER(_xlpm.data,(_xlpm.states="New Jersey")+(_xlpm.states="M&amp;A"))))</f>
        <v>39461.67</v>
      </c>
      <c r="H43" s="12" cm="1">
        <f t="array" ref="H43">_xlfn.LET(_xlpm.data,_xlfn.VSTACK('MS:NCA9'!H43),_xlpm.states,_xlfn.VSTACK('MS:NCA9'!$B$2),
SUM(_xlfn._xlws.FILTER(_xlpm.data,(_xlpm.states="New Jersey")+(_xlpm.states="M&amp;A"))))</f>
        <v>48161.67</v>
      </c>
      <c r="I43" s="12" cm="1">
        <f t="array" ref="I43">_xlfn.LET(_xlpm.data,_xlfn.VSTACK('MS:NCA9'!I43),_xlpm.states,_xlfn.VSTACK('MS:NCA9'!$B$2),
SUM(_xlfn._xlws.FILTER(_xlpm.data,(_xlpm.states="New Jersey")+(_xlpm.states="M&amp;A"))))</f>
        <v>48161.67</v>
      </c>
      <c r="J43" s="12" cm="1">
        <f t="array" ref="J43">_xlfn.LET(_xlpm.data,_xlfn.VSTACK('MS:NCA9'!J43),_xlpm.states,_xlfn.VSTACK('MS:NCA9'!$B$2),
SUM(_xlfn._xlws.FILTER(_xlpm.data,(_xlpm.states="New Jersey")+(_xlpm.states="M&amp;A"))))</f>
        <v>48161.67</v>
      </c>
      <c r="K43" s="12" cm="1">
        <f t="array" ref="K43">_xlfn.LET(_xlpm.data,_xlfn.VSTACK('MS:NCA9'!K43),_xlpm.states,_xlfn.VSTACK('MS:NCA9'!$B$2),
SUM(_xlfn._xlws.FILTER(_xlpm.data,(_xlpm.states="New Jersey")+(_xlpm.states="M&amp;A"))))</f>
        <v>56861.67</v>
      </c>
      <c r="L43" s="12" cm="1">
        <f t="array" ref="L43">_xlfn.LET(_xlpm.data,_xlfn.VSTACK('MS:NCA9'!L43),_xlpm.states,_xlfn.VSTACK('MS:NCA9'!$B$2),
SUM(_xlfn._xlws.FILTER(_xlpm.data,(_xlpm.states="New Jersey")+(_xlpm.states="M&amp;A"))))</f>
        <v>56861.67</v>
      </c>
      <c r="M43" s="12" cm="1">
        <f t="array" ref="M43">_xlfn.LET(_xlpm.data,_xlfn.VSTACK('MS:NCA9'!M43),_xlpm.states,_xlfn.VSTACK('MS:NCA9'!$B$2),
SUM(_xlfn._xlws.FILTER(_xlpm.data,(_xlpm.states="New Jersey")+(_xlpm.states="M&amp;A"))))</f>
        <v>65561.67</v>
      </c>
      <c r="N43" s="12" cm="1">
        <f t="array" ref="N43">_xlfn.LET(_xlpm.data,_xlfn.VSTACK('MS:NCA9'!N43),_xlpm.states,_xlfn.VSTACK('MS:NCA9'!$B$2),
SUM(_xlfn._xlws.FILTER(_xlpm.data,(_xlpm.states="New Jersey")+(_xlpm.states="M&amp;A"))))</f>
        <v>65561.67</v>
      </c>
      <c r="O43" s="12" cm="1">
        <f t="array" ref="O43">_xlfn.LET(_xlpm.data,_xlfn.VSTACK('MS:NCA9'!O43),_xlpm.states,_xlfn.VSTACK('MS:NCA9'!$B$2),
SUM(_xlfn._xlws.FILTER(_xlpm.data,(_xlpm.states="New Jersey")+(_xlpm.states="M&amp;A"))))</f>
        <v>74261.67</v>
      </c>
      <c r="P43" s="12" cm="1">
        <f t="array" ref="P43">_xlfn.LET(_xlpm.data,_xlfn.VSTACK('MS:NCA9'!P43),_xlpm.states,_xlfn.VSTACK('MS:NCA9'!$B$2),
SUM(_xlfn._xlws.FILTER(_xlpm.data,(_xlpm.states="New Jersey")+(_xlpm.states="M&amp;A"))))</f>
        <v>74261.67</v>
      </c>
      <c r="Q43" s="12">
        <f>SUM('MDA1:NCA9'!Q43)</f>
        <v>109535.84719999999</v>
      </c>
      <c r="R43" s="12">
        <f>SUM('MDA1:NCA9'!R43)</f>
        <v>109535.84719999999</v>
      </c>
      <c r="S43" s="12">
        <f>SUM('MDA1:NCA9'!S43)</f>
        <v>118583.84719999999</v>
      </c>
      <c r="T43" s="12">
        <f>SUM('MDA1:NCA9'!T43)</f>
        <v>118583.84719999999</v>
      </c>
      <c r="U43" s="12">
        <f>SUM('MDA1:NCA9'!U43)</f>
        <v>118583.84719999999</v>
      </c>
      <c r="V43" s="12">
        <f>SUM('MDA1:NCA9'!V43)</f>
        <v>118583.84719999999</v>
      </c>
      <c r="W43" s="12">
        <f>SUM('MDA1:NCA9'!W43)</f>
        <v>132415.84719999999</v>
      </c>
      <c r="X43" s="12">
        <f>SUM('MDA1:NCA9'!X43)</f>
        <v>147391.84719999999</v>
      </c>
      <c r="Y43" s="12">
        <f>SUM('MDA1:NCA9'!Y43)</f>
        <v>147391.84719999999</v>
      </c>
      <c r="Z43" s="12">
        <f>SUM('MDA1:NCA9'!Z43)</f>
        <v>147391.84719999999</v>
      </c>
      <c r="AA43" s="12">
        <f>SUM('MDA1:NCA9'!AA43)</f>
        <v>156439.84719999999</v>
      </c>
      <c r="AB43" s="12">
        <f>SUM('MDA1:NCA9'!AB43)</f>
        <v>165487.84719999999</v>
      </c>
      <c r="AC43" s="12">
        <f>SUM('MDA1:NCA9'!AC43)</f>
        <v>172107.36108799998</v>
      </c>
      <c r="AD43" s="12">
        <f>SUM('MDA1:NCA9'!AD43)</f>
        <v>172107.36108799998</v>
      </c>
      <c r="AE43" s="12">
        <f>SUM('MDA1:NCA9'!AE43)</f>
        <v>172107.36108799998</v>
      </c>
      <c r="AF43" s="12">
        <f>SUM('MDA1:NCA9'!AF43)</f>
        <v>172107.36108799998</v>
      </c>
      <c r="AG43" s="12">
        <f>SUM('MDA1:NCA9'!AG43)</f>
        <v>172107.36108799998</v>
      </c>
      <c r="AH43" s="12">
        <f>SUM('MDA1:NCA9'!AH43)</f>
        <v>184329.44108799996</v>
      </c>
      <c r="AI43" s="12">
        <f>SUM('MDA1:NCA9'!AI43)</f>
        <v>192657.76108799997</v>
      </c>
      <c r="AJ43" s="12">
        <f>SUM('MDA1:NCA9'!AJ43)</f>
        <v>200986.08108799998</v>
      </c>
      <c r="AK43" s="12">
        <f>SUM('MDA1:NCA9'!AK43)</f>
        <v>209314.40108799998</v>
      </c>
      <c r="AL43" s="12">
        <f>SUM('MDA1:NCA9'!AL43)</f>
        <v>217642.72108799999</v>
      </c>
      <c r="AM43" s="12">
        <f>SUM('MDA1:NCA9'!AM43)</f>
        <v>225971.041088</v>
      </c>
      <c r="AN43" s="12">
        <f>SUM('MDA1:NCA9'!AN43)</f>
        <v>225971.041088</v>
      </c>
    </row>
    <row r="44" spans="2:40" outlineLevel="1" x14ac:dyDescent="0.25">
      <c r="B44" s="39" t="s">
        <v>34</v>
      </c>
      <c r="E44" s="12" cm="1">
        <f t="array" ref="E44">_xlfn.LET(_xlpm.data,_xlfn.VSTACK('MS:NCA9'!E44),_xlpm.states,_xlfn.VSTACK('MS:NCA9'!$B$2),
SUM(_xlfn._xlws.FILTER(_xlpm.data,(_xlpm.states="New Jersey")+(_xlpm.states="M&amp;A"))))</f>
        <v>4235.3357999999998</v>
      </c>
      <c r="F44" s="12" cm="1">
        <f t="array" ref="F44">_xlfn.LET(_xlpm.data,_xlfn.VSTACK('MS:NCA9'!F44),_xlpm.states,_xlfn.VSTACK('MS:NCA9'!$B$2),
SUM(_xlfn._xlws.FILTER(_xlpm.data,(_xlpm.states="New Jersey")+(_xlpm.states="M&amp;A"))))</f>
        <v>4346.5259999999998</v>
      </c>
      <c r="G44" s="12" cm="1">
        <f t="array" ref="G44">_xlfn.LET(_xlpm.data,_xlfn.VSTACK('MS:NCA9'!G44),_xlpm.states,_xlfn.VSTACK('MS:NCA9'!$B$2),
SUM(_xlfn._xlws.FILTER(_xlpm.data,(_xlpm.states="New Jersey")+(_xlpm.states="M&amp;A"))))</f>
        <v>5198.9841999999999</v>
      </c>
      <c r="H44" s="12" cm="1">
        <f t="array" ref="H44">_xlfn.LET(_xlpm.data,_xlfn.VSTACK('MS:NCA9'!H44),_xlpm.states,_xlfn.VSTACK('MS:NCA9'!$B$2),
SUM(_xlfn._xlws.FILTER(_xlpm.data,(_xlpm.states="New Jersey")+(_xlpm.states="M&amp;A"))))</f>
        <v>6819.6656000000003</v>
      </c>
      <c r="I44" s="12" cm="1">
        <f t="array" ref="I44">_xlfn.LET(_xlpm.data,_xlfn.VSTACK('MS:NCA9'!I44),_xlpm.states,_xlfn.VSTACK('MS:NCA9'!$B$2),
SUM(_xlfn._xlws.FILTER(_xlpm.data,(_xlpm.states="New Jersey")+(_xlpm.states="M&amp;A"))))</f>
        <v>8436.9776000000002</v>
      </c>
      <c r="J44" s="12" cm="1">
        <f t="array" ref="J44">_xlfn.LET(_xlpm.data,_xlfn.VSTACK('MS:NCA9'!J44),_xlpm.states,_xlfn.VSTACK('MS:NCA9'!$B$2),
SUM(_xlfn._xlws.FILTER(_xlpm.data,(_xlpm.states="New Jersey")+(_xlpm.states="M&amp;A"))))</f>
        <v>9104.1188000000002</v>
      </c>
      <c r="K44" s="12" cm="1">
        <f t="array" ref="K44">_xlfn.LET(_xlpm.data,_xlfn.VSTACK('MS:NCA9'!K44),_xlpm.states,_xlfn.VSTACK('MS:NCA9'!$B$2),
SUM(_xlfn._xlws.FILTER(_xlpm.data,(_xlpm.states="New Jersey")+(_xlpm.states="M&amp;A"))))</f>
        <v>9683.6556</v>
      </c>
      <c r="L44" s="12" cm="1">
        <f t="array" ref="L44">_xlfn.LET(_xlpm.data,_xlfn.VSTACK('MS:NCA9'!L44),_xlpm.states,_xlfn.VSTACK('MS:NCA9'!$B$2),
SUM(_xlfn._xlws.FILTER(_xlpm.data,(_xlpm.states="New Jersey")+(_xlpm.states="M&amp;A"))))</f>
        <v>10526.0056</v>
      </c>
      <c r="M44" s="12" cm="1">
        <f t="array" ref="M44">_xlfn.LET(_xlpm.data,_xlfn.VSTACK('MS:NCA9'!M44),_xlpm.states,_xlfn.VSTACK('MS:NCA9'!$B$2),
SUM(_xlfn._xlws.FILTER(_xlpm.data,(_xlpm.states="New Jersey")+(_xlpm.states="M&amp;A"))))</f>
        <v>11122.389400000002</v>
      </c>
      <c r="N44" s="12" cm="1">
        <f t="array" ref="N44">_xlfn.LET(_xlpm.data,_xlfn.VSTACK('MS:NCA9'!N44),_xlpm.states,_xlfn.VSTACK('MS:NCA9'!$B$2),
SUM(_xlfn._xlws.FILTER(_xlpm.data,(_xlpm.states="New Jersey")+(_xlpm.states="M&amp;A"))))</f>
        <v>12328.634600000001</v>
      </c>
      <c r="O44" s="12" cm="1">
        <f t="array" ref="O44">_xlfn.LET(_xlpm.data,_xlfn.VSTACK('MS:NCA9'!O44),_xlpm.states,_xlfn.VSTACK('MS:NCA9'!$B$2),
SUM(_xlfn._xlws.FILTER(_xlpm.data,(_xlpm.states="New Jersey")+(_xlpm.states="M&amp;A"))))</f>
        <v>13831.387000000001</v>
      </c>
      <c r="P44" s="12" cm="1">
        <f t="array" ref="P44">_xlfn.LET(_xlpm.data,_xlfn.VSTACK('MS:NCA9'!P44),_xlpm.states,_xlfn.VSTACK('MS:NCA9'!$B$2),
SUM(_xlfn._xlws.FILTER(_xlpm.data,(_xlpm.states="New Jersey")+(_xlpm.states="M&amp;A"))))</f>
        <v>15212.841</v>
      </c>
      <c r="Q44" s="12">
        <f>SUM('MDA1:NCA9'!Q44)</f>
        <v>31327.333439999999</v>
      </c>
      <c r="R44" s="12">
        <f>SUM('MDA1:NCA9'!R44)</f>
        <v>32564.307567999997</v>
      </c>
      <c r="S44" s="12">
        <f>SUM('MDA1:NCA9'!S44)</f>
        <v>33913.41532800001</v>
      </c>
      <c r="T44" s="12">
        <f>SUM('MDA1:NCA9'!T44)</f>
        <v>34551.175360000001</v>
      </c>
      <c r="U44" s="12">
        <f>SUM('MDA1:NCA9'!U44)</f>
        <v>34684.334048000004</v>
      </c>
      <c r="V44" s="12">
        <f>SUM('MDA1:NCA9'!V44)</f>
        <v>35343.119136000008</v>
      </c>
      <c r="W44" s="12">
        <f>SUM('MDA1:NCA9'!W44)</f>
        <v>36776.327120000002</v>
      </c>
      <c r="X44" s="12">
        <f>SUM('MDA1:NCA9'!X44)</f>
        <v>38724.648975999997</v>
      </c>
      <c r="Y44" s="12">
        <f>SUM('MDA1:NCA9'!Y44)</f>
        <v>40410.157632000002</v>
      </c>
      <c r="Z44" s="12">
        <f>SUM('MDA1:NCA9'!Z44)</f>
        <v>41040.909312000003</v>
      </c>
      <c r="AA44" s="12">
        <f>SUM('MDA1:NCA9'!AA44)</f>
        <v>42043.103648000018</v>
      </c>
      <c r="AB44" s="12">
        <f>SUM('MDA1:NCA9'!AB44)</f>
        <v>43143.414912000007</v>
      </c>
      <c r="AC44" s="12">
        <f>SUM('MDA1:NCA9'!AC44)</f>
        <v>45977.031792640002</v>
      </c>
      <c r="AD44" s="12">
        <f>SUM('MDA1:NCA9'!AD44)</f>
        <v>46308.667009280005</v>
      </c>
      <c r="AE44" s="12">
        <f>SUM('MDA1:NCA9'!AE44)</f>
        <v>46975.581785600014</v>
      </c>
      <c r="AF44" s="12">
        <f>SUM('MDA1:NCA9'!AF44)</f>
        <v>47642.496561920008</v>
      </c>
      <c r="AG44" s="12">
        <f>SUM('MDA1:NCA9'!AG44)</f>
        <v>48043.374296319998</v>
      </c>
      <c r="AH44" s="12">
        <f>SUM('MDA1:NCA9'!AH44)</f>
        <v>49599.508774399997</v>
      </c>
      <c r="AI44" s="12">
        <f>SUM('MDA1:NCA9'!AI44)</f>
        <v>52033.929925120021</v>
      </c>
      <c r="AJ44" s="12">
        <f>SUM('MDA1:NCA9'!AJ44)</f>
        <v>52977.814772480015</v>
      </c>
      <c r="AK44" s="12">
        <f>SUM('MDA1:NCA9'!AK44)</f>
        <v>54333.510383359986</v>
      </c>
      <c r="AL44" s="12">
        <f>SUM('MDA1:NCA9'!AL44)</f>
        <v>56326.966026240007</v>
      </c>
      <c r="AM44" s="12">
        <f>SUM('MDA1:NCA9'!AM44)</f>
        <v>57653.506892800004</v>
      </c>
      <c r="AN44" s="12">
        <f>SUM('MDA1:NCA9'!AN44)</f>
        <v>58867.073125119998</v>
      </c>
    </row>
    <row r="45" spans="2:40" outlineLevel="1" x14ac:dyDescent="0.25">
      <c r="B45" s="39" t="s">
        <v>36</v>
      </c>
      <c r="E45" s="12" cm="1">
        <f t="array" ref="E45">_xlfn.LET(_xlpm.data,_xlfn.VSTACK('MS:NCA9'!E45),_xlpm.states,_xlfn.VSTACK('MS:NCA9'!$B$2),
SUM(_xlfn._xlws.FILTER(_xlpm.data,(_xlpm.states="New Jersey")+(_xlpm.states="M&amp;A"))))</f>
        <v>22500</v>
      </c>
      <c r="F45" s="12" cm="1">
        <f t="array" ref="F45">_xlfn.LET(_xlpm.data,_xlfn.VSTACK('MS:NCA9'!F45),_xlpm.states,_xlfn.VSTACK('MS:NCA9'!$B$2),
SUM(_xlfn._xlws.FILTER(_xlpm.data,(_xlpm.states="New Jersey")+(_xlpm.states="M&amp;A"))))</f>
        <v>22500</v>
      </c>
      <c r="G45" s="12" cm="1">
        <f t="array" ref="G45">_xlfn.LET(_xlpm.data,_xlfn.VSTACK('MS:NCA9'!G45),_xlpm.states,_xlfn.VSTACK('MS:NCA9'!$B$2),
SUM(_xlfn._xlws.FILTER(_xlpm.data,(_xlpm.states="New Jersey")+(_xlpm.states="M&amp;A"))))</f>
        <v>37500</v>
      </c>
      <c r="H45" s="12" cm="1">
        <f t="array" ref="H45">_xlfn.LET(_xlpm.data,_xlfn.VSTACK('MS:NCA9'!H45),_xlpm.states,_xlfn.VSTACK('MS:NCA9'!$B$2),
SUM(_xlfn._xlws.FILTER(_xlpm.data,(_xlpm.states="New Jersey")+(_xlpm.states="M&amp;A"))))</f>
        <v>45000</v>
      </c>
      <c r="I45" s="12" cm="1">
        <f t="array" ref="I45">_xlfn.LET(_xlpm.data,_xlfn.VSTACK('MS:NCA9'!I45),_xlpm.states,_xlfn.VSTACK('MS:NCA9'!$B$2),
SUM(_xlfn._xlws.FILTER(_xlpm.data,(_xlpm.states="New Jersey")+(_xlpm.states="M&amp;A"))))</f>
        <v>45000</v>
      </c>
      <c r="J45" s="12" cm="1">
        <f t="array" ref="J45">_xlfn.LET(_xlpm.data,_xlfn.VSTACK('MS:NCA9'!J45),_xlpm.states,_xlfn.VSTACK('MS:NCA9'!$B$2),
SUM(_xlfn._xlws.FILTER(_xlpm.data,(_xlpm.states="New Jersey")+(_xlpm.states="M&amp;A"))))</f>
        <v>45000</v>
      </c>
      <c r="K45" s="12" cm="1">
        <f t="array" ref="K45">_xlfn.LET(_xlpm.data,_xlfn.VSTACK('MS:NCA9'!K45),_xlpm.states,_xlfn.VSTACK('MS:NCA9'!$B$2),
SUM(_xlfn._xlws.FILTER(_xlpm.data,(_xlpm.states="New Jersey")+(_xlpm.states="M&amp;A"))))</f>
        <v>52500</v>
      </c>
      <c r="L45" s="12" cm="1">
        <f t="array" ref="L45">_xlfn.LET(_xlpm.data,_xlfn.VSTACK('MS:NCA9'!L45),_xlpm.states,_xlfn.VSTACK('MS:NCA9'!$B$2),
SUM(_xlfn._xlws.FILTER(_xlpm.data,(_xlpm.states="New Jersey")+(_xlpm.states="M&amp;A"))))</f>
        <v>52500</v>
      </c>
      <c r="M45" s="12" cm="1">
        <f t="array" ref="M45">_xlfn.LET(_xlpm.data,_xlfn.VSTACK('MS:NCA9'!M45),_xlpm.states,_xlfn.VSTACK('MS:NCA9'!$B$2),
SUM(_xlfn._xlws.FILTER(_xlpm.data,(_xlpm.states="New Jersey")+(_xlpm.states="M&amp;A"))))</f>
        <v>60000</v>
      </c>
      <c r="N45" s="12" cm="1">
        <f t="array" ref="N45">_xlfn.LET(_xlpm.data,_xlfn.VSTACK('MS:NCA9'!N45),_xlpm.states,_xlfn.VSTACK('MS:NCA9'!$B$2),
SUM(_xlfn._xlws.FILTER(_xlpm.data,(_xlpm.states="New Jersey")+(_xlpm.states="M&amp;A"))))</f>
        <v>60000</v>
      </c>
      <c r="O45" s="12" cm="1">
        <f t="array" ref="O45">_xlfn.LET(_xlpm.data,_xlfn.VSTACK('MS:NCA9'!O45),_xlpm.states,_xlfn.VSTACK('MS:NCA9'!$B$2),
SUM(_xlfn._xlws.FILTER(_xlpm.data,(_xlpm.states="New Jersey")+(_xlpm.states="M&amp;A"))))</f>
        <v>67500</v>
      </c>
      <c r="P45" s="12" cm="1">
        <f t="array" ref="P45">_xlfn.LET(_xlpm.data,_xlfn.VSTACK('MS:NCA9'!P45),_xlpm.states,_xlfn.VSTACK('MS:NCA9'!$B$2),
SUM(_xlfn._xlws.FILTER(_xlpm.data,(_xlpm.states="New Jersey")+(_xlpm.states="M&amp;A"))))</f>
        <v>67500</v>
      </c>
      <c r="Q45" s="12">
        <f>SUM('MDA1:NCA9'!Q45)</f>
        <v>112455</v>
      </c>
      <c r="R45" s="12">
        <f>SUM('MDA1:NCA9'!R45)</f>
        <v>112455</v>
      </c>
      <c r="S45" s="12">
        <f>SUM('MDA1:NCA9'!S45)</f>
        <v>120105</v>
      </c>
      <c r="T45" s="12">
        <f>SUM('MDA1:NCA9'!T45)</f>
        <v>120105</v>
      </c>
      <c r="U45" s="12">
        <f>SUM('MDA1:NCA9'!U45)</f>
        <v>120105</v>
      </c>
      <c r="V45" s="12">
        <f>SUM('MDA1:NCA9'!V45)</f>
        <v>120105</v>
      </c>
      <c r="W45" s="12">
        <f>SUM('MDA1:NCA9'!W45)</f>
        <v>132855</v>
      </c>
      <c r="X45" s="12">
        <f>SUM('MDA1:NCA9'!X45)</f>
        <v>143820</v>
      </c>
      <c r="Y45" s="12">
        <f>SUM('MDA1:NCA9'!Y45)</f>
        <v>143820</v>
      </c>
      <c r="Z45" s="12">
        <f>SUM('MDA1:NCA9'!Z45)</f>
        <v>143820</v>
      </c>
      <c r="AA45" s="12">
        <f>SUM('MDA1:NCA9'!AA45)</f>
        <v>150450</v>
      </c>
      <c r="AB45" s="12">
        <f>SUM('MDA1:NCA9'!AB45)</f>
        <v>157080</v>
      </c>
      <c r="AC45" s="12">
        <f>SUM('MDA1:NCA9'!AC45)</f>
        <v>160221.59999999998</v>
      </c>
      <c r="AD45" s="12">
        <f>SUM('MDA1:NCA9'!AD45)</f>
        <v>160221.59999999998</v>
      </c>
      <c r="AE45" s="12">
        <f>SUM('MDA1:NCA9'!AE45)</f>
        <v>160221.59999999998</v>
      </c>
      <c r="AF45" s="12">
        <f>SUM('MDA1:NCA9'!AF45)</f>
        <v>160221.59999999998</v>
      </c>
      <c r="AG45" s="12">
        <f>SUM('MDA1:NCA9'!AG45)</f>
        <v>160221.59999999998</v>
      </c>
      <c r="AH45" s="12">
        <f>SUM('MDA1:NCA9'!AH45)</f>
        <v>170885.69999999998</v>
      </c>
      <c r="AI45" s="12">
        <f>SUM('MDA1:NCA9'!AI45)</f>
        <v>177648.30000000002</v>
      </c>
      <c r="AJ45" s="12">
        <f>SUM('MDA1:NCA9'!AJ45)</f>
        <v>184410.90000000002</v>
      </c>
      <c r="AK45" s="12">
        <f>SUM('MDA1:NCA9'!AK45)</f>
        <v>191173.50000000003</v>
      </c>
      <c r="AL45" s="12">
        <f>SUM('MDA1:NCA9'!AL45)</f>
        <v>197936.10000000003</v>
      </c>
      <c r="AM45" s="12">
        <f>SUM('MDA1:NCA9'!AM45)</f>
        <v>204698.70000000004</v>
      </c>
      <c r="AN45" s="12">
        <f>SUM('MDA1:NCA9'!AN45)</f>
        <v>204698.70000000004</v>
      </c>
    </row>
    <row r="46" spans="2:40" outlineLevel="1" x14ac:dyDescent="0.25">
      <c r="B46" s="39" t="s">
        <v>38</v>
      </c>
      <c r="E46" s="12" cm="1">
        <f t="array" ref="E46">_xlfn.LET(_xlpm.data,_xlfn.VSTACK('MS:NCA9'!E46),_xlpm.states,_xlfn.VSTACK('MS:NCA9'!$B$2),
SUM(_xlfn._xlws.FILTER(_xlpm.data,(_xlpm.states="New Jersey")+(_xlpm.states="M&amp;A"))))</f>
        <v>34664.5</v>
      </c>
      <c r="F46" s="12" cm="1">
        <f t="array" ref="F46">_xlfn.LET(_xlpm.data,_xlfn.VSTACK('MS:NCA9'!F46),_xlpm.states,_xlfn.VSTACK('MS:NCA9'!$B$2),
SUM(_xlfn._xlws.FILTER(_xlpm.data,(_xlpm.states="New Jersey")+(_xlpm.states="M&amp;A"))))</f>
        <v>39478.5</v>
      </c>
      <c r="G46" s="12" cm="1">
        <f t="array" ref="G46">_xlfn.LET(_xlpm.data,_xlfn.VSTACK('MS:NCA9'!G46),_xlpm.states,_xlfn.VSTACK('MS:NCA9'!$B$2),
SUM(_xlfn._xlws.FILTER(_xlpm.data,(_xlpm.states="New Jersey")+(_xlpm.states="M&amp;A"))))</f>
        <v>50961.999999999985</v>
      </c>
      <c r="H46" s="12" cm="1">
        <f t="array" ref="H46">_xlfn.LET(_xlpm.data,_xlfn.VSTACK('MS:NCA9'!H46),_xlpm.states,_xlfn.VSTACK('MS:NCA9'!$B$2),
SUM(_xlfn._xlws.FILTER(_xlpm.data,(_xlpm.states="New Jersey")+(_xlpm.states="M&amp;A"))))</f>
        <v>64702.5</v>
      </c>
      <c r="I46" s="12" cm="1">
        <f t="array" ref="I46">_xlfn.LET(_xlpm.data,_xlfn.VSTACK('MS:NCA9'!I46),_xlpm.states,_xlfn.VSTACK('MS:NCA9'!$B$2),
SUM(_xlfn._xlws.FILTER(_xlpm.data,(_xlpm.states="New Jersey")+(_xlpm.states="M&amp;A"))))</f>
        <v>75153</v>
      </c>
      <c r="J46" s="12" cm="1">
        <f t="array" ref="J46">_xlfn.LET(_xlpm.data,_xlfn.VSTACK('MS:NCA9'!J46),_xlpm.states,_xlfn.VSTACK('MS:NCA9'!$B$2),
SUM(_xlfn._xlws.FILTER(_xlpm.data,(_xlpm.states="New Jersey")+(_xlpm.states="M&amp;A"))))</f>
        <v>83344.5</v>
      </c>
      <c r="K46" s="12" cm="1">
        <f t="array" ref="K46">_xlfn.LET(_xlpm.data,_xlfn.VSTACK('MS:NCA9'!K46),_xlpm.states,_xlfn.VSTACK('MS:NCA9'!$B$2),
SUM(_xlfn._xlws.FILTER(_xlpm.data,(_xlpm.states="New Jersey")+(_xlpm.states="M&amp;A"))))</f>
        <v>94134.5</v>
      </c>
      <c r="L46" s="12" cm="1">
        <f t="array" ref="L46">_xlfn.LET(_xlpm.data,_xlfn.VSTACK('MS:NCA9'!L46),_xlpm.states,_xlfn.VSTACK('MS:NCA9'!$B$2),
SUM(_xlfn._xlws.FILTER(_xlpm.data,(_xlpm.states="New Jersey")+(_xlpm.states="M&amp;A"))))</f>
        <v>103297.5</v>
      </c>
      <c r="M46" s="12" cm="1">
        <f t="array" ref="M46">_xlfn.LET(_xlpm.data,_xlfn.VSTACK('MS:NCA9'!M46),_xlpm.states,_xlfn.VSTACK('MS:NCA9'!$B$2),
SUM(_xlfn._xlws.FILTER(_xlpm.data,(_xlpm.states="New Jersey")+(_xlpm.states="M&amp;A"))))</f>
        <v>115607.5</v>
      </c>
      <c r="N46" s="12" cm="1">
        <f t="array" ref="N46">_xlfn.LET(_xlpm.data,_xlfn.VSTACK('MS:NCA9'!N46),_xlpm.states,_xlfn.VSTACK('MS:NCA9'!$B$2),
SUM(_xlfn._xlws.FILTER(_xlpm.data,(_xlpm.states="New Jersey")+(_xlpm.states="M&amp;A"))))</f>
        <v>128435</v>
      </c>
      <c r="O46" s="12" cm="1">
        <f t="array" ref="O46">_xlfn.LET(_xlpm.data,_xlfn.VSTACK('MS:NCA9'!O46),_xlpm.states,_xlfn.VSTACK('MS:NCA9'!$B$2),
SUM(_xlfn._xlws.FILTER(_xlpm.data,(_xlpm.states="New Jersey")+(_xlpm.states="M&amp;A"))))</f>
        <v>145257.5</v>
      </c>
      <c r="P46" s="12" cm="1">
        <f t="array" ref="P46">_xlfn.LET(_xlpm.data,_xlfn.VSTACK('MS:NCA9'!P46),_xlpm.states,_xlfn.VSTACK('MS:NCA9'!$B$2),
SUM(_xlfn._xlws.FILTER(_xlpm.data,(_xlpm.states="New Jersey")+(_xlpm.states="M&amp;A"))))</f>
        <v>158763.5</v>
      </c>
      <c r="Q46" s="12">
        <f>SUM('MDA1:NCA9'!Q46)</f>
        <v>337434.87</v>
      </c>
      <c r="R46" s="12">
        <f>SUM('MDA1:NCA9'!R46)</f>
        <v>355008.45000000019</v>
      </c>
      <c r="S46" s="12">
        <f>SUM('MDA1:NCA9'!S46)</f>
        <v>374439.45</v>
      </c>
      <c r="T46" s="12">
        <f>SUM('MDA1:NCA9'!T46)</f>
        <v>391248.54</v>
      </c>
      <c r="U46" s="12">
        <f>SUM('MDA1:NCA9'!U46)</f>
        <v>404276.99999999988</v>
      </c>
      <c r="V46" s="12">
        <f>SUM('MDA1:NCA9'!V46)</f>
        <v>418534.05</v>
      </c>
      <c r="W46" s="12">
        <f>SUM('MDA1:NCA9'!W46)</f>
        <v>438482.19000000006</v>
      </c>
      <c r="X46" s="12">
        <f>SUM('MDA1:NCA9'!X46)</f>
        <v>458908.2</v>
      </c>
      <c r="Y46" s="12">
        <f>SUM('MDA1:NCA9'!Y46)</f>
        <v>472980.11999999994</v>
      </c>
      <c r="Z46" s="12">
        <f>SUM('MDA1:NCA9'!Z46)</f>
        <v>488820.21000000008</v>
      </c>
      <c r="AA46" s="12">
        <f>SUM('MDA1:NCA9'!AA46)</f>
        <v>505592.07000000007</v>
      </c>
      <c r="AB46" s="12">
        <f>SUM('MDA1:NCA9'!AB46)</f>
        <v>521427.06000000006</v>
      </c>
      <c r="AC46" s="12">
        <f>SUM('MDA1:NCA9'!AC46)</f>
        <v>544154.16960000002</v>
      </c>
      <c r="AD46" s="12">
        <f>SUM('MDA1:NCA9'!AD46)</f>
        <v>556197.31979999994</v>
      </c>
      <c r="AE46" s="12">
        <f>SUM('MDA1:NCA9'!AE46)</f>
        <v>569555.01540000003</v>
      </c>
      <c r="AF46" s="12">
        <f>SUM('MDA1:NCA9'!AF46)</f>
        <v>581090.9706</v>
      </c>
      <c r="AG46" s="12">
        <f>SUM('MDA1:NCA9'!AG46)</f>
        <v>591089.21460000018</v>
      </c>
      <c r="AH46" s="12">
        <f>SUM('MDA1:NCA9'!AH46)</f>
        <v>609808.09140000003</v>
      </c>
      <c r="AI46" s="12">
        <f>SUM('MDA1:NCA9'!AI46)</f>
        <v>628185.71700000018</v>
      </c>
      <c r="AJ46" s="12">
        <f>SUM('MDA1:NCA9'!AJ46)</f>
        <v>645252.43860000011</v>
      </c>
      <c r="AK46" s="12">
        <f>SUM('MDA1:NCA9'!AK46)</f>
        <v>663653.47320000001</v>
      </c>
      <c r="AL46" s="12">
        <f>SUM('MDA1:NCA9'!AL46)</f>
        <v>680631.76079999993</v>
      </c>
      <c r="AM46" s="12">
        <f>SUM('MDA1:NCA9'!AM46)</f>
        <v>698224.40460000024</v>
      </c>
      <c r="AN46" s="12">
        <f>SUM('MDA1:NCA9'!AN46)</f>
        <v>714536.83620000014</v>
      </c>
    </row>
    <row r="47" spans="2:40" outlineLevel="1" x14ac:dyDescent="0.25">
      <c r="B47" s="39" t="s">
        <v>40</v>
      </c>
      <c r="E47" s="12" cm="1">
        <f t="array" ref="E47">_xlfn.LET(_xlpm.data,_xlfn.VSTACK('MS:NCA9'!E47),_xlpm.states,_xlfn.VSTACK('MS:NCA9'!$B$2),
SUM(_xlfn._xlws.FILTER(_xlpm.data,(_xlpm.states="New Jersey")+(_xlpm.states="M&amp;A"))))</f>
        <v>18000</v>
      </c>
      <c r="F47" s="12" cm="1">
        <f t="array" ref="F47">_xlfn.LET(_xlpm.data,_xlfn.VSTACK('MS:NCA9'!F47),_xlpm.states,_xlfn.VSTACK('MS:NCA9'!$B$2),
SUM(_xlfn._xlws.FILTER(_xlpm.data,(_xlpm.states="New Jersey")+(_xlpm.states="M&amp;A"))))</f>
        <v>18000</v>
      </c>
      <c r="G47" s="12" cm="1">
        <f t="array" ref="G47">_xlfn.LET(_xlpm.data,_xlfn.VSTACK('MS:NCA9'!G47),_xlpm.states,_xlfn.VSTACK('MS:NCA9'!$B$2),
SUM(_xlfn._xlws.FILTER(_xlpm.data,(_xlpm.states="New Jersey")+(_xlpm.states="M&amp;A"))))</f>
        <v>30000</v>
      </c>
      <c r="H47" s="12" cm="1">
        <f t="array" ref="H47">_xlfn.LET(_xlpm.data,_xlfn.VSTACK('MS:NCA9'!H47),_xlpm.states,_xlfn.VSTACK('MS:NCA9'!$B$2),
SUM(_xlfn._xlws.FILTER(_xlpm.data,(_xlpm.states="New Jersey")+(_xlpm.states="M&amp;A"))))</f>
        <v>36000</v>
      </c>
      <c r="I47" s="12" cm="1">
        <f t="array" ref="I47">_xlfn.LET(_xlpm.data,_xlfn.VSTACK('MS:NCA9'!I47),_xlpm.states,_xlfn.VSTACK('MS:NCA9'!$B$2),
SUM(_xlfn._xlws.FILTER(_xlpm.data,(_xlpm.states="New Jersey")+(_xlpm.states="M&amp;A"))))</f>
        <v>36000</v>
      </c>
      <c r="J47" s="12" cm="1">
        <f t="array" ref="J47">_xlfn.LET(_xlpm.data,_xlfn.VSTACK('MS:NCA9'!J47),_xlpm.states,_xlfn.VSTACK('MS:NCA9'!$B$2),
SUM(_xlfn._xlws.FILTER(_xlpm.data,(_xlpm.states="New Jersey")+(_xlpm.states="M&amp;A"))))</f>
        <v>36000</v>
      </c>
      <c r="K47" s="12" cm="1">
        <f t="array" ref="K47">_xlfn.LET(_xlpm.data,_xlfn.VSTACK('MS:NCA9'!K47),_xlpm.states,_xlfn.VSTACK('MS:NCA9'!$B$2),
SUM(_xlfn._xlws.FILTER(_xlpm.data,(_xlpm.states="New Jersey")+(_xlpm.states="M&amp;A"))))</f>
        <v>42000</v>
      </c>
      <c r="L47" s="12" cm="1">
        <f t="array" ref="L47">_xlfn.LET(_xlpm.data,_xlfn.VSTACK('MS:NCA9'!L47),_xlpm.states,_xlfn.VSTACK('MS:NCA9'!$B$2),
SUM(_xlfn._xlws.FILTER(_xlpm.data,(_xlpm.states="New Jersey")+(_xlpm.states="M&amp;A"))))</f>
        <v>42000</v>
      </c>
      <c r="M47" s="12" cm="1">
        <f t="array" ref="M47">_xlfn.LET(_xlpm.data,_xlfn.VSTACK('MS:NCA9'!M47),_xlpm.states,_xlfn.VSTACK('MS:NCA9'!$B$2),
SUM(_xlfn._xlws.FILTER(_xlpm.data,(_xlpm.states="New Jersey")+(_xlpm.states="M&amp;A"))))</f>
        <v>48000</v>
      </c>
      <c r="N47" s="12" cm="1">
        <f t="array" ref="N47">_xlfn.LET(_xlpm.data,_xlfn.VSTACK('MS:NCA9'!N47),_xlpm.states,_xlfn.VSTACK('MS:NCA9'!$B$2),
SUM(_xlfn._xlws.FILTER(_xlpm.data,(_xlpm.states="New Jersey")+(_xlpm.states="M&amp;A"))))</f>
        <v>48000</v>
      </c>
      <c r="O47" s="12" cm="1">
        <f t="array" ref="O47">_xlfn.LET(_xlpm.data,_xlfn.VSTACK('MS:NCA9'!O47),_xlpm.states,_xlfn.VSTACK('MS:NCA9'!$B$2),
SUM(_xlfn._xlws.FILTER(_xlpm.data,(_xlpm.states="New Jersey")+(_xlpm.states="M&amp;A"))))</f>
        <v>54000</v>
      </c>
      <c r="P47" s="12" cm="1">
        <f t="array" ref="P47">_xlfn.LET(_xlpm.data,_xlfn.VSTACK('MS:NCA9'!P47),_xlpm.states,_xlfn.VSTACK('MS:NCA9'!$B$2),
SUM(_xlfn._xlws.FILTER(_xlpm.data,(_xlpm.states="New Jersey")+(_xlpm.states="M&amp;A"))))</f>
        <v>54000</v>
      </c>
      <c r="Q47" s="12">
        <f>SUM('MDA1:NCA9'!Q47)</f>
        <v>92347.5</v>
      </c>
      <c r="R47" s="12">
        <f>SUM('MDA1:NCA9'!R47)</f>
        <v>92347.5</v>
      </c>
      <c r="S47" s="12">
        <f>SUM('MDA1:NCA9'!S47)</f>
        <v>98647.5</v>
      </c>
      <c r="T47" s="12">
        <f>SUM('MDA1:NCA9'!T47)</f>
        <v>98647.5</v>
      </c>
      <c r="U47" s="12">
        <f>SUM('MDA1:NCA9'!U47)</f>
        <v>98647.5</v>
      </c>
      <c r="V47" s="12">
        <f>SUM('MDA1:NCA9'!V47)</f>
        <v>98647.5</v>
      </c>
      <c r="W47" s="12">
        <f>SUM('MDA1:NCA9'!W47)</f>
        <v>109935</v>
      </c>
      <c r="X47" s="12">
        <f>SUM('MDA1:NCA9'!X47)</f>
        <v>122272.5</v>
      </c>
      <c r="Y47" s="12">
        <f>SUM('MDA1:NCA9'!Y47)</f>
        <v>122272.5</v>
      </c>
      <c r="Z47" s="12">
        <f>SUM('MDA1:NCA9'!Z47)</f>
        <v>122272.5</v>
      </c>
      <c r="AA47" s="12">
        <f>SUM('MDA1:NCA9'!AA47)</f>
        <v>128572.5</v>
      </c>
      <c r="AB47" s="12">
        <f>SUM('MDA1:NCA9'!AB47)</f>
        <v>134872.5</v>
      </c>
      <c r="AC47" s="12">
        <f>SUM('MDA1:NCA9'!AC47)</f>
        <v>141616.125</v>
      </c>
      <c r="AD47" s="12">
        <f>SUM('MDA1:NCA9'!AD47)</f>
        <v>141616.125</v>
      </c>
      <c r="AE47" s="12">
        <f>SUM('MDA1:NCA9'!AE47)</f>
        <v>141616.125</v>
      </c>
      <c r="AF47" s="12">
        <f>SUM('MDA1:NCA9'!AF47)</f>
        <v>141616.125</v>
      </c>
      <c r="AG47" s="12">
        <f>SUM('MDA1:NCA9'!AG47)</f>
        <v>141616.125</v>
      </c>
      <c r="AH47" s="12">
        <f>SUM('MDA1:NCA9'!AH47)</f>
        <v>153192.375</v>
      </c>
      <c r="AI47" s="12">
        <f>SUM('MDA1:NCA9'!AI47)</f>
        <v>159807.375</v>
      </c>
      <c r="AJ47" s="12">
        <f>SUM('MDA1:NCA9'!AJ47)</f>
        <v>166422.375</v>
      </c>
      <c r="AK47" s="12">
        <f>SUM('MDA1:NCA9'!AK47)</f>
        <v>173037.375</v>
      </c>
      <c r="AL47" s="12">
        <f>SUM('MDA1:NCA9'!AL47)</f>
        <v>179652.375</v>
      </c>
      <c r="AM47" s="12">
        <f>SUM('MDA1:NCA9'!AM47)</f>
        <v>186267.375</v>
      </c>
      <c r="AN47" s="12">
        <f>SUM('MDA1:NCA9'!AN47)</f>
        <v>186267.375</v>
      </c>
    </row>
    <row r="48" spans="2:40" outlineLevel="1" x14ac:dyDescent="0.25">
      <c r="B48" s="39" t="s">
        <v>41</v>
      </c>
      <c r="E48" s="12" cm="1">
        <f t="array" ref="E48">_xlfn.LET(_xlpm.data,_xlfn.VSTACK('MS:NCA9'!E48),_xlpm.states,_xlfn.VSTACK('MS:NCA9'!$B$2),
SUM(_xlfn._xlws.FILTER(_xlpm.data,(_xlpm.states="New Jersey")+(_xlpm.states="M&amp;A"))))</f>
        <v>280234.46999999997</v>
      </c>
      <c r="F48" s="12" cm="1">
        <f t="array" ref="F48">_xlfn.LET(_xlpm.data,_xlfn.VSTACK('MS:NCA9'!F48),_xlpm.states,_xlfn.VSTACK('MS:NCA9'!$B$2),
SUM(_xlfn._xlws.FILTER(_xlpm.data,(_xlpm.states="New Jersey")+(_xlpm.states="M&amp;A"))))</f>
        <v>151234.47</v>
      </c>
      <c r="G48" s="12" cm="1">
        <f t="array" ref="G48">_xlfn.LET(_xlpm.data,_xlfn.VSTACK('MS:NCA9'!G48),_xlpm.states,_xlfn.VSTACK('MS:NCA9'!$B$2),
SUM(_xlfn._xlws.FILTER(_xlpm.data,(_xlpm.states="New Jersey")+(_xlpm.states="M&amp;A"))))</f>
        <v>0</v>
      </c>
      <c r="H48" s="12" cm="1">
        <f t="array" ref="H48">_xlfn.LET(_xlpm.data,_xlfn.VSTACK('MS:NCA9'!H48),_xlpm.states,_xlfn.VSTACK('MS:NCA9'!$B$2),
SUM(_xlfn._xlws.FILTER(_xlpm.data,(_xlpm.states="New Jersey")+(_xlpm.states="M&amp;A"))))</f>
        <v>0</v>
      </c>
      <c r="I48" s="12" cm="1">
        <f t="array" ref="I48">_xlfn.LET(_xlpm.data,_xlfn.VSTACK('MS:NCA9'!I48),_xlpm.states,_xlfn.VSTACK('MS:NCA9'!$B$2),
SUM(_xlfn._xlws.FILTER(_xlpm.data,(_xlpm.states="New Jersey")+(_xlpm.states="M&amp;A"))))</f>
        <v>151234.47</v>
      </c>
      <c r="J48" s="12" cm="1">
        <f t="array" ref="J48">_xlfn.LET(_xlpm.data,_xlfn.VSTACK('MS:NCA9'!J48),_xlpm.states,_xlfn.VSTACK('MS:NCA9'!$B$2),
SUM(_xlfn._xlws.FILTER(_xlpm.data,(_xlpm.states="New Jersey")+(_xlpm.states="M&amp;A"))))</f>
        <v>0</v>
      </c>
      <c r="K48" s="12" cm="1">
        <f t="array" ref="K48">_xlfn.LET(_xlpm.data,_xlfn.VSTACK('MS:NCA9'!K48),_xlpm.states,_xlfn.VSTACK('MS:NCA9'!$B$2),
SUM(_xlfn._xlws.FILTER(_xlpm.data,(_xlpm.states="New Jersey")+(_xlpm.states="M&amp;A"))))</f>
        <v>151234.47</v>
      </c>
      <c r="L48" s="12" cm="1">
        <f t="array" ref="L48">_xlfn.LET(_xlpm.data,_xlfn.VSTACK('MS:NCA9'!L48),_xlpm.states,_xlfn.VSTACK('MS:NCA9'!$B$2),
SUM(_xlfn._xlws.FILTER(_xlpm.data,(_xlpm.states="New Jersey")+(_xlpm.states="M&amp;A"))))</f>
        <v>0</v>
      </c>
      <c r="M48" s="12" cm="1">
        <f t="array" ref="M48">_xlfn.LET(_xlpm.data,_xlfn.VSTACK('MS:NCA9'!M48),_xlpm.states,_xlfn.VSTACK('MS:NCA9'!$B$2),
SUM(_xlfn._xlws.FILTER(_xlpm.data,(_xlpm.states="New Jersey")+(_xlpm.states="M&amp;A"))))</f>
        <v>151234.47</v>
      </c>
      <c r="N48" s="12" cm="1">
        <f t="array" ref="N48">_xlfn.LET(_xlpm.data,_xlfn.VSTACK('MS:NCA9'!N48),_xlpm.states,_xlfn.VSTACK('MS:NCA9'!$B$2),
SUM(_xlfn._xlws.FILTER(_xlpm.data,(_xlpm.states="New Jersey")+(_xlpm.states="M&amp;A"))))</f>
        <v>0</v>
      </c>
      <c r="O48" s="12" cm="1">
        <f t="array" ref="O48">_xlfn.LET(_xlpm.data,_xlfn.VSTACK('MS:NCA9'!O48),_xlpm.states,_xlfn.VSTACK('MS:NCA9'!$B$2),
SUM(_xlfn._xlws.FILTER(_xlpm.data,(_xlpm.states="New Jersey")+(_xlpm.states="M&amp;A"))))</f>
        <v>0</v>
      </c>
      <c r="P48" s="12" cm="1">
        <f t="array" ref="P48">_xlfn.LET(_xlpm.data,_xlfn.VSTACK('MS:NCA9'!P48),_xlpm.states,_xlfn.VSTACK('MS:NCA9'!$B$2),
SUM(_xlfn._xlws.FILTER(_xlpm.data,(_xlpm.states="New Jersey")+(_xlpm.states="M&amp;A"))))</f>
        <v>0</v>
      </c>
      <c r="Q48" s="12">
        <f>SUM('MDA1:NCA9'!Q48)</f>
        <v>151234.47</v>
      </c>
      <c r="R48" s="12">
        <f>SUM('MDA1:NCA9'!R48)</f>
        <v>0</v>
      </c>
      <c r="S48" s="12">
        <f>SUM('MDA1:NCA9'!S48)</f>
        <v>0</v>
      </c>
      <c r="T48" s="12">
        <f>SUM('MDA1:NCA9'!T48)</f>
        <v>0</v>
      </c>
      <c r="U48" s="12">
        <f>SUM('MDA1:NCA9'!U48)</f>
        <v>255373.47</v>
      </c>
      <c r="V48" s="12">
        <f>SUM('MDA1:NCA9'!V48)</f>
        <v>278111.58</v>
      </c>
      <c r="W48" s="12">
        <f>SUM('MDA1:NCA9'!W48)</f>
        <v>0</v>
      </c>
      <c r="X48" s="12">
        <f>SUM('MDA1:NCA9'!X48)</f>
        <v>0</v>
      </c>
      <c r="Y48" s="12">
        <f>SUM('MDA1:NCA9'!Y48)</f>
        <v>151234.47</v>
      </c>
      <c r="Z48" s="12">
        <f>SUM('MDA1:NCA9'!Z48)</f>
        <v>151234.47</v>
      </c>
      <c r="AA48" s="12">
        <f>SUM('MDA1:NCA9'!AA48)</f>
        <v>0</v>
      </c>
      <c r="AB48" s="12">
        <f>SUM('MDA1:NCA9'!AB48)</f>
        <v>0</v>
      </c>
      <c r="AC48" s="12">
        <f>SUM('MDA1:NCA9'!AC48)</f>
        <v>0</v>
      </c>
      <c r="AD48" s="12">
        <f>SUM('MDA1:NCA9'!AD48)</f>
        <v>0</v>
      </c>
      <c r="AE48" s="12">
        <f>SUM('MDA1:NCA9'!AE48)</f>
        <v>0</v>
      </c>
      <c r="AF48" s="12">
        <f>SUM('MDA1:NCA9'!AF48)</f>
        <v>231016.11</v>
      </c>
      <c r="AG48" s="12">
        <f>SUM('MDA1:NCA9'!AG48)</f>
        <v>151234.47</v>
      </c>
      <c r="AH48" s="12">
        <f>SUM('MDA1:NCA9'!AH48)</f>
        <v>151234.47</v>
      </c>
      <c r="AI48" s="12">
        <f>SUM('MDA1:NCA9'!AI48)</f>
        <v>151234.47</v>
      </c>
      <c r="AJ48" s="12">
        <f>SUM('MDA1:NCA9'!AJ48)</f>
        <v>151234.47</v>
      </c>
      <c r="AK48" s="12">
        <f>SUM('MDA1:NCA9'!AK48)</f>
        <v>151234.47</v>
      </c>
      <c r="AL48" s="12">
        <f>SUM('MDA1:NCA9'!AL48)</f>
        <v>0</v>
      </c>
      <c r="AM48" s="12">
        <f>SUM('MDA1:NCA9'!AM48)</f>
        <v>0</v>
      </c>
      <c r="AN48" s="12">
        <f>SUM('MDA1:NCA9'!AN48)</f>
        <v>0</v>
      </c>
    </row>
    <row r="49" spans="2:40" outlineLevel="1" x14ac:dyDescent="0.25">
      <c r="B49" s="39" t="s">
        <v>42</v>
      </c>
      <c r="E49" s="12" cm="1">
        <f t="array" ref="E49">_xlfn.LET(_xlpm.data,_xlfn.VSTACK('MS:NCA9'!E49),_xlpm.states,_xlfn.VSTACK('MS:NCA9'!$B$2),
SUM(_xlfn._xlws.FILTER(_xlpm.data,(_xlpm.states="New Jersey")+(_xlpm.states="M&amp;A"))))</f>
        <v>291343.16561003262</v>
      </c>
      <c r="F49" s="12" cm="1">
        <f t="array" ref="F49">_xlfn.LET(_xlpm.data,_xlfn.VSTACK('MS:NCA9'!F49),_xlpm.states,_xlfn.VSTACK('MS:NCA9'!$B$2),
SUM(_xlfn._xlws.FILTER(_xlpm.data,(_xlpm.states="New Jersey")+(_xlpm.states="M&amp;A"))))</f>
        <v>326524.59503601573</v>
      </c>
      <c r="G49" s="12" cm="1">
        <f t="array" ref="G49">_xlfn.LET(_xlpm.data,_xlfn.VSTACK('MS:NCA9'!G49),_xlpm.states,_xlfn.VSTACK('MS:NCA9'!$B$2),
SUM(_xlfn._xlws.FILTER(_xlpm.data,(_xlpm.states="New Jersey")+(_xlpm.states="M&amp;A"))))</f>
        <v>380189.36919651413</v>
      </c>
      <c r="H49" s="12" cm="1">
        <f t="array" ref="H49">_xlfn.LET(_xlpm.data,_xlfn.VSTACK('MS:NCA9'!H49),_xlpm.states,_xlfn.VSTACK('MS:NCA9'!$B$2),
SUM(_xlfn._xlws.FILTER(_xlpm.data,(_xlpm.states="New Jersey")+(_xlpm.states="M&amp;A"))))</f>
        <v>435600.78894651396</v>
      </c>
      <c r="I49" s="12" cm="1">
        <f t="array" ref="I49">_xlfn.LET(_xlpm.data,_xlfn.VSTACK('MS:NCA9'!I49),_xlpm.states,_xlfn.VSTACK('MS:NCA9'!$B$2),
SUM(_xlfn._xlws.FILTER(_xlpm.data,(_xlpm.states="New Jersey")+(_xlpm.states="M&amp;A"))))</f>
        <v>472069.09283396654</v>
      </c>
      <c r="J49" s="12" cm="1">
        <f t="array" ref="J49">_xlfn.LET(_xlpm.data,_xlfn.VSTACK('MS:NCA9'!J49),_xlpm.states,_xlfn.VSTACK('MS:NCA9'!$B$2),
SUM(_xlfn._xlws.FILTER(_xlpm.data,(_xlpm.states="New Jersey")+(_xlpm.states="M&amp;A"))))</f>
        <v>501204.61848656234</v>
      </c>
      <c r="K49" s="12" cm="1">
        <f t="array" ref="K49">_xlfn.LET(_xlpm.data,_xlfn.VSTACK('MS:NCA9'!K49),_xlpm.states,_xlfn.VSTACK('MS:NCA9'!$B$2),
SUM(_xlfn._xlws.FILTER(_xlpm.data,(_xlpm.states="New Jersey")+(_xlpm.states="M&amp;A"))))</f>
        <v>528218.10471659328</v>
      </c>
      <c r="L49" s="12" cm="1">
        <f t="array" ref="L49">_xlfn.LET(_xlpm.data,_xlfn.VSTACK('MS:NCA9'!L49),_xlpm.states,_xlfn.VSTACK('MS:NCA9'!$B$2),
SUM(_xlfn._xlws.FILTER(_xlpm.data,(_xlpm.states="New Jersey")+(_xlpm.states="M&amp;A"))))</f>
        <v>558733.15048507135</v>
      </c>
      <c r="M49" s="12" cm="1">
        <f t="array" ref="M49">_xlfn.LET(_xlpm.data,_xlfn.VSTACK('MS:NCA9'!M49),_xlpm.states,_xlfn.VSTACK('MS:NCA9'!$B$2),
SUM(_xlfn._xlws.FILTER(_xlpm.data,(_xlpm.states="New Jersey")+(_xlpm.states="M&amp;A"))))</f>
        <v>593750.29865590285</v>
      </c>
      <c r="N49" s="12" cm="1">
        <f t="array" ref="N49">_xlfn.LET(_xlpm.data,_xlfn.VSTACK('MS:NCA9'!N49),_xlpm.states,_xlfn.VSTACK('MS:NCA9'!$B$2),
SUM(_xlfn._xlws.FILTER(_xlpm.data,(_xlpm.states="New Jersey")+(_xlpm.states="M&amp;A"))))</f>
        <v>623019.74534362706</v>
      </c>
      <c r="O49" s="12" cm="1">
        <f t="array" ref="O49">_xlfn.LET(_xlpm.data,_xlfn.VSTACK('MS:NCA9'!O49),_xlpm.states,_xlfn.VSTACK('MS:NCA9'!$B$2),
SUM(_xlfn._xlws.FILTER(_xlpm.data,(_xlpm.states="New Jersey")+(_xlpm.states="M&amp;A"))))</f>
        <v>655217.96356165491</v>
      </c>
      <c r="P49" s="12" cm="1">
        <f t="array" ref="P49">_xlfn.LET(_xlpm.data,_xlfn.VSTACK('MS:NCA9'!P49),_xlpm.states,_xlfn.VSTACK('MS:NCA9'!$B$2),
SUM(_xlfn._xlws.FILTER(_xlpm.data,(_xlpm.states="New Jersey")+(_xlpm.states="M&amp;A"))))</f>
        <v>684070.45386684372</v>
      </c>
      <c r="Q49" s="12">
        <f>SUM('MDA1:NCA9'!Q49)</f>
        <v>1235366.2997663692</v>
      </c>
      <c r="R49" s="12">
        <f>SUM('MDA1:NCA9'!R49)</f>
        <v>1254440.3988459557</v>
      </c>
      <c r="S49" s="12">
        <f>SUM('MDA1:NCA9'!S49)</f>
        <v>1274945.055356513</v>
      </c>
      <c r="T49" s="12">
        <f>SUM('MDA1:NCA9'!T49)</f>
        <v>1295926.564344058</v>
      </c>
      <c r="U49" s="12">
        <f>SUM('MDA1:NCA9'!U49)</f>
        <v>1313093.2535156868</v>
      </c>
      <c r="V49" s="12">
        <f>SUM('MDA1:NCA9'!V49)</f>
        <v>1329306.2377333359</v>
      </c>
      <c r="W49" s="12">
        <f>SUM('MDA1:NCA9'!W49)</f>
        <v>1347903.4843359338</v>
      </c>
      <c r="X49" s="12">
        <f>SUM('MDA1:NCA9'!X49)</f>
        <v>1366977.5834155208</v>
      </c>
      <c r="Y49" s="12">
        <f>SUM('MDA1:NCA9'!Y49)</f>
        <v>1383190.5676331706</v>
      </c>
      <c r="Z49" s="12">
        <f>SUM('MDA1:NCA9'!Z49)</f>
        <v>1401310.9617587775</v>
      </c>
      <c r="AA49" s="12">
        <f>SUM('MDA1:NCA9'!AA49)</f>
        <v>1419431.3558843846</v>
      </c>
      <c r="AB49" s="12">
        <f>SUM('MDA1:NCA9'!AB49)</f>
        <v>1436121.1925790235</v>
      </c>
      <c r="AC49" s="12">
        <f>SUM('MDA1:NCA9'!AC49)</f>
        <v>1582735.3219456479</v>
      </c>
      <c r="AD49" s="12">
        <f>SUM('MDA1:NCA9'!AD49)</f>
        <v>1599475.0597558618</v>
      </c>
      <c r="AE49" s="12">
        <f>SUM('MDA1:NCA9'!AE49)</f>
        <v>1615168.5639529373</v>
      </c>
      <c r="AF49" s="12">
        <f>SUM('MDA1:NCA9'!AF49)</f>
        <v>1629815.8345368737</v>
      </c>
      <c r="AG49" s="12">
        <f>SUM('MDA1:NCA9'!AG49)</f>
        <v>1643416.8715076724</v>
      </c>
      <c r="AH49" s="12">
        <f>SUM('MDA1:NCA9'!AH49)</f>
        <v>1660156.6093178864</v>
      </c>
      <c r="AI49" s="12">
        <f>SUM('MDA1:NCA9'!AI49)</f>
        <v>1680035.0479675143</v>
      </c>
      <c r="AJ49" s="12">
        <f>SUM('MDA1:NCA9'!AJ49)</f>
        <v>1699390.3698105738</v>
      </c>
      <c r="AK49" s="12">
        <f>SUM('MDA1:NCA9'!AK49)</f>
        <v>1718222.5748470637</v>
      </c>
      <c r="AL49" s="12">
        <f>SUM('MDA1:NCA9'!AL49)</f>
        <v>1736008.5462704173</v>
      </c>
      <c r="AM49" s="12">
        <f>SUM('MDA1:NCA9'!AM49)</f>
        <v>1755886.9849200454</v>
      </c>
      <c r="AN49" s="12">
        <f>SUM('MDA1:NCA9'!AN49)</f>
        <v>1774196.073149967</v>
      </c>
    </row>
    <row r="50" spans="2:40" x14ac:dyDescent="0.25">
      <c r="B50" s="1" t="s">
        <v>272</v>
      </c>
      <c r="E50" s="13">
        <f>SUM(E40:E49)</f>
        <v>1581717.5366221778</v>
      </c>
      <c r="F50" s="13">
        <f t="shared" ref="F50:AN50" si="1">SUM(F40:F49)</f>
        <v>1886827.8347147503</v>
      </c>
      <c r="G50" s="13">
        <f t="shared" si="1"/>
        <v>2355990.4543262883</v>
      </c>
      <c r="H50" s="13">
        <f t="shared" si="1"/>
        <v>2971031.4675192884</v>
      </c>
      <c r="I50" s="13">
        <f t="shared" si="1"/>
        <v>3631263.9156621811</v>
      </c>
      <c r="J50" s="13">
        <f t="shared" si="1"/>
        <v>3962467.751819062</v>
      </c>
      <c r="K50" s="13">
        <f t="shared" si="1"/>
        <v>4356399.7672607591</v>
      </c>
      <c r="L50" s="13">
        <f t="shared" si="1"/>
        <v>4400788.5849297913</v>
      </c>
      <c r="M50" s="13">
        <f t="shared" si="1"/>
        <v>4825766.4388062479</v>
      </c>
      <c r="N50" s="13">
        <f t="shared" si="1"/>
        <v>5008578.9191706646</v>
      </c>
      <c r="O50" s="13">
        <f t="shared" si="1"/>
        <v>5436173.6030048989</v>
      </c>
      <c r="P50" s="13">
        <f t="shared" si="1"/>
        <v>5793550.9639306953</v>
      </c>
      <c r="Q50" s="13">
        <f t="shared" si="1"/>
        <v>6776413.8350646086</v>
      </c>
      <c r="R50" s="13">
        <f t="shared" si="1"/>
        <v>6887556.8061849596</v>
      </c>
      <c r="S50" s="13">
        <f t="shared" si="1"/>
        <v>7237843.2421215922</v>
      </c>
      <c r="T50" s="13">
        <f t="shared" si="1"/>
        <v>7513816.3931873282</v>
      </c>
      <c r="U50" s="13">
        <f t="shared" si="1"/>
        <v>7977546.7517453106</v>
      </c>
      <c r="V50" s="13">
        <f t="shared" si="1"/>
        <v>8209317.3810447697</v>
      </c>
      <c r="W50" s="13">
        <f t="shared" si="1"/>
        <v>8296693.5229084194</v>
      </c>
      <c r="X50" s="13">
        <f t="shared" si="1"/>
        <v>8693081.5092784315</v>
      </c>
      <c r="Y50" s="13">
        <f t="shared" si="1"/>
        <v>9084926.1104561035</v>
      </c>
      <c r="Z50" s="13">
        <f t="shared" si="1"/>
        <v>9319280.3028787076</v>
      </c>
      <c r="AA50" s="13">
        <f t="shared" si="1"/>
        <v>9465373.0002609249</v>
      </c>
      <c r="AB50" s="13">
        <f t="shared" si="1"/>
        <v>9760114.8082392588</v>
      </c>
      <c r="AC50" s="13">
        <f t="shared" si="1"/>
        <v>10866645.630166911</v>
      </c>
      <c r="AD50" s="13">
        <f t="shared" si="1"/>
        <v>11080039.896314804</v>
      </c>
      <c r="AE50" s="13">
        <f t="shared" si="1"/>
        <v>11297263.398888148</v>
      </c>
      <c r="AF50" s="13">
        <f t="shared" si="1"/>
        <v>11738498.755298782</v>
      </c>
      <c r="AG50" s="13">
        <f t="shared" si="1"/>
        <v>11838560.562925182</v>
      </c>
      <c r="AH50" s="13">
        <f t="shared" si="1"/>
        <v>12192322.474875296</v>
      </c>
      <c r="AI50" s="13">
        <f t="shared" si="1"/>
        <v>12555112.338387616</v>
      </c>
      <c r="AJ50" s="13">
        <f t="shared" si="1"/>
        <v>12899676.484996751</v>
      </c>
      <c r="AK50" s="13">
        <f t="shared" si="1"/>
        <v>13244153.098851224</v>
      </c>
      <c r="AL50" s="13">
        <f t="shared" si="1"/>
        <v>13429336.327592514</v>
      </c>
      <c r="AM50" s="13">
        <f t="shared" si="1"/>
        <v>13777721.765295574</v>
      </c>
      <c r="AN50" s="13">
        <f t="shared" si="1"/>
        <v>14058838.329720523</v>
      </c>
    </row>
    <row r="51" spans="2:40" x14ac:dyDescent="0.25">
      <c r="B51" s="1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</row>
    <row r="52" spans="2:40" x14ac:dyDescent="0.25">
      <c r="B52" s="1" t="s">
        <v>48</v>
      </c>
      <c r="E52" s="74">
        <f>E37-E50</f>
        <v>-80652.236675511114</v>
      </c>
      <c r="F52" s="74">
        <f t="shared" ref="F52:AN52" si="2">F37-F50</f>
        <v>369343.12496524863</v>
      </c>
      <c r="G52" s="74">
        <f t="shared" si="2"/>
        <v>790590.37295371061</v>
      </c>
      <c r="H52" s="74">
        <f t="shared" si="2"/>
        <v>1116259.0810673772</v>
      </c>
      <c r="I52" s="74">
        <f t="shared" si="2"/>
        <v>1300226.489057817</v>
      </c>
      <c r="J52" s="74">
        <f t="shared" si="2"/>
        <v>1829671.2431676043</v>
      </c>
      <c r="K52" s="74">
        <f t="shared" si="2"/>
        <v>1809121.2324725725</v>
      </c>
      <c r="L52" s="74">
        <f t="shared" si="2"/>
        <v>2115009.413816873</v>
      </c>
      <c r="M52" s="74">
        <f t="shared" si="2"/>
        <v>2120220.4079670832</v>
      </c>
      <c r="N52" s="74">
        <f t="shared" si="2"/>
        <v>2533955.1054959996</v>
      </c>
      <c r="O52" s="74">
        <f t="shared" si="2"/>
        <v>2791346.708701768</v>
      </c>
      <c r="P52" s="74">
        <f t="shared" si="2"/>
        <v>3095850.6290826341</v>
      </c>
      <c r="Q52" s="74">
        <f t="shared" si="2"/>
        <v>1607394.6093995245</v>
      </c>
      <c r="R52" s="74">
        <f t="shared" si="2"/>
        <v>1964778.2485954938</v>
      </c>
      <c r="S52" s="74">
        <f t="shared" si="2"/>
        <v>2168952.0937474482</v>
      </c>
      <c r="T52" s="74">
        <f t="shared" si="2"/>
        <v>2431877.3749913825</v>
      </c>
      <c r="U52" s="74">
        <f t="shared" si="2"/>
        <v>2384902.912566076</v>
      </c>
      <c r="V52" s="74">
        <f t="shared" si="2"/>
        <v>2529512.1408807822</v>
      </c>
      <c r="W52" s="74">
        <f t="shared" si="2"/>
        <v>2937638.5792478044</v>
      </c>
      <c r="X52" s="74">
        <f t="shared" si="2"/>
        <v>3070180.1042243913</v>
      </c>
      <c r="Y52" s="74">
        <f t="shared" si="2"/>
        <v>3079622.6371415835</v>
      </c>
      <c r="Z52" s="74">
        <f t="shared" si="2"/>
        <v>3280439.9711285122</v>
      </c>
      <c r="AA52" s="74">
        <f t="shared" si="2"/>
        <v>3596620.6214614585</v>
      </c>
      <c r="AB52" s="74">
        <f t="shared" si="2"/>
        <v>3761581.7717639264</v>
      </c>
      <c r="AC52" s="74">
        <f t="shared" si="2"/>
        <v>3019811.18948479</v>
      </c>
      <c r="AD52" s="74">
        <f t="shared" si="2"/>
        <v>3188119.3591427505</v>
      </c>
      <c r="AE52" s="74">
        <f t="shared" si="2"/>
        <v>3341884.0023117084</v>
      </c>
      <c r="AF52" s="74">
        <f t="shared" si="2"/>
        <v>3259860.3959800806</v>
      </c>
      <c r="AG52" s="74">
        <f t="shared" si="2"/>
        <v>3472967.0900830664</v>
      </c>
      <c r="AH52" s="74">
        <f t="shared" si="2"/>
        <v>3532124.2440285496</v>
      </c>
      <c r="AI52" s="74">
        <f t="shared" si="2"/>
        <v>3638233.5267628022</v>
      </c>
      <c r="AJ52" s="74">
        <f t="shared" si="2"/>
        <v>3783198.4805138502</v>
      </c>
      <c r="AK52" s="74">
        <f t="shared" si="2"/>
        <v>3912974.9507393371</v>
      </c>
      <c r="AL52" s="74">
        <f t="shared" si="2"/>
        <v>4182092.4566482306</v>
      </c>
      <c r="AM52" s="74">
        <f t="shared" si="2"/>
        <v>4346830.7820324209</v>
      </c>
      <c r="AN52" s="74">
        <f t="shared" si="2"/>
        <v>4534100.9264819399</v>
      </c>
    </row>
    <row r="53" spans="2:40" x14ac:dyDescent="0.25">
      <c r="B53" s="1"/>
      <c r="E53" s="109">
        <f>IFERROR(E52/E37,"")</f>
        <v>-5.3729998740478985E-2</v>
      </c>
      <c r="F53" s="109">
        <f t="shared" ref="F53:AN53" si="3">IFERROR(F52/F37,"")</f>
        <v>0.1637035187340741</v>
      </c>
      <c r="G53" s="109">
        <f t="shared" si="3"/>
        <v>0.25125379462669684</v>
      </c>
      <c r="H53" s="109">
        <f t="shared" si="3"/>
        <v>0.2731049011070098</v>
      </c>
      <c r="I53" s="109">
        <f t="shared" si="3"/>
        <v>0.26365791725222709</v>
      </c>
      <c r="J53" s="109">
        <f t="shared" si="3"/>
        <v>0.31588869755219268</v>
      </c>
      <c r="K53" s="109">
        <f t="shared" si="3"/>
        <v>0.29342552438809627</v>
      </c>
      <c r="L53" s="109">
        <f t="shared" si="3"/>
        <v>0.32459714285551855</v>
      </c>
      <c r="M53" s="109">
        <f t="shared" si="3"/>
        <v>0.30524394225595236</v>
      </c>
      <c r="N53" s="109">
        <f t="shared" si="3"/>
        <v>0.33595540931059775</v>
      </c>
      <c r="O53" s="109">
        <f t="shared" si="3"/>
        <v>0.33926950076684137</v>
      </c>
      <c r="P53" s="109">
        <f t="shared" si="3"/>
        <v>0.34826310822944861</v>
      </c>
      <c r="Q53" s="109">
        <f t="shared" si="3"/>
        <v>0.19172606579064846</v>
      </c>
      <c r="R53" s="109">
        <f t="shared" si="3"/>
        <v>0.22195028051208601</v>
      </c>
      <c r="S53" s="109">
        <f t="shared" si="3"/>
        <v>0.23057290142978018</v>
      </c>
      <c r="T53" s="109">
        <f t="shared" si="3"/>
        <v>0.24451560963722654</v>
      </c>
      <c r="U53" s="109">
        <f t="shared" si="3"/>
        <v>0.23014856427045036</v>
      </c>
      <c r="V53" s="109">
        <f t="shared" si="3"/>
        <v>0.23554821647147461</v>
      </c>
      <c r="W53" s="109">
        <f t="shared" si="3"/>
        <v>0.2614876035829472</v>
      </c>
      <c r="X53" s="109">
        <f t="shared" si="3"/>
        <v>0.26099734963814714</v>
      </c>
      <c r="Y53" s="109">
        <f t="shared" si="3"/>
        <v>0.2531637384206103</v>
      </c>
      <c r="Z53" s="109">
        <f t="shared" si="3"/>
        <v>0.26035815873594786</v>
      </c>
      <c r="AA53" s="109">
        <f t="shared" si="3"/>
        <v>0.27535005188489753</v>
      </c>
      <c r="AB53" s="109">
        <f t="shared" si="3"/>
        <v>0.27818859486366615</v>
      </c>
      <c r="AC53" s="109">
        <f t="shared" si="3"/>
        <v>0.21746448562827367</v>
      </c>
      <c r="AD53" s="109">
        <f t="shared" si="3"/>
        <v>0.22344293346202304</v>
      </c>
      <c r="AE53" s="109">
        <f t="shared" si="3"/>
        <v>0.22828405990623471</v>
      </c>
      <c r="AF53" s="109">
        <f t="shared" si="3"/>
        <v>0.21734780205620843</v>
      </c>
      <c r="AG53" s="109">
        <f t="shared" si="3"/>
        <v>0.22682041719075197</v>
      </c>
      <c r="AH53" s="109">
        <f t="shared" si="3"/>
        <v>0.22462629732989262</v>
      </c>
      <c r="AI53" s="109">
        <f t="shared" si="3"/>
        <v>0.22467460134922568</v>
      </c>
      <c r="AJ53" s="109">
        <f t="shared" si="3"/>
        <v>0.22677137413875359</v>
      </c>
      <c r="AK53" s="109">
        <f t="shared" si="3"/>
        <v>0.22806701328039086</v>
      </c>
      <c r="AL53" s="109">
        <f t="shared" si="3"/>
        <v>0.23746468886104785</v>
      </c>
      <c r="AM53" s="109">
        <f t="shared" si="3"/>
        <v>0.23983106731499701</v>
      </c>
      <c r="AN53" s="109">
        <f t="shared" si="3"/>
        <v>0.24386143922722697</v>
      </c>
    </row>
    <row r="54" spans="2:40" x14ac:dyDescent="0.25">
      <c r="B54" s="39" t="s">
        <v>296</v>
      </c>
      <c r="C54" s="12">
        <v>53455.242566182867</v>
      </c>
      <c r="E54" s="67">
        <f>E67*_xlfn.XLOOKUP(YEAR($E$25),Base!$BJ$4:$BL$4,Base!$BJ$276:$BL$276,0,0)/12</f>
        <v>49905.143424040725</v>
      </c>
      <c r="F54" s="67">
        <f>F67*_xlfn.XLOOKUP(YEAR($E$25),Base!$BJ$4:$BL$4,Base!$BJ$276:$BL$276,0,0)/12</f>
        <v>60430.619125709687</v>
      </c>
      <c r="G54" s="67">
        <f>G67*_xlfn.XLOOKUP(YEAR($E$25),Base!$BJ$4:$BL$4,Base!$BJ$276:$BL$276,0,0)/12</f>
        <v>68583.789819127691</v>
      </c>
      <c r="H54" s="67">
        <f>H67*_xlfn.XLOOKUP(YEAR($E$25),Base!$BJ$4:$BL$4,Base!$BJ$276:$BL$276,0,0)/12</f>
        <v>72238.691386253849</v>
      </c>
      <c r="I54" s="67">
        <f>I67*_xlfn.XLOOKUP(YEAR($E$25),Base!$BJ$4:$BL$4,Base!$BJ$276:$BL$276,0,0)/12</f>
        <v>77618.10814030515</v>
      </c>
      <c r="J54" s="67">
        <f>J67*_xlfn.XLOOKUP(YEAR($E$25),Base!$BJ$4:$BL$4,Base!$BJ$276:$BL$276,0,0)/12</f>
        <v>79258.392509408412</v>
      </c>
      <c r="K54" s="67">
        <f>K67*_xlfn.XLOOKUP(YEAR($E$25),Base!$BJ$4:$BL$4,Base!$BJ$276:$BL$276,0,0)/12</f>
        <v>80269.529348466953</v>
      </c>
      <c r="L54" s="67">
        <f>L67*_xlfn.XLOOKUP(YEAR($E$25),Base!$BJ$4:$BL$4,Base!$BJ$276:$BL$276,0,0)/12</f>
        <v>78748.300249129956</v>
      </c>
      <c r="M54" s="67">
        <f>M67*_xlfn.XLOOKUP(YEAR($E$25),Base!$BJ$4:$BL$4,Base!$BJ$276:$BL$276,0,0)/12</f>
        <v>78366.23549634892</v>
      </c>
      <c r="N54" s="67">
        <f>N67*_xlfn.XLOOKUP(YEAR($E$25),Base!$BJ$4:$BL$4,Base!$BJ$276:$BL$276,0,0)/12</f>
        <v>75132.289974278421</v>
      </c>
      <c r="O54" s="67">
        <f>O67*_xlfn.XLOOKUP(YEAR($E$25),Base!$BJ$4:$BL$4,Base!$BJ$276:$BL$276,0,0)/12</f>
        <v>67665.965985285715</v>
      </c>
      <c r="P54" s="67">
        <f>P67*_xlfn.XLOOKUP(YEAR($E$25),Base!$BJ$4:$BL$4,Base!$BJ$276:$BL$276,0,0)/12</f>
        <v>57610.372292737848</v>
      </c>
      <c r="Q54" s="67">
        <f>Q67*_xlfn.XLOOKUP(YEAR($E$25),Base!$BJ$4:$BL$4,Base!$BJ$276:$BL$276,0,0)/12</f>
        <v>84460.660755140605</v>
      </c>
      <c r="R54" s="67">
        <f>R67*_xlfn.XLOOKUP(YEAR($E$25),Base!$BJ$4:$BL$4,Base!$BJ$276:$BL$276,0,0)/12</f>
        <v>83264.143865935344</v>
      </c>
      <c r="S54" s="67">
        <f>S67*_xlfn.XLOOKUP(YEAR($E$25),Base!$BJ$4:$BL$4,Base!$BJ$276:$BL$276,0,0)/12</f>
        <v>79049.275573573352</v>
      </c>
      <c r="T54" s="67">
        <f>T67*_xlfn.XLOOKUP(YEAR($E$25),Base!$BJ$4:$BL$4,Base!$BJ$276:$BL$276,0,0)/12</f>
        <v>72363.180156904331</v>
      </c>
      <c r="U54" s="67">
        <f>U67*_xlfn.XLOOKUP(YEAR($E$25),Base!$BJ$4:$BL$4,Base!$BJ$276:$BL$276,0,0)/12</f>
        <v>69287.66983068407</v>
      </c>
      <c r="V54" s="67">
        <f>V67*_xlfn.XLOOKUP(YEAR($E$25),Base!$BJ$4:$BL$4,Base!$BJ$276:$BL$276,0,0)/12</f>
        <v>68681.111856191725</v>
      </c>
      <c r="W54" s="67">
        <f>W67*_xlfn.XLOOKUP(YEAR($E$25),Base!$BJ$4:$BL$4,Base!$BJ$276:$BL$276,0,0)/12</f>
        <v>63496.345107918773</v>
      </c>
      <c r="X54" s="67">
        <f>X67*_xlfn.XLOOKUP(YEAR($E$25),Base!$BJ$4:$BL$4,Base!$BJ$276:$BL$276,0,0)/12</f>
        <v>57173.682036840182</v>
      </c>
      <c r="Y54" s="67">
        <f>Y67*_xlfn.XLOOKUP(YEAR($E$25),Base!$BJ$4:$BL$4,Base!$BJ$276:$BL$276,0,0)/12</f>
        <v>53069.864760546894</v>
      </c>
      <c r="Z54" s="67">
        <f>Z67*_xlfn.XLOOKUP(YEAR($E$25),Base!$BJ$4:$BL$4,Base!$BJ$276:$BL$276,0,0)/12</f>
        <v>50604.677128419913</v>
      </c>
      <c r="AA54" s="67">
        <f>AA67*_xlfn.XLOOKUP(YEAR($E$25),Base!$BJ$4:$BL$4,Base!$BJ$276:$BL$276,0,0)/12</f>
        <v>44483.931280894612</v>
      </c>
      <c r="AB54" s="67">
        <f>AB67*_xlfn.XLOOKUP(YEAR($E$25),Base!$BJ$4:$BL$4,Base!$BJ$276:$BL$276,0,0)/12</f>
        <v>34228.323970433128</v>
      </c>
      <c r="AC54" s="67">
        <f>AC67*_xlfn.XLOOKUP(YEAR($E$25),Base!$BJ$4:$BL$4,Base!$BJ$276:$BL$276,0,0)/12</f>
        <v>29967.226199426648</v>
      </c>
      <c r="AD54" s="67">
        <f>AD67*_xlfn.XLOOKUP(YEAR($E$25),Base!$BJ$4:$BL$4,Base!$BJ$276:$BL$276,0,0)/12</f>
        <v>25469.740922331301</v>
      </c>
      <c r="AE54" s="67">
        <f>AE67*_xlfn.XLOOKUP(YEAR($E$25),Base!$BJ$4:$BL$4,Base!$BJ$276:$BL$276,0,0)/12</f>
        <v>19133.115779705106</v>
      </c>
      <c r="AF54" s="67">
        <f>AF67*_xlfn.XLOOKUP(YEAR($E$25),Base!$BJ$4:$BL$4,Base!$BJ$276:$BL$276,0,0)/12</f>
        <v>13120.902141383629</v>
      </c>
      <c r="AG54" s="67">
        <f>AG67*_xlfn.XLOOKUP(YEAR($E$25),Base!$BJ$4:$BL$4,Base!$BJ$276:$BL$276,0,0)/12</f>
        <v>6675.9999846979554</v>
      </c>
      <c r="AH54" s="67">
        <f>AH67*_xlfn.XLOOKUP(YEAR($E$25),Base!$BJ$4:$BL$4,Base!$BJ$276:$BL$276,0,0)/12</f>
        <v>1891.223186340555</v>
      </c>
      <c r="AI54" s="67">
        <f>AI67*_xlfn.XLOOKUP(YEAR($E$25),Base!$BJ$4:$BL$4,Base!$BJ$276:$BL$276,0,0)/12</f>
        <v>0</v>
      </c>
      <c r="AJ54" s="67">
        <f>AJ67*_xlfn.XLOOKUP(YEAR($E$25),Base!$BJ$4:$BL$4,Base!$BJ$276:$BL$276,0,0)/12</f>
        <v>0</v>
      </c>
      <c r="AK54" s="67">
        <f>AK67*_xlfn.XLOOKUP(YEAR($E$25),Base!$BJ$4:$BL$4,Base!$BJ$276:$BL$276,0,0)/12</f>
        <v>0</v>
      </c>
      <c r="AL54" s="67">
        <f>AL67*_xlfn.XLOOKUP(YEAR($E$25),Base!$BJ$4:$BL$4,Base!$BJ$276:$BL$276,0,0)/12</f>
        <v>0</v>
      </c>
      <c r="AM54" s="67">
        <f>AM67*_xlfn.XLOOKUP(YEAR($E$25),Base!$BJ$4:$BL$4,Base!$BJ$276:$BL$276,0,0)/12</f>
        <v>0</v>
      </c>
      <c r="AN54" s="67">
        <f>AN67*_xlfn.XLOOKUP(YEAR($E$25),Base!$BJ$4:$BL$4,Base!$BJ$276:$BL$276,0,0)/12</f>
        <v>0</v>
      </c>
    </row>
    <row r="55" spans="2:40" x14ac:dyDescent="0.25">
      <c r="B55" s="39"/>
      <c r="C55" s="12"/>
      <c r="E55" s="67"/>
      <c r="F55" s="67"/>
      <c r="G55" s="67"/>
      <c r="H55" s="67"/>
      <c r="I55" s="67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  <c r="AA55" s="67"/>
      <c r="AB55" s="67"/>
      <c r="AC55" s="67"/>
      <c r="AD55" s="67"/>
      <c r="AE55" s="67"/>
      <c r="AF55" s="67"/>
      <c r="AG55" s="67"/>
      <c r="AH55" s="67"/>
      <c r="AI55" s="67"/>
      <c r="AJ55" s="67"/>
      <c r="AK55" s="67"/>
      <c r="AL55" s="67"/>
      <c r="AM55" s="67"/>
      <c r="AN55" s="67"/>
    </row>
    <row r="56" spans="2:40" x14ac:dyDescent="0.25">
      <c r="B56" s="1" t="s">
        <v>274</v>
      </c>
      <c r="E56" s="74">
        <f t="shared" ref="E56:AN56" si="4">E52-E54</f>
        <v>-130557.38009955184</v>
      </c>
      <c r="F56" s="74">
        <f t="shared" si="4"/>
        <v>308912.50583953894</v>
      </c>
      <c r="G56" s="74">
        <f t="shared" si="4"/>
        <v>722006.58313458296</v>
      </c>
      <c r="H56" s="74">
        <f t="shared" si="4"/>
        <v>1044020.3896811234</v>
      </c>
      <c r="I56" s="74">
        <f t="shared" si="4"/>
        <v>1222608.3809175119</v>
      </c>
      <c r="J56" s="74">
        <f t="shared" si="4"/>
        <v>1750412.850658196</v>
      </c>
      <c r="K56" s="74">
        <f t="shared" si="4"/>
        <v>1728851.7031241055</v>
      </c>
      <c r="L56" s="74">
        <f t="shared" si="4"/>
        <v>2036261.113567743</v>
      </c>
      <c r="M56" s="74">
        <f t="shared" si="4"/>
        <v>2041854.1724707342</v>
      </c>
      <c r="N56" s="74">
        <f t="shared" si="4"/>
        <v>2458822.8155217213</v>
      </c>
      <c r="O56" s="74">
        <f t="shared" si="4"/>
        <v>2723680.7427164824</v>
      </c>
      <c r="P56" s="74">
        <f t="shared" si="4"/>
        <v>3038240.2567898962</v>
      </c>
      <c r="Q56" s="74">
        <f t="shared" si="4"/>
        <v>1522933.9486443838</v>
      </c>
      <c r="R56" s="74">
        <f t="shared" si="4"/>
        <v>1881514.1047295586</v>
      </c>
      <c r="S56" s="74">
        <f t="shared" si="4"/>
        <v>2089902.8181738749</v>
      </c>
      <c r="T56" s="74">
        <f t="shared" si="4"/>
        <v>2359514.1948344782</v>
      </c>
      <c r="U56" s="74">
        <f t="shared" si="4"/>
        <v>2315615.2427353919</v>
      </c>
      <c r="V56" s="74">
        <f t="shared" si="4"/>
        <v>2460831.0290245903</v>
      </c>
      <c r="W56" s="74">
        <f t="shared" si="4"/>
        <v>2874142.2341398858</v>
      </c>
      <c r="X56" s="74">
        <f t="shared" si="4"/>
        <v>3013006.4221875509</v>
      </c>
      <c r="Y56" s="74">
        <f t="shared" si="4"/>
        <v>3026552.7723810365</v>
      </c>
      <c r="Z56" s="74">
        <f t="shared" si="4"/>
        <v>3229835.2940000924</v>
      </c>
      <c r="AA56" s="74">
        <f t="shared" si="4"/>
        <v>3552136.6901805638</v>
      </c>
      <c r="AB56" s="74">
        <f t="shared" si="4"/>
        <v>3727353.447793493</v>
      </c>
      <c r="AC56" s="74">
        <f t="shared" si="4"/>
        <v>2989843.9632853633</v>
      </c>
      <c r="AD56" s="74">
        <f t="shared" si="4"/>
        <v>3162649.6182204192</v>
      </c>
      <c r="AE56" s="74">
        <f t="shared" si="4"/>
        <v>3322750.8865320035</v>
      </c>
      <c r="AF56" s="74">
        <f t="shared" si="4"/>
        <v>3246739.4938386967</v>
      </c>
      <c r="AG56" s="74">
        <f t="shared" si="4"/>
        <v>3466291.0900983685</v>
      </c>
      <c r="AH56" s="74">
        <f t="shared" si="4"/>
        <v>3530233.020842209</v>
      </c>
      <c r="AI56" s="74">
        <f t="shared" si="4"/>
        <v>3638233.5267628022</v>
      </c>
      <c r="AJ56" s="74">
        <f t="shared" si="4"/>
        <v>3783198.4805138502</v>
      </c>
      <c r="AK56" s="74">
        <f t="shared" si="4"/>
        <v>3912974.9507393371</v>
      </c>
      <c r="AL56" s="74">
        <f t="shared" si="4"/>
        <v>4182092.4566482306</v>
      </c>
      <c r="AM56" s="74">
        <f t="shared" si="4"/>
        <v>4346830.7820324209</v>
      </c>
      <c r="AN56" s="74">
        <f t="shared" si="4"/>
        <v>4534100.9264819399</v>
      </c>
    </row>
    <row r="57" spans="2:40" x14ac:dyDescent="0.25">
      <c r="B57" s="1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</row>
    <row r="58" spans="2:40" x14ac:dyDescent="0.25">
      <c r="B58" t="s">
        <v>57</v>
      </c>
      <c r="C58" s="12">
        <f>SUM('MDA1:NCA9'!C55)</f>
        <v>33374520</v>
      </c>
      <c r="D58" s="12">
        <f>SUM('MDA1:NCA9'!D55)</f>
        <v>4444740</v>
      </c>
      <c r="E58" s="12">
        <f>SUM('MDA1:NCA9'!E55)</f>
        <v>945666.66666666663</v>
      </c>
      <c r="F58" s="12">
        <f>SUM('MDA1:NCA9'!F55)</f>
        <v>1180833.3333333333</v>
      </c>
      <c r="G58" s="12">
        <f>SUM('MDA1:NCA9'!G55)</f>
        <v>1180833.3333333333</v>
      </c>
      <c r="H58" s="12">
        <f>SUM('MDA1:NCA9'!H55)</f>
        <v>838306.66666666663</v>
      </c>
      <c r="I58" s="12">
        <f>SUM('MDA1:NCA9'!I55)</f>
        <v>1204613.3333333333</v>
      </c>
      <c r="J58" s="12">
        <f>SUM('MDA1:NCA9'!J55)</f>
        <v>1204613.3333333333</v>
      </c>
      <c r="K58" s="12">
        <f>SUM('MDA1:NCA9'!K55)</f>
        <v>967780</v>
      </c>
      <c r="L58" s="12">
        <f>SUM('MDA1:NCA9'!L55)</f>
        <v>883819.99999999988</v>
      </c>
      <c r="M58" s="12">
        <f>SUM('MDA1:NCA9'!M55)</f>
        <v>1118986.6666666667</v>
      </c>
      <c r="N58" s="12">
        <f>SUM('MDA1:NCA9'!N55)</f>
        <v>987846.66666666663</v>
      </c>
      <c r="O58" s="12">
        <f>SUM('MDA1:NCA9'!O55)</f>
        <v>621540</v>
      </c>
      <c r="P58" s="12">
        <f>SUM('MDA1:NCA9'!P55)</f>
        <v>621540</v>
      </c>
      <c r="Q58" s="12">
        <f>SUM('MDA1:NCA9'!Q55)</f>
        <v>621540</v>
      </c>
      <c r="R58" s="12">
        <f>SUM('MDA1:NCA9'!R55)</f>
        <v>470333.33333333331</v>
      </c>
      <c r="S58" s="12">
        <f>SUM('MDA1:NCA9'!S55)</f>
        <v>235166.66666666666</v>
      </c>
      <c r="T58" s="12">
        <f>SUM('MDA1:NCA9'!T55)</f>
        <v>235166.66666666666</v>
      </c>
      <c r="U58" s="12">
        <f>SUM('MDA1:NCA9'!U55)</f>
        <v>601473.33333333326</v>
      </c>
      <c r="V58" s="12">
        <f>SUM('MDA1:NCA9'!V55)</f>
        <v>967780</v>
      </c>
      <c r="W58" s="12">
        <f>SUM('MDA1:NCA9'!W55)</f>
        <v>732613.33333333326</v>
      </c>
      <c r="X58" s="12">
        <f>SUM('MDA1:NCA9'!X55)</f>
        <v>732613.33333333326</v>
      </c>
      <c r="Y58" s="12">
        <f>SUM('MDA1:NCA9'!Y55)</f>
        <v>967780</v>
      </c>
      <c r="Z58" s="12">
        <f>SUM('MDA1:NCA9'!Z55)</f>
        <v>1202946.6666666665</v>
      </c>
      <c r="AA58" s="12">
        <f>SUM('MDA1:NCA9'!AA55)</f>
        <v>836640</v>
      </c>
      <c r="AB58" s="12">
        <f>SUM('MDA1:NCA9'!AB55)</f>
        <v>470333.33333333331</v>
      </c>
      <c r="AC58" s="12">
        <f>SUM('MDA1:NCA9'!AC55)</f>
        <v>470333.33333333331</v>
      </c>
      <c r="AD58" s="12">
        <f>SUM('MDA1:NCA9'!AD55)</f>
        <v>470333.33333333331</v>
      </c>
      <c r="AE58" s="12">
        <f>SUM('MDA1:NCA9'!AE55)</f>
        <v>235166.66666666666</v>
      </c>
      <c r="AF58" s="12">
        <f>SUM('MDA1:NCA9'!AF55)</f>
        <v>262280</v>
      </c>
      <c r="AG58" s="12">
        <f>SUM('MDA1:NCA9'!AG55)</f>
        <v>497446.66666666663</v>
      </c>
      <c r="AH58" s="12">
        <f>SUM('MDA1:NCA9'!AH55)</f>
        <v>732613.33333333326</v>
      </c>
      <c r="AI58" s="12">
        <f>SUM('MDA1:NCA9'!AI55)</f>
        <v>967780</v>
      </c>
      <c r="AJ58" s="12">
        <f>SUM('MDA1:NCA9'!AJ55)</f>
        <v>1202946.6666666665</v>
      </c>
      <c r="AK58" s="12">
        <f>SUM('MDA1:NCA9'!AK55)</f>
        <v>1438113.3333333333</v>
      </c>
      <c r="AL58" s="12">
        <f>SUM('MDA1:NCA9'!AL55)</f>
        <v>1175833.3333333333</v>
      </c>
      <c r="AM58" s="12">
        <f>SUM('MDA1:NCA9'!AM55)</f>
        <v>940666.66666666663</v>
      </c>
      <c r="AN58" s="12">
        <f>SUM('MDA1:NCA9'!AN55)</f>
        <v>705500</v>
      </c>
    </row>
    <row r="59" spans="2:40" x14ac:dyDescent="0.25">
      <c r="B59" t="s">
        <v>469</v>
      </c>
      <c r="E59" s="12">
        <f>SUM('MDA1:NCA9'!E56)</f>
        <v>-557962.8872970693</v>
      </c>
      <c r="F59" s="12">
        <f>SUM('MDA1:NCA9'!F56)</f>
        <v>-542001.40843040263</v>
      </c>
      <c r="G59" s="12">
        <f>SUM('MDA1:NCA9'!G56)</f>
        <v>-636415.84628373594</v>
      </c>
      <c r="H59" s="12">
        <f>SUM('MDA1:NCA9'!H56)</f>
        <v>-696688.83353173581</v>
      </c>
      <c r="I59" s="12">
        <f>SUM('MDA1:NCA9'!I56)</f>
        <v>-740630.03154506919</v>
      </c>
      <c r="J59" s="12">
        <f>SUM('MDA1:NCA9'!J56)</f>
        <v>-766144.3842410692</v>
      </c>
      <c r="K59" s="12">
        <f>SUM('MDA1:NCA9'!K56)</f>
        <v>-896901.08517096832</v>
      </c>
      <c r="L59" s="12">
        <f>SUM('MDA1:NCA9'!L56)</f>
        <v>-948089.33789014095</v>
      </c>
      <c r="M59" s="12">
        <f>SUM('MDA1:NCA9'!M56)</f>
        <v>-871543.47401381307</v>
      </c>
      <c r="N59" s="12">
        <f>SUM('MDA1:NCA9'!N56)</f>
        <v>-1036549.4670569168</v>
      </c>
      <c r="O59" s="12">
        <f>SUM('MDA1:NCA9'!O56)</f>
        <v>-1099164.553528463</v>
      </c>
      <c r="P59" s="12">
        <f>SUM('MDA1:NCA9'!P56)</f>
        <v>-1065898.8374242999</v>
      </c>
      <c r="Q59" s="12">
        <f>SUM('MDA1:NCA9'!Q56)</f>
        <v>-1108282.6987604888</v>
      </c>
      <c r="R59" s="12">
        <f>SUM('MDA1:NCA9'!R56)</f>
        <v>-1250448.6692796517</v>
      </c>
      <c r="S59" s="12">
        <f>SUM('MDA1:NCA9'!S56)</f>
        <v>-1288538.8442332458</v>
      </c>
      <c r="T59" s="12">
        <f>SUM('MDA1:NCA9'!T56)</f>
        <v>-1226182.0438619414</v>
      </c>
      <c r="U59" s="12">
        <f>SUM('MDA1:NCA9'!U56)</f>
        <v>-1300998.3555798025</v>
      </c>
      <c r="V59" s="12">
        <f>SUM('MDA1:NCA9'!V56)</f>
        <v>-1411570.0744511185</v>
      </c>
      <c r="W59" s="12">
        <f>SUM('MDA1:NCA9'!W56)</f>
        <v>-1445041.9009552174</v>
      </c>
      <c r="X59" s="12">
        <f>SUM('MDA1:NCA9'!X56)</f>
        <v>-1431048.6829726612</v>
      </c>
      <c r="Y59" s="12">
        <f>SUM('MDA1:NCA9'!Y56)</f>
        <v>-1507493.3182656388</v>
      </c>
      <c r="Z59" s="12">
        <f>SUM('MDA1:NCA9'!Z56)</f>
        <v>-1695731.7554177016</v>
      </c>
      <c r="AA59" s="12">
        <f>SUM('MDA1:NCA9'!AA56)</f>
        <v>-1893276.4979963324</v>
      </c>
      <c r="AB59" s="12">
        <f>SUM('MDA1:NCA9'!AB56)</f>
        <v>-1879350.1990881674</v>
      </c>
      <c r="AC59" s="12">
        <f>SUM('MDA1:NCA9'!AC56)</f>
        <v>-1947103.162713493</v>
      </c>
      <c r="AD59" s="12">
        <f>SUM('MDA1:NCA9'!AD56)</f>
        <v>-2088154.0959972769</v>
      </c>
      <c r="AE59" s="12">
        <f>SUM('MDA1:NCA9'!AE56)</f>
        <v>-2236364.242372551</v>
      </c>
      <c r="AF59" s="12">
        <f>SUM('MDA1:NCA9'!AF56)</f>
        <v>-2176818.7950908453</v>
      </c>
      <c r="AG59" s="12">
        <f>SUM('MDA1:NCA9'!AG56)</f>
        <v>-2103079.2337169265</v>
      </c>
      <c r="AH59" s="12">
        <f>SUM('MDA1:NCA9'!AH56)</f>
        <v>-2154864.670929532</v>
      </c>
      <c r="AI59" s="12">
        <f>SUM('MDA1:NCA9'!AI56)</f>
        <v>-2209191.4375657379</v>
      </c>
      <c r="AJ59" s="12">
        <f>SUM('MDA1:NCA9'!AJ56)</f>
        <v>-2173913.6061279951</v>
      </c>
      <c r="AK59" s="12">
        <f>SUM('MDA1:NCA9'!AK56)</f>
        <v>-2229234.1645202357</v>
      </c>
      <c r="AL59" s="12">
        <f>SUM('MDA1:NCA9'!AL56)</f>
        <v>-2366486.3564935462</v>
      </c>
      <c r="AM59" s="12">
        <f>SUM('MDA1:NCA9'!AM56)</f>
        <v>-2510822.7823724216</v>
      </c>
      <c r="AN59" s="12">
        <f>SUM('MDA1:NCA9'!AN56)</f>
        <v>-2665433.2613231037</v>
      </c>
    </row>
    <row r="60" spans="2:40" x14ac:dyDescent="0.25"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</row>
    <row r="61" spans="2:40" x14ac:dyDescent="0.25">
      <c r="B61" s="1" t="s">
        <v>468</v>
      </c>
      <c r="E61" s="13">
        <f>E37-E50-E58+E59</f>
        <v>-1584281.790639247</v>
      </c>
      <c r="F61" s="13">
        <f t="shared" ref="F61:AN61" si="5">F37-F50-F58+F59</f>
        <v>-1353491.6167984873</v>
      </c>
      <c r="G61" s="13">
        <f t="shared" si="5"/>
        <v>-1026658.8066633586</v>
      </c>
      <c r="H61" s="13">
        <f t="shared" si="5"/>
        <v>-418736.41913102521</v>
      </c>
      <c r="I61" s="13">
        <f t="shared" si="5"/>
        <v>-645016.87582058541</v>
      </c>
      <c r="J61" s="13">
        <f t="shared" si="5"/>
        <v>-141086.47440679814</v>
      </c>
      <c r="K61" s="13">
        <f t="shared" si="5"/>
        <v>-55559.852698395844</v>
      </c>
      <c r="L61" s="13">
        <f t="shared" si="5"/>
        <v>283100.07592673204</v>
      </c>
      <c r="M61" s="13">
        <f t="shared" si="5"/>
        <v>129690.26728660334</v>
      </c>
      <c r="N61" s="13">
        <f t="shared" si="5"/>
        <v>509558.97177241626</v>
      </c>
      <c r="O61" s="13">
        <f t="shared" si="5"/>
        <v>1070642.155173305</v>
      </c>
      <c r="P61" s="13">
        <f t="shared" si="5"/>
        <v>1408411.7916583342</v>
      </c>
      <c r="Q61" s="13">
        <f t="shared" si="5"/>
        <v>-122428.08936096425</v>
      </c>
      <c r="R61" s="13">
        <f t="shared" si="5"/>
        <v>243996.24598250887</v>
      </c>
      <c r="S61" s="13">
        <f t="shared" si="5"/>
        <v>645246.58284753561</v>
      </c>
      <c r="T61" s="13">
        <f t="shared" si="5"/>
        <v>970528.66446277453</v>
      </c>
      <c r="U61" s="13">
        <f t="shared" si="5"/>
        <v>482431.22365294024</v>
      </c>
      <c r="V61" s="13">
        <f t="shared" si="5"/>
        <v>150162.06642966368</v>
      </c>
      <c r="W61" s="13">
        <f t="shared" si="5"/>
        <v>759983.34495925391</v>
      </c>
      <c r="X61" s="13">
        <f t="shared" si="5"/>
        <v>906518.08791839704</v>
      </c>
      <c r="Y61" s="13">
        <f t="shared" si="5"/>
        <v>604349.31887594471</v>
      </c>
      <c r="Z61" s="13">
        <f t="shared" si="5"/>
        <v>381761.54904414411</v>
      </c>
      <c r="AA61" s="13">
        <f t="shared" si="5"/>
        <v>866704.12346512615</v>
      </c>
      <c r="AB61" s="13">
        <f t="shared" si="5"/>
        <v>1411898.2393424255</v>
      </c>
      <c r="AC61" s="13">
        <f t="shared" si="5"/>
        <v>602374.69343796349</v>
      </c>
      <c r="AD61" s="13">
        <f t="shared" si="5"/>
        <v>629631.92981214006</v>
      </c>
      <c r="AE61" s="13">
        <f t="shared" si="5"/>
        <v>870353.09327249089</v>
      </c>
      <c r="AF61" s="13">
        <f t="shared" si="5"/>
        <v>820761.60088923527</v>
      </c>
      <c r="AG61" s="13">
        <f t="shared" si="5"/>
        <v>872441.18969947333</v>
      </c>
      <c r="AH61" s="13">
        <f t="shared" si="5"/>
        <v>644646.23976568459</v>
      </c>
      <c r="AI61" s="13">
        <f t="shared" si="5"/>
        <v>461262.08919706428</v>
      </c>
      <c r="AJ61" s="13">
        <f t="shared" si="5"/>
        <v>406338.20771918865</v>
      </c>
      <c r="AK61" s="13">
        <f t="shared" si="5"/>
        <v>245627.45288576838</v>
      </c>
      <c r="AL61" s="13">
        <f t="shared" si="5"/>
        <v>639772.76682135137</v>
      </c>
      <c r="AM61" s="13">
        <f t="shared" si="5"/>
        <v>895341.33299333276</v>
      </c>
      <c r="AN61" s="13">
        <f t="shared" si="5"/>
        <v>1163167.6651588362</v>
      </c>
    </row>
    <row r="62" spans="2:40" x14ac:dyDescent="0.25">
      <c r="B62" t="s">
        <v>277</v>
      </c>
      <c r="E62" s="12" cm="1">
        <f t="array" ref="E62:AN62">_xlfn.SCAN(-D58,E61:AN61,_xlfn.LAMBDA(_xlpm.capex,_xlpm.fcf,_xlpm.capex+_xlpm.fcf))</f>
        <v>-6029021.7906392468</v>
      </c>
      <c r="F62" s="12">
        <v>-7382513.4074377343</v>
      </c>
      <c r="G62" s="12">
        <v>-8409172.2141010929</v>
      </c>
      <c r="H62" s="12">
        <v>-8827908.6332321186</v>
      </c>
      <c r="I62" s="12">
        <v>-9472925.5090527032</v>
      </c>
      <c r="J62" s="12">
        <v>-9614011.9834595006</v>
      </c>
      <c r="K62" s="12">
        <v>-9669571.8361578956</v>
      </c>
      <c r="L62" s="12">
        <v>-9386471.7602311634</v>
      </c>
      <c r="M62" s="12">
        <v>-9256781.4929445609</v>
      </c>
      <c r="N62" s="12">
        <v>-8747222.5211721454</v>
      </c>
      <c r="O62" s="12">
        <v>-7676580.36599884</v>
      </c>
      <c r="P62" s="12">
        <v>-6268168.5743405055</v>
      </c>
      <c r="Q62" s="12">
        <v>-6390596.66370147</v>
      </c>
      <c r="R62" s="12">
        <v>-6146600.4177189609</v>
      </c>
      <c r="S62" s="12">
        <v>-5501353.8348714253</v>
      </c>
      <c r="T62" s="12">
        <v>-4530825.1704086512</v>
      </c>
      <c r="U62" s="12">
        <v>-4048393.946755711</v>
      </c>
      <c r="V62" s="12">
        <v>-3898231.8803260475</v>
      </c>
      <c r="W62" s="12">
        <v>-3138248.5353667936</v>
      </c>
      <c r="X62" s="12">
        <v>-2231730.4474483966</v>
      </c>
      <c r="Y62" s="12">
        <v>-1627381.1285724519</v>
      </c>
      <c r="Z62" s="12">
        <v>-1245619.5795283078</v>
      </c>
      <c r="AA62" s="12">
        <v>-378915.45606318163</v>
      </c>
      <c r="AB62" s="12">
        <v>1032982.7832792439</v>
      </c>
      <c r="AC62" s="12">
        <v>1635357.4767172073</v>
      </c>
      <c r="AD62" s="12">
        <v>2264989.4065293474</v>
      </c>
      <c r="AE62" s="12">
        <v>3135342.4998018383</v>
      </c>
      <c r="AF62" s="12">
        <v>3956104.1006910736</v>
      </c>
      <c r="AG62" s="12">
        <v>4828545.2903905474</v>
      </c>
      <c r="AH62" s="12">
        <v>5473191.5301562324</v>
      </c>
      <c r="AI62" s="12">
        <v>5934453.6193532962</v>
      </c>
      <c r="AJ62" s="12">
        <v>6340791.8270724844</v>
      </c>
      <c r="AK62" s="12">
        <v>6586419.2799582528</v>
      </c>
      <c r="AL62" s="12">
        <v>7226192.0467796046</v>
      </c>
      <c r="AM62" s="12">
        <v>8121533.3797729369</v>
      </c>
      <c r="AN62" s="12">
        <v>9284701.0449317731</v>
      </c>
    </row>
    <row r="64" spans="2:40" x14ac:dyDescent="0.25">
      <c r="B64" s="1" t="s">
        <v>219</v>
      </c>
      <c r="C64" s="1" t="s">
        <v>287</v>
      </c>
    </row>
    <row r="65" spans="2:40" x14ac:dyDescent="0.25">
      <c r="B65" s="39" t="s">
        <v>288</v>
      </c>
      <c r="E65" s="67">
        <f>C67+C54</f>
        <v>4869737.3325661831</v>
      </c>
      <c r="F65" s="67">
        <f t="shared" ref="F65:AN65" si="6">E67+E54</f>
        <v>6703924.2666294705</v>
      </c>
      <c r="G65" s="67">
        <f t="shared" si="6"/>
        <v>8117846.5025536679</v>
      </c>
      <c r="H65" s="67">
        <f t="shared" si="6"/>
        <v>9213089.0990361534</v>
      </c>
      <c r="I65" s="67">
        <f t="shared" si="6"/>
        <v>9704064.2095534336</v>
      </c>
      <c r="J65" s="67">
        <f t="shared" si="6"/>
        <v>10426699.193514325</v>
      </c>
      <c r="K65" s="67">
        <f t="shared" si="6"/>
        <v>10647044.06043053</v>
      </c>
      <c r="L65" s="67">
        <f t="shared" si="6"/>
        <v>10782873.442477394</v>
      </c>
      <c r="M65" s="67">
        <f t="shared" si="6"/>
        <v>10578521.666799791</v>
      </c>
      <c r="N65" s="67">
        <f t="shared" si="6"/>
        <v>10527197.635009538</v>
      </c>
      <c r="O65" s="67">
        <f t="shared" si="6"/>
        <v>10092770.953211401</v>
      </c>
      <c r="P65" s="67">
        <f t="shared" si="6"/>
        <v>9089794.7640233804</v>
      </c>
      <c r="Q65" s="67">
        <f t="shared" si="6"/>
        <v>7738993.3446577834</v>
      </c>
      <c r="R65" s="67">
        <f t="shared" si="6"/>
        <v>11345882.094773889</v>
      </c>
      <c r="S65" s="67">
        <f t="shared" si="6"/>
        <v>11185149.992657315</v>
      </c>
      <c r="T65" s="67">
        <f t="shared" si="6"/>
        <v>10618952.685383353</v>
      </c>
      <c r="U65" s="67">
        <f t="shared" si="6"/>
        <v>9720787.2010774836</v>
      </c>
      <c r="V65" s="67">
        <f t="shared" si="6"/>
        <v>9307643.647255227</v>
      </c>
      <c r="W65" s="67">
        <f t="shared" si="6"/>
        <v>9226162.6926817559</v>
      </c>
      <c r="X65" s="67">
        <f t="shared" si="6"/>
        <v>8529675.692830421</v>
      </c>
      <c r="Y65" s="67">
        <f t="shared" si="6"/>
        <v>7680331.2869488643</v>
      </c>
      <c r="Z65" s="67">
        <f t="shared" si="6"/>
        <v>7129051.8328334661</v>
      </c>
      <c r="AA65" s="67">
        <f t="shared" si="6"/>
        <v>6797894.960917742</v>
      </c>
      <c r="AB65" s="67">
        <f t="shared" si="6"/>
        <v>5975674.7687335098</v>
      </c>
      <c r="AC65" s="67">
        <f t="shared" si="6"/>
        <v>4598004.8533615172</v>
      </c>
      <c r="AD65" s="67">
        <f t="shared" si="6"/>
        <v>4025597.3861229802</v>
      </c>
      <c r="AE65" s="67">
        <f t="shared" si="6"/>
        <v>3421435.1972331717</v>
      </c>
      <c r="AF65" s="67">
        <f t="shared" si="6"/>
        <v>2570215.2197403857</v>
      </c>
      <c r="AG65" s="67">
        <f t="shared" si="6"/>
        <v>1762574.520992534</v>
      </c>
      <c r="AH65" s="67">
        <f t="shared" si="6"/>
        <v>896809.33127775858</v>
      </c>
      <c r="AI65" s="67">
        <f t="shared" si="6"/>
        <v>254054.31469841456</v>
      </c>
      <c r="AJ65" s="67">
        <f t="shared" si="6"/>
        <v>0</v>
      </c>
      <c r="AK65" s="67">
        <f t="shared" si="6"/>
        <v>0</v>
      </c>
      <c r="AL65" s="67">
        <f t="shared" si="6"/>
        <v>0</v>
      </c>
      <c r="AM65" s="67">
        <f t="shared" si="6"/>
        <v>0</v>
      </c>
      <c r="AN65" s="67">
        <f t="shared" si="6"/>
        <v>0</v>
      </c>
    </row>
    <row r="66" spans="2:40" x14ac:dyDescent="0.25">
      <c r="B66" s="39" t="s">
        <v>289</v>
      </c>
      <c r="C66" s="12"/>
      <c r="E66" s="67">
        <f>_xlfn.LET(_xlpm.fcf,E61,_xlpm.cash,C69,_xlpm.principal,E65,_xlpm.wc,_xlfn.XLOOKUP(YEAR(E$25),Base!$BJ$4:$BL$4,Base!$BJ$284:$BL$284,0,0),
IF(_xlpm.fcf&lt;0,MAX(0,_xlpm.wc-(_xlpm.cash+_xlpm.fcf)),-MIN(_xlpm.fcf,_xlpm.principal)+MAX(_xlpm.wc-_xlpm.cash,0)))</f>
        <v>1784281.790639247</v>
      </c>
      <c r="F66" s="67">
        <f>_xlfn.LET(_xlpm.fcf,F61,_xlpm.cash,E69,_xlpm.principal,F65,_xlpm.wc,_xlfn.XLOOKUP(YEAR(F$25),Base!$BJ$4:$BL$4,Base!$BJ$284:$BL$284,0,0),
IF(_xlpm.fcf&lt;0,MAX(0,_xlpm.wc-(_xlpm.cash+_xlpm.fcf)),-MIN(_xlpm.fcf,_xlpm.principal)+MAX(_xlpm.wc-_xlpm.cash,0)))</f>
        <v>1353491.6167984873</v>
      </c>
      <c r="G66" s="67">
        <f>_xlfn.LET(_xlpm.fcf,G61,_xlpm.cash,F69,_xlpm.principal,G65,_xlpm.wc,_xlfn.XLOOKUP(YEAR(G$25),Base!$BJ$4:$BL$4,Base!$BJ$284:$BL$284,0,0),
IF(_xlpm.fcf&lt;0,MAX(0,_xlpm.wc-(_xlpm.cash+_xlpm.fcf)),-MIN(_xlpm.fcf,_xlpm.principal)+MAX(_xlpm.wc-_xlpm.cash,0)))</f>
        <v>1026658.8066633586</v>
      </c>
      <c r="H66" s="67">
        <f>_xlfn.LET(_xlpm.fcf,H61,_xlpm.cash,G69,_xlpm.principal,H65,_xlpm.wc,_xlfn.XLOOKUP(YEAR(H$25),Base!$BJ$4:$BL$4,Base!$BJ$284:$BL$284,0,0),
IF(_xlpm.fcf&lt;0,MAX(0,_xlpm.wc-(_xlpm.cash+_xlpm.fcf)),-MIN(_xlpm.fcf,_xlpm.principal)+MAX(_xlpm.wc-_xlpm.cash,0)))</f>
        <v>418736.41913102521</v>
      </c>
      <c r="I66" s="67">
        <f>_xlfn.LET(_xlpm.fcf,I61,_xlpm.cash,H69,_xlpm.principal,I65,_xlpm.wc,_xlfn.XLOOKUP(YEAR(I$25),Base!$BJ$4:$BL$4,Base!$BJ$284:$BL$284,0,0),
IF(_xlpm.fcf&lt;0,MAX(0,_xlpm.wc-(_xlpm.cash+_xlpm.fcf)),-MIN(_xlpm.fcf,_xlpm.principal)+MAX(_xlpm.wc-_xlpm.cash,0)))</f>
        <v>645016.87582058553</v>
      </c>
      <c r="J66" s="67">
        <f>_xlfn.LET(_xlpm.fcf,J61,_xlpm.cash,I69,_xlpm.principal,J65,_xlpm.wc,_xlfn.XLOOKUP(YEAR(J$25),Base!$BJ$4:$BL$4,Base!$BJ$284:$BL$284,0,0),
IF(_xlpm.fcf&lt;0,MAX(0,_xlpm.wc-(_xlpm.cash+_xlpm.fcf)),-MIN(_xlpm.fcf,_xlpm.principal)+MAX(_xlpm.wc-_xlpm.cash,0)))</f>
        <v>141086.47440679837</v>
      </c>
      <c r="K66" s="67">
        <f>_xlfn.LET(_xlpm.fcf,K61,_xlpm.cash,J69,_xlpm.principal,K65,_xlpm.wc,_xlfn.XLOOKUP(YEAR(K$25),Base!$BJ$4:$BL$4,Base!$BJ$284:$BL$284,0,0),
IF(_xlpm.fcf&lt;0,MAX(0,_xlpm.wc-(_xlpm.cash+_xlpm.fcf)),-MIN(_xlpm.fcf,_xlpm.principal)+MAX(_xlpm.wc-_xlpm.cash,0)))</f>
        <v>55559.85269839596</v>
      </c>
      <c r="L66" s="67">
        <f>_xlfn.LET(_xlpm.fcf,L61,_xlpm.cash,K69,_xlpm.principal,L65,_xlpm.wc,_xlfn.XLOOKUP(YEAR(L$25),Base!$BJ$4:$BL$4,Base!$BJ$284:$BL$284,0,0),
IF(_xlpm.fcf&lt;0,MAX(0,_xlpm.wc-(_xlpm.cash+_xlpm.fcf)),-MIN(_xlpm.fcf,_xlpm.principal)+MAX(_xlpm.wc-_xlpm.cash,0)))</f>
        <v>-283100.07592673204</v>
      </c>
      <c r="M66" s="67">
        <f>_xlfn.LET(_xlpm.fcf,M61,_xlpm.cash,L69,_xlpm.principal,M65,_xlpm.wc,_xlfn.XLOOKUP(YEAR(M$25),Base!$BJ$4:$BL$4,Base!$BJ$284:$BL$284,0,0),
IF(_xlpm.fcf&lt;0,MAX(0,_xlpm.wc-(_xlpm.cash+_xlpm.fcf)),-MIN(_xlpm.fcf,_xlpm.principal)+MAX(_xlpm.wc-_xlpm.cash,0)))</f>
        <v>-129690.26728660334</v>
      </c>
      <c r="N66" s="67">
        <f>_xlfn.LET(_xlpm.fcf,N61,_xlpm.cash,M69,_xlpm.principal,N65,_xlpm.wc,_xlfn.XLOOKUP(YEAR(N$25),Base!$BJ$4:$BL$4,Base!$BJ$284:$BL$284,0,0),
IF(_xlpm.fcf&lt;0,MAX(0,_xlpm.wc-(_xlpm.cash+_xlpm.fcf)),-MIN(_xlpm.fcf,_xlpm.principal)+MAX(_xlpm.wc-_xlpm.cash,0)))</f>
        <v>-509558.97177241626</v>
      </c>
      <c r="O66" s="67">
        <f>_xlfn.LET(_xlpm.fcf,O61,_xlpm.cash,N69,_xlpm.principal,O65,_xlpm.wc,_xlfn.XLOOKUP(YEAR(O$25),Base!$BJ$4:$BL$4,Base!$BJ$284:$BL$284,0,0),
IF(_xlpm.fcf&lt;0,MAX(0,_xlpm.wc-(_xlpm.cash+_xlpm.fcf)),-MIN(_xlpm.fcf,_xlpm.principal)+MAX(_xlpm.wc-_xlpm.cash,0)))</f>
        <v>-1070642.155173305</v>
      </c>
      <c r="P66" s="67">
        <f>_xlfn.LET(_xlpm.fcf,P61,_xlpm.cash,O69,_xlpm.principal,P65,_xlpm.wc,_xlfn.XLOOKUP(YEAR(P$25),Base!$BJ$4:$BL$4,Base!$BJ$284:$BL$284,0,0),
IF(_xlpm.fcf&lt;0,MAX(0,_xlpm.wc-(_xlpm.cash+_xlpm.fcf)),-MIN(_xlpm.fcf,_xlpm.principal)+MAX(_xlpm.wc-_xlpm.cash,0)))</f>
        <v>-1408411.7916583342</v>
      </c>
      <c r="Q66" s="67">
        <f>_xlfn.LET(_xlpm.fcf,Q61,_xlpm.cash,P69,_xlpm.principal,Q65,_xlpm.wc,_xlfn.XLOOKUP(YEAR(Q$25),Base!$BJ$4:$BL$4,Base!$BJ$284:$BL$284,0,0),
IF(_xlpm.fcf&lt;0,MAX(0,_xlpm.wc-(_xlpm.cash+_xlpm.fcf)),-MIN(_xlpm.fcf,_xlpm.principal)+MAX(_xlpm.wc-_xlpm.cash,0)))</f>
        <v>3522428.0893609645</v>
      </c>
      <c r="R66" s="67">
        <f>_xlfn.LET(_xlpm.fcf,R61,_xlpm.cash,Q69,_xlpm.principal,R65,_xlpm.wc,_xlfn.XLOOKUP(YEAR(R$25),Base!$BJ$4:$BL$4,Base!$BJ$284:$BL$284,0,0),
IF(_xlpm.fcf&lt;0,MAX(0,_xlpm.wc-(_xlpm.cash+_xlpm.fcf)),-MIN(_xlpm.fcf,_xlpm.principal)+MAX(_xlpm.wc-_xlpm.cash,0)))</f>
        <v>-243996.24598250887</v>
      </c>
      <c r="S66" s="67">
        <f>_xlfn.LET(_xlpm.fcf,S61,_xlpm.cash,R69,_xlpm.principal,S65,_xlpm.wc,_xlfn.XLOOKUP(YEAR(S$25),Base!$BJ$4:$BL$4,Base!$BJ$284:$BL$284,0,0),
IF(_xlpm.fcf&lt;0,MAX(0,_xlpm.wc-(_xlpm.cash+_xlpm.fcf)),-MIN(_xlpm.fcf,_xlpm.principal)+MAX(_xlpm.wc-_xlpm.cash,0)))</f>
        <v>-645246.58284753561</v>
      </c>
      <c r="T66" s="67">
        <f>_xlfn.LET(_xlpm.fcf,T61,_xlpm.cash,S69,_xlpm.principal,T65,_xlpm.wc,_xlfn.XLOOKUP(YEAR(T$25),Base!$BJ$4:$BL$4,Base!$BJ$284:$BL$284,0,0),
IF(_xlpm.fcf&lt;0,MAX(0,_xlpm.wc-(_xlpm.cash+_xlpm.fcf)),-MIN(_xlpm.fcf,_xlpm.principal)+MAX(_xlpm.wc-_xlpm.cash,0)))</f>
        <v>-970528.66446277453</v>
      </c>
      <c r="U66" s="67">
        <f>_xlfn.LET(_xlpm.fcf,U61,_xlpm.cash,T69,_xlpm.principal,U65,_xlpm.wc,_xlfn.XLOOKUP(YEAR(U$25),Base!$BJ$4:$BL$4,Base!$BJ$284:$BL$284,0,0),
IF(_xlpm.fcf&lt;0,MAX(0,_xlpm.wc-(_xlpm.cash+_xlpm.fcf)),-MIN(_xlpm.fcf,_xlpm.principal)+MAX(_xlpm.wc-_xlpm.cash,0)))</f>
        <v>-482431.22365294024</v>
      </c>
      <c r="V66" s="67">
        <f>_xlfn.LET(_xlpm.fcf,V61,_xlpm.cash,U69,_xlpm.principal,V65,_xlpm.wc,_xlfn.XLOOKUP(YEAR(V$25),Base!$BJ$4:$BL$4,Base!$BJ$284:$BL$284,0,0),
IF(_xlpm.fcf&lt;0,MAX(0,_xlpm.wc-(_xlpm.cash+_xlpm.fcf)),-MIN(_xlpm.fcf,_xlpm.principal)+MAX(_xlpm.wc-_xlpm.cash,0)))</f>
        <v>-150162.06642966368</v>
      </c>
      <c r="W66" s="67">
        <f>_xlfn.LET(_xlpm.fcf,W61,_xlpm.cash,V69,_xlpm.principal,W65,_xlpm.wc,_xlfn.XLOOKUP(YEAR(W$25),Base!$BJ$4:$BL$4,Base!$BJ$284:$BL$284,0,0),
IF(_xlpm.fcf&lt;0,MAX(0,_xlpm.wc-(_xlpm.cash+_xlpm.fcf)),-MIN(_xlpm.fcf,_xlpm.principal)+MAX(_xlpm.wc-_xlpm.cash,0)))</f>
        <v>-759983.34495925391</v>
      </c>
      <c r="X66" s="67">
        <f>_xlfn.LET(_xlpm.fcf,X61,_xlpm.cash,W69,_xlpm.principal,X65,_xlpm.wc,_xlfn.XLOOKUP(YEAR(X$25),Base!$BJ$4:$BL$4,Base!$BJ$284:$BL$284,0,0),
IF(_xlpm.fcf&lt;0,MAX(0,_xlpm.wc-(_xlpm.cash+_xlpm.fcf)),-MIN(_xlpm.fcf,_xlpm.principal)+MAX(_xlpm.wc-_xlpm.cash,0)))</f>
        <v>-906518.08791839704</v>
      </c>
      <c r="Y66" s="67">
        <f>_xlfn.LET(_xlpm.fcf,Y61,_xlpm.cash,X69,_xlpm.principal,Y65,_xlpm.wc,_xlfn.XLOOKUP(YEAR(Y$25),Base!$BJ$4:$BL$4,Base!$BJ$284:$BL$284,0,0),
IF(_xlpm.fcf&lt;0,MAX(0,_xlpm.wc-(_xlpm.cash+_xlpm.fcf)),-MIN(_xlpm.fcf,_xlpm.principal)+MAX(_xlpm.wc-_xlpm.cash,0)))</f>
        <v>-604349.31887594471</v>
      </c>
      <c r="Z66" s="67">
        <f>_xlfn.LET(_xlpm.fcf,Z61,_xlpm.cash,Y69,_xlpm.principal,Z65,_xlpm.wc,_xlfn.XLOOKUP(YEAR(Z$25),Base!$BJ$4:$BL$4,Base!$BJ$284:$BL$284,0,0),
IF(_xlpm.fcf&lt;0,MAX(0,_xlpm.wc-(_xlpm.cash+_xlpm.fcf)),-MIN(_xlpm.fcf,_xlpm.principal)+MAX(_xlpm.wc-_xlpm.cash,0)))</f>
        <v>-381761.54904414411</v>
      </c>
      <c r="AA66" s="67">
        <f>_xlfn.LET(_xlpm.fcf,AA61,_xlpm.cash,Z69,_xlpm.principal,AA65,_xlpm.wc,_xlfn.XLOOKUP(YEAR(AA$25),Base!$BJ$4:$BL$4,Base!$BJ$284:$BL$284,0,0),
IF(_xlpm.fcf&lt;0,MAX(0,_xlpm.wc-(_xlpm.cash+_xlpm.fcf)),-MIN(_xlpm.fcf,_xlpm.principal)+MAX(_xlpm.wc-_xlpm.cash,0)))</f>
        <v>-866704.12346512615</v>
      </c>
      <c r="AB66" s="67">
        <f>_xlfn.LET(_xlpm.fcf,AB61,_xlpm.cash,AA69,_xlpm.principal,AB65,_xlpm.wc,_xlfn.XLOOKUP(YEAR(AB$25),Base!$BJ$4:$BL$4,Base!$BJ$284:$BL$284,0,0),
IF(_xlpm.fcf&lt;0,MAX(0,_xlpm.wc-(_xlpm.cash+_xlpm.fcf)),-MIN(_xlpm.fcf,_xlpm.principal)+MAX(_xlpm.wc-_xlpm.cash,0)))</f>
        <v>-1411898.2393424255</v>
      </c>
      <c r="AC66" s="67">
        <f>_xlfn.LET(_xlpm.fcf,AC61,_xlpm.cash,AB69,_xlpm.principal,AC65,_xlpm.wc,_xlfn.XLOOKUP(YEAR(AC$25),Base!$BJ$4:$BL$4,Base!$BJ$284:$BL$284,0,0),
IF(_xlpm.fcf&lt;0,MAX(0,_xlpm.wc-(_xlpm.cash+_xlpm.fcf)),-MIN(_xlpm.fcf,_xlpm.principal)+MAX(_xlpm.wc-_xlpm.cash,0)))</f>
        <v>-602374.69343796349</v>
      </c>
      <c r="AD66" s="67">
        <f>_xlfn.LET(_xlpm.fcf,AD61,_xlpm.cash,AC69,_xlpm.principal,AD65,_xlpm.wc,_xlfn.XLOOKUP(YEAR(AD$25),Base!$BJ$4:$BL$4,Base!$BJ$284:$BL$284,0,0),
IF(_xlpm.fcf&lt;0,MAX(0,_xlpm.wc-(_xlpm.cash+_xlpm.fcf)),-MIN(_xlpm.fcf,_xlpm.principal)+MAX(_xlpm.wc-_xlpm.cash,0)))</f>
        <v>-629631.92981214006</v>
      </c>
      <c r="AE66" s="67">
        <f>_xlfn.LET(_xlpm.fcf,AE61,_xlpm.cash,AD69,_xlpm.principal,AE65,_xlpm.wc,_xlfn.XLOOKUP(YEAR(AE$25),Base!$BJ$4:$BL$4,Base!$BJ$284:$BL$284,0,0),
IF(_xlpm.fcf&lt;0,MAX(0,_xlpm.wc-(_xlpm.cash+_xlpm.fcf)),-MIN(_xlpm.fcf,_xlpm.principal)+MAX(_xlpm.wc-_xlpm.cash,0)))</f>
        <v>-870353.09327249089</v>
      </c>
      <c r="AF66" s="67">
        <f>_xlfn.LET(_xlpm.fcf,AF61,_xlpm.cash,AE69,_xlpm.principal,AF65,_xlpm.wc,_xlfn.XLOOKUP(YEAR(AF$25),Base!$BJ$4:$BL$4,Base!$BJ$284:$BL$284,0,0),
IF(_xlpm.fcf&lt;0,MAX(0,_xlpm.wc-(_xlpm.cash+_xlpm.fcf)),-MIN(_xlpm.fcf,_xlpm.principal)+MAX(_xlpm.wc-_xlpm.cash,0)))</f>
        <v>-820761.60088923527</v>
      </c>
      <c r="AG66" s="67">
        <f>_xlfn.LET(_xlpm.fcf,AG61,_xlpm.cash,AF69,_xlpm.principal,AG65,_xlpm.wc,_xlfn.XLOOKUP(YEAR(AG$25),Base!$BJ$4:$BL$4,Base!$BJ$284:$BL$284,0,0),
IF(_xlpm.fcf&lt;0,MAX(0,_xlpm.wc-(_xlpm.cash+_xlpm.fcf)),-MIN(_xlpm.fcf,_xlpm.principal)+MAX(_xlpm.wc-_xlpm.cash,0)))</f>
        <v>-872441.18969947333</v>
      </c>
      <c r="AH66" s="67">
        <f>_xlfn.LET(_xlpm.fcf,AH61,_xlpm.cash,AG69,_xlpm.principal,AH65,_xlpm.wc,_xlfn.XLOOKUP(YEAR(AH$25),Base!$BJ$4:$BL$4,Base!$BJ$284:$BL$284,0,0),
IF(_xlpm.fcf&lt;0,MAX(0,_xlpm.wc-(_xlpm.cash+_xlpm.fcf)),-MIN(_xlpm.fcf,_xlpm.principal)+MAX(_xlpm.wc-_xlpm.cash,0)))</f>
        <v>-644646.23976568459</v>
      </c>
      <c r="AI66" s="67">
        <f>_xlfn.LET(_xlpm.fcf,AI61,_xlpm.cash,AH69,_xlpm.principal,AI65,_xlpm.wc,_xlfn.XLOOKUP(YEAR(AI$25),Base!$BJ$4:$BL$4,Base!$BJ$284:$BL$284,0,0),
IF(_xlpm.fcf&lt;0,MAX(0,_xlpm.wc-(_xlpm.cash+_xlpm.fcf)),-MIN(_xlpm.fcf,_xlpm.principal)+MAX(_xlpm.wc-_xlpm.cash,0)))</f>
        <v>-254054.31469841456</v>
      </c>
      <c r="AJ66" s="67">
        <f>_xlfn.LET(_xlpm.fcf,AJ61,_xlpm.cash,AI69,_xlpm.principal,AJ65,_xlpm.wc,_xlfn.XLOOKUP(YEAR(AJ$25),Base!$BJ$4:$BL$4,Base!$BJ$284:$BL$284,0,0),
IF(_xlpm.fcf&lt;0,MAX(0,_xlpm.wc-(_xlpm.cash+_xlpm.fcf)),-MIN(_xlpm.fcf,_xlpm.principal)+MAX(_xlpm.wc-_xlpm.cash,0)))</f>
        <v>0</v>
      </c>
      <c r="AK66" s="67">
        <f>_xlfn.LET(_xlpm.fcf,AK61,_xlpm.cash,AJ69,_xlpm.principal,AK65,_xlpm.wc,_xlfn.XLOOKUP(YEAR(AK$25),Base!$BJ$4:$BL$4,Base!$BJ$284:$BL$284,0,0),
IF(_xlpm.fcf&lt;0,MAX(0,_xlpm.wc-(_xlpm.cash+_xlpm.fcf)),-MIN(_xlpm.fcf,_xlpm.principal)+MAX(_xlpm.wc-_xlpm.cash,0)))</f>
        <v>0</v>
      </c>
      <c r="AL66" s="67">
        <f>_xlfn.LET(_xlpm.fcf,AL61,_xlpm.cash,AK69,_xlpm.principal,AL65,_xlpm.wc,_xlfn.XLOOKUP(YEAR(AL$25),Base!$BJ$4:$BL$4,Base!$BJ$284:$BL$284,0,0),
IF(_xlpm.fcf&lt;0,MAX(0,_xlpm.wc-(_xlpm.cash+_xlpm.fcf)),-MIN(_xlpm.fcf,_xlpm.principal)+MAX(_xlpm.wc-_xlpm.cash,0)))</f>
        <v>0</v>
      </c>
      <c r="AM66" s="67">
        <f>_xlfn.LET(_xlpm.fcf,AM61,_xlpm.cash,AL69,_xlpm.principal,AM65,_xlpm.wc,_xlfn.XLOOKUP(YEAR(AM$25),Base!$BJ$4:$BL$4,Base!$BJ$284:$BL$284,0,0),
IF(_xlpm.fcf&lt;0,MAX(0,_xlpm.wc-(_xlpm.cash+_xlpm.fcf)),-MIN(_xlpm.fcf,_xlpm.principal)+MAX(_xlpm.wc-_xlpm.cash,0)))</f>
        <v>0</v>
      </c>
      <c r="AN66" s="67">
        <f>_xlfn.LET(_xlpm.fcf,AN61,_xlpm.cash,AM69,_xlpm.principal,AN65,_xlpm.wc,_xlfn.XLOOKUP(YEAR(AN$25),Base!$BJ$4:$BL$4,Base!$BJ$284:$BL$284,0,0),
IF(_xlpm.fcf&lt;0,MAX(0,_xlpm.wc-(_xlpm.cash+_xlpm.fcf)),-MIN(_xlpm.fcf,_xlpm.principal)+MAX(_xlpm.wc-_xlpm.cash,0)))</f>
        <v>0</v>
      </c>
    </row>
    <row r="67" spans="2:40" x14ac:dyDescent="0.25">
      <c r="B67" s="39" t="s">
        <v>290</v>
      </c>
      <c r="C67" s="12">
        <f>Base!$BJ$281</f>
        <v>4816282.09</v>
      </c>
      <c r="E67" s="74">
        <f>SUM(E65:E66)</f>
        <v>6654019.1232054299</v>
      </c>
      <c r="F67" s="74">
        <f t="shared" ref="F67:AN67" si="7">SUM(F65:F66)</f>
        <v>8057415.883427958</v>
      </c>
      <c r="G67" s="74">
        <f t="shared" si="7"/>
        <v>9144505.3092170265</v>
      </c>
      <c r="H67" s="74">
        <f t="shared" si="7"/>
        <v>9631825.5181671791</v>
      </c>
      <c r="I67" s="74">
        <f t="shared" si="7"/>
        <v>10349081.08537402</v>
      </c>
      <c r="J67" s="74">
        <f t="shared" si="7"/>
        <v>10567785.667921122</v>
      </c>
      <c r="K67" s="74">
        <f t="shared" si="7"/>
        <v>10702603.913128927</v>
      </c>
      <c r="L67" s="74">
        <f t="shared" si="7"/>
        <v>10499773.366550662</v>
      </c>
      <c r="M67" s="74">
        <f t="shared" si="7"/>
        <v>10448831.399513189</v>
      </c>
      <c r="N67" s="74">
        <f t="shared" si="7"/>
        <v>10017638.663237123</v>
      </c>
      <c r="O67" s="74">
        <f t="shared" si="7"/>
        <v>9022128.7980380952</v>
      </c>
      <c r="P67" s="74">
        <f t="shared" si="7"/>
        <v>7681382.9723650459</v>
      </c>
      <c r="Q67" s="74">
        <f t="shared" si="7"/>
        <v>11261421.434018748</v>
      </c>
      <c r="R67" s="74">
        <f t="shared" si="7"/>
        <v>11101885.848791379</v>
      </c>
      <c r="S67" s="74">
        <f t="shared" si="7"/>
        <v>10539903.409809779</v>
      </c>
      <c r="T67" s="74">
        <f t="shared" si="7"/>
        <v>9648424.0209205784</v>
      </c>
      <c r="U67" s="74">
        <f t="shared" si="7"/>
        <v>9238355.9774245434</v>
      </c>
      <c r="V67" s="74">
        <f t="shared" si="7"/>
        <v>9157481.5808255635</v>
      </c>
      <c r="W67" s="74">
        <f t="shared" si="7"/>
        <v>8466179.3477225024</v>
      </c>
      <c r="X67" s="74">
        <f t="shared" si="7"/>
        <v>7623157.604912024</v>
      </c>
      <c r="Y67" s="74">
        <f t="shared" si="7"/>
        <v>7075981.9680729192</v>
      </c>
      <c r="Z67" s="74">
        <f t="shared" si="7"/>
        <v>6747290.2837893218</v>
      </c>
      <c r="AA67" s="74">
        <f t="shared" si="7"/>
        <v>5931190.8374526156</v>
      </c>
      <c r="AB67" s="74">
        <f t="shared" si="7"/>
        <v>4563776.5293910839</v>
      </c>
      <c r="AC67" s="74">
        <f t="shared" si="7"/>
        <v>3995630.1599235535</v>
      </c>
      <c r="AD67" s="74">
        <f t="shared" si="7"/>
        <v>3395965.4563108403</v>
      </c>
      <c r="AE67" s="74">
        <f t="shared" si="7"/>
        <v>2551082.1039606808</v>
      </c>
      <c r="AF67" s="74">
        <f t="shared" si="7"/>
        <v>1749453.6188511504</v>
      </c>
      <c r="AG67" s="74">
        <f t="shared" si="7"/>
        <v>890133.33129306068</v>
      </c>
      <c r="AH67" s="74">
        <f t="shared" si="7"/>
        <v>252163.091512074</v>
      </c>
      <c r="AI67" s="74">
        <f t="shared" si="7"/>
        <v>0</v>
      </c>
      <c r="AJ67" s="74">
        <f t="shared" si="7"/>
        <v>0</v>
      </c>
      <c r="AK67" s="74">
        <f t="shared" si="7"/>
        <v>0</v>
      </c>
      <c r="AL67" s="74">
        <f t="shared" si="7"/>
        <v>0</v>
      </c>
      <c r="AM67" s="74">
        <f t="shared" si="7"/>
        <v>0</v>
      </c>
      <c r="AN67" s="74">
        <f t="shared" si="7"/>
        <v>0</v>
      </c>
    </row>
    <row r="68" spans="2:40" x14ac:dyDescent="0.25">
      <c r="B68" s="39"/>
      <c r="C68" s="12"/>
      <c r="E68" s="67"/>
      <c r="F68" s="67"/>
      <c r="G68" s="67"/>
      <c r="H68" s="67"/>
      <c r="I68" s="67"/>
      <c r="J68" s="67"/>
      <c r="K68" s="67"/>
      <c r="L68" s="67"/>
      <c r="M68" s="67"/>
      <c r="N68" s="67"/>
      <c r="O68" s="67"/>
      <c r="P68" s="67"/>
      <c r="Q68" s="67"/>
      <c r="R68" s="67"/>
      <c r="S68" s="67"/>
      <c r="T68" s="67"/>
      <c r="U68" s="67"/>
      <c r="V68" s="67"/>
      <c r="W68" s="67"/>
      <c r="X68" s="67"/>
      <c r="Y68" s="67"/>
      <c r="Z68" s="67"/>
      <c r="AA68" s="67"/>
      <c r="AB68" s="67"/>
      <c r="AC68" s="67"/>
      <c r="AD68" s="67"/>
      <c r="AE68" s="67"/>
      <c r="AF68" s="67"/>
      <c r="AG68" s="67"/>
      <c r="AH68" s="67"/>
      <c r="AI68" s="67"/>
      <c r="AJ68" s="67"/>
      <c r="AK68" s="67"/>
      <c r="AL68" s="67"/>
      <c r="AM68" s="67"/>
      <c r="AN68" s="67"/>
    </row>
    <row r="69" spans="2:40" x14ac:dyDescent="0.25">
      <c r="B69" s="39" t="s">
        <v>291</v>
      </c>
      <c r="C69" s="12">
        <f>Base!$BJ$283</f>
        <v>3200000</v>
      </c>
      <c r="D69" s="12"/>
      <c r="E69" s="145">
        <f>C69+E61+E66</f>
        <v>3400000</v>
      </c>
      <c r="F69" s="145">
        <f t="shared" ref="F69:AN69" si="8">E69+F61+F66</f>
        <v>3400000</v>
      </c>
      <c r="G69" s="145">
        <f t="shared" si="8"/>
        <v>3400000</v>
      </c>
      <c r="H69" s="145">
        <f t="shared" si="8"/>
        <v>3400000</v>
      </c>
      <c r="I69" s="145">
        <f t="shared" si="8"/>
        <v>3400000</v>
      </c>
      <c r="J69" s="145">
        <f t="shared" si="8"/>
        <v>3400000</v>
      </c>
      <c r="K69" s="145">
        <f t="shared" si="8"/>
        <v>3400000</v>
      </c>
      <c r="L69" s="145">
        <f t="shared" si="8"/>
        <v>3400000</v>
      </c>
      <c r="M69" s="145">
        <f t="shared" si="8"/>
        <v>3400000</v>
      </c>
      <c r="N69" s="145">
        <f t="shared" si="8"/>
        <v>3400000</v>
      </c>
      <c r="O69" s="145">
        <f t="shared" si="8"/>
        <v>3400000.0000000005</v>
      </c>
      <c r="P69" s="145">
        <f t="shared" si="8"/>
        <v>3400000</v>
      </c>
      <c r="Q69" s="145">
        <f t="shared" si="8"/>
        <v>6800000</v>
      </c>
      <c r="R69" s="145">
        <f t="shared" si="8"/>
        <v>6800000</v>
      </c>
      <c r="S69" s="145">
        <f t="shared" si="8"/>
        <v>6800000</v>
      </c>
      <c r="T69" s="145">
        <f t="shared" si="8"/>
        <v>6800000</v>
      </c>
      <c r="U69" s="145">
        <f t="shared" si="8"/>
        <v>6800000</v>
      </c>
      <c r="V69" s="145">
        <f t="shared" si="8"/>
        <v>6800000</v>
      </c>
      <c r="W69" s="145">
        <f t="shared" si="8"/>
        <v>6800000</v>
      </c>
      <c r="X69" s="145">
        <f t="shared" si="8"/>
        <v>6800000</v>
      </c>
      <c r="Y69" s="145">
        <f t="shared" si="8"/>
        <v>6800000</v>
      </c>
      <c r="Z69" s="145">
        <f t="shared" si="8"/>
        <v>6800000</v>
      </c>
      <c r="AA69" s="145">
        <f t="shared" si="8"/>
        <v>6800000</v>
      </c>
      <c r="AB69" s="145">
        <f t="shared" si="8"/>
        <v>6800000</v>
      </c>
      <c r="AC69" s="145">
        <f t="shared" si="8"/>
        <v>6800000</v>
      </c>
      <c r="AD69" s="145">
        <f t="shared" si="8"/>
        <v>6800000</v>
      </c>
      <c r="AE69" s="145">
        <f t="shared" si="8"/>
        <v>6800000</v>
      </c>
      <c r="AF69" s="145">
        <f t="shared" si="8"/>
        <v>6800000</v>
      </c>
      <c r="AG69" s="145">
        <f t="shared" si="8"/>
        <v>6800000</v>
      </c>
      <c r="AH69" s="145">
        <f t="shared" si="8"/>
        <v>6800000</v>
      </c>
      <c r="AI69" s="145">
        <f t="shared" si="8"/>
        <v>7007207.7744986489</v>
      </c>
      <c r="AJ69" s="145">
        <f t="shared" si="8"/>
        <v>7413545.9822178371</v>
      </c>
      <c r="AK69" s="145">
        <f t="shared" si="8"/>
        <v>7659173.4351036055</v>
      </c>
      <c r="AL69" s="145">
        <f t="shared" si="8"/>
        <v>8298946.2019249573</v>
      </c>
      <c r="AM69" s="145">
        <f t="shared" si="8"/>
        <v>9194287.5349182896</v>
      </c>
      <c r="AN69" s="145">
        <f t="shared" si="8"/>
        <v>10357455.200077126</v>
      </c>
    </row>
    <row r="70" spans="2:40" x14ac:dyDescent="0.25">
      <c r="B70" s="39" t="s">
        <v>292</v>
      </c>
      <c r="E70" s="74">
        <f t="shared" ref="E70:AN70" si="9">E61+E66</f>
        <v>200000</v>
      </c>
      <c r="F70" s="74">
        <f t="shared" si="9"/>
        <v>0</v>
      </c>
      <c r="G70" s="74">
        <f t="shared" si="9"/>
        <v>0</v>
      </c>
      <c r="H70" s="74">
        <f t="shared" si="9"/>
        <v>0</v>
      </c>
      <c r="I70" s="74">
        <f t="shared" si="9"/>
        <v>0</v>
      </c>
      <c r="J70" s="74">
        <f t="shared" si="9"/>
        <v>2.3283064365386963E-10</v>
      </c>
      <c r="K70" s="74">
        <f t="shared" si="9"/>
        <v>1.1641532182693481E-10</v>
      </c>
      <c r="L70" s="74">
        <f t="shared" si="9"/>
        <v>0</v>
      </c>
      <c r="M70" s="74">
        <f t="shared" si="9"/>
        <v>0</v>
      </c>
      <c r="N70" s="74">
        <f t="shared" si="9"/>
        <v>0</v>
      </c>
      <c r="O70" s="74">
        <f t="shared" si="9"/>
        <v>0</v>
      </c>
      <c r="P70" s="74">
        <f t="shared" si="9"/>
        <v>0</v>
      </c>
      <c r="Q70" s="74">
        <f t="shared" si="9"/>
        <v>3400000</v>
      </c>
      <c r="R70" s="74">
        <f t="shared" si="9"/>
        <v>0</v>
      </c>
      <c r="S70" s="74">
        <f t="shared" si="9"/>
        <v>0</v>
      </c>
      <c r="T70" s="74">
        <f t="shared" si="9"/>
        <v>0</v>
      </c>
      <c r="U70" s="74">
        <f t="shared" si="9"/>
        <v>0</v>
      </c>
      <c r="V70" s="74">
        <f t="shared" si="9"/>
        <v>0</v>
      </c>
      <c r="W70" s="74">
        <f t="shared" si="9"/>
        <v>0</v>
      </c>
      <c r="X70" s="74">
        <f t="shared" si="9"/>
        <v>0</v>
      </c>
      <c r="Y70" s="74">
        <f t="shared" si="9"/>
        <v>0</v>
      </c>
      <c r="Z70" s="74">
        <f t="shared" si="9"/>
        <v>0</v>
      </c>
      <c r="AA70" s="74">
        <f t="shared" si="9"/>
        <v>0</v>
      </c>
      <c r="AB70" s="74">
        <f t="shared" si="9"/>
        <v>0</v>
      </c>
      <c r="AC70" s="74">
        <f t="shared" si="9"/>
        <v>0</v>
      </c>
      <c r="AD70" s="74">
        <f t="shared" si="9"/>
        <v>0</v>
      </c>
      <c r="AE70" s="74">
        <f t="shared" si="9"/>
        <v>0</v>
      </c>
      <c r="AF70" s="74">
        <f t="shared" si="9"/>
        <v>0</v>
      </c>
      <c r="AG70" s="74">
        <f t="shared" si="9"/>
        <v>0</v>
      </c>
      <c r="AH70" s="74">
        <f t="shared" si="9"/>
        <v>0</v>
      </c>
      <c r="AI70" s="74">
        <f t="shared" si="9"/>
        <v>207207.77449864973</v>
      </c>
      <c r="AJ70" s="74">
        <f t="shared" si="9"/>
        <v>406338.20771918865</v>
      </c>
      <c r="AK70" s="74">
        <f t="shared" si="9"/>
        <v>245627.45288576838</v>
      </c>
      <c r="AL70" s="74">
        <f t="shared" si="9"/>
        <v>639772.76682135137</v>
      </c>
      <c r="AM70" s="74">
        <f t="shared" si="9"/>
        <v>895341.33299333276</v>
      </c>
      <c r="AN70" s="74">
        <f t="shared" si="9"/>
        <v>1163167.6651588362</v>
      </c>
    </row>
    <row r="71" spans="2:40" x14ac:dyDescent="0.25">
      <c r="Z71" s="67"/>
      <c r="AN71" s="67"/>
    </row>
    <row r="72" spans="2:40" x14ac:dyDescent="0.25">
      <c r="E72" s="95" t="s">
        <v>293</v>
      </c>
      <c r="AN72" s="67"/>
    </row>
    <row r="78" spans="2:40" x14ac:dyDescent="0.25">
      <c r="E78" s="12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D3815B-A8A7-459F-9B1C-14D25C50EC08}">
  <sheetPr>
    <tabColor theme="9" tint="0.79998168889431442"/>
  </sheetPr>
  <dimension ref="A1:AN78"/>
  <sheetViews>
    <sheetView workbookViewId="0">
      <pane xSplit="4" ySplit="25" topLeftCell="E53" activePane="bottomRight" state="frozen"/>
      <selection pane="topRight" activeCell="E1" sqref="E1"/>
      <selection pane="bottomLeft" activeCell="A26" sqref="A26"/>
      <selection pane="bottomRight" activeCell="B59" sqref="B59"/>
    </sheetView>
  </sheetViews>
  <sheetFormatPr defaultRowHeight="15" outlineLevelRow="1" outlineLevelCol="1" x14ac:dyDescent="0.25"/>
  <cols>
    <col min="2" max="2" width="24.5703125" bestFit="1" customWidth="1"/>
    <col min="3" max="3" width="13.42578125" bestFit="1" customWidth="1"/>
    <col min="4" max="4" width="12.5703125" bestFit="1" customWidth="1"/>
    <col min="5" max="16" width="14.28515625" customWidth="1"/>
    <col min="17" max="40" width="14.28515625" customWidth="1" outlineLevel="1"/>
  </cols>
  <sheetData>
    <row r="1" spans="1:40" x14ac:dyDescent="0.25">
      <c r="A1" s="82"/>
      <c r="B1" s="3"/>
      <c r="C1" s="3"/>
      <c r="D1" s="55" t="s">
        <v>307</v>
      </c>
      <c r="E1" s="164" cm="1">
        <f t="array" ref="E1">_xlfn.LET(_xlpm.data,_xlfn.VSTACK('MDA1:NCA9'!E1),_xlpm.states,_xlfn.VSTACK('MDA1:NCA9'!$B$2),
SUM(_xlfn._xlws.FILTER(_xlpm.data,(_xlpm.states="Arizona")+(_xlpm.states="Maryland")+(_xlpm.states="North Carolina"))))</f>
        <v>328</v>
      </c>
      <c r="F1" s="164" cm="1">
        <f t="array" ref="F1">_xlfn.LET(_xlpm.data,_xlfn.VSTACK('MDA1:NCA9'!F1),_xlpm.states,_xlfn.VSTACK('MDA1:NCA9'!$B$2),
SUM(_xlfn._xlws.FILTER(_xlpm.data,(_xlpm.states="Arizona")+(_xlpm.states="Maryland")+(_xlpm.states="North Carolina"))))</f>
        <v>337</v>
      </c>
      <c r="G1" s="164" cm="1">
        <f t="array" ref="G1">_xlfn.LET(_xlpm.data,_xlfn.VSTACK('MDA1:NCA9'!G1),_xlpm.states,_xlfn.VSTACK('MDA1:NCA9'!$B$2),
SUM(_xlfn._xlws.FILTER(_xlpm.data,(_xlpm.states="Arizona")+(_xlpm.states="Maryland")+(_xlpm.states="North Carolina"))))</f>
        <v>347</v>
      </c>
      <c r="H1" s="164" cm="1">
        <f t="array" ref="H1">_xlfn.LET(_xlpm.data,_xlfn.VSTACK('MDA1:NCA9'!H1),_xlpm.states,_xlfn.VSTACK('MDA1:NCA9'!$B$2),
SUM(_xlfn._xlws.FILTER(_xlpm.data,(_xlpm.states="Arizona")+(_xlpm.states="Maryland")+(_xlpm.states="North Carolina"))))</f>
        <v>354</v>
      </c>
      <c r="I1" s="164" cm="1">
        <f t="array" ref="I1">_xlfn.LET(_xlpm.data,_xlfn.VSTACK('MDA1:NCA9'!I1),_xlpm.states,_xlfn.VSTACK('MDA1:NCA9'!$B$2),
SUM(_xlfn._xlws.FILTER(_xlpm.data,(_xlpm.states="Arizona")+(_xlpm.states="Maryland")+(_xlpm.states="North Carolina"))))</f>
        <v>360</v>
      </c>
      <c r="J1" s="164" cm="1">
        <f t="array" ref="J1">_xlfn.LET(_xlpm.data,_xlfn.VSTACK('MDA1:NCA9'!J1),_xlpm.states,_xlfn.VSTACK('MDA1:NCA9'!$B$2),
SUM(_xlfn._xlws.FILTER(_xlpm.data,(_xlpm.states="Arizona")+(_xlpm.states="Maryland")+(_xlpm.states="North Carolina"))))</f>
        <v>371</v>
      </c>
      <c r="K1" s="164" cm="1">
        <f t="array" ref="K1">_xlfn.LET(_xlpm.data,_xlfn.VSTACK('MDA1:NCA9'!K1),_xlpm.states,_xlfn.VSTACK('MDA1:NCA9'!$B$2),
SUM(_xlfn._xlws.FILTER(_xlpm.data,(_xlpm.states="Arizona")+(_xlpm.states="Maryland")+(_xlpm.states="North Carolina"))))</f>
        <v>389</v>
      </c>
      <c r="L1" s="164" cm="1">
        <f t="array" ref="L1">_xlfn.LET(_xlpm.data,_xlfn.VSTACK('MDA1:NCA9'!L1),_xlpm.states,_xlfn.VSTACK('MDA1:NCA9'!$B$2),
SUM(_xlfn._xlws.FILTER(_xlpm.data,(_xlpm.states="Arizona")+(_xlpm.states="Maryland")+(_xlpm.states="North Carolina"))))</f>
        <v>399</v>
      </c>
      <c r="M1" s="164" cm="1">
        <f t="array" ref="M1">_xlfn.LET(_xlpm.data,_xlfn.VSTACK('MDA1:NCA9'!M1),_xlpm.states,_xlfn.VSTACK('MDA1:NCA9'!$B$2),
SUM(_xlfn._xlws.FILTER(_xlpm.data,(_xlpm.states="Arizona")+(_xlpm.states="Maryland")+(_xlpm.states="North Carolina"))))</f>
        <v>410</v>
      </c>
      <c r="N1" s="164" cm="1">
        <f t="array" ref="N1">_xlfn.LET(_xlpm.data,_xlfn.VSTACK('MDA1:NCA9'!N1),_xlpm.states,_xlfn.VSTACK('MDA1:NCA9'!$B$2),
SUM(_xlfn._xlws.FILTER(_xlpm.data,(_xlpm.states="Arizona")+(_xlpm.states="Maryland")+(_xlpm.states="North Carolina"))))</f>
        <v>423</v>
      </c>
      <c r="O1" s="164" cm="1">
        <f t="array" ref="O1">_xlfn.LET(_xlpm.data,_xlfn.VSTACK('MDA1:NCA9'!O1),_xlpm.states,_xlfn.VSTACK('MDA1:NCA9'!$B$2),
SUM(_xlfn._xlws.FILTER(_xlpm.data,(_xlpm.states="Arizona")+(_xlpm.states="Maryland")+(_xlpm.states="North Carolina"))))</f>
        <v>438</v>
      </c>
      <c r="P1" s="164" cm="1">
        <f t="array" ref="P1">_xlfn.LET(_xlpm.data,_xlfn.VSTACK('MDA1:NCA9'!P1),_xlpm.states,_xlfn.VSTACK('MDA1:NCA9'!$B$2),
SUM(_xlfn._xlws.FILTER(_xlpm.data,(_xlpm.states="Arizona")+(_xlpm.states="Maryland")+(_xlpm.states="North Carolina"))))</f>
        <v>455</v>
      </c>
      <c r="Q1" s="164" cm="1">
        <f t="array" ref="Q1">_xlfn.LET(_xlpm.data,_xlfn.VSTACK('MDA1:NCA9'!Q1),_xlpm.states,_xlfn.VSTACK('MDA1:NCA9'!$B$2),
SUM(_xlfn._xlws.FILTER(_xlpm.data,(_xlpm.states="Arizona")+(_xlpm.states="Maryland")+(_xlpm.states="North Carolina"))))</f>
        <v>470</v>
      </c>
      <c r="R1" s="164" cm="1">
        <f t="array" ref="R1">_xlfn.LET(_xlpm.data,_xlfn.VSTACK('MDA1:NCA9'!R1),_xlpm.states,_xlfn.VSTACK('MDA1:NCA9'!$B$2),
SUM(_xlfn._xlws.FILTER(_xlpm.data,(_xlpm.states="Arizona")+(_xlpm.states="Maryland")+(_xlpm.states="North Carolina"))))</f>
        <v>485</v>
      </c>
      <c r="S1" s="164" cm="1">
        <f t="array" ref="S1">_xlfn.LET(_xlpm.data,_xlfn.VSTACK('MDA1:NCA9'!S1),_xlpm.states,_xlfn.VSTACK('MDA1:NCA9'!$B$2),
SUM(_xlfn._xlws.FILTER(_xlpm.data,(_xlpm.states="Arizona")+(_xlpm.states="Maryland")+(_xlpm.states="North Carolina"))))</f>
        <v>498</v>
      </c>
      <c r="T1" s="164" cm="1">
        <f t="array" ref="T1">_xlfn.LET(_xlpm.data,_xlfn.VSTACK('MDA1:NCA9'!T1),_xlpm.states,_xlfn.VSTACK('MDA1:NCA9'!$B$2),
SUM(_xlfn._xlws.FILTER(_xlpm.data,(_xlpm.states="Arizona")+(_xlpm.states="Maryland")+(_xlpm.states="North Carolina"))))</f>
        <v>511</v>
      </c>
      <c r="U1" s="164" cm="1">
        <f t="array" ref="U1">_xlfn.LET(_xlpm.data,_xlfn.VSTACK('MDA1:NCA9'!U1),_xlpm.states,_xlfn.VSTACK('MDA1:NCA9'!$B$2),
SUM(_xlfn._xlws.FILTER(_xlpm.data,(_xlpm.states="Arizona")+(_xlpm.states="Maryland")+(_xlpm.states="North Carolina"))))</f>
        <v>524</v>
      </c>
      <c r="V1" s="164" cm="1">
        <f t="array" ref="V1">_xlfn.LET(_xlpm.data,_xlfn.VSTACK('MDA1:NCA9'!V1),_xlpm.states,_xlfn.VSTACK('MDA1:NCA9'!$B$2),
SUM(_xlfn._xlws.FILTER(_xlpm.data,(_xlpm.states="Arizona")+(_xlpm.states="Maryland")+(_xlpm.states="North Carolina"))))</f>
        <v>538</v>
      </c>
      <c r="W1" s="164" cm="1">
        <f t="array" ref="W1">_xlfn.LET(_xlpm.data,_xlfn.VSTACK('MDA1:NCA9'!W1),_xlpm.states,_xlfn.VSTACK('MDA1:NCA9'!$B$2),
SUM(_xlfn._xlws.FILTER(_xlpm.data,(_xlpm.states="Arizona")+(_xlpm.states="Maryland")+(_xlpm.states="North Carolina"))))</f>
        <v>554</v>
      </c>
      <c r="X1" s="164" cm="1">
        <f t="array" ref="X1">_xlfn.LET(_xlpm.data,_xlfn.VSTACK('MDA1:NCA9'!X1),_xlpm.states,_xlfn.VSTACK('MDA1:NCA9'!$B$2),
SUM(_xlfn._xlws.FILTER(_xlpm.data,(_xlpm.states="Arizona")+(_xlpm.states="Maryland")+(_xlpm.states="North Carolina"))))</f>
        <v>569</v>
      </c>
      <c r="Y1" s="164" cm="1">
        <f t="array" ref="Y1">_xlfn.LET(_xlpm.data,_xlfn.VSTACK('MDA1:NCA9'!Y1),_xlpm.states,_xlfn.VSTACK('MDA1:NCA9'!$B$2),
SUM(_xlfn._xlws.FILTER(_xlpm.data,(_xlpm.states="Arizona")+(_xlpm.states="Maryland")+(_xlpm.states="North Carolina"))))</f>
        <v>583</v>
      </c>
      <c r="Z1" s="164" cm="1">
        <f t="array" ref="Z1">_xlfn.LET(_xlpm.data,_xlfn.VSTACK('MDA1:NCA9'!Z1),_xlpm.states,_xlfn.VSTACK('MDA1:NCA9'!$B$2),
SUM(_xlfn._xlws.FILTER(_xlpm.data,(_xlpm.states="Arizona")+(_xlpm.states="Maryland")+(_xlpm.states="North Carolina"))))</f>
        <v>597</v>
      </c>
      <c r="AA1" s="164" cm="1">
        <f t="array" ref="AA1">_xlfn.LET(_xlpm.data,_xlfn.VSTACK('MDA1:NCA9'!AA1),_xlpm.states,_xlfn.VSTACK('MDA1:NCA9'!$B$2),
SUM(_xlfn._xlws.FILTER(_xlpm.data,(_xlpm.states="Arizona")+(_xlpm.states="Maryland")+(_xlpm.states="North Carolina"))))</f>
        <v>610</v>
      </c>
      <c r="AB1" s="164" cm="1">
        <f t="array" ref="AB1">_xlfn.LET(_xlpm.data,_xlfn.VSTACK('MDA1:NCA9'!AB1),_xlpm.states,_xlfn.VSTACK('MDA1:NCA9'!$B$2),
SUM(_xlfn._xlws.FILTER(_xlpm.data,(_xlpm.states="Arizona")+(_xlpm.states="Maryland")+(_xlpm.states="North Carolina"))))</f>
        <v>620</v>
      </c>
      <c r="AC1" s="164" cm="1">
        <f t="array" ref="AC1">_xlfn.LET(_xlpm.data,_xlfn.VSTACK('MDA1:NCA9'!AC1),_xlpm.states,_xlfn.VSTACK('MDA1:NCA9'!$B$2),
SUM(_xlfn._xlws.FILTER(_xlpm.data,(_xlpm.states="Arizona")+(_xlpm.states="Maryland")+(_xlpm.states="North Carolina"))))</f>
        <v>631</v>
      </c>
      <c r="AD1" s="164" cm="1">
        <f t="array" ref="AD1">_xlfn.LET(_xlpm.data,_xlfn.VSTACK('MDA1:NCA9'!AD1),_xlpm.states,_xlfn.VSTACK('MDA1:NCA9'!$B$2),
SUM(_xlfn._xlws.FILTER(_xlpm.data,(_xlpm.states="Arizona")+(_xlpm.states="Maryland")+(_xlpm.states="North Carolina"))))</f>
        <v>642</v>
      </c>
      <c r="AE1" s="164" cm="1">
        <f t="array" ref="AE1">_xlfn.LET(_xlpm.data,_xlfn.VSTACK('MDA1:NCA9'!AE1),_xlpm.states,_xlfn.VSTACK('MDA1:NCA9'!$B$2),
SUM(_xlfn._xlws.FILTER(_xlpm.data,(_xlpm.states="Arizona")+(_xlpm.states="Maryland")+(_xlpm.states="North Carolina"))))</f>
        <v>650</v>
      </c>
      <c r="AF1" s="164" cm="1">
        <f t="array" ref="AF1">_xlfn.LET(_xlpm.data,_xlfn.VSTACK('MDA1:NCA9'!AF1),_xlpm.states,_xlfn.VSTACK('MDA1:NCA9'!$B$2),
SUM(_xlfn._xlws.FILTER(_xlpm.data,(_xlpm.states="Arizona")+(_xlpm.states="Maryland")+(_xlpm.states="North Carolina"))))</f>
        <v>658</v>
      </c>
      <c r="AG1" s="164" cm="1">
        <f t="array" ref="AG1">_xlfn.LET(_xlpm.data,_xlfn.VSTACK('MDA1:NCA9'!AG1),_xlpm.states,_xlfn.VSTACK('MDA1:NCA9'!$B$2),
SUM(_xlfn._xlws.FILTER(_xlpm.data,(_xlpm.states="Arizona")+(_xlpm.states="Maryland")+(_xlpm.states="North Carolina"))))</f>
        <v>667</v>
      </c>
      <c r="AH1" s="164" cm="1">
        <f t="array" ref="AH1">_xlfn.LET(_xlpm.data,_xlfn.VSTACK('MDA1:NCA9'!AH1),_xlpm.states,_xlfn.VSTACK('MDA1:NCA9'!$B$2),
SUM(_xlfn._xlws.FILTER(_xlpm.data,(_xlpm.states="Arizona")+(_xlpm.states="Maryland")+(_xlpm.states="North Carolina"))))</f>
        <v>681</v>
      </c>
      <c r="AI1" s="164" cm="1">
        <f t="array" ref="AI1">_xlfn.LET(_xlpm.data,_xlfn.VSTACK('MDA1:NCA9'!AI1),_xlpm.states,_xlfn.VSTACK('MDA1:NCA9'!$B$2),
SUM(_xlfn._xlws.FILTER(_xlpm.data,(_xlpm.states="Arizona")+(_xlpm.states="Maryland")+(_xlpm.states="North Carolina"))))</f>
        <v>696</v>
      </c>
      <c r="AJ1" s="164" cm="1">
        <f t="array" ref="AJ1">_xlfn.LET(_xlpm.data,_xlfn.VSTACK('MDA1:NCA9'!AJ1),_xlpm.states,_xlfn.VSTACK('MDA1:NCA9'!$B$2),
SUM(_xlfn._xlws.FILTER(_xlpm.data,(_xlpm.states="Arizona")+(_xlpm.states="Maryland")+(_xlpm.states="North Carolina"))))</f>
        <v>710</v>
      </c>
      <c r="AK1" s="164" cm="1">
        <f t="array" ref="AK1">_xlfn.LET(_xlpm.data,_xlfn.VSTACK('MDA1:NCA9'!AK1),_xlpm.states,_xlfn.VSTACK('MDA1:NCA9'!$B$2),
SUM(_xlfn._xlws.FILTER(_xlpm.data,(_xlpm.states="Arizona")+(_xlpm.states="Maryland")+(_xlpm.states="North Carolina"))))</f>
        <v>722</v>
      </c>
      <c r="AL1" s="164" cm="1">
        <f t="array" ref="AL1">_xlfn.LET(_xlpm.data,_xlfn.VSTACK('MDA1:NCA9'!AL1),_xlpm.states,_xlfn.VSTACK('MDA1:NCA9'!$B$2),
SUM(_xlfn._xlws.FILTER(_xlpm.data,(_xlpm.states="Arizona")+(_xlpm.states="Maryland")+(_xlpm.states="North Carolina"))))</f>
        <v>731</v>
      </c>
      <c r="AM1" s="164" cm="1">
        <f t="array" ref="AM1">_xlfn.LET(_xlpm.data,_xlfn.VSTACK('MDA1:NCA9'!AM1),_xlpm.states,_xlfn.VSTACK('MDA1:NCA9'!$B$2),
SUM(_xlfn._xlws.FILTER(_xlpm.data,(_xlpm.states="Arizona")+(_xlpm.states="Maryland")+(_xlpm.states="North Carolina"))))</f>
        <v>740</v>
      </c>
      <c r="AN1" s="164" cm="1">
        <f t="array" ref="AN1">_xlfn.LET(_xlpm.data,_xlfn.VSTACK('MDA1:NCA9'!AN1),_xlpm.states,_xlfn.VSTACK('MDA1:NCA9'!$B$2),
SUM(_xlfn._xlws.FILTER(_xlpm.data,(_xlpm.states="Arizona")+(_xlpm.states="Maryland")+(_xlpm.states="North Carolina"))))</f>
        <v>748</v>
      </c>
    </row>
    <row r="2" spans="1:40" hidden="1" outlineLevel="1" x14ac:dyDescent="0.25">
      <c r="B2" s="1" t="s">
        <v>269</v>
      </c>
      <c r="C2" s="3"/>
      <c r="D2" s="3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</row>
    <row r="3" spans="1:40" hidden="1" outlineLevel="1" x14ac:dyDescent="0.25">
      <c r="B3" s="39"/>
      <c r="C3" s="3"/>
      <c r="D3" s="3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69"/>
      <c r="AF3" s="69"/>
      <c r="AG3" s="69"/>
      <c r="AH3" s="69"/>
      <c r="AI3" s="69"/>
      <c r="AJ3" s="69"/>
      <c r="AK3" s="69"/>
      <c r="AL3" s="69"/>
      <c r="AM3" s="69"/>
      <c r="AN3" s="69"/>
    </row>
    <row r="4" spans="1:40" hidden="1" outlineLevel="1" x14ac:dyDescent="0.25">
      <c r="B4" s="39" t="s">
        <v>295</v>
      </c>
      <c r="C4" s="3"/>
      <c r="D4" s="3"/>
      <c r="E4" s="164" cm="1">
        <f t="array" ref="E4">_xlfn.LET(_xlpm.data,_xlfn.VSTACK('MDA1:NCA9'!E21),_xlpm.states,_xlfn.VSTACK('MDA1:NCA9'!$B$2),
SUM(_xlfn._xlws.FILTER(_xlpm.data,(_xlpm.states="Arizona")+(_xlpm.states="Maryland")+(_xlpm.states="North Carolina"))))</f>
        <v>224</v>
      </c>
      <c r="F4" s="164" cm="1">
        <f t="array" ref="F4">_xlfn.LET(_xlpm.data,_xlfn.VSTACK('MDA1:NCA9'!F21),_xlpm.states,_xlfn.VSTACK('MDA1:NCA9'!$B$2),
SUM(_xlfn._xlws.FILTER(_xlpm.data,(_xlpm.states="Arizona")+(_xlpm.states="Maryland")+(_xlpm.states="North Carolina"))))</f>
        <v>229</v>
      </c>
      <c r="G4" s="164" cm="1">
        <f t="array" ref="G4">_xlfn.LET(_xlpm.data,_xlfn.VSTACK('MDA1:NCA9'!G21),_xlpm.states,_xlfn.VSTACK('MDA1:NCA9'!$B$2),
SUM(_xlfn._xlws.FILTER(_xlpm.data,(_xlpm.states="Arizona")+(_xlpm.states="Maryland")+(_xlpm.states="North Carolina"))))</f>
        <v>236</v>
      </c>
      <c r="H4" s="164" cm="1">
        <f t="array" ref="H4">_xlfn.LET(_xlpm.data,_xlfn.VSTACK('MDA1:NCA9'!H21),_xlpm.states,_xlfn.VSTACK('MDA1:NCA9'!$B$2),
SUM(_xlfn._xlws.FILTER(_xlpm.data,(_xlpm.states="Arizona")+(_xlpm.states="Maryland")+(_xlpm.states="North Carolina"))))</f>
        <v>240</v>
      </c>
      <c r="I4" s="164" cm="1">
        <f t="array" ref="I4">_xlfn.LET(_xlpm.data,_xlfn.VSTACK('MDA1:NCA9'!I21),_xlpm.states,_xlfn.VSTACK('MDA1:NCA9'!$B$2),
SUM(_xlfn._xlws.FILTER(_xlpm.data,(_xlpm.states="Arizona")+(_xlpm.states="Maryland")+(_xlpm.states="North Carolina"))))</f>
        <v>243</v>
      </c>
      <c r="J4" s="164" cm="1">
        <f t="array" ref="J4">_xlfn.LET(_xlpm.data,_xlfn.VSTACK('MDA1:NCA9'!J21),_xlpm.states,_xlfn.VSTACK('MDA1:NCA9'!$B$2),
SUM(_xlfn._xlws.FILTER(_xlpm.data,(_xlpm.states="Arizona")+(_xlpm.states="Maryland")+(_xlpm.states="North Carolina"))))</f>
        <v>250</v>
      </c>
      <c r="K4" s="164" cm="1">
        <f t="array" ref="K4">_xlfn.LET(_xlpm.data,_xlfn.VSTACK('MDA1:NCA9'!K21),_xlpm.states,_xlfn.VSTACK('MDA1:NCA9'!$B$2),
SUM(_xlfn._xlws.FILTER(_xlpm.data,(_xlpm.states="Arizona")+(_xlpm.states="Maryland")+(_xlpm.states="North Carolina"))))</f>
        <v>269</v>
      </c>
      <c r="L4" s="164" cm="1">
        <f t="array" ref="L4">_xlfn.LET(_xlpm.data,_xlfn.VSTACK('MDA1:NCA9'!L21),_xlpm.states,_xlfn.VSTACK('MDA1:NCA9'!$B$2),
SUM(_xlfn._xlws.FILTER(_xlpm.data,(_xlpm.states="Arizona")+(_xlpm.states="Maryland")+(_xlpm.states="North Carolina"))))</f>
        <v>275</v>
      </c>
      <c r="M4" s="164" cm="1">
        <f t="array" ref="M4">_xlfn.LET(_xlpm.data,_xlfn.VSTACK('MDA1:NCA9'!M21),_xlpm.states,_xlfn.VSTACK('MDA1:NCA9'!$B$2),
SUM(_xlfn._xlws.FILTER(_xlpm.data,(_xlpm.states="Arizona")+(_xlpm.states="Maryland")+(_xlpm.states="North Carolina"))))</f>
        <v>282</v>
      </c>
      <c r="N4" s="164" cm="1">
        <f t="array" ref="N4">_xlfn.LET(_xlpm.data,_xlfn.VSTACK('MDA1:NCA9'!N21),_xlpm.states,_xlfn.VSTACK('MDA1:NCA9'!$B$2),
SUM(_xlfn._xlws.FILTER(_xlpm.data,(_xlpm.states="Arizona")+(_xlpm.states="Maryland")+(_xlpm.states="North Carolina"))))</f>
        <v>292</v>
      </c>
      <c r="O4" s="164" cm="1">
        <f t="array" ref="O4">_xlfn.LET(_xlpm.data,_xlfn.VSTACK('MDA1:NCA9'!O21),_xlpm.states,_xlfn.VSTACK('MDA1:NCA9'!$B$2),
SUM(_xlfn._xlws.FILTER(_xlpm.data,(_xlpm.states="Arizona")+(_xlpm.states="Maryland")+(_xlpm.states="North Carolina"))))</f>
        <v>305</v>
      </c>
      <c r="P4" s="164" cm="1">
        <f t="array" ref="P4">_xlfn.LET(_xlpm.data,_xlfn.VSTACK('MDA1:NCA9'!P21),_xlpm.states,_xlfn.VSTACK('MDA1:NCA9'!$B$2),
SUM(_xlfn._xlws.FILTER(_xlpm.data,(_xlpm.states="Arizona")+(_xlpm.states="Maryland")+(_xlpm.states="North Carolina"))))</f>
        <v>320</v>
      </c>
      <c r="Q4" s="164" cm="1">
        <f t="array" ref="Q4">_xlfn.LET(_xlpm.data,_xlfn.VSTACK('MDA1:NCA9'!Q21),_xlpm.states,_xlfn.VSTACK('MDA1:NCA9'!$B$2),
SUM(_xlfn._xlws.FILTER(_xlpm.data,(_xlpm.states="Arizona")+(_xlpm.states="Maryland")+(_xlpm.states="North Carolina"))))</f>
        <v>333</v>
      </c>
      <c r="R4" s="164" cm="1">
        <f t="array" ref="R4">_xlfn.LET(_xlpm.data,_xlfn.VSTACK('MDA1:NCA9'!R21),_xlpm.states,_xlfn.VSTACK('MDA1:NCA9'!$B$2),
SUM(_xlfn._xlws.FILTER(_xlpm.data,(_xlpm.states="Arizona")+(_xlpm.states="Maryland")+(_xlpm.states="North Carolina"))))</f>
        <v>346</v>
      </c>
      <c r="S4" s="164" cm="1">
        <f t="array" ref="S4">_xlfn.LET(_xlpm.data,_xlfn.VSTACK('MDA1:NCA9'!S21),_xlpm.states,_xlfn.VSTACK('MDA1:NCA9'!$B$2),
SUM(_xlfn._xlws.FILTER(_xlpm.data,(_xlpm.states="Arizona")+(_xlpm.states="Maryland")+(_xlpm.states="North Carolina"))))</f>
        <v>358</v>
      </c>
      <c r="T4" s="164" cm="1">
        <f t="array" ref="T4">_xlfn.LET(_xlpm.data,_xlfn.VSTACK('MDA1:NCA9'!T21),_xlpm.states,_xlfn.VSTACK('MDA1:NCA9'!$B$2),
SUM(_xlfn._xlws.FILTER(_xlpm.data,(_xlpm.states="Arizona")+(_xlpm.states="Maryland")+(_xlpm.states="North Carolina"))))</f>
        <v>369</v>
      </c>
      <c r="U4" s="164" cm="1">
        <f t="array" ref="U4">_xlfn.LET(_xlpm.data,_xlfn.VSTACK('MDA1:NCA9'!U21),_xlpm.states,_xlfn.VSTACK('MDA1:NCA9'!$B$2),
SUM(_xlfn._xlws.FILTER(_xlpm.data,(_xlpm.states="Arizona")+(_xlpm.states="Maryland")+(_xlpm.states="North Carolina"))))</f>
        <v>381</v>
      </c>
      <c r="V4" s="164" cm="1">
        <f t="array" ref="V4">_xlfn.LET(_xlpm.data,_xlfn.VSTACK('MDA1:NCA9'!V21),_xlpm.states,_xlfn.VSTACK('MDA1:NCA9'!$B$2),
SUM(_xlfn._xlws.FILTER(_xlpm.data,(_xlpm.states="Arizona")+(_xlpm.states="Maryland")+(_xlpm.states="North Carolina"))))</f>
        <v>392</v>
      </c>
      <c r="W4" s="164" cm="1">
        <f t="array" ref="W4">_xlfn.LET(_xlpm.data,_xlfn.VSTACK('MDA1:NCA9'!W21),_xlpm.states,_xlfn.VSTACK('MDA1:NCA9'!$B$2),
SUM(_xlfn._xlws.FILTER(_xlpm.data,(_xlpm.states="Arizona")+(_xlpm.states="Maryland")+(_xlpm.states="North Carolina"))))</f>
        <v>408</v>
      </c>
      <c r="X4" s="164" cm="1">
        <f t="array" ref="X4">_xlfn.LET(_xlpm.data,_xlfn.VSTACK('MDA1:NCA9'!X21),_xlpm.states,_xlfn.VSTACK('MDA1:NCA9'!$B$2),
SUM(_xlfn._xlws.FILTER(_xlpm.data,(_xlpm.states="Arizona")+(_xlpm.states="Maryland")+(_xlpm.states="North Carolina"))))</f>
        <v>423</v>
      </c>
      <c r="Y4" s="164" cm="1">
        <f t="array" ref="Y4">_xlfn.LET(_xlpm.data,_xlfn.VSTACK('MDA1:NCA9'!Y21),_xlpm.states,_xlfn.VSTACK('MDA1:NCA9'!$B$2),
SUM(_xlfn._xlws.FILTER(_xlpm.data,(_xlpm.states="Arizona")+(_xlpm.states="Maryland")+(_xlpm.states="North Carolina"))))</f>
        <v>434</v>
      </c>
      <c r="Z4" s="164" cm="1">
        <f t="array" ref="Z4">_xlfn.LET(_xlpm.data,_xlfn.VSTACK('MDA1:NCA9'!Z21),_xlpm.states,_xlfn.VSTACK('MDA1:NCA9'!$B$2),
SUM(_xlfn._xlws.FILTER(_xlpm.data,(_xlpm.states="Arizona")+(_xlpm.states="Maryland")+(_xlpm.states="North Carolina"))))</f>
        <v>447</v>
      </c>
      <c r="AA4" s="164" cm="1">
        <f t="array" ref="AA4">_xlfn.LET(_xlpm.data,_xlfn.VSTACK('MDA1:NCA9'!AA21),_xlpm.states,_xlfn.VSTACK('MDA1:NCA9'!$B$2),
SUM(_xlfn._xlws.FILTER(_xlpm.data,(_xlpm.states="Arizona")+(_xlpm.states="Maryland")+(_xlpm.states="North Carolina"))))</f>
        <v>458</v>
      </c>
      <c r="AB4" s="164" cm="1">
        <f t="array" ref="AB4">_xlfn.LET(_xlpm.data,_xlfn.VSTACK('MDA1:NCA9'!AB21),_xlpm.states,_xlfn.VSTACK('MDA1:NCA9'!$B$2),
SUM(_xlfn._xlws.FILTER(_xlpm.data,(_xlpm.states="Arizona")+(_xlpm.states="Maryland")+(_xlpm.states="North Carolina"))))</f>
        <v>467</v>
      </c>
      <c r="AC4" s="164" cm="1">
        <f t="array" ref="AC4">_xlfn.LET(_xlpm.data,_xlfn.VSTACK('MDA1:NCA9'!AC21),_xlpm.states,_xlfn.VSTACK('MDA1:NCA9'!$B$2),
SUM(_xlfn._xlws.FILTER(_xlpm.data,(_xlpm.states="Arizona")+(_xlpm.states="Maryland")+(_xlpm.states="North Carolina"))))</f>
        <v>476</v>
      </c>
      <c r="AD4" s="164" cm="1">
        <f t="array" ref="AD4">_xlfn.LET(_xlpm.data,_xlfn.VSTACK('MDA1:NCA9'!AD21),_xlpm.states,_xlfn.VSTACK('MDA1:NCA9'!$B$2),
SUM(_xlfn._xlws.FILTER(_xlpm.data,(_xlpm.states="Arizona")+(_xlpm.states="Maryland")+(_xlpm.states="North Carolina"))))</f>
        <v>485</v>
      </c>
      <c r="AE4" s="164" cm="1">
        <f t="array" ref="AE4">_xlfn.LET(_xlpm.data,_xlfn.VSTACK('MDA1:NCA9'!AE21),_xlpm.states,_xlfn.VSTACK('MDA1:NCA9'!$B$2),
SUM(_xlfn._xlws.FILTER(_xlpm.data,(_xlpm.states="Arizona")+(_xlpm.states="Maryland")+(_xlpm.states="North Carolina"))))</f>
        <v>492</v>
      </c>
      <c r="AF4" s="164" cm="1">
        <f t="array" ref="AF4">_xlfn.LET(_xlpm.data,_xlfn.VSTACK('MDA1:NCA9'!AF21),_xlpm.states,_xlfn.VSTACK('MDA1:NCA9'!$B$2),
SUM(_xlfn._xlws.FILTER(_xlpm.data,(_xlpm.states="Arizona")+(_xlpm.states="Maryland")+(_xlpm.states="North Carolina"))))</f>
        <v>500</v>
      </c>
      <c r="AG4" s="164" cm="1">
        <f t="array" ref="AG4">_xlfn.LET(_xlpm.data,_xlfn.VSTACK('MDA1:NCA9'!AG21),_xlpm.states,_xlfn.VSTACK('MDA1:NCA9'!$B$2),
SUM(_xlfn._xlws.FILTER(_xlpm.data,(_xlpm.states="Arizona")+(_xlpm.states="Maryland")+(_xlpm.states="North Carolina"))))</f>
        <v>507</v>
      </c>
      <c r="AH4" s="164" cm="1">
        <f t="array" ref="AH4">_xlfn.LET(_xlpm.data,_xlfn.VSTACK('MDA1:NCA9'!AH21),_xlpm.states,_xlfn.VSTACK('MDA1:NCA9'!$B$2),
SUM(_xlfn._xlws.FILTER(_xlpm.data,(_xlpm.states="Arizona")+(_xlpm.states="Maryland")+(_xlpm.states="North Carolina"))))</f>
        <v>521</v>
      </c>
      <c r="AI4" s="164" cm="1">
        <f t="array" ref="AI4">_xlfn.LET(_xlpm.data,_xlfn.VSTACK('MDA1:NCA9'!AI21),_xlpm.states,_xlfn.VSTACK('MDA1:NCA9'!$B$2),
SUM(_xlfn._xlws.FILTER(_xlpm.data,(_xlpm.states="Arizona")+(_xlpm.states="Maryland")+(_xlpm.states="North Carolina"))))</f>
        <v>535</v>
      </c>
      <c r="AJ4" s="164" cm="1">
        <f t="array" ref="AJ4">_xlfn.LET(_xlpm.data,_xlfn.VSTACK('MDA1:NCA9'!AJ21),_xlpm.states,_xlfn.VSTACK('MDA1:NCA9'!$B$2),
SUM(_xlfn._xlws.FILTER(_xlpm.data,(_xlpm.states="Arizona")+(_xlpm.states="Maryland")+(_xlpm.states="North Carolina"))))</f>
        <v>550</v>
      </c>
      <c r="AK4" s="164" cm="1">
        <f t="array" ref="AK4">_xlfn.LET(_xlpm.data,_xlfn.VSTACK('MDA1:NCA9'!AK21),_xlpm.states,_xlfn.VSTACK('MDA1:NCA9'!$B$2),
SUM(_xlfn._xlws.FILTER(_xlpm.data,(_xlpm.states="Arizona")+(_xlpm.states="Maryland")+(_xlpm.states="North Carolina"))))</f>
        <v>561</v>
      </c>
      <c r="AL4" s="164" cm="1">
        <f t="array" ref="AL4">_xlfn.LET(_xlpm.data,_xlfn.VSTACK('MDA1:NCA9'!AL21),_xlpm.states,_xlfn.VSTACK('MDA1:NCA9'!$B$2),
SUM(_xlfn._xlws.FILTER(_xlpm.data,(_xlpm.states="Arizona")+(_xlpm.states="Maryland")+(_xlpm.states="North Carolina"))))</f>
        <v>568</v>
      </c>
      <c r="AM4" s="164" cm="1">
        <f t="array" ref="AM4">_xlfn.LET(_xlpm.data,_xlfn.VSTACK('MDA1:NCA9'!AM21),_xlpm.states,_xlfn.VSTACK('MDA1:NCA9'!$B$2),
SUM(_xlfn._xlws.FILTER(_xlpm.data,(_xlpm.states="Arizona")+(_xlpm.states="Maryland")+(_xlpm.states="North Carolina"))))</f>
        <v>577</v>
      </c>
      <c r="AN4" s="164" cm="1">
        <f t="array" ref="AN4">_xlfn.LET(_xlpm.data,_xlfn.VSTACK('MDA1:NCA9'!AN21),_xlpm.states,_xlfn.VSTACK('MDA1:NCA9'!$B$2),
SUM(_xlfn._xlws.FILTER(_xlpm.data,(_xlpm.states="Arizona")+(_xlpm.states="Maryland")+(_xlpm.states="North Carolina"))))</f>
        <v>585</v>
      </c>
    </row>
    <row r="5" spans="1:40" hidden="1" outlineLevel="1" x14ac:dyDescent="0.25">
      <c r="B5" s="39" t="s">
        <v>256</v>
      </c>
      <c r="C5" s="3"/>
      <c r="D5" s="3"/>
      <c r="E5" s="164" cm="1">
        <f t="array" ref="E5">_xlfn.LET(_xlpm.data,_xlfn.VSTACK('MDA1:NCA9'!E6)-_xlfn.VSTACK('MDA1:NCA9'!E21),_xlpm.states,_xlfn.VSTACK('MDA1:NCA9'!$B$2),
SUM(_xlfn._xlws.FILTER(_xlpm.data,(_xlpm.states="Arizona")+(_xlpm.states="Maryland")+(_xlpm.states="North Carolina"))))</f>
        <v>41</v>
      </c>
      <c r="F5" s="164" cm="1">
        <f t="array" ref="F5">_xlfn.LET(_xlpm.data,_xlfn.VSTACK('MDA1:NCA9'!F6)-_xlfn.VSTACK('MDA1:NCA9'!F21),_xlpm.states,_xlfn.VSTACK('MDA1:NCA9'!$B$2),
SUM(_xlfn._xlws.FILTER(_xlpm.data,(_xlpm.states="Arizona")+(_xlpm.states="Maryland")+(_xlpm.states="North Carolina"))))</f>
        <v>46</v>
      </c>
      <c r="G5" s="164" cm="1">
        <f t="array" ref="G5">_xlfn.LET(_xlpm.data,_xlfn.VSTACK('MDA1:NCA9'!G6)-_xlfn.VSTACK('MDA1:NCA9'!G21),_xlpm.states,_xlfn.VSTACK('MDA1:NCA9'!$B$2),
SUM(_xlfn._xlws.FILTER(_xlpm.data,(_xlpm.states="Arizona")+(_xlpm.states="Maryland")+(_xlpm.states="North Carolina"))))</f>
        <v>46</v>
      </c>
      <c r="H5" s="164" cm="1">
        <f t="array" ref="H5">_xlfn.LET(_xlpm.data,_xlfn.VSTACK('MDA1:NCA9'!H6)-_xlfn.VSTACK('MDA1:NCA9'!H21),_xlpm.states,_xlfn.VSTACK('MDA1:NCA9'!$B$2),
SUM(_xlfn._xlws.FILTER(_xlpm.data,(_xlpm.states="Arizona")+(_xlpm.states="Maryland")+(_xlpm.states="North Carolina"))))</f>
        <v>45</v>
      </c>
      <c r="I5" s="164" cm="1">
        <f t="array" ref="I5">_xlfn.LET(_xlpm.data,_xlfn.VSTACK('MDA1:NCA9'!I6)-_xlfn.VSTACK('MDA1:NCA9'!I21),_xlpm.states,_xlfn.VSTACK('MDA1:NCA9'!$B$2),
SUM(_xlfn._xlws.FILTER(_xlpm.data,(_xlpm.states="Arizona")+(_xlpm.states="Maryland")+(_xlpm.states="North Carolina"))))</f>
        <v>46</v>
      </c>
      <c r="J5" s="164" cm="1">
        <f t="array" ref="J5">_xlfn.LET(_xlpm.data,_xlfn.VSTACK('MDA1:NCA9'!J6)-_xlfn.VSTACK('MDA1:NCA9'!J21),_xlpm.states,_xlfn.VSTACK('MDA1:NCA9'!$B$2),
SUM(_xlfn._xlws.FILTER(_xlpm.data,(_xlpm.states="Arizona")+(_xlpm.states="Maryland")+(_xlpm.states="North Carolina"))))</f>
        <v>49</v>
      </c>
      <c r="K5" s="164" cm="1">
        <f t="array" ref="K5">_xlfn.LET(_xlpm.data,_xlfn.VSTACK('MDA1:NCA9'!K6)-_xlfn.VSTACK('MDA1:NCA9'!K21),_xlpm.states,_xlfn.VSTACK('MDA1:NCA9'!$B$2),
SUM(_xlfn._xlws.FILTER(_xlpm.data,(_xlpm.states="Arizona")+(_xlpm.states="Maryland")+(_xlpm.states="North Carolina"))))</f>
        <v>54</v>
      </c>
      <c r="L5" s="164" cm="1">
        <f t="array" ref="L5">_xlfn.LET(_xlpm.data,_xlfn.VSTACK('MDA1:NCA9'!L6)-_xlfn.VSTACK('MDA1:NCA9'!L21),_xlpm.states,_xlfn.VSTACK('MDA1:NCA9'!$B$2),
SUM(_xlfn._xlws.FILTER(_xlpm.data,(_xlpm.states="Arizona")+(_xlpm.states="Maryland")+(_xlpm.states="North Carolina"))))</f>
        <v>57</v>
      </c>
      <c r="M5" s="164" cm="1">
        <f t="array" ref="M5">_xlfn.LET(_xlpm.data,_xlfn.VSTACK('MDA1:NCA9'!M6)-_xlfn.VSTACK('MDA1:NCA9'!M21),_xlpm.states,_xlfn.VSTACK('MDA1:NCA9'!$B$2),
SUM(_xlfn._xlws.FILTER(_xlpm.data,(_xlpm.states="Arizona")+(_xlpm.states="Maryland")+(_xlpm.states="North Carolina"))))</f>
        <v>58</v>
      </c>
      <c r="N5" s="164" cm="1">
        <f t="array" ref="N5">_xlfn.LET(_xlpm.data,_xlfn.VSTACK('MDA1:NCA9'!N6)-_xlfn.VSTACK('MDA1:NCA9'!N21),_xlpm.states,_xlfn.VSTACK('MDA1:NCA9'!$B$2),
SUM(_xlfn._xlws.FILTER(_xlpm.data,(_xlpm.states="Arizona")+(_xlpm.states="Maryland")+(_xlpm.states="North Carolina"))))</f>
        <v>60</v>
      </c>
      <c r="O5" s="164" cm="1">
        <f t="array" ref="O5">_xlfn.LET(_xlpm.data,_xlfn.VSTACK('MDA1:NCA9'!O6)-_xlfn.VSTACK('MDA1:NCA9'!O21),_xlpm.states,_xlfn.VSTACK('MDA1:NCA9'!$B$2),
SUM(_xlfn._xlws.FILTER(_xlpm.data,(_xlpm.states="Arizona")+(_xlpm.states="Maryland")+(_xlpm.states="North Carolina"))))</f>
        <v>63</v>
      </c>
      <c r="P5" s="164" cm="1">
        <f t="array" ref="P5">_xlfn.LET(_xlpm.data,_xlfn.VSTACK('MDA1:NCA9'!P6)-_xlfn.VSTACK('MDA1:NCA9'!P21),_xlpm.states,_xlfn.VSTACK('MDA1:NCA9'!$B$2),
SUM(_xlfn._xlws.FILTER(_xlpm.data,(_xlpm.states="Arizona")+(_xlpm.states="Maryland")+(_xlpm.states="North Carolina"))))</f>
        <v>64</v>
      </c>
      <c r="Q5" s="164" cm="1">
        <f t="array" ref="Q5">_xlfn.LET(_xlpm.data,_xlfn.VSTACK('MDA1:NCA9'!Q6)-_xlfn.VSTACK('MDA1:NCA9'!Q21),_xlpm.states,_xlfn.VSTACK('MDA1:NCA9'!$B$2),
SUM(_xlfn._xlws.FILTER(_xlpm.data,(_xlpm.states="Arizona")+(_xlpm.states="Maryland")+(_xlpm.states="North Carolina"))))</f>
        <v>67</v>
      </c>
      <c r="R5" s="164" cm="1">
        <f t="array" ref="R5">_xlfn.LET(_xlpm.data,_xlfn.VSTACK('MDA1:NCA9'!R6)-_xlfn.VSTACK('MDA1:NCA9'!R21),_xlpm.states,_xlfn.VSTACK('MDA1:NCA9'!$B$2),
SUM(_xlfn._xlws.FILTER(_xlpm.data,(_xlpm.states="Arizona")+(_xlpm.states="Maryland")+(_xlpm.states="North Carolina"))))</f>
        <v>69</v>
      </c>
      <c r="S5" s="164" cm="1">
        <f t="array" ref="S5">_xlfn.LET(_xlpm.data,_xlfn.VSTACK('MDA1:NCA9'!S6)-_xlfn.VSTACK('MDA1:NCA9'!S21),_xlpm.states,_xlfn.VSTACK('MDA1:NCA9'!$B$2),
SUM(_xlfn._xlws.FILTER(_xlpm.data,(_xlpm.states="Arizona")+(_xlpm.states="Maryland")+(_xlpm.states="North Carolina"))))</f>
        <v>69</v>
      </c>
      <c r="T5" s="164" cm="1">
        <f t="array" ref="T5">_xlfn.LET(_xlpm.data,_xlfn.VSTACK('MDA1:NCA9'!T6)-_xlfn.VSTACK('MDA1:NCA9'!T21),_xlpm.states,_xlfn.VSTACK('MDA1:NCA9'!$B$2),
SUM(_xlfn._xlws.FILTER(_xlpm.data,(_xlpm.states="Arizona")+(_xlpm.states="Maryland")+(_xlpm.states="North Carolina"))))</f>
        <v>71</v>
      </c>
      <c r="U5" s="164" cm="1">
        <f t="array" ref="U5">_xlfn.LET(_xlpm.data,_xlfn.VSTACK('MDA1:NCA9'!U6)-_xlfn.VSTACK('MDA1:NCA9'!U21),_xlpm.states,_xlfn.VSTACK('MDA1:NCA9'!$B$2),
SUM(_xlfn._xlws.FILTER(_xlpm.data,(_xlpm.states="Arizona")+(_xlpm.states="Maryland")+(_xlpm.states="North Carolina"))))</f>
        <v>71</v>
      </c>
      <c r="V5" s="164" cm="1">
        <f t="array" ref="V5">_xlfn.LET(_xlpm.data,_xlfn.VSTACK('MDA1:NCA9'!V6)-_xlfn.VSTACK('MDA1:NCA9'!V21),_xlpm.states,_xlfn.VSTACK('MDA1:NCA9'!$B$2),
SUM(_xlfn._xlws.FILTER(_xlpm.data,(_xlpm.states="Arizona")+(_xlpm.states="Maryland")+(_xlpm.states="North Carolina"))))</f>
        <v>74</v>
      </c>
      <c r="W5" s="164" cm="1">
        <f t="array" ref="W5">_xlfn.LET(_xlpm.data,_xlfn.VSTACK('MDA1:NCA9'!W6)-_xlfn.VSTACK('MDA1:NCA9'!W21),_xlpm.states,_xlfn.VSTACK('MDA1:NCA9'!$B$2),
SUM(_xlfn._xlws.FILTER(_xlpm.data,(_xlpm.states="Arizona")+(_xlpm.states="Maryland")+(_xlpm.states="North Carolina"))))</f>
        <v>77</v>
      </c>
      <c r="X5" s="164" cm="1">
        <f t="array" ref="X5">_xlfn.LET(_xlpm.data,_xlfn.VSTACK('MDA1:NCA9'!X6)-_xlfn.VSTACK('MDA1:NCA9'!X21),_xlpm.states,_xlfn.VSTACK('MDA1:NCA9'!$B$2),
SUM(_xlfn._xlws.FILTER(_xlpm.data,(_xlpm.states="Arizona")+(_xlpm.states="Maryland")+(_xlpm.states="North Carolina"))))</f>
        <v>79</v>
      </c>
      <c r="Y5" s="164" cm="1">
        <f t="array" ref="Y5">_xlfn.LET(_xlpm.data,_xlfn.VSTACK('MDA1:NCA9'!Y6)-_xlfn.VSTACK('MDA1:NCA9'!Y21),_xlpm.states,_xlfn.VSTACK('MDA1:NCA9'!$B$2),
SUM(_xlfn._xlws.FILTER(_xlpm.data,(_xlpm.states="Arizona")+(_xlpm.states="Maryland")+(_xlpm.states="North Carolina"))))</f>
        <v>85</v>
      </c>
      <c r="Z5" s="164" cm="1">
        <f t="array" ref="Z5">_xlfn.LET(_xlpm.data,_xlfn.VSTACK('MDA1:NCA9'!Z6)-_xlfn.VSTACK('MDA1:NCA9'!Z21),_xlpm.states,_xlfn.VSTACK('MDA1:NCA9'!$B$2),
SUM(_xlfn._xlws.FILTER(_xlpm.data,(_xlpm.states="Arizona")+(_xlpm.states="Maryland")+(_xlpm.states="North Carolina"))))</f>
        <v>84</v>
      </c>
      <c r="AA5" s="164" cm="1">
        <f t="array" ref="AA5">_xlfn.LET(_xlpm.data,_xlfn.VSTACK('MDA1:NCA9'!AA6)-_xlfn.VSTACK('MDA1:NCA9'!AA21),_xlpm.states,_xlfn.VSTACK('MDA1:NCA9'!$B$2),
SUM(_xlfn._xlws.FILTER(_xlpm.data,(_xlpm.states="Arizona")+(_xlpm.states="Maryland")+(_xlpm.states="North Carolina"))))</f>
        <v>87</v>
      </c>
      <c r="AB5" s="164" cm="1">
        <f t="array" ref="AB5">_xlfn.LET(_xlpm.data,_xlfn.VSTACK('MDA1:NCA9'!AB6)-_xlfn.VSTACK('MDA1:NCA9'!AB21),_xlpm.states,_xlfn.VSTACK('MDA1:NCA9'!$B$2),
SUM(_xlfn._xlws.FILTER(_xlpm.data,(_xlpm.states="Arizona")+(_xlpm.states="Maryland")+(_xlpm.states="North Carolina"))))</f>
        <v>88</v>
      </c>
      <c r="AC5" s="164" cm="1">
        <f t="array" ref="AC5">_xlfn.LET(_xlpm.data,_xlfn.VSTACK('MDA1:NCA9'!AC6)-_xlfn.VSTACK('MDA1:NCA9'!AC21),_xlpm.states,_xlfn.VSTACK('MDA1:NCA9'!$B$2),
SUM(_xlfn._xlws.FILTER(_xlpm.data,(_xlpm.states="Arizona")+(_xlpm.states="Maryland")+(_xlpm.states="North Carolina"))))</f>
        <v>87</v>
      </c>
      <c r="AD5" s="164" cm="1">
        <f t="array" ref="AD5">_xlfn.LET(_xlpm.data,_xlfn.VSTACK('MDA1:NCA9'!AD6)-_xlfn.VSTACK('MDA1:NCA9'!AD21),_xlpm.states,_xlfn.VSTACK('MDA1:NCA9'!$B$2),
SUM(_xlfn._xlws.FILTER(_xlpm.data,(_xlpm.states="Arizona")+(_xlpm.states="Maryland")+(_xlpm.states="North Carolina"))))</f>
        <v>89</v>
      </c>
      <c r="AE5" s="164" cm="1">
        <f t="array" ref="AE5">_xlfn.LET(_xlpm.data,_xlfn.VSTACK('MDA1:NCA9'!AE6)-_xlfn.VSTACK('MDA1:NCA9'!AE21),_xlpm.states,_xlfn.VSTACK('MDA1:NCA9'!$B$2),
SUM(_xlfn._xlws.FILTER(_xlpm.data,(_xlpm.states="Arizona")+(_xlpm.states="Maryland")+(_xlpm.states="North Carolina"))))</f>
        <v>90</v>
      </c>
      <c r="AF5" s="164" cm="1">
        <f t="array" ref="AF5">_xlfn.LET(_xlpm.data,_xlfn.VSTACK('MDA1:NCA9'!AF6)-_xlfn.VSTACK('MDA1:NCA9'!AF21),_xlpm.states,_xlfn.VSTACK('MDA1:NCA9'!$B$2),
SUM(_xlfn._xlws.FILTER(_xlpm.data,(_xlpm.states="Arizona")+(_xlpm.states="Maryland")+(_xlpm.states="North Carolina"))))</f>
        <v>90</v>
      </c>
      <c r="AG5" s="164" cm="1">
        <f t="array" ref="AG5">_xlfn.LET(_xlpm.data,_xlfn.VSTACK('MDA1:NCA9'!AG6)-_xlfn.VSTACK('MDA1:NCA9'!AG21),_xlpm.states,_xlfn.VSTACK('MDA1:NCA9'!$B$2),
SUM(_xlfn._xlws.FILTER(_xlpm.data,(_xlpm.states="Arizona")+(_xlpm.states="Maryland")+(_xlpm.states="North Carolina"))))</f>
        <v>92</v>
      </c>
      <c r="AH5" s="164" cm="1">
        <f t="array" ref="AH5">_xlfn.LET(_xlpm.data,_xlfn.VSTACK('MDA1:NCA9'!AH6)-_xlfn.VSTACK('MDA1:NCA9'!AH21),_xlpm.states,_xlfn.VSTACK('MDA1:NCA9'!$B$2),
SUM(_xlfn._xlws.FILTER(_xlpm.data,(_xlpm.states="Arizona")+(_xlpm.states="Maryland")+(_xlpm.states="North Carolina"))))</f>
        <v>96</v>
      </c>
      <c r="AI5" s="164" cm="1">
        <f t="array" ref="AI5">_xlfn.LET(_xlpm.data,_xlfn.VSTACK('MDA1:NCA9'!AI6)-_xlfn.VSTACK('MDA1:NCA9'!AI21),_xlpm.states,_xlfn.VSTACK('MDA1:NCA9'!$B$2),
SUM(_xlfn._xlws.FILTER(_xlpm.data,(_xlpm.states="Arizona")+(_xlpm.states="Maryland")+(_xlpm.states="North Carolina"))))</f>
        <v>102</v>
      </c>
      <c r="AJ5" s="164" cm="1">
        <f t="array" ref="AJ5">_xlfn.LET(_xlpm.data,_xlfn.VSTACK('MDA1:NCA9'!AJ6)-_xlfn.VSTACK('MDA1:NCA9'!AJ21),_xlpm.states,_xlfn.VSTACK('MDA1:NCA9'!$B$2),
SUM(_xlfn._xlws.FILTER(_xlpm.data,(_xlpm.states="Arizona")+(_xlpm.states="Maryland")+(_xlpm.states="North Carolina"))))</f>
        <v>102</v>
      </c>
      <c r="AK5" s="164" cm="1">
        <f t="array" ref="AK5">_xlfn.LET(_xlpm.data,_xlfn.VSTACK('MDA1:NCA9'!AK6)-_xlfn.VSTACK('MDA1:NCA9'!AK21),_xlpm.states,_xlfn.VSTACK('MDA1:NCA9'!$B$2),
SUM(_xlfn._xlws.FILTER(_xlpm.data,(_xlpm.states="Arizona")+(_xlpm.states="Maryland")+(_xlpm.states="North Carolina"))))</f>
        <v>103</v>
      </c>
      <c r="AL5" s="164" cm="1">
        <f t="array" ref="AL5">_xlfn.LET(_xlpm.data,_xlfn.VSTACK('MDA1:NCA9'!AL6)-_xlfn.VSTACK('MDA1:NCA9'!AL21),_xlpm.states,_xlfn.VSTACK('MDA1:NCA9'!$B$2),
SUM(_xlfn._xlws.FILTER(_xlpm.data,(_xlpm.states="Arizona")+(_xlpm.states="Maryland")+(_xlpm.states="North Carolina"))))</f>
        <v>105</v>
      </c>
      <c r="AM5" s="164" cm="1">
        <f t="array" ref="AM5">_xlfn.LET(_xlpm.data,_xlfn.VSTACK('MDA1:NCA9'!AM6)-_xlfn.VSTACK('MDA1:NCA9'!AM21),_xlpm.states,_xlfn.VSTACK('MDA1:NCA9'!$B$2),
SUM(_xlfn._xlws.FILTER(_xlpm.data,(_xlpm.states="Arizona")+(_xlpm.states="Maryland")+(_xlpm.states="North Carolina"))))</f>
        <v>105</v>
      </c>
      <c r="AN5" s="164" cm="1">
        <f t="array" ref="AN5">_xlfn.LET(_xlpm.data,_xlfn.VSTACK('MDA1:NCA9'!AN6)-_xlfn.VSTACK('MDA1:NCA9'!AN21),_xlpm.states,_xlfn.VSTACK('MDA1:NCA9'!$B$2),
SUM(_xlfn._xlws.FILTER(_xlpm.data,(_xlpm.states="Arizona")+(_xlpm.states="Maryland")+(_xlpm.states="North Carolina"))))</f>
        <v>105</v>
      </c>
    </row>
    <row r="6" spans="1:40" hidden="1" outlineLevel="1" x14ac:dyDescent="0.25">
      <c r="B6" s="94"/>
      <c r="C6" s="3"/>
      <c r="D6" s="3"/>
      <c r="E6" s="69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</row>
    <row r="7" spans="1:40" hidden="1" outlineLevel="1" x14ac:dyDescent="0.25">
      <c r="B7" s="39" t="s">
        <v>309</v>
      </c>
      <c r="C7" s="3"/>
      <c r="D7" s="3"/>
      <c r="E7" s="164" cm="1">
        <f t="array" ref="E7">_xlfn.LET(_xlpm.data,_xlfn.VSTACK('MDA1:NCA9'!E7),_xlpm.states,_xlfn.VSTACK('MDA1:NCA9'!$B$2),
SUM(_xlfn._xlws.FILTER(_xlpm.data,(_xlpm.states="Arizona")+(_xlpm.states="Maryland")+(_xlpm.states="North Carolina"))))</f>
        <v>187.57</v>
      </c>
      <c r="F7" s="164" cm="1">
        <f t="array" ref="F7">_xlfn.LET(_xlpm.data,_xlfn.VSTACK('MDA1:NCA9'!F7),_xlpm.states,_xlfn.VSTACK('MDA1:NCA9'!$B$2),
SUM(_xlfn._xlws.FILTER(_xlpm.data,(_xlpm.states="Arizona")+(_xlpm.states="Maryland")+(_xlpm.states="North Carolina"))))</f>
        <v>192.32000000000002</v>
      </c>
      <c r="G7" s="164" cm="1">
        <f t="array" ref="G7">_xlfn.LET(_xlpm.data,_xlfn.VSTACK('MDA1:NCA9'!G7),_xlpm.states,_xlfn.VSTACK('MDA1:NCA9'!$B$2),
SUM(_xlfn._xlws.FILTER(_xlpm.data,(_xlpm.states="Arizona")+(_xlpm.states="Maryland")+(_xlpm.states="North Carolina"))))</f>
        <v>197.95999999999998</v>
      </c>
      <c r="H7" s="164" cm="1">
        <f t="array" ref="H7">_xlfn.LET(_xlpm.data,_xlfn.VSTACK('MDA1:NCA9'!H7),_xlpm.states,_xlfn.VSTACK('MDA1:NCA9'!$B$2),
SUM(_xlfn._xlws.FILTER(_xlpm.data,(_xlpm.states="Arizona")+(_xlpm.states="Maryland")+(_xlpm.states="North Carolina"))))</f>
        <v>200.98999999999998</v>
      </c>
      <c r="I7" s="164" cm="1">
        <f t="array" ref="I7">_xlfn.LET(_xlpm.data,_xlfn.VSTACK('MDA1:NCA9'!I7),_xlpm.states,_xlfn.VSTACK('MDA1:NCA9'!$B$2),
SUM(_xlfn._xlws.FILTER(_xlpm.data,(_xlpm.states="Arizona")+(_xlpm.states="Maryland")+(_xlpm.states="North Carolina"))))</f>
        <v>203.58</v>
      </c>
      <c r="J7" s="164" cm="1">
        <f t="array" ref="J7">_xlfn.LET(_xlpm.data,_xlfn.VSTACK('MDA1:NCA9'!J7),_xlpm.states,_xlfn.VSTACK('MDA1:NCA9'!$B$2),
SUM(_xlfn._xlws.FILTER(_xlpm.data,(_xlpm.states="Arizona")+(_xlpm.states="Maryland")+(_xlpm.states="North Carolina"))))</f>
        <v>209.89999999999998</v>
      </c>
      <c r="K7" s="164" cm="1">
        <f t="array" ref="K7">_xlfn.LET(_xlpm.data,_xlfn.VSTACK('MDA1:NCA9'!K7),_xlpm.states,_xlfn.VSTACK('MDA1:NCA9'!$B$2),
SUM(_xlfn._xlws.FILTER(_xlpm.data,(_xlpm.states="Arizona")+(_xlpm.states="Maryland")+(_xlpm.states="North Carolina"))))</f>
        <v>223.82999999999996</v>
      </c>
      <c r="L7" s="164" cm="1">
        <f t="array" ref="L7">_xlfn.LET(_xlpm.data,_xlfn.VSTACK('MDA1:NCA9'!L7),_xlpm.states,_xlfn.VSTACK('MDA1:NCA9'!$B$2),
SUM(_xlfn._xlws.FILTER(_xlpm.data,(_xlpm.states="Arizona")+(_xlpm.states="Maryland")+(_xlpm.states="North Carolina"))))</f>
        <v>229.68999999999997</v>
      </c>
      <c r="M7" s="164" cm="1">
        <f t="array" ref="M7">_xlfn.LET(_xlpm.data,_xlfn.VSTACK('MDA1:NCA9'!M7),_xlpm.states,_xlfn.VSTACK('MDA1:NCA9'!$B$2),
SUM(_xlfn._xlws.FILTER(_xlpm.data,(_xlpm.states="Arizona")+(_xlpm.states="Maryland")+(_xlpm.states="North Carolina"))))</f>
        <v>235.99999999999997</v>
      </c>
      <c r="N7" s="164" cm="1">
        <f t="array" ref="N7">_xlfn.LET(_xlpm.data,_xlfn.VSTACK('MDA1:NCA9'!N7),_xlpm.states,_xlfn.VSTACK('MDA1:NCA9'!$B$2),
SUM(_xlfn._xlws.FILTER(_xlpm.data,(_xlpm.states="Arizona")+(_xlpm.states="Maryland")+(_xlpm.states="North Carolina"))))</f>
        <v>245.17</v>
      </c>
      <c r="O7" s="164" cm="1">
        <f t="array" ref="O7">_xlfn.LET(_xlpm.data,_xlfn.VSTACK('MDA1:NCA9'!O7),_xlpm.states,_xlfn.VSTACK('MDA1:NCA9'!$B$2),
SUM(_xlfn._xlws.FILTER(_xlpm.data,(_xlpm.states="Arizona")+(_xlpm.states="Maryland")+(_xlpm.states="North Carolina"))))</f>
        <v>256.26000000000005</v>
      </c>
      <c r="P7" s="164" cm="1">
        <f t="array" ref="P7">_xlfn.LET(_xlpm.data,_xlfn.VSTACK('MDA1:NCA9'!P7),_xlpm.states,_xlfn.VSTACK('MDA1:NCA9'!$B$2),
SUM(_xlfn._xlws.FILTER(_xlpm.data,(_xlpm.states="Arizona")+(_xlpm.states="Maryland")+(_xlpm.states="North Carolina"))))</f>
        <v>268.21999999999997</v>
      </c>
      <c r="Q7" s="164" cm="1">
        <f t="array" ref="Q7">_xlfn.LET(_xlpm.data,_xlfn.VSTACK('MDA1:NCA9'!Q7),_xlpm.states,_xlfn.VSTACK('MDA1:NCA9'!$B$2),
SUM(_xlfn._xlws.FILTER(_xlpm.data,(_xlpm.states="Arizona")+(_xlpm.states="Maryland")+(_xlpm.states="North Carolina"))))</f>
        <v>279.28999999999996</v>
      </c>
      <c r="R7" s="164" cm="1">
        <f t="array" ref="R7">_xlfn.LET(_xlpm.data,_xlfn.VSTACK('MDA1:NCA9'!R7),_xlpm.states,_xlfn.VSTACK('MDA1:NCA9'!$B$2),
SUM(_xlfn._xlws.FILTER(_xlpm.data,(_xlpm.states="Arizona")+(_xlpm.states="Maryland")+(_xlpm.states="North Carolina"))))</f>
        <v>289.84999999999997</v>
      </c>
      <c r="S7" s="164" cm="1">
        <f t="array" ref="S7">_xlfn.LET(_xlpm.data,_xlfn.VSTACK('MDA1:NCA9'!S7),_xlpm.states,_xlfn.VSTACK('MDA1:NCA9'!$B$2),
SUM(_xlfn._xlws.FILTER(_xlpm.data,(_xlpm.states="Arizona")+(_xlpm.states="Maryland")+(_xlpm.states="North Carolina"))))</f>
        <v>300.02999999999997</v>
      </c>
      <c r="T7" s="164" cm="1">
        <f t="array" ref="T7">_xlfn.LET(_xlpm.data,_xlfn.VSTACK('MDA1:NCA9'!T7),_xlpm.states,_xlfn.VSTACK('MDA1:NCA9'!$B$2),
SUM(_xlfn._xlws.FILTER(_xlpm.data,(_xlpm.states="Arizona")+(_xlpm.states="Maryland")+(_xlpm.states="North Carolina"))))</f>
        <v>310.18999999999994</v>
      </c>
      <c r="U7" s="164" cm="1">
        <f t="array" ref="U7">_xlfn.LET(_xlpm.data,_xlfn.VSTACK('MDA1:NCA9'!U7),_xlpm.states,_xlfn.VSTACK('MDA1:NCA9'!$B$2),
SUM(_xlfn._xlws.FILTER(_xlpm.data,(_xlpm.states="Arizona")+(_xlpm.states="Maryland")+(_xlpm.states="North Carolina"))))</f>
        <v>319.85999999999996</v>
      </c>
      <c r="V7" s="164" cm="1">
        <f t="array" ref="V7">_xlfn.LET(_xlpm.data,_xlfn.VSTACK('MDA1:NCA9'!V7),_xlpm.states,_xlfn.VSTACK('MDA1:NCA9'!$B$2),
SUM(_xlfn._xlws.FILTER(_xlpm.data,(_xlpm.states="Arizona")+(_xlpm.states="Maryland")+(_xlpm.states="North Carolina"))))</f>
        <v>330.44999999999993</v>
      </c>
      <c r="W7" s="164" cm="1">
        <f t="array" ref="W7">_xlfn.LET(_xlpm.data,_xlfn.VSTACK('MDA1:NCA9'!W7),_xlpm.states,_xlfn.VSTACK('MDA1:NCA9'!$B$2),
SUM(_xlfn._xlws.FILTER(_xlpm.data,(_xlpm.states="Arizona")+(_xlpm.states="Maryland")+(_xlpm.states="North Carolina"))))</f>
        <v>343.49</v>
      </c>
      <c r="X7" s="164" cm="1">
        <f t="array" ref="X7">_xlfn.LET(_xlpm.data,_xlfn.VSTACK('MDA1:NCA9'!X7),_xlpm.states,_xlfn.VSTACK('MDA1:NCA9'!$B$2),
SUM(_xlfn._xlws.FILTER(_xlpm.data,(_xlpm.states="Arizona")+(_xlpm.states="Maryland")+(_xlpm.states="North Carolina"))))</f>
        <v>355.51999999999992</v>
      </c>
      <c r="Y7" s="164" cm="1">
        <f t="array" ref="Y7">_xlfn.LET(_xlpm.data,_xlfn.VSTACK('MDA1:NCA9'!Y7),_xlpm.states,_xlfn.VSTACK('MDA1:NCA9'!$B$2),
SUM(_xlfn._xlws.FILTER(_xlpm.data,(_xlpm.states="Arizona")+(_xlpm.states="Maryland")+(_xlpm.states="North Carolina"))))</f>
        <v>366.12</v>
      </c>
      <c r="Z7" s="164" cm="1">
        <f t="array" ref="Z7">_xlfn.LET(_xlpm.data,_xlfn.VSTACK('MDA1:NCA9'!Z7),_xlpm.states,_xlfn.VSTACK('MDA1:NCA9'!$B$2),
SUM(_xlfn._xlws.FILTER(_xlpm.data,(_xlpm.states="Arizona")+(_xlpm.states="Maryland")+(_xlpm.states="North Carolina"))))</f>
        <v>376.72999999999996</v>
      </c>
      <c r="AA7" s="164" cm="1">
        <f t="array" ref="AA7">_xlfn.LET(_xlpm.data,_xlfn.VSTACK('MDA1:NCA9'!AA7),_xlpm.states,_xlfn.VSTACK('MDA1:NCA9'!$B$2),
SUM(_xlfn._xlws.FILTER(_xlpm.data,(_xlpm.states="Arizona")+(_xlpm.states="Maryland")+(_xlpm.states="North Carolina"))))</f>
        <v>386.88</v>
      </c>
      <c r="AB7" s="164" cm="1">
        <f t="array" ref="AB7">_xlfn.LET(_xlpm.data,_xlfn.VSTACK('MDA1:NCA9'!AB7),_xlpm.states,_xlfn.VSTACK('MDA1:NCA9'!$B$2),
SUM(_xlfn._xlws.FILTER(_xlpm.data,(_xlpm.states="Arizona")+(_xlpm.states="Maryland")+(_xlpm.states="North Carolina"))))</f>
        <v>394.24999999999994</v>
      </c>
      <c r="AC7" s="164" cm="1">
        <f t="array" ref="AC7">_xlfn.LET(_xlpm.data,_xlfn.VSTACK('MDA1:NCA9'!AC7),_xlpm.states,_xlfn.VSTACK('MDA1:NCA9'!$B$2),
SUM(_xlfn._xlws.FILTER(_xlpm.data,(_xlpm.states="Arizona")+(_xlpm.states="Maryland")+(_xlpm.states="North Carolina"))))</f>
        <v>402.02999999999992</v>
      </c>
      <c r="AD7" s="164" cm="1">
        <f t="array" ref="AD7">_xlfn.LET(_xlpm.data,_xlfn.VSTACK('MDA1:NCA9'!AD7),_xlpm.states,_xlfn.VSTACK('MDA1:NCA9'!$B$2),
SUM(_xlfn._xlws.FILTER(_xlpm.data,(_xlpm.states="Arizona")+(_xlpm.states="Maryland")+(_xlpm.states="North Carolina"))))</f>
        <v>409.80999999999983</v>
      </c>
      <c r="AE7" s="164" cm="1">
        <f t="array" ref="AE7">_xlfn.LET(_xlpm.data,_xlfn.VSTACK('MDA1:NCA9'!AE7),_xlpm.states,_xlfn.VSTACK('MDA1:NCA9'!$B$2),
SUM(_xlfn._xlws.FILTER(_xlpm.data,(_xlpm.states="Arizona")+(_xlpm.states="Maryland")+(_xlpm.states="North Carolina"))))</f>
        <v>415.75999999999988</v>
      </c>
      <c r="AF7" s="164" cm="1">
        <f t="array" ref="AF7">_xlfn.LET(_xlpm.data,_xlfn.VSTACK('MDA1:NCA9'!AF7),_xlpm.states,_xlfn.VSTACK('MDA1:NCA9'!$B$2),
SUM(_xlfn._xlws.FILTER(_xlpm.data,(_xlpm.states="Arizona")+(_xlpm.states="Maryland")+(_xlpm.states="North Carolina"))))</f>
        <v>422.21999999999986</v>
      </c>
      <c r="AG7" s="164" cm="1">
        <f t="array" ref="AG7">_xlfn.LET(_xlpm.data,_xlfn.VSTACK('MDA1:NCA9'!AG7),_xlpm.states,_xlfn.VSTACK('MDA1:NCA9'!$B$2),
SUM(_xlfn._xlws.FILTER(_xlpm.data,(_xlpm.states="Arizona")+(_xlpm.states="Maryland")+(_xlpm.states="North Carolina"))))</f>
        <v>429.09999999999991</v>
      </c>
      <c r="AH7" s="164" cm="1">
        <f t="array" ref="AH7">_xlfn.LET(_xlpm.data,_xlfn.VSTACK('MDA1:NCA9'!AH7),_xlpm.states,_xlfn.VSTACK('MDA1:NCA9'!$B$2),
SUM(_xlfn._xlws.FILTER(_xlpm.data,(_xlpm.states="Arizona")+(_xlpm.states="Maryland")+(_xlpm.states="North Carolina"))))</f>
        <v>440.69999999999993</v>
      </c>
      <c r="AI7" s="164" cm="1">
        <f t="array" ref="AI7">_xlfn.LET(_xlpm.data,_xlfn.VSTACK('MDA1:NCA9'!AI7),_xlpm.states,_xlfn.VSTACK('MDA1:NCA9'!$B$2),
SUM(_xlfn._xlws.FILTER(_xlpm.data,(_xlpm.states="Arizona")+(_xlpm.states="Maryland")+(_xlpm.states="North Carolina"))))</f>
        <v>453.20999999999981</v>
      </c>
      <c r="AJ7" s="164" cm="1">
        <f t="array" ref="AJ7">_xlfn.LET(_xlpm.data,_xlfn.VSTACK('MDA1:NCA9'!AJ7),_xlpm.states,_xlfn.VSTACK('MDA1:NCA9'!$B$2),
SUM(_xlfn._xlws.FILTER(_xlpm.data,(_xlpm.states="Arizona")+(_xlpm.states="Maryland")+(_xlpm.states="North Carolina"))))</f>
        <v>465.33999999999986</v>
      </c>
      <c r="AK7" s="164" cm="1">
        <f t="array" ref="AK7">_xlfn.LET(_xlpm.data,_xlfn.VSTACK('MDA1:NCA9'!AK7),_xlpm.states,_xlfn.VSTACK('MDA1:NCA9'!$B$2),
SUM(_xlfn._xlws.FILTER(_xlpm.data,(_xlpm.states="Arizona")+(_xlpm.states="Maryland")+(_xlpm.states="North Carolina"))))</f>
        <v>475.03999999999985</v>
      </c>
      <c r="AL7" s="164" cm="1">
        <f t="array" ref="AL7">_xlfn.LET(_xlpm.data,_xlfn.VSTACK('MDA1:NCA9'!AL7),_xlpm.states,_xlfn.VSTACK('MDA1:NCA9'!$B$2),
SUM(_xlfn._xlws.FILTER(_xlpm.data,(_xlpm.states="Arizona")+(_xlpm.states="Maryland")+(_xlpm.states="North Carolina"))))</f>
        <v>481.90999999999991</v>
      </c>
      <c r="AM7" s="164" cm="1">
        <f t="array" ref="AM7">_xlfn.LET(_xlpm.data,_xlfn.VSTACK('MDA1:NCA9'!AM7),_xlpm.states,_xlfn.VSTACK('MDA1:NCA9'!$B$2),
SUM(_xlfn._xlws.FILTER(_xlpm.data,(_xlpm.states="Arizona")+(_xlpm.states="Maryland")+(_xlpm.states="North Carolina"))))</f>
        <v>488.78999999999985</v>
      </c>
      <c r="AN7" s="164" cm="1">
        <f t="array" ref="AN7">_xlfn.LET(_xlpm.data,_xlfn.VSTACK('MDA1:NCA9'!AN7),_xlpm.states,_xlfn.VSTACK('MDA1:NCA9'!$B$2),
SUM(_xlfn._xlws.FILTER(_xlpm.data,(_xlpm.states="Arizona")+(_xlpm.states="Maryland")+(_xlpm.states="North Carolina"))))</f>
        <v>495.25999999999982</v>
      </c>
    </row>
    <row r="8" spans="1:40" hidden="1" outlineLevel="1" x14ac:dyDescent="0.25">
      <c r="B8" s="39" t="s">
        <v>310</v>
      </c>
      <c r="C8" s="3"/>
      <c r="D8" s="3"/>
      <c r="E8" s="164" cm="1">
        <f t="array" ref="E8">_xlfn.LET(_xlpm.data,_xlfn.VSTACK('MDA1:NCA9'!E8),_xlpm.states,_xlfn.VSTACK('MDA1:NCA9'!$B$2),
SUM(_xlfn._xlws.FILTER(_xlpm.data,(_xlpm.states="Arizona")+(_xlpm.states="Maryland")+(_xlpm.states="North Carolina"))))</f>
        <v>35.54</v>
      </c>
      <c r="F8" s="164" cm="1">
        <f t="array" ref="F8">_xlfn.LET(_xlpm.data,_xlfn.VSTACK('MDA1:NCA9'!F8),_xlpm.states,_xlfn.VSTACK('MDA1:NCA9'!$B$2),
SUM(_xlfn._xlws.FILTER(_xlpm.data,(_xlpm.states="Arizona")+(_xlpm.states="Maryland")+(_xlpm.states="North Carolina"))))</f>
        <v>36.57</v>
      </c>
      <c r="G8" s="164" cm="1">
        <f t="array" ref="G8">_xlfn.LET(_xlpm.data,_xlfn.VSTACK('MDA1:NCA9'!G8),_xlpm.states,_xlfn.VSTACK('MDA1:NCA9'!$B$2),
SUM(_xlfn._xlws.FILTER(_xlpm.data,(_xlpm.states="Arizona")+(_xlpm.states="Maryland")+(_xlpm.states="North Carolina"))))</f>
        <v>37.78</v>
      </c>
      <c r="H8" s="164" cm="1">
        <f t="array" ref="H8">_xlfn.LET(_xlpm.data,_xlfn.VSTACK('MDA1:NCA9'!H8),_xlpm.states,_xlfn.VSTACK('MDA1:NCA9'!$B$2),
SUM(_xlfn._xlws.FILTER(_xlpm.data,(_xlpm.states="Arizona")+(_xlpm.states="Maryland")+(_xlpm.states="North Carolina"))))</f>
        <v>38.520000000000003</v>
      </c>
      <c r="I8" s="164" cm="1">
        <f t="array" ref="I8">_xlfn.LET(_xlpm.data,_xlfn.VSTACK('MDA1:NCA9'!I8),_xlpm.states,_xlfn.VSTACK('MDA1:NCA9'!$B$2),
SUM(_xlfn._xlws.FILTER(_xlpm.data,(_xlpm.states="Arizona")+(_xlpm.states="Maryland")+(_xlpm.states="North Carolina"))))</f>
        <v>39.169999999999995</v>
      </c>
      <c r="J8" s="164" cm="1">
        <f t="array" ref="J8">_xlfn.LET(_xlpm.data,_xlfn.VSTACK('MDA1:NCA9'!J8),_xlpm.states,_xlfn.VSTACK('MDA1:NCA9'!$B$2),
SUM(_xlfn._xlws.FILTER(_xlpm.data,(_xlpm.states="Arizona")+(_xlpm.states="Maryland")+(_xlpm.states="North Carolina"))))</f>
        <v>40.479999999999997</v>
      </c>
      <c r="K8" s="164" cm="1">
        <f t="array" ref="K8">_xlfn.LET(_xlpm.data,_xlfn.VSTACK('MDA1:NCA9'!K8),_xlpm.states,_xlfn.VSTACK('MDA1:NCA9'!$B$2),
SUM(_xlfn._xlws.FILTER(_xlpm.data,(_xlpm.states="Arizona")+(_xlpm.states="Maryland")+(_xlpm.states="North Carolina"))))</f>
        <v>42.86</v>
      </c>
      <c r="L8" s="164" cm="1">
        <f t="array" ref="L8">_xlfn.LET(_xlpm.data,_xlfn.VSTACK('MDA1:NCA9'!L8),_xlpm.states,_xlfn.VSTACK('MDA1:NCA9'!$B$2),
SUM(_xlfn._xlws.FILTER(_xlpm.data,(_xlpm.states="Arizona")+(_xlpm.states="Maryland")+(_xlpm.states="North Carolina"))))</f>
        <v>44.03</v>
      </c>
      <c r="M8" s="164" cm="1">
        <f t="array" ref="M8">_xlfn.LET(_xlpm.data,_xlfn.VSTACK('MDA1:NCA9'!M8),_xlpm.states,_xlfn.VSTACK('MDA1:NCA9'!$B$2),
SUM(_xlfn._xlws.FILTER(_xlpm.data,(_xlpm.states="Arizona")+(_xlpm.states="Maryland")+(_xlpm.states="North Carolina"))))</f>
        <v>45.33</v>
      </c>
      <c r="N8" s="164" cm="1">
        <f t="array" ref="N8">_xlfn.LET(_xlpm.data,_xlfn.VSTACK('MDA1:NCA9'!N8),_xlpm.states,_xlfn.VSTACK('MDA1:NCA9'!$B$2),
SUM(_xlfn._xlws.FILTER(_xlpm.data,(_xlpm.states="Arizona")+(_xlpm.states="Maryland")+(_xlpm.states="North Carolina"))))</f>
        <v>46.999999999999993</v>
      </c>
      <c r="O8" s="164" cm="1">
        <f t="array" ref="O8">_xlfn.LET(_xlpm.data,_xlfn.VSTACK('MDA1:NCA9'!O8),_xlpm.states,_xlfn.VSTACK('MDA1:NCA9'!$B$2),
SUM(_xlfn._xlws.FILTER(_xlpm.data,(_xlpm.states="Arizona")+(_xlpm.states="Maryland")+(_xlpm.states="North Carolina"))))</f>
        <v>48.929999999999993</v>
      </c>
      <c r="P8" s="164" cm="1">
        <f t="array" ref="P8">_xlfn.LET(_xlpm.data,_xlfn.VSTACK('MDA1:NCA9'!P8),_xlpm.states,_xlfn.VSTACK('MDA1:NCA9'!$B$2),
SUM(_xlfn._xlws.FILTER(_xlpm.data,(_xlpm.states="Arizona")+(_xlpm.states="Maryland")+(_xlpm.states="North Carolina"))))</f>
        <v>51.08</v>
      </c>
      <c r="Q8" s="164" cm="1">
        <f t="array" ref="Q8">_xlfn.LET(_xlpm.data,_xlfn.VSTACK('MDA1:NCA9'!Q8),_xlpm.states,_xlfn.VSTACK('MDA1:NCA9'!$B$2),
SUM(_xlfn._xlws.FILTER(_xlpm.data,(_xlpm.states="Arizona")+(_xlpm.states="Maryland")+(_xlpm.states="North Carolina"))))</f>
        <v>52.93</v>
      </c>
      <c r="R8" s="164" cm="1">
        <f t="array" ref="R8">_xlfn.LET(_xlpm.data,_xlfn.VSTACK('MDA1:NCA9'!R8),_xlpm.states,_xlfn.VSTACK('MDA1:NCA9'!$B$2),
SUM(_xlfn._xlws.FILTER(_xlpm.data,(_xlpm.states="Arizona")+(_xlpm.states="Maryland")+(_xlpm.states="North Carolina"))))</f>
        <v>54.71</v>
      </c>
      <c r="S8" s="164" cm="1">
        <f t="array" ref="S8">_xlfn.LET(_xlpm.data,_xlfn.VSTACK('MDA1:NCA9'!S8),_xlpm.states,_xlfn.VSTACK('MDA1:NCA9'!$B$2),
SUM(_xlfn._xlws.FILTER(_xlpm.data,(_xlpm.states="Arizona")+(_xlpm.states="Maryland")+(_xlpm.states="North Carolina"))))</f>
        <v>56.36</v>
      </c>
      <c r="T8" s="164" cm="1">
        <f t="array" ref="T8">_xlfn.LET(_xlpm.data,_xlfn.VSTACK('MDA1:NCA9'!T8),_xlpm.states,_xlfn.VSTACK('MDA1:NCA9'!$B$2),
SUM(_xlfn._xlws.FILTER(_xlpm.data,(_xlpm.states="Arizona")+(_xlpm.states="Maryland")+(_xlpm.states="North Carolina"))))</f>
        <v>58</v>
      </c>
      <c r="U8" s="164" cm="1">
        <f t="array" ref="U8">_xlfn.LET(_xlpm.data,_xlfn.VSTACK('MDA1:NCA9'!U8),_xlpm.states,_xlfn.VSTACK('MDA1:NCA9'!$B$2),
SUM(_xlfn._xlws.FILTER(_xlpm.data,(_xlpm.states="Arizona")+(_xlpm.states="Maryland")+(_xlpm.states="North Carolina"))))</f>
        <v>59.599999999999994</v>
      </c>
      <c r="V8" s="164" cm="1">
        <f t="array" ref="V8">_xlfn.LET(_xlpm.data,_xlfn.VSTACK('MDA1:NCA9'!V8),_xlpm.states,_xlfn.VSTACK('MDA1:NCA9'!$B$2),
SUM(_xlfn._xlws.FILTER(_xlpm.data,(_xlpm.states="Arizona")+(_xlpm.states="Maryland")+(_xlpm.states="North Carolina"))))</f>
        <v>61.349999999999994</v>
      </c>
      <c r="W8" s="164" cm="1">
        <f t="array" ref="W8">_xlfn.LET(_xlpm.data,_xlfn.VSTACK('MDA1:NCA9'!W8),_xlpm.states,_xlfn.VSTACK('MDA1:NCA9'!$B$2),
SUM(_xlfn._xlws.FILTER(_xlpm.data,(_xlpm.states="Arizona")+(_xlpm.states="Maryland")+(_xlpm.states="North Carolina"))))</f>
        <v>63.42</v>
      </c>
      <c r="X8" s="164" cm="1">
        <f t="array" ref="X8">_xlfn.LET(_xlpm.data,_xlfn.VSTACK('MDA1:NCA9'!X8),_xlpm.states,_xlfn.VSTACK('MDA1:NCA9'!$B$2),
SUM(_xlfn._xlws.FILTER(_xlpm.data,(_xlpm.states="Arizona")+(_xlpm.states="Maryland")+(_xlpm.states="North Carolina"))))</f>
        <v>65.36</v>
      </c>
      <c r="Y8" s="164" cm="1">
        <f t="array" ref="Y8">_xlfn.LET(_xlpm.data,_xlfn.VSTACK('MDA1:NCA9'!Y8),_xlpm.states,_xlfn.VSTACK('MDA1:NCA9'!$B$2),
SUM(_xlfn._xlws.FILTER(_xlpm.data,(_xlpm.states="Arizona")+(_xlpm.states="Maryland")+(_xlpm.states="North Carolina"))))</f>
        <v>67.099999999999994</v>
      </c>
      <c r="Z8" s="164" cm="1">
        <f t="array" ref="Z8">_xlfn.LET(_xlpm.data,_xlfn.VSTACK('MDA1:NCA9'!Z8),_xlpm.states,_xlfn.VSTACK('MDA1:NCA9'!$B$2),
SUM(_xlfn._xlws.FILTER(_xlpm.data,(_xlpm.states="Arizona")+(_xlpm.states="Maryland")+(_xlpm.states="North Carolina"))))</f>
        <v>68.849999999999994</v>
      </c>
      <c r="AA8" s="164" cm="1">
        <f t="array" ref="AA8">_xlfn.LET(_xlpm.data,_xlfn.VSTACK('MDA1:NCA9'!AA8),_xlpm.states,_xlfn.VSTACK('MDA1:NCA9'!$B$2),
SUM(_xlfn._xlws.FILTER(_xlpm.data,(_xlpm.states="Arizona")+(_xlpm.states="Maryland")+(_xlpm.states="North Carolina"))))</f>
        <v>70.5</v>
      </c>
      <c r="AB8" s="164" cm="1">
        <f t="array" ref="AB8">_xlfn.LET(_xlpm.data,_xlfn.VSTACK('MDA1:NCA9'!AB8),_xlpm.states,_xlfn.VSTACK('MDA1:NCA9'!$B$2),
SUM(_xlfn._xlws.FILTER(_xlpm.data,(_xlpm.states="Arizona")+(_xlpm.states="Maryland")+(_xlpm.states="North Carolina"))))</f>
        <v>71.709999999999994</v>
      </c>
      <c r="AC8" s="164" cm="1">
        <f t="array" ref="AC8">_xlfn.LET(_xlpm.data,_xlfn.VSTACK('MDA1:NCA9'!AC8),_xlpm.states,_xlfn.VSTACK('MDA1:NCA9'!$B$2),
SUM(_xlfn._xlws.FILTER(_xlpm.data,(_xlpm.states="Arizona")+(_xlpm.states="Maryland")+(_xlpm.states="North Carolina"))))</f>
        <v>73.010000000000005</v>
      </c>
      <c r="AD8" s="164" cm="1">
        <f t="array" ref="AD8">_xlfn.LET(_xlpm.data,_xlfn.VSTACK('MDA1:NCA9'!AD8),_xlpm.states,_xlfn.VSTACK('MDA1:NCA9'!$B$2),
SUM(_xlfn._xlws.FILTER(_xlpm.data,(_xlpm.states="Arizona")+(_xlpm.states="Maryland")+(_xlpm.states="North Carolina"))))</f>
        <v>74.34</v>
      </c>
      <c r="AE8" s="164" cm="1">
        <f t="array" ref="AE8">_xlfn.LET(_xlpm.data,_xlfn.VSTACK('MDA1:NCA9'!AE8),_xlpm.states,_xlfn.VSTACK('MDA1:NCA9'!$B$2),
SUM(_xlfn._xlws.FILTER(_xlpm.data,(_xlpm.states="Arizona")+(_xlpm.states="Maryland")+(_xlpm.states="North Carolina"))))</f>
        <v>75.33</v>
      </c>
      <c r="AF8" s="164" cm="1">
        <f t="array" ref="AF8">_xlfn.LET(_xlpm.data,_xlfn.VSTACK('MDA1:NCA9'!AF8),_xlpm.states,_xlfn.VSTACK('MDA1:NCA9'!$B$2),
SUM(_xlfn._xlws.FILTER(_xlpm.data,(_xlpm.states="Arizona")+(_xlpm.states="Maryland")+(_xlpm.states="North Carolina"))))</f>
        <v>76.37</v>
      </c>
      <c r="AG8" s="164" cm="1">
        <f t="array" ref="AG8">_xlfn.LET(_xlpm.data,_xlfn.VSTACK('MDA1:NCA9'!AG8),_xlpm.states,_xlfn.VSTACK('MDA1:NCA9'!$B$2),
SUM(_xlfn._xlws.FILTER(_xlpm.data,(_xlpm.states="Arizona")+(_xlpm.states="Maryland")+(_xlpm.states="North Carolina"))))</f>
        <v>77.489999999999995</v>
      </c>
      <c r="AH8" s="164" cm="1">
        <f t="array" ref="AH8">_xlfn.LET(_xlpm.data,_xlfn.VSTACK('MDA1:NCA9'!AH8),_xlpm.states,_xlfn.VSTACK('MDA1:NCA9'!$B$2),
SUM(_xlfn._xlws.FILTER(_xlpm.data,(_xlpm.states="Arizona")+(_xlpm.states="Maryland")+(_xlpm.states="North Carolina"))))</f>
        <v>79.350000000000009</v>
      </c>
      <c r="AI8" s="164" cm="1">
        <f t="array" ref="AI8">_xlfn.LET(_xlpm.data,_xlfn.VSTACK('MDA1:NCA9'!AI8),_xlpm.states,_xlfn.VSTACK('MDA1:NCA9'!$B$2),
SUM(_xlfn._xlws.FILTER(_xlpm.data,(_xlpm.states="Arizona")+(_xlpm.states="Maryland")+(_xlpm.states="North Carolina"))))</f>
        <v>81.339999999999989</v>
      </c>
      <c r="AJ8" s="164" cm="1">
        <f t="array" ref="AJ8">_xlfn.LET(_xlpm.data,_xlfn.VSTACK('MDA1:NCA9'!AJ8),_xlpm.states,_xlfn.VSTACK('MDA1:NCA9'!$B$2),
SUM(_xlfn._xlws.FILTER(_xlpm.data,(_xlpm.states="Arizona")+(_xlpm.states="Maryland")+(_xlpm.states="North Carolina"))))</f>
        <v>83.23</v>
      </c>
      <c r="AK8" s="164" cm="1">
        <f t="array" ref="AK8">_xlfn.LET(_xlpm.data,_xlfn.VSTACK('MDA1:NCA9'!AK8),_xlpm.states,_xlfn.VSTACK('MDA1:NCA9'!$B$2),
SUM(_xlfn._xlws.FILTER(_xlpm.data,(_xlpm.states="Arizona")+(_xlpm.states="Maryland")+(_xlpm.states="North Carolina"))))</f>
        <v>84.789999999999992</v>
      </c>
      <c r="AL8" s="164" cm="1">
        <f t="array" ref="AL8">_xlfn.LET(_xlpm.data,_xlfn.VSTACK('MDA1:NCA9'!AL8),_xlpm.states,_xlfn.VSTACK('MDA1:NCA9'!$B$2),
SUM(_xlfn._xlws.FILTER(_xlpm.data,(_xlpm.states="Arizona")+(_xlpm.states="Maryland")+(_xlpm.states="North Carolina"))))</f>
        <v>85.92</v>
      </c>
      <c r="AM8" s="164" cm="1">
        <f t="array" ref="AM8">_xlfn.LET(_xlpm.data,_xlfn.VSTACK('MDA1:NCA9'!AM8),_xlpm.states,_xlfn.VSTACK('MDA1:NCA9'!$B$2),
SUM(_xlfn._xlws.FILTER(_xlpm.data,(_xlpm.states="Arizona")+(_xlpm.states="Maryland")+(_xlpm.states="North Carolina"))))</f>
        <v>87.05</v>
      </c>
      <c r="AN8" s="164" cm="1">
        <f t="array" ref="AN8">_xlfn.LET(_xlpm.data,_xlfn.VSTACK('MDA1:NCA9'!AN8),_xlpm.states,_xlfn.VSTACK('MDA1:NCA9'!$B$2),
SUM(_xlfn._xlws.FILTER(_xlpm.data,(_xlpm.states="Arizona")+(_xlpm.states="Maryland")+(_xlpm.states="North Carolina"))))</f>
        <v>88.08</v>
      </c>
    </row>
    <row r="9" spans="1:40" collapsed="1" x14ac:dyDescent="0.25">
      <c r="B9" s="94"/>
      <c r="C9" s="3"/>
      <c r="D9" s="3"/>
      <c r="E9" s="69"/>
      <c r="F9" s="69"/>
      <c r="G9" s="69"/>
      <c r="H9" s="69"/>
      <c r="I9" s="69"/>
      <c r="J9" s="69"/>
      <c r="K9" s="69"/>
      <c r="L9" s="69"/>
      <c r="M9" s="69"/>
      <c r="N9" s="69"/>
      <c r="O9" s="69"/>
      <c r="P9" s="69"/>
      <c r="Q9" s="69"/>
      <c r="R9" s="69"/>
      <c r="S9" s="69"/>
      <c r="T9" s="69"/>
      <c r="U9" s="69"/>
      <c r="V9" s="69"/>
      <c r="W9" s="69"/>
      <c r="X9" s="69"/>
      <c r="Y9" s="69"/>
      <c r="Z9" s="69"/>
      <c r="AA9" s="69"/>
      <c r="AB9" s="69"/>
      <c r="AC9" s="69"/>
      <c r="AD9" s="69"/>
      <c r="AE9" s="69"/>
      <c r="AF9" s="69"/>
      <c r="AG9" s="69"/>
      <c r="AH9" s="69"/>
      <c r="AI9" s="69"/>
      <c r="AJ9" s="69"/>
      <c r="AK9" s="69"/>
      <c r="AL9" s="69"/>
      <c r="AM9" s="69"/>
      <c r="AN9" s="69"/>
    </row>
    <row r="10" spans="1:40" hidden="1" outlineLevel="1" x14ac:dyDescent="0.25">
      <c r="B10" s="55" t="s">
        <v>391</v>
      </c>
      <c r="C10" s="3"/>
      <c r="D10" s="94"/>
      <c r="E10" s="164" cm="1">
        <f t="array" ref="E10">_xlfn.LET(_xlpm.data,_xlfn.VSTACK('MDA1:NCA9'!E2),_xlpm.states,_xlfn.VSTACK('MDA1:NCA9'!$B$2),
SUM(_xlfn._xlws.FILTER(_xlpm.data,(_xlpm.states="Arizona")+(_xlpm.states="Maryland")+(_xlpm.states="North Carolina"))))</f>
        <v>23.853858784893269</v>
      </c>
      <c r="F10" s="164" cm="1">
        <f t="array" ref="F10">_xlfn.LET(_xlpm.data,_xlfn.VSTACK('MDA1:NCA9'!F2),_xlpm.states,_xlfn.VSTACK('MDA1:NCA9'!$B$2),
SUM(_xlfn._xlws.FILTER(_xlpm.data,(_xlpm.states="Arizona")+(_xlpm.states="Maryland")+(_xlpm.states="North Carolina"))))</f>
        <v>28.639573070607554</v>
      </c>
      <c r="G10" s="164" cm="1">
        <f t="array" ref="G10">_xlfn.LET(_xlpm.data,_xlfn.VSTACK('MDA1:NCA9'!G2),_xlpm.states,_xlfn.VSTACK('MDA1:NCA9'!$B$2),
SUM(_xlfn._xlws.FILTER(_xlpm.data,(_xlpm.states="Arizona")+(_xlpm.states="Maryland")+(_xlpm.states="North Carolina"))))</f>
        <v>26.877668308702791</v>
      </c>
      <c r="H10" s="164" cm="1">
        <f t="array" ref="H10">_xlfn.LET(_xlpm.data,_xlfn.VSTACK('MDA1:NCA9'!H2),_xlpm.states,_xlfn.VSTACK('MDA1:NCA9'!$B$2),
SUM(_xlfn._xlws.FILTER(_xlpm.data,(_xlpm.states="Arizona")+(_xlpm.states="Maryland")+(_xlpm.states="North Carolina"))))</f>
        <v>27.544334975369456</v>
      </c>
      <c r="I10" s="164" cm="1">
        <f t="array" ref="I10">_xlfn.LET(_xlpm.data,_xlfn.VSTACK('MDA1:NCA9'!I2),_xlpm.states,_xlfn.VSTACK('MDA1:NCA9'!$B$2),
SUM(_xlfn._xlws.FILTER(_xlpm.data,(_xlpm.states="Arizona")+(_xlpm.states="Maryland")+(_xlpm.states="North Carolina"))))</f>
        <v>28.211001642036127</v>
      </c>
      <c r="J10" s="164" cm="1">
        <f t="array" ref="J10">_xlfn.LET(_xlpm.data,_xlfn.VSTACK('MDA1:NCA9'!J2),_xlpm.states,_xlfn.VSTACK('MDA1:NCA9'!$B$2),
SUM(_xlfn._xlws.FILTER(_xlpm.data,(_xlpm.states="Arizona")+(_xlpm.states="Maryland")+(_xlpm.states="North Carolina"))))</f>
        <v>28.877668308702791</v>
      </c>
      <c r="K10" s="164" cm="1">
        <f t="array" ref="K10">_xlfn.LET(_xlpm.data,_xlfn.VSTACK('MDA1:NCA9'!K2),_xlpm.states,_xlfn.VSTACK('MDA1:NCA9'!$B$2),
SUM(_xlfn._xlws.FILTER(_xlpm.data,(_xlpm.states="Arizona")+(_xlpm.states="Maryland")+(_xlpm.states="North Carolina"))))</f>
        <v>35.711001642036123</v>
      </c>
      <c r="L10" s="164" cm="1">
        <f t="array" ref="L10">_xlfn.LET(_xlpm.data,_xlfn.VSTACK('MDA1:NCA9'!L2),_xlpm.states,_xlfn.VSTACK('MDA1:NCA9'!$B$2),
SUM(_xlfn._xlws.FILTER(_xlpm.data,(_xlpm.states="Arizona")+(_xlpm.states="Maryland")+(_xlpm.states="North Carolina"))))</f>
        <v>39.568144499178985</v>
      </c>
      <c r="M10" s="164" cm="1">
        <f t="array" ref="M10">_xlfn.LET(_xlpm.data,_xlfn.VSTACK('MDA1:NCA9'!M2),_xlpm.states,_xlfn.VSTACK('MDA1:NCA9'!$B$2),
SUM(_xlfn._xlws.FILTER(_xlpm.data,(_xlpm.states="Arizona")+(_xlpm.states="Maryland")+(_xlpm.states="North Carolina"))))</f>
        <v>40.401477832512313</v>
      </c>
      <c r="N10" s="164" cm="1">
        <f t="array" ref="N10">_xlfn.LET(_xlpm.data,_xlfn.VSTACK('MDA1:NCA9'!N2),_xlpm.states,_xlfn.VSTACK('MDA1:NCA9'!$B$2),
SUM(_xlfn._xlws.FILTER(_xlpm.data,(_xlpm.states="Arizona")+(_xlpm.states="Maryland")+(_xlpm.states="North Carolina"))))</f>
        <v>41.234811165845649</v>
      </c>
      <c r="O10" s="164" cm="1">
        <f t="array" ref="O10">_xlfn.LET(_xlpm.data,_xlfn.VSTACK('MDA1:NCA9'!O2),_xlpm.states,_xlfn.VSTACK('MDA1:NCA9'!$B$2),
SUM(_xlfn._xlws.FILTER(_xlpm.data,(_xlpm.states="Arizona")+(_xlpm.states="Maryland")+(_xlpm.states="North Carolina"))))</f>
        <v>45.091954022988517</v>
      </c>
      <c r="P10" s="164" cm="1">
        <f t="array" ref="P10">_xlfn.LET(_xlpm.data,_xlfn.VSTACK('MDA1:NCA9'!P2),_xlpm.states,_xlfn.VSTACK('MDA1:NCA9'!$B$2),
SUM(_xlfn._xlws.FILTER(_xlpm.data,(_xlpm.states="Arizona")+(_xlpm.states="Maryland")+(_xlpm.states="North Carolina"))))</f>
        <v>43.758620689655174</v>
      </c>
      <c r="Q10" s="164" cm="1">
        <f t="array" ref="Q10">_xlfn.LET(_xlpm.data,_xlfn.VSTACK('MDA1:NCA9'!Q2),_xlpm.states,_xlfn.VSTACK('MDA1:NCA9'!$B$2),
SUM(_xlfn._xlws.FILTER(_xlpm.data,(_xlpm.states="Arizona")+(_xlpm.states="Maryland")+(_xlpm.states="North Carolina"))))</f>
        <v>44.758620689655167</v>
      </c>
      <c r="R10" s="164" cm="1">
        <f t="array" ref="R10">_xlfn.LET(_xlpm.data,_xlfn.VSTACK('MDA1:NCA9'!R2),_xlpm.states,_xlfn.VSTACK('MDA1:NCA9'!$B$2),
SUM(_xlfn._xlws.FILTER(_xlpm.data,(_xlpm.states="Arizona")+(_xlpm.states="Maryland")+(_xlpm.states="North Carolina"))))</f>
        <v>45.520525451559941</v>
      </c>
      <c r="S10" s="164" cm="1">
        <f t="array" ref="S10">_xlfn.LET(_xlpm.data,_xlfn.VSTACK('MDA1:NCA9'!S2),_xlpm.states,_xlfn.VSTACK('MDA1:NCA9'!$B$2),
SUM(_xlfn._xlws.FILTER(_xlpm.data,(_xlpm.states="Arizona")+(_xlpm.states="Maryland")+(_xlpm.states="North Carolina"))))</f>
        <v>46.187192118226605</v>
      </c>
      <c r="T10" s="164" cm="1">
        <f t="array" ref="T10">_xlfn.LET(_xlpm.data,_xlfn.VSTACK('MDA1:NCA9'!T2),_xlpm.states,_xlfn.VSTACK('MDA1:NCA9'!$B$2),
SUM(_xlfn._xlws.FILTER(_xlpm.data,(_xlpm.states="Arizona")+(_xlpm.states="Maryland")+(_xlpm.states="North Carolina"))))</f>
        <v>46.853858784893269</v>
      </c>
      <c r="U10" s="164" cm="1">
        <f t="array" ref="U10">_xlfn.LET(_xlpm.data,_xlfn.VSTACK('MDA1:NCA9'!U2),_xlpm.states,_xlfn.VSTACK('MDA1:NCA9'!$B$2),
SUM(_xlfn._xlws.FILTER(_xlpm.data,(_xlpm.states="Arizona")+(_xlpm.states="Maryland")+(_xlpm.states="North Carolina"))))</f>
        <v>47.520525451559941</v>
      </c>
      <c r="V10" s="164" cm="1">
        <f t="array" ref="V10">_xlfn.LET(_xlpm.data,_xlfn.VSTACK('MDA1:NCA9'!V2),_xlpm.states,_xlfn.VSTACK('MDA1:NCA9'!$B$2),
SUM(_xlfn._xlws.FILTER(_xlpm.data,(_xlpm.states="Arizona")+(_xlpm.states="Maryland")+(_xlpm.states="North Carolina"))))</f>
        <v>48.187192118226605</v>
      </c>
      <c r="W10" s="164" cm="1">
        <f t="array" ref="W10">_xlfn.LET(_xlpm.data,_xlfn.VSTACK('MDA1:NCA9'!W2),_xlpm.states,_xlfn.VSTACK('MDA1:NCA9'!$B$2),
SUM(_xlfn._xlws.FILTER(_xlpm.data,(_xlpm.states="Arizona")+(_xlpm.states="Maryland")+(_xlpm.states="North Carolina"))))</f>
        <v>45.853858784893269</v>
      </c>
      <c r="X10" s="164" cm="1">
        <f t="array" ref="X10">_xlfn.LET(_xlpm.data,_xlfn.VSTACK('MDA1:NCA9'!X2),_xlpm.states,_xlfn.VSTACK('MDA1:NCA9'!$B$2),
SUM(_xlfn._xlws.FILTER(_xlpm.data,(_xlpm.states="Arizona")+(_xlpm.states="Maryland")+(_xlpm.states="North Carolina"))))</f>
        <v>46.830049261083744</v>
      </c>
      <c r="Y10" s="164" cm="1">
        <f t="array" ref="Y10">_xlfn.LET(_xlpm.data,_xlfn.VSTACK('MDA1:NCA9'!Y2),_xlpm.states,_xlfn.VSTACK('MDA1:NCA9'!$B$2),
SUM(_xlfn._xlws.FILTER(_xlpm.data,(_xlpm.states="Arizona")+(_xlpm.states="Maryland")+(_xlpm.states="North Carolina"))))</f>
        <v>50.687192118226605</v>
      </c>
      <c r="Z10" s="164" cm="1">
        <f t="array" ref="Z10">_xlfn.LET(_xlpm.data,_xlfn.VSTACK('MDA1:NCA9'!Z2),_xlpm.states,_xlfn.VSTACK('MDA1:NCA9'!$B$2),
SUM(_xlfn._xlws.FILTER(_xlpm.data,(_xlpm.states="Arizona")+(_xlpm.states="Maryland")+(_xlpm.states="North Carolina"))))</f>
        <v>51.687192118226598</v>
      </c>
      <c r="AA10" s="164" cm="1">
        <f t="array" ref="AA10">_xlfn.LET(_xlpm.data,_xlfn.VSTACK('MDA1:NCA9'!AA2),_xlpm.states,_xlfn.VSTACK('MDA1:NCA9'!$B$2),
SUM(_xlfn._xlws.FILTER(_xlpm.data,(_xlpm.states="Arizona")+(_xlpm.states="Maryland")+(_xlpm.states="North Carolina"))))</f>
        <v>49.830049261083737</v>
      </c>
      <c r="AB10" s="164" cm="1">
        <f t="array" ref="AB10">_xlfn.LET(_xlpm.data,_xlfn.VSTACK('MDA1:NCA9'!AB2),_xlpm.states,_xlfn.VSTACK('MDA1:NCA9'!$B$2),
SUM(_xlfn._xlws.FILTER(_xlpm.data,(_xlpm.states="Arizona")+(_xlpm.states="Maryland")+(_xlpm.states="North Carolina"))))</f>
        <v>50.830049261083758</v>
      </c>
      <c r="AC10" s="164" cm="1">
        <f t="array" ref="AC10">_xlfn.LET(_xlpm.data,_xlfn.VSTACK('MDA1:NCA9'!AC2),_xlpm.states,_xlfn.VSTACK('MDA1:NCA9'!$B$2),
SUM(_xlfn._xlws.FILTER(_xlpm.data,(_xlpm.states="Arizona")+(_xlpm.states="Maryland")+(_xlpm.states="North Carolina"))))</f>
        <v>51.830049261083744</v>
      </c>
      <c r="AD10" s="164" cm="1">
        <f t="array" ref="AD10">_xlfn.LET(_xlpm.data,_xlfn.VSTACK('MDA1:NCA9'!AD2),_xlpm.states,_xlfn.VSTACK('MDA1:NCA9'!$B$2),
SUM(_xlfn._xlws.FILTER(_xlpm.data,(_xlpm.states="Arizona")+(_xlpm.states="Maryland")+(_xlpm.states="North Carolina"))))</f>
        <v>50.782430213464693</v>
      </c>
      <c r="AE10" s="164" cm="1">
        <f t="array" ref="AE10">_xlfn.LET(_xlpm.data,_xlfn.VSTACK('MDA1:NCA9'!AE2),_xlpm.states,_xlfn.VSTACK('MDA1:NCA9'!$B$2),
SUM(_xlfn._xlws.FILTER(_xlpm.data,(_xlpm.states="Arizona")+(_xlpm.states="Maryland")+(_xlpm.states="North Carolina"))))</f>
        <v>51.449096880131371</v>
      </c>
      <c r="AF10" s="164" cm="1">
        <f t="array" ref="AF10">_xlfn.LET(_xlpm.data,_xlfn.VSTACK('MDA1:NCA9'!AF2),_xlpm.states,_xlfn.VSTACK('MDA1:NCA9'!$B$2),
SUM(_xlfn._xlws.FILTER(_xlpm.data,(_xlpm.states="Arizona")+(_xlpm.states="Maryland")+(_xlpm.states="North Carolina"))))</f>
        <v>52.115763546798028</v>
      </c>
      <c r="AG10" s="164" cm="1">
        <f t="array" ref="AG10">_xlfn.LET(_xlpm.data,_xlfn.VSTACK('MDA1:NCA9'!AG2),_xlpm.states,_xlfn.VSTACK('MDA1:NCA9'!$B$2),
SUM(_xlfn._xlws.FILTER(_xlpm.data,(_xlpm.states="Arizona")+(_xlpm.states="Maryland")+(_xlpm.states="North Carolina"))))</f>
        <v>52.7824302134647</v>
      </c>
      <c r="AH10" s="164" cm="1">
        <f t="array" ref="AH10">_xlfn.LET(_xlpm.data,_xlfn.VSTACK('MDA1:NCA9'!AH2),_xlpm.states,_xlfn.VSTACK('MDA1:NCA9'!$B$2),
SUM(_xlfn._xlws.FILTER(_xlpm.data,(_xlpm.states="Arizona")+(_xlpm.states="Maryland")+(_xlpm.states="North Carolina"))))</f>
        <v>53.449096880131371</v>
      </c>
      <c r="AI10" s="164" cm="1">
        <f t="array" ref="AI10">_xlfn.LET(_xlpm.data,_xlfn.VSTACK('MDA1:NCA9'!AI2),_xlpm.states,_xlfn.VSTACK('MDA1:NCA9'!$B$2),
SUM(_xlfn._xlws.FILTER(_xlpm.data,(_xlpm.states="Arizona")+(_xlpm.states="Maryland")+(_xlpm.states="North Carolina"))))</f>
        <v>60.139573070607554</v>
      </c>
      <c r="AJ10" s="164" cm="1">
        <f t="array" ref="AJ10">_xlfn.LET(_xlpm.data,_xlfn.VSTACK('MDA1:NCA9'!AJ2),_xlpm.states,_xlfn.VSTACK('MDA1:NCA9'!$B$2),
SUM(_xlfn._xlws.FILTER(_xlpm.data,(_xlpm.states="Arizona")+(_xlpm.states="Maryland")+(_xlpm.states="North Carolina"))))</f>
        <v>57.97290640394089</v>
      </c>
      <c r="AK10" s="164" cm="1">
        <f t="array" ref="AK10">_xlfn.LET(_xlpm.data,_xlfn.VSTACK('MDA1:NCA9'!AK2),_xlpm.states,_xlfn.VSTACK('MDA1:NCA9'!$B$2),
SUM(_xlfn._xlws.FILTER(_xlpm.data,(_xlpm.states="Arizona")+(_xlpm.states="Maryland")+(_xlpm.states="North Carolina"))))</f>
        <v>55.949096880131364</v>
      </c>
      <c r="AL10" s="164" cm="1">
        <f t="array" ref="AL10">_xlfn.LET(_xlpm.data,_xlfn.VSTACK('MDA1:NCA9'!AL2),_xlpm.states,_xlfn.VSTACK('MDA1:NCA9'!$B$2),
SUM(_xlfn._xlws.FILTER(_xlpm.data,(_xlpm.states="Arizona")+(_xlpm.states="Maryland")+(_xlpm.states="North Carolina"))))</f>
        <v>56.7824302134647</v>
      </c>
      <c r="AM10" s="164" cm="1">
        <f t="array" ref="AM10">_xlfn.LET(_xlpm.data,_xlfn.VSTACK('MDA1:NCA9'!AM2),_xlpm.states,_xlfn.VSTACK('MDA1:NCA9'!$B$2),
SUM(_xlfn._xlws.FILTER(_xlpm.data,(_xlpm.states="Arizona")+(_xlpm.states="Maryland")+(_xlpm.states="North Carolina"))))</f>
        <v>57.449096880131364</v>
      </c>
      <c r="AN10" s="164" cm="1">
        <f t="array" ref="AN10">_xlfn.LET(_xlpm.data,_xlfn.VSTACK('MDA1:NCA9'!AN2),_xlpm.states,_xlfn.VSTACK('MDA1:NCA9'!$B$2),
SUM(_xlfn._xlws.FILTER(_xlpm.data,(_xlpm.states="Arizona")+(_xlpm.states="Maryland")+(_xlpm.states="North Carolina"))))</f>
        <v>58.115763546798028</v>
      </c>
    </row>
    <row r="11" spans="1:40" hidden="1" outlineLevel="1" x14ac:dyDescent="0.25">
      <c r="B11" s="55" t="s">
        <v>392</v>
      </c>
      <c r="C11" s="3"/>
      <c r="D11" s="94"/>
      <c r="E11" s="164" cm="1">
        <f t="array" ref="E11">_xlfn.LET(_xlpm.data,_xlfn.VSTACK('MDA1:NCA9'!E3),_xlpm.states,_xlfn.VSTACK('MDA1:NCA9'!$B$2),
SUM(_xlfn._xlws.FILTER(_xlpm.data,(_xlpm.states="Arizona")+(_xlpm.states="Maryland")+(_xlpm.states="North Carolina"))))</f>
        <v>18.666666666666668</v>
      </c>
      <c r="F11" s="164" cm="1">
        <f t="array" ref="F11">_xlfn.LET(_xlpm.data,_xlfn.VSTACK('MDA1:NCA9'!F3),_xlpm.states,_xlfn.VSTACK('MDA1:NCA9'!$B$2),
SUM(_xlfn._xlws.FILTER(_xlpm.data,(_xlpm.states="Arizona")+(_xlpm.states="Maryland")+(_xlpm.states="North Carolina"))))</f>
        <v>19.333333333333336</v>
      </c>
      <c r="G11" s="164" cm="1">
        <f t="array" ref="G11">_xlfn.LET(_xlpm.data,_xlfn.VSTACK('MDA1:NCA9'!G3),_xlpm.states,_xlfn.VSTACK('MDA1:NCA9'!$B$2),
SUM(_xlfn._xlws.FILTER(_xlpm.data,(_xlpm.states="Arizona")+(_xlpm.states="Maryland")+(_xlpm.states="North Carolina"))))</f>
        <v>19.999999999999996</v>
      </c>
      <c r="H11" s="164" cm="1">
        <f t="array" ref="H11">_xlfn.LET(_xlpm.data,_xlfn.VSTACK('MDA1:NCA9'!H3),_xlpm.states,_xlfn.VSTACK('MDA1:NCA9'!$B$2),
SUM(_xlfn._xlws.FILTER(_xlpm.data,(_xlpm.states="Arizona")+(_xlpm.states="Maryland")+(_xlpm.states="North Carolina"))))</f>
        <v>20.666666666666668</v>
      </c>
      <c r="I11" s="164" cm="1">
        <f t="array" ref="I11">_xlfn.LET(_xlpm.data,_xlfn.VSTACK('MDA1:NCA9'!I3),_xlpm.states,_xlfn.VSTACK('MDA1:NCA9'!$B$2),
SUM(_xlfn._xlws.FILTER(_xlpm.data,(_xlpm.states="Arizona")+(_xlpm.states="Maryland")+(_xlpm.states="North Carolina"))))</f>
        <v>21.333333333333336</v>
      </c>
      <c r="J11" s="164" cm="1">
        <f t="array" ref="J11">_xlfn.LET(_xlpm.data,_xlfn.VSTACK('MDA1:NCA9'!J3),_xlpm.states,_xlfn.VSTACK('MDA1:NCA9'!$B$2),
SUM(_xlfn._xlws.FILTER(_xlpm.data,(_xlpm.states="Arizona")+(_xlpm.states="Maryland")+(_xlpm.states="North Carolina"))))</f>
        <v>21.999999999999996</v>
      </c>
      <c r="K11" s="164" cm="1">
        <f t="array" ref="K11">_xlfn.LET(_xlpm.data,_xlfn.VSTACK('MDA1:NCA9'!K3),_xlpm.states,_xlfn.VSTACK('MDA1:NCA9'!$B$2),
SUM(_xlfn._xlws.FILTER(_xlpm.data,(_xlpm.states="Arizona")+(_xlpm.states="Maryland")+(_xlpm.states="North Carolina"))))</f>
        <v>25.833333333333336</v>
      </c>
      <c r="L11" s="164" cm="1">
        <f t="array" ref="L11">_xlfn.LET(_xlpm.data,_xlfn.VSTACK('MDA1:NCA9'!L3),_xlpm.states,_xlfn.VSTACK('MDA1:NCA9'!$B$2),
SUM(_xlfn._xlws.FILTER(_xlpm.data,(_xlpm.states="Arizona")+(_xlpm.states="Maryland")+(_xlpm.states="North Carolina"))))</f>
        <v>26.833333333333336</v>
      </c>
      <c r="M11" s="164" cm="1">
        <f t="array" ref="M11">_xlfn.LET(_xlpm.data,_xlfn.VSTACK('MDA1:NCA9'!M3),_xlpm.states,_xlfn.VSTACK('MDA1:NCA9'!$B$2),
SUM(_xlfn._xlws.FILTER(_xlpm.data,(_xlpm.states="Arizona")+(_xlpm.states="Maryland")+(_xlpm.states="North Carolina"))))</f>
        <v>27.666666666666661</v>
      </c>
      <c r="N11" s="164" cm="1">
        <f t="array" ref="N11">_xlfn.LET(_xlpm.data,_xlfn.VSTACK('MDA1:NCA9'!N3),_xlpm.states,_xlfn.VSTACK('MDA1:NCA9'!$B$2),
SUM(_xlfn._xlws.FILTER(_xlpm.data,(_xlpm.states="Arizona")+(_xlpm.states="Maryland")+(_xlpm.states="North Carolina"))))</f>
        <v>28.500000000000004</v>
      </c>
      <c r="O11" s="164" cm="1">
        <f t="array" ref="O11">_xlfn.LET(_xlpm.data,_xlfn.VSTACK('MDA1:NCA9'!O3),_xlpm.states,_xlfn.VSTACK('MDA1:NCA9'!$B$2),
SUM(_xlfn._xlws.FILTER(_xlpm.data,(_xlpm.states="Arizona")+(_xlpm.states="Maryland")+(_xlpm.states="North Carolina"))))</f>
        <v>29.500000000000004</v>
      </c>
      <c r="P11" s="164" cm="1">
        <f t="array" ref="P11">_xlfn.LET(_xlpm.data,_xlfn.VSTACK('MDA1:NCA9'!P3),_xlpm.states,_xlfn.VSTACK('MDA1:NCA9'!$B$2),
SUM(_xlfn._xlws.FILTER(_xlpm.data,(_xlpm.states="Arizona")+(_xlpm.states="Maryland")+(_xlpm.states="North Carolina"))))</f>
        <v>30.499999999999993</v>
      </c>
      <c r="Q11" s="164" cm="1">
        <f t="array" ref="Q11">_xlfn.LET(_xlpm.data,_xlfn.VSTACK('MDA1:NCA9'!Q3),_xlpm.states,_xlfn.VSTACK('MDA1:NCA9'!$B$2),
SUM(_xlfn._xlws.FILTER(_xlpm.data,(_xlpm.states="Arizona")+(_xlpm.states="Maryland")+(_xlpm.states="North Carolina"))))</f>
        <v>31.500000000000004</v>
      </c>
      <c r="R11" s="164" cm="1">
        <f t="array" ref="R11">_xlfn.LET(_xlpm.data,_xlfn.VSTACK('MDA1:NCA9'!R3),_xlpm.states,_xlfn.VSTACK('MDA1:NCA9'!$B$2),
SUM(_xlfn._xlws.FILTER(_xlpm.data,(_xlpm.states="Arizona")+(_xlpm.states="Maryland")+(_xlpm.states="North Carolina"))))</f>
        <v>32.333333333333336</v>
      </c>
      <c r="S11" s="164" cm="1">
        <f t="array" ref="S11">_xlfn.LET(_xlpm.data,_xlfn.VSTACK('MDA1:NCA9'!S3),_xlpm.states,_xlfn.VSTACK('MDA1:NCA9'!$B$2),
SUM(_xlfn._xlws.FILTER(_xlpm.data,(_xlpm.states="Arizona")+(_xlpm.states="Maryland")+(_xlpm.states="North Carolina"))))</f>
        <v>33</v>
      </c>
      <c r="T11" s="164" cm="1">
        <f t="array" ref="T11">_xlfn.LET(_xlpm.data,_xlfn.VSTACK('MDA1:NCA9'!T3),_xlpm.states,_xlfn.VSTACK('MDA1:NCA9'!$B$2),
SUM(_xlfn._xlws.FILTER(_xlpm.data,(_xlpm.states="Arizona")+(_xlpm.states="Maryland")+(_xlpm.states="North Carolina"))))</f>
        <v>33.666666666666671</v>
      </c>
      <c r="U11" s="164" cm="1">
        <f t="array" ref="U11">_xlfn.LET(_xlpm.data,_xlfn.VSTACK('MDA1:NCA9'!U3),_xlpm.states,_xlfn.VSTACK('MDA1:NCA9'!$B$2),
SUM(_xlfn._xlws.FILTER(_xlpm.data,(_xlpm.states="Arizona")+(_xlpm.states="Maryland")+(_xlpm.states="North Carolina"))))</f>
        <v>34.333333333333336</v>
      </c>
      <c r="V11" s="164" cm="1">
        <f t="array" ref="V11">_xlfn.LET(_xlpm.data,_xlfn.VSTACK('MDA1:NCA9'!V3),_xlpm.states,_xlfn.VSTACK('MDA1:NCA9'!$B$2),
SUM(_xlfn._xlws.FILTER(_xlpm.data,(_xlpm.states="Arizona")+(_xlpm.states="Maryland")+(_xlpm.states="North Carolina"))))</f>
        <v>35</v>
      </c>
      <c r="W11" s="164" cm="1">
        <f t="array" ref="W11">_xlfn.LET(_xlpm.data,_xlfn.VSTACK('MDA1:NCA9'!W3),_xlpm.states,_xlfn.VSTACK('MDA1:NCA9'!$B$2),
SUM(_xlfn._xlws.FILTER(_xlpm.data,(_xlpm.states="Arizona")+(_xlpm.states="Maryland")+(_xlpm.states="North Carolina"))))</f>
        <v>35.666666666666671</v>
      </c>
      <c r="X11" s="164" cm="1">
        <f t="array" ref="X11">_xlfn.LET(_xlpm.data,_xlfn.VSTACK('MDA1:NCA9'!X3),_xlpm.states,_xlfn.VSTACK('MDA1:NCA9'!$B$2),
SUM(_xlfn._xlws.FILTER(_xlpm.data,(_xlpm.states="Arizona")+(_xlpm.states="Maryland")+(_xlpm.states="North Carolina"))))</f>
        <v>36.499999999999993</v>
      </c>
      <c r="Y11" s="164" cm="1">
        <f t="array" ref="Y11">_xlfn.LET(_xlpm.data,_xlfn.VSTACK('MDA1:NCA9'!Y3),_xlpm.states,_xlfn.VSTACK('MDA1:NCA9'!$B$2),
SUM(_xlfn._xlws.FILTER(_xlpm.data,(_xlpm.states="Arizona")+(_xlpm.states="Maryland")+(_xlpm.states="North Carolina"))))</f>
        <v>37.500000000000007</v>
      </c>
      <c r="Z11" s="164" cm="1">
        <f t="array" ref="Z11">_xlfn.LET(_xlpm.data,_xlfn.VSTACK('MDA1:NCA9'!Z3),_xlpm.states,_xlfn.VSTACK('MDA1:NCA9'!$B$2),
SUM(_xlfn._xlws.FILTER(_xlpm.data,(_xlpm.states="Arizona")+(_xlpm.states="Maryland")+(_xlpm.states="North Carolina"))))</f>
        <v>38.5</v>
      </c>
      <c r="AA11" s="164" cm="1">
        <f t="array" ref="AA11">_xlfn.LET(_xlpm.data,_xlfn.VSTACK('MDA1:NCA9'!AA3),_xlpm.states,_xlfn.VSTACK('MDA1:NCA9'!$B$2),
SUM(_xlfn._xlws.FILTER(_xlpm.data,(_xlpm.states="Arizona")+(_xlpm.states="Maryland")+(_xlpm.states="North Carolina"))))</f>
        <v>39.499999999999993</v>
      </c>
      <c r="AB11" s="164" cm="1">
        <f t="array" ref="AB11">_xlfn.LET(_xlpm.data,_xlfn.VSTACK('MDA1:NCA9'!AB3),_xlpm.states,_xlfn.VSTACK('MDA1:NCA9'!$B$2),
SUM(_xlfn._xlws.FILTER(_xlpm.data,(_xlpm.states="Arizona")+(_xlpm.states="Maryland")+(_xlpm.states="North Carolina"))))</f>
        <v>40.500000000000007</v>
      </c>
      <c r="AC11" s="164" cm="1">
        <f t="array" ref="AC11">_xlfn.LET(_xlpm.data,_xlfn.VSTACK('MDA1:NCA9'!AC3),_xlpm.states,_xlfn.VSTACK('MDA1:NCA9'!$B$2),
SUM(_xlfn._xlws.FILTER(_xlpm.data,(_xlpm.states="Arizona")+(_xlpm.states="Maryland")+(_xlpm.states="North Carolina"))))</f>
        <v>41.5</v>
      </c>
      <c r="AD11" s="164" cm="1">
        <f t="array" ref="AD11">_xlfn.LET(_xlpm.data,_xlfn.VSTACK('MDA1:NCA9'!AD3),_xlpm.states,_xlfn.VSTACK('MDA1:NCA9'!$B$2),
SUM(_xlfn._xlws.FILTER(_xlpm.data,(_xlpm.states="Arizona")+(_xlpm.states="Maryland")+(_xlpm.states="North Carolina"))))</f>
        <v>42.166666666666664</v>
      </c>
      <c r="AE11" s="164" cm="1">
        <f t="array" ref="AE11">_xlfn.LET(_xlpm.data,_xlfn.VSTACK('MDA1:NCA9'!AE3),_xlpm.states,_xlfn.VSTACK('MDA1:NCA9'!$B$2),
SUM(_xlfn._xlws.FILTER(_xlpm.data,(_xlpm.states="Arizona")+(_xlpm.states="Maryland")+(_xlpm.states="North Carolina"))))</f>
        <v>42.833333333333343</v>
      </c>
      <c r="AF11" s="164" cm="1">
        <f t="array" ref="AF11">_xlfn.LET(_xlpm.data,_xlfn.VSTACK('MDA1:NCA9'!AF3),_xlpm.states,_xlfn.VSTACK('MDA1:NCA9'!$B$2),
SUM(_xlfn._xlws.FILTER(_xlpm.data,(_xlpm.states="Arizona")+(_xlpm.states="Maryland")+(_xlpm.states="North Carolina"))))</f>
        <v>43.5</v>
      </c>
      <c r="AG11" s="164" cm="1">
        <f t="array" ref="AG11">_xlfn.LET(_xlpm.data,_xlfn.VSTACK('MDA1:NCA9'!AG3),_xlpm.states,_xlfn.VSTACK('MDA1:NCA9'!$B$2),
SUM(_xlfn._xlws.FILTER(_xlpm.data,(_xlpm.states="Arizona")+(_xlpm.states="Maryland")+(_xlpm.states="North Carolina"))))</f>
        <v>44.166666666666664</v>
      </c>
      <c r="AH11" s="164" cm="1">
        <f t="array" ref="AH11">_xlfn.LET(_xlpm.data,_xlfn.VSTACK('MDA1:NCA9'!AH3),_xlpm.states,_xlfn.VSTACK('MDA1:NCA9'!$B$2),
SUM(_xlfn._xlws.FILTER(_xlpm.data,(_xlpm.states="Arizona")+(_xlpm.states="Maryland")+(_xlpm.states="North Carolina"))))</f>
        <v>44.833333333333343</v>
      </c>
      <c r="AI11" s="164" cm="1">
        <f t="array" ref="AI11">_xlfn.LET(_xlpm.data,_xlfn.VSTACK('MDA1:NCA9'!AI3),_xlpm.states,_xlfn.VSTACK('MDA1:NCA9'!$B$2),
SUM(_xlfn._xlws.FILTER(_xlpm.data,(_xlpm.states="Arizona")+(_xlpm.states="Maryland")+(_xlpm.states="North Carolina"))))</f>
        <v>45.666666666666664</v>
      </c>
      <c r="AJ11" s="164" cm="1">
        <f t="array" ref="AJ11">_xlfn.LET(_xlpm.data,_xlfn.VSTACK('MDA1:NCA9'!AJ3),_xlpm.states,_xlfn.VSTACK('MDA1:NCA9'!$B$2),
SUM(_xlfn._xlws.FILTER(_xlpm.data,(_xlpm.states="Arizona")+(_xlpm.states="Maryland")+(_xlpm.states="North Carolina"))))</f>
        <v>46.5</v>
      </c>
      <c r="AK11" s="164" cm="1">
        <f t="array" ref="AK11">_xlfn.LET(_xlpm.data,_xlfn.VSTACK('MDA1:NCA9'!AK3),_xlpm.states,_xlfn.VSTACK('MDA1:NCA9'!$B$2),
SUM(_xlfn._xlws.FILTER(_xlpm.data,(_xlpm.states="Arizona")+(_xlpm.states="Maryland")+(_xlpm.states="North Carolina"))))</f>
        <v>47.333333333333336</v>
      </c>
      <c r="AL11" s="164" cm="1">
        <f t="array" ref="AL11">_xlfn.LET(_xlpm.data,_xlfn.VSTACK('MDA1:NCA9'!AL3),_xlpm.states,_xlfn.VSTACK('MDA1:NCA9'!$B$2),
SUM(_xlfn._xlws.FILTER(_xlpm.data,(_xlpm.states="Arizona")+(_xlpm.states="Maryland")+(_xlpm.states="North Carolina"))))</f>
        <v>48.166666666666664</v>
      </c>
      <c r="AM11" s="164" cm="1">
        <f t="array" ref="AM11">_xlfn.LET(_xlpm.data,_xlfn.VSTACK('MDA1:NCA9'!AM3),_xlpm.states,_xlfn.VSTACK('MDA1:NCA9'!$B$2),
SUM(_xlfn._xlws.FILTER(_xlpm.data,(_xlpm.states="Arizona")+(_xlpm.states="Maryland")+(_xlpm.states="North Carolina"))))</f>
        <v>48.833333333333336</v>
      </c>
      <c r="AN11" s="164" cm="1">
        <f t="array" ref="AN11">_xlfn.LET(_xlpm.data,_xlfn.VSTACK('MDA1:NCA9'!AN3),_xlpm.states,_xlfn.VSTACK('MDA1:NCA9'!$B$2),
SUM(_xlfn._xlws.FILTER(_xlpm.data,(_xlpm.states="Arizona")+(_xlpm.states="Maryland")+(_xlpm.states="North Carolina"))))</f>
        <v>49.5</v>
      </c>
    </row>
    <row r="12" spans="1:40" hidden="1" outlineLevel="1" x14ac:dyDescent="0.25">
      <c r="B12" s="55" t="s">
        <v>393</v>
      </c>
      <c r="C12" s="3"/>
      <c r="D12" s="94"/>
      <c r="E12" s="164" cm="1">
        <f t="array" ref="E12">_xlfn.LET(_xlpm.data,_xlfn.VSTACK('MDA1:NCA9'!E4),_xlpm.states,_xlfn.VSTACK('MDA1:NCA9'!$B$2),
SUM(_xlfn._xlws.FILTER(_xlpm.data,(_xlpm.states="Arizona")+(_xlpm.states="Maryland")+(_xlpm.states="North Carolina"))))</f>
        <v>351.8538587848933</v>
      </c>
      <c r="F12" s="164" cm="1">
        <f t="array" ref="F12">_xlfn.LET(_xlpm.data,_xlfn.VSTACK('MDA1:NCA9'!F4),_xlpm.states,_xlfn.VSTACK('MDA1:NCA9'!$B$2),
SUM(_xlfn._xlws.FILTER(_xlpm.data,(_xlpm.states="Arizona")+(_xlpm.states="Maryland")+(_xlpm.states="North Carolina"))))</f>
        <v>365.63957307060758</v>
      </c>
      <c r="G12" s="164" cm="1">
        <f t="array" ref="G12">_xlfn.LET(_xlpm.data,_xlfn.VSTACK('MDA1:NCA9'!G4),_xlpm.states,_xlfn.VSTACK('MDA1:NCA9'!$B$2),
SUM(_xlfn._xlws.FILTER(_xlpm.data,(_xlpm.states="Arizona")+(_xlpm.states="Maryland")+(_xlpm.states="North Carolina"))))</f>
        <v>373.87766830870277</v>
      </c>
      <c r="H12" s="164" cm="1">
        <f t="array" ref="H12">_xlfn.LET(_xlpm.data,_xlfn.VSTACK('MDA1:NCA9'!H4),_xlpm.states,_xlfn.VSTACK('MDA1:NCA9'!$B$2),
SUM(_xlfn._xlws.FILTER(_xlpm.data,(_xlpm.states="Arizona")+(_xlpm.states="Maryland")+(_xlpm.states="North Carolina"))))</f>
        <v>381.54433497536945</v>
      </c>
      <c r="I12" s="164" cm="1">
        <f t="array" ref="I12">_xlfn.LET(_xlpm.data,_xlfn.VSTACK('MDA1:NCA9'!I4),_xlpm.states,_xlfn.VSTACK('MDA1:NCA9'!$B$2),
SUM(_xlfn._xlws.FILTER(_xlpm.data,(_xlpm.states="Arizona")+(_xlpm.states="Maryland")+(_xlpm.states="North Carolina"))))</f>
        <v>388.21100164203614</v>
      </c>
      <c r="J12" s="164" cm="1">
        <f t="array" ref="J12">_xlfn.LET(_xlpm.data,_xlfn.VSTACK('MDA1:NCA9'!J4),_xlpm.states,_xlfn.VSTACK('MDA1:NCA9'!$B$2),
SUM(_xlfn._xlws.FILTER(_xlpm.data,(_xlpm.states="Arizona")+(_xlpm.states="Maryland")+(_xlpm.states="North Carolina"))))</f>
        <v>399.87766830870277</v>
      </c>
      <c r="K12" s="164" cm="1">
        <f t="array" ref="K12">_xlfn.LET(_xlpm.data,_xlfn.VSTACK('MDA1:NCA9'!K4),_xlpm.states,_xlfn.VSTACK('MDA1:NCA9'!$B$2),
SUM(_xlfn._xlws.FILTER(_xlpm.data,(_xlpm.states="Arizona")+(_xlpm.states="Maryland")+(_xlpm.states="North Carolina"))))</f>
        <v>424.71100164203614</v>
      </c>
      <c r="L12" s="164" cm="1">
        <f t="array" ref="L12">_xlfn.LET(_xlpm.data,_xlfn.VSTACK('MDA1:NCA9'!L4),_xlpm.states,_xlfn.VSTACK('MDA1:NCA9'!$B$2),
SUM(_xlfn._xlws.FILTER(_xlpm.data,(_xlpm.states="Arizona")+(_xlpm.states="Maryland")+(_xlpm.states="North Carolina"))))</f>
        <v>438.56814449917897</v>
      </c>
      <c r="M12" s="164" cm="1">
        <f t="array" ref="M12">_xlfn.LET(_xlpm.data,_xlfn.VSTACK('MDA1:NCA9'!M4),_xlpm.states,_xlfn.VSTACK('MDA1:NCA9'!$B$2),
SUM(_xlfn._xlws.FILTER(_xlpm.data,(_xlpm.states="Arizona")+(_xlpm.states="Maryland")+(_xlpm.states="North Carolina"))))</f>
        <v>450.40147783251234</v>
      </c>
      <c r="N12" s="164" cm="1">
        <f t="array" ref="N12">_xlfn.LET(_xlpm.data,_xlfn.VSTACK('MDA1:NCA9'!N4),_xlpm.states,_xlfn.VSTACK('MDA1:NCA9'!$B$2),
SUM(_xlfn._xlws.FILTER(_xlpm.data,(_xlpm.states="Arizona")+(_xlpm.states="Maryland")+(_xlpm.states="North Carolina"))))</f>
        <v>464.2348111658456</v>
      </c>
      <c r="O12" s="164" cm="1">
        <f t="array" ref="O12">_xlfn.LET(_xlpm.data,_xlfn.VSTACK('MDA1:NCA9'!O4),_xlpm.states,_xlfn.VSTACK('MDA1:NCA9'!$B$2),
SUM(_xlfn._xlws.FILTER(_xlpm.data,(_xlpm.states="Arizona")+(_xlpm.states="Maryland")+(_xlpm.states="North Carolina"))))</f>
        <v>483.09195402298849</v>
      </c>
      <c r="P12" s="164" cm="1">
        <f t="array" ref="P12">_xlfn.LET(_xlpm.data,_xlfn.VSTACK('MDA1:NCA9'!P4),_xlpm.states,_xlfn.VSTACK('MDA1:NCA9'!$B$2),
SUM(_xlfn._xlws.FILTER(_xlpm.data,(_xlpm.states="Arizona")+(_xlpm.states="Maryland")+(_xlpm.states="North Carolina"))))</f>
        <v>498.75862068965523</v>
      </c>
      <c r="Q12" s="164" cm="1">
        <f t="array" ref="Q12">_xlfn.LET(_xlpm.data,_xlfn.VSTACK('MDA1:NCA9'!Q4),_xlpm.states,_xlfn.VSTACK('MDA1:NCA9'!$B$2),
SUM(_xlfn._xlws.FILTER(_xlpm.data,(_xlpm.states="Arizona")+(_xlpm.states="Maryland")+(_xlpm.states="North Carolina"))))</f>
        <v>514.75862068965512</v>
      </c>
      <c r="R12" s="164" cm="1">
        <f t="array" ref="R12">_xlfn.LET(_xlpm.data,_xlfn.VSTACK('MDA1:NCA9'!R4),_xlpm.states,_xlfn.VSTACK('MDA1:NCA9'!$B$2),
SUM(_xlfn._xlws.FILTER(_xlpm.data,(_xlpm.states="Arizona")+(_xlpm.states="Maryland")+(_xlpm.states="North Carolina"))))</f>
        <v>530.52052545155993</v>
      </c>
      <c r="S12" s="164" cm="1">
        <f t="array" ref="S12">_xlfn.LET(_xlpm.data,_xlfn.VSTACK('MDA1:NCA9'!S4),_xlpm.states,_xlfn.VSTACK('MDA1:NCA9'!$B$2),
SUM(_xlfn._xlws.FILTER(_xlpm.data,(_xlpm.states="Arizona")+(_xlpm.states="Maryland")+(_xlpm.states="North Carolina"))))</f>
        <v>544.18719211822656</v>
      </c>
      <c r="T12" s="164" cm="1">
        <f t="array" ref="T12">_xlfn.LET(_xlpm.data,_xlfn.VSTACK('MDA1:NCA9'!T4),_xlpm.states,_xlfn.VSTACK('MDA1:NCA9'!$B$2),
SUM(_xlfn._xlws.FILTER(_xlpm.data,(_xlpm.states="Arizona")+(_xlpm.states="Maryland")+(_xlpm.states="North Carolina"))))</f>
        <v>557.85385878489319</v>
      </c>
      <c r="U12" s="164" cm="1">
        <f t="array" ref="U12">_xlfn.LET(_xlpm.data,_xlfn.VSTACK('MDA1:NCA9'!U4),_xlpm.states,_xlfn.VSTACK('MDA1:NCA9'!$B$2),
SUM(_xlfn._xlws.FILTER(_xlpm.data,(_xlpm.states="Arizona")+(_xlpm.states="Maryland")+(_xlpm.states="North Carolina"))))</f>
        <v>571.52052545155993</v>
      </c>
      <c r="V12" s="164" cm="1">
        <f t="array" ref="V12">_xlfn.LET(_xlpm.data,_xlfn.VSTACK('MDA1:NCA9'!V4),_xlpm.states,_xlfn.VSTACK('MDA1:NCA9'!$B$2),
SUM(_xlfn._xlws.FILTER(_xlpm.data,(_xlpm.states="Arizona")+(_xlpm.states="Maryland")+(_xlpm.states="North Carolina"))))</f>
        <v>586.18719211822645</v>
      </c>
      <c r="W12" s="164" cm="1">
        <f t="array" ref="W12">_xlfn.LET(_xlpm.data,_xlfn.VSTACK('MDA1:NCA9'!W4),_xlpm.states,_xlfn.VSTACK('MDA1:NCA9'!$B$2),
SUM(_xlfn._xlws.FILTER(_xlpm.data,(_xlpm.states="Arizona")+(_xlpm.states="Maryland")+(_xlpm.states="North Carolina"))))</f>
        <v>599.85385878489319</v>
      </c>
      <c r="X12" s="164" cm="1">
        <f t="array" ref="X12">_xlfn.LET(_xlpm.data,_xlfn.VSTACK('MDA1:NCA9'!X4),_xlpm.states,_xlfn.VSTACK('MDA1:NCA9'!$B$2),
SUM(_xlfn._xlws.FILTER(_xlpm.data,(_xlpm.states="Arizona")+(_xlpm.states="Maryland")+(_xlpm.states="North Carolina"))))</f>
        <v>615.83004926108379</v>
      </c>
      <c r="Y12" s="164" cm="1">
        <f t="array" ref="Y12">_xlfn.LET(_xlpm.data,_xlfn.VSTACK('MDA1:NCA9'!Y4),_xlpm.states,_xlfn.VSTACK('MDA1:NCA9'!$B$2),
SUM(_xlfn._xlws.FILTER(_xlpm.data,(_xlpm.states="Arizona")+(_xlpm.states="Maryland")+(_xlpm.states="North Carolina"))))</f>
        <v>633.68719211822656</v>
      </c>
      <c r="Z12" s="164" cm="1">
        <f t="array" ref="Z12">_xlfn.LET(_xlpm.data,_xlfn.VSTACK('MDA1:NCA9'!Z4),_xlpm.states,_xlfn.VSTACK('MDA1:NCA9'!$B$2),
SUM(_xlfn._xlws.FILTER(_xlpm.data,(_xlpm.states="Arizona")+(_xlpm.states="Maryland")+(_xlpm.states="North Carolina"))))</f>
        <v>648.68719211822656</v>
      </c>
      <c r="AA12" s="164" cm="1">
        <f t="array" ref="AA12">_xlfn.LET(_xlpm.data,_xlfn.VSTACK('MDA1:NCA9'!AA4),_xlpm.states,_xlfn.VSTACK('MDA1:NCA9'!$B$2),
SUM(_xlfn._xlws.FILTER(_xlpm.data,(_xlpm.states="Arizona")+(_xlpm.states="Maryland")+(_xlpm.states="North Carolina"))))</f>
        <v>659.83004926108367</v>
      </c>
      <c r="AB12" s="164" cm="1">
        <f t="array" ref="AB12">_xlfn.LET(_xlpm.data,_xlfn.VSTACK('MDA1:NCA9'!AB4),_xlpm.states,_xlfn.VSTACK('MDA1:NCA9'!$B$2),
SUM(_xlfn._xlws.FILTER(_xlpm.data,(_xlpm.states="Arizona")+(_xlpm.states="Maryland")+(_xlpm.states="North Carolina"))))</f>
        <v>670.83004926108379</v>
      </c>
      <c r="AC12" s="164" cm="1">
        <f t="array" ref="AC12">_xlfn.LET(_xlpm.data,_xlfn.VSTACK('MDA1:NCA9'!AC4),_xlpm.states,_xlfn.VSTACK('MDA1:NCA9'!$B$2),
SUM(_xlfn._xlws.FILTER(_xlpm.data,(_xlpm.states="Arizona")+(_xlpm.states="Maryland")+(_xlpm.states="North Carolina"))))</f>
        <v>682.83004926108367</v>
      </c>
      <c r="AD12" s="164" cm="1">
        <f t="array" ref="AD12">_xlfn.LET(_xlpm.data,_xlfn.VSTACK('MDA1:NCA9'!AD4),_xlpm.states,_xlfn.VSTACK('MDA1:NCA9'!$B$2),
SUM(_xlfn._xlws.FILTER(_xlpm.data,(_xlpm.states="Arizona")+(_xlpm.states="Maryland")+(_xlpm.states="North Carolina"))))</f>
        <v>692.78243021346464</v>
      </c>
      <c r="AE12" s="164" cm="1">
        <f t="array" ref="AE12">_xlfn.LET(_xlpm.data,_xlfn.VSTACK('MDA1:NCA9'!AE4),_xlpm.states,_xlfn.VSTACK('MDA1:NCA9'!$B$2),
SUM(_xlfn._xlws.FILTER(_xlpm.data,(_xlpm.states="Arizona")+(_xlpm.states="Maryland")+(_xlpm.states="North Carolina"))))</f>
        <v>701.44909688013149</v>
      </c>
      <c r="AF12" s="164" cm="1">
        <f t="array" ref="AF12">_xlfn.LET(_xlpm.data,_xlfn.VSTACK('MDA1:NCA9'!AF4),_xlpm.states,_xlfn.VSTACK('MDA1:NCA9'!$B$2),
SUM(_xlfn._xlws.FILTER(_xlpm.data,(_xlpm.states="Arizona")+(_xlpm.states="Maryland")+(_xlpm.states="North Carolina"))))</f>
        <v>710.11576354679801</v>
      </c>
      <c r="AG12" s="164" cm="1">
        <f t="array" ref="AG12">_xlfn.LET(_xlpm.data,_xlfn.VSTACK('MDA1:NCA9'!AG4),_xlpm.states,_xlfn.VSTACK('MDA1:NCA9'!$B$2),
SUM(_xlfn._xlws.FILTER(_xlpm.data,(_xlpm.states="Arizona")+(_xlpm.states="Maryland")+(_xlpm.states="North Carolina"))))</f>
        <v>719.78243021346464</v>
      </c>
      <c r="AH12" s="164" cm="1">
        <f t="array" ref="AH12">_xlfn.LET(_xlpm.data,_xlfn.VSTACK('MDA1:NCA9'!AH4),_xlpm.states,_xlfn.VSTACK('MDA1:NCA9'!$B$2),
SUM(_xlfn._xlws.FILTER(_xlpm.data,(_xlpm.states="Arizona")+(_xlpm.states="Maryland")+(_xlpm.states="North Carolina"))))</f>
        <v>734.44909688013149</v>
      </c>
      <c r="AI12" s="164" cm="1">
        <f t="array" ref="AI12">_xlfn.LET(_xlpm.data,_xlfn.VSTACK('MDA1:NCA9'!AI4),_xlpm.states,_xlfn.VSTACK('MDA1:NCA9'!$B$2),
SUM(_xlfn._xlws.FILTER(_xlpm.data,(_xlpm.states="Arizona")+(_xlpm.states="Maryland")+(_xlpm.states="North Carolina"))))</f>
        <v>756.13957307060741</v>
      </c>
      <c r="AJ12" s="164" cm="1">
        <f t="array" ref="AJ12">_xlfn.LET(_xlpm.data,_xlfn.VSTACK('MDA1:NCA9'!AJ4),_xlpm.states,_xlfn.VSTACK('MDA1:NCA9'!$B$2),
SUM(_xlfn._xlws.FILTER(_xlpm.data,(_xlpm.states="Arizona")+(_xlpm.states="Maryland")+(_xlpm.states="North Carolina"))))</f>
        <v>767.97290640394078</v>
      </c>
      <c r="AK12" s="164" cm="1">
        <f t="array" ref="AK12">_xlfn.LET(_xlpm.data,_xlfn.VSTACK('MDA1:NCA9'!AK4),_xlpm.states,_xlfn.VSTACK('MDA1:NCA9'!$B$2),
SUM(_xlfn._xlws.FILTER(_xlpm.data,(_xlpm.states="Arizona")+(_xlpm.states="Maryland")+(_xlpm.states="North Carolina"))))</f>
        <v>777.94909688013138</v>
      </c>
      <c r="AL12" s="164" cm="1">
        <f t="array" ref="AL12">_xlfn.LET(_xlpm.data,_xlfn.VSTACK('MDA1:NCA9'!AL4),_xlpm.states,_xlfn.VSTACK('MDA1:NCA9'!$B$2),
SUM(_xlfn._xlws.FILTER(_xlpm.data,(_xlpm.states="Arizona")+(_xlpm.states="Maryland")+(_xlpm.states="North Carolina"))))</f>
        <v>787.78243021346464</v>
      </c>
      <c r="AM12" s="164" cm="1">
        <f t="array" ref="AM12">_xlfn.LET(_xlpm.data,_xlfn.VSTACK('MDA1:NCA9'!AM4),_xlpm.states,_xlfn.VSTACK('MDA1:NCA9'!$B$2),
SUM(_xlfn._xlws.FILTER(_xlpm.data,(_xlpm.states="Arizona")+(_xlpm.states="Maryland")+(_xlpm.states="North Carolina"))))</f>
        <v>797.44909688013126</v>
      </c>
      <c r="AN12" s="164" cm="1">
        <f t="array" ref="AN12">_xlfn.LET(_xlpm.data,_xlfn.VSTACK('MDA1:NCA9'!AN4),_xlpm.states,_xlfn.VSTACK('MDA1:NCA9'!$B$2),
SUM(_xlfn._xlws.FILTER(_xlpm.data,(_xlpm.states="Arizona")+(_xlpm.states="Maryland")+(_xlpm.states="North Carolina"))))</f>
        <v>806.11576354679801</v>
      </c>
    </row>
    <row r="13" spans="1:40" collapsed="1" x14ac:dyDescent="0.25">
      <c r="B13" s="3"/>
      <c r="C13" s="3"/>
      <c r="D13" s="3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</row>
    <row r="14" spans="1:40" hidden="1" outlineLevel="1" x14ac:dyDescent="0.25">
      <c r="B14" s="3"/>
      <c r="C14" s="3"/>
      <c r="D14" s="3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</row>
    <row r="15" spans="1:40" hidden="1" outlineLevel="1" x14ac:dyDescent="0.25">
      <c r="B15" s="3"/>
      <c r="C15" s="3"/>
      <c r="D15" s="3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</row>
    <row r="16" spans="1:40" hidden="1" outlineLevel="1" x14ac:dyDescent="0.25">
      <c r="B16" s="3"/>
      <c r="C16" s="3"/>
      <c r="D16" s="3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</row>
    <row r="17" spans="2:40" hidden="1" outlineLevel="1" x14ac:dyDescent="0.25">
      <c r="B17" s="3"/>
      <c r="C17" s="3"/>
      <c r="D17" s="3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</row>
    <row r="18" spans="2:40" hidden="1" outlineLevel="1" x14ac:dyDescent="0.25">
      <c r="B18" s="3"/>
      <c r="C18" s="3"/>
      <c r="D18" s="3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</row>
    <row r="19" spans="2:40" hidden="1" outlineLevel="1" x14ac:dyDescent="0.25">
      <c r="B19" s="3"/>
      <c r="C19" s="3"/>
      <c r="D19" s="3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</row>
    <row r="20" spans="2:40" hidden="1" outlineLevel="1" x14ac:dyDescent="0.25">
      <c r="B20" s="3"/>
      <c r="C20" s="3"/>
      <c r="D20" s="3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</row>
    <row r="21" spans="2:40" hidden="1" outlineLevel="1" collapsed="1" x14ac:dyDescent="0.25">
      <c r="B21" s="2"/>
      <c r="D21" s="55"/>
      <c r="E21" s="60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107"/>
      <c r="S21" s="107"/>
      <c r="T21" s="107"/>
      <c r="U21" s="107"/>
      <c r="V21" s="107"/>
      <c r="W21" s="107"/>
      <c r="X21" s="107"/>
      <c r="Y21" s="107"/>
      <c r="Z21" s="107"/>
      <c r="AA21" s="107"/>
      <c r="AB21" s="107"/>
      <c r="AC21" s="107"/>
      <c r="AD21" s="107"/>
      <c r="AE21" s="107"/>
      <c r="AF21" s="107"/>
      <c r="AG21" s="107"/>
      <c r="AH21" s="107"/>
      <c r="AI21" s="107"/>
      <c r="AJ21" s="107"/>
      <c r="AK21" s="107"/>
      <c r="AL21" s="107"/>
      <c r="AM21" s="107"/>
      <c r="AN21" s="107"/>
    </row>
    <row r="22" spans="2:40" collapsed="1" x14ac:dyDescent="0.25">
      <c r="B22" s="2" t="s">
        <v>286</v>
      </c>
      <c r="D22" s="55"/>
      <c r="E22" s="60" cm="1">
        <f t="array" ref="E22:AN22">_xlfn.BYCOL($E$26:$AN$30,_xlfn.LAMBDA(_xlpm.a,SUM(_xlpm.a)))/$E$23:$AN$23*0.94</f>
        <v>92.650257627346065</v>
      </c>
      <c r="F22" s="107">
        <v>92.645265241106912</v>
      </c>
      <c r="G22" s="107">
        <v>92.659968309959368</v>
      </c>
      <c r="H22" s="107">
        <v>92.657531443876792</v>
      </c>
      <c r="I22" s="107">
        <v>92.645146798252867</v>
      </c>
      <c r="J22" s="107">
        <v>92.646903727449839</v>
      </c>
      <c r="K22" s="107">
        <v>92.68819980981219</v>
      </c>
      <c r="L22" s="107">
        <v>92.681963231468046</v>
      </c>
      <c r="M22" s="107">
        <v>92.682610108114446</v>
      </c>
      <c r="N22" s="107">
        <v>92.673127332052019</v>
      </c>
      <c r="O22" s="107">
        <v>92.684834686264082</v>
      </c>
      <c r="P22" s="107">
        <v>92.691698213516275</v>
      </c>
      <c r="Q22" s="107">
        <v>95.46927184296311</v>
      </c>
      <c r="R22" s="107">
        <v>95.470654624379563</v>
      </c>
      <c r="S22" s="107">
        <v>95.469648642275232</v>
      </c>
      <c r="T22" s="107">
        <v>95.453034913270287</v>
      </c>
      <c r="U22" s="107">
        <v>95.445027846020494</v>
      </c>
      <c r="V22" s="107">
        <v>95.436641524567918</v>
      </c>
      <c r="W22" s="107">
        <v>95.434330766311376</v>
      </c>
      <c r="X22" s="107">
        <v>95.425336594446705</v>
      </c>
      <c r="Y22" s="107">
        <v>95.41750080021599</v>
      </c>
      <c r="Z22" s="107">
        <v>95.410085839575302</v>
      </c>
      <c r="AA22" s="107">
        <v>95.397376272801552</v>
      </c>
      <c r="AB22" s="107">
        <v>95.399510032717032</v>
      </c>
      <c r="AC22" s="107">
        <v>95.394799203443128</v>
      </c>
      <c r="AD22" s="107">
        <v>95.390260659827035</v>
      </c>
      <c r="AE22" s="107">
        <v>95.373139048421095</v>
      </c>
      <c r="AF22" s="107">
        <v>95.365031054568064</v>
      </c>
      <c r="AG22" s="107">
        <v>95.350844576723645</v>
      </c>
      <c r="AH22" s="107">
        <v>95.339995222028676</v>
      </c>
      <c r="AI22" s="107">
        <v>95.331726686446629</v>
      </c>
      <c r="AJ22" s="107">
        <v>95.329695456099202</v>
      </c>
      <c r="AK22" s="107">
        <v>95.323194602086261</v>
      </c>
      <c r="AL22" s="107">
        <v>95.311080245854171</v>
      </c>
      <c r="AM22" s="107">
        <v>95.299296476569921</v>
      </c>
      <c r="AN22" s="107">
        <v>95.293269709477954</v>
      </c>
    </row>
    <row r="23" spans="2:40" x14ac:dyDescent="0.25">
      <c r="B23" s="2" t="s">
        <v>53</v>
      </c>
      <c r="C23" s="3"/>
      <c r="D23" s="3"/>
      <c r="E23" s="53" cm="1">
        <f t="array" ref="E23">_xlfn.LET(_xlpm.data,_xlfn.VSTACK('MDA1:NCA9'!E23),_xlpm.states,_xlfn.VSTACK('MDA1:NCA9'!$B$2),
SUM(_xlfn._xlws.FILTER(_xlpm.data,(_xlpm.states="Arizona")+(_xlpm.states="Maryland")+(_xlpm.states="North Carolina"))))</f>
        <v>23233.173333333336</v>
      </c>
      <c r="F23" s="53" cm="1">
        <f t="array" ref="F23">_xlfn.LET(_xlpm.data,_xlfn.VSTACK('MDA1:NCA9'!F23),_xlpm.states,_xlfn.VSTACK('MDA1:NCA9'!$B$2),
SUM(_xlfn._xlws.FILTER(_xlpm.data,(_xlpm.states="Arizona")+(_xlpm.states="Maryland")+(_xlpm.states="North Carolina"))))</f>
        <v>23804.586666666666</v>
      </c>
      <c r="G23" s="53" cm="1">
        <f t="array" ref="G23">_xlfn.LET(_xlpm.data,_xlfn.VSTACK('MDA1:NCA9'!G23),_xlpm.states,_xlfn.VSTACK('MDA1:NCA9'!$B$2),
SUM(_xlfn._xlws.FILTER(_xlpm.data,(_xlpm.states="Arizona")+(_xlpm.states="Maryland")+(_xlpm.states="North Carolina"))))</f>
        <v>24481.013333333332</v>
      </c>
      <c r="H23" s="53" cm="1">
        <f t="array" ref="H23">_xlfn.LET(_xlpm.data,_xlfn.VSTACK('MDA1:NCA9'!H23),_xlpm.states,_xlfn.VSTACK('MDA1:NCA9'!$B$2),
SUM(_xlfn._xlws.FILTER(_xlpm.data,(_xlpm.states="Arizona")+(_xlpm.states="Maryland")+(_xlpm.states="North Carolina"))))</f>
        <v>24842.399999999998</v>
      </c>
      <c r="I23" s="53" cm="1">
        <f t="array" ref="I23">_xlfn.LET(_xlpm.data,_xlfn.VSTACK('MDA1:NCA9'!I23),_xlpm.states,_xlfn.VSTACK('MDA1:NCA9'!$B$2),
SUM(_xlfn._xlws.FILTER(_xlpm.data,(_xlpm.states="Arizona")+(_xlpm.states="Maryland")+(_xlpm.states="North Carolina"))))</f>
        <v>25152.16</v>
      </c>
      <c r="J23" s="53" cm="1">
        <f t="array" ref="J23">_xlfn.LET(_xlpm.data,_xlfn.VSTACK('MDA1:NCA9'!J23),_xlpm.states,_xlfn.VSTACK('MDA1:NCA9'!$B$2),
SUM(_xlfn._xlws.FILTER(_xlpm.data,(_xlpm.states="Arizona")+(_xlpm.states="Maryland")+(_xlpm.states="North Carolina"))))</f>
        <v>25880.213333333333</v>
      </c>
      <c r="K23" s="53" cm="1">
        <f t="array" ref="K23">_xlfn.LET(_xlpm.data,_xlfn.VSTACK('MDA1:NCA9'!K23),_xlpm.states,_xlfn.VSTACK('MDA1:NCA9'!$B$2),
SUM(_xlfn._xlws.FILTER(_xlpm.data,(_xlpm.states="Arizona")+(_xlpm.states="Maryland")+(_xlpm.states="North Carolina"))))</f>
        <v>27450.133333333328</v>
      </c>
      <c r="L23" s="53" cm="1">
        <f t="array" ref="L23">_xlfn.LET(_xlpm.data,_xlfn.VSTACK('MDA1:NCA9'!L23),_xlpm.states,_xlfn.VSTACK('MDA1:NCA9'!$B$2),
SUM(_xlfn._xlws.FILTER(_xlpm.data,(_xlpm.states="Arizona")+(_xlpm.states="Maryland")+(_xlpm.states="North Carolina"))))</f>
        <v>28126.559999999998</v>
      </c>
      <c r="M23" s="53" cm="1">
        <f t="array" ref="M23">_xlfn.LET(_xlpm.data,_xlfn.VSTACK('MDA1:NCA9'!M23),_xlpm.states,_xlfn.VSTACK('MDA1:NCA9'!$B$2),
SUM(_xlfn._xlws.FILTER(_xlpm.data,(_xlpm.states="Arizona")+(_xlpm.states="Maryland")+(_xlpm.states="North Carolina"))))</f>
        <v>28854.613333333327</v>
      </c>
      <c r="N23" s="53" cm="1">
        <f t="array" ref="N23">_xlfn.LET(_xlpm.data,_xlfn.VSTACK('MDA1:NCA9'!N23),_xlpm.states,_xlfn.VSTACK('MDA1:NCA9'!$B$2),
SUM(_xlfn._xlws.FILTER(_xlpm.data,(_xlpm.states="Arizona")+(_xlpm.states="Maryland")+(_xlpm.states="North Carolina"))))</f>
        <v>29899.466666666664</v>
      </c>
      <c r="O23" s="53" cm="1">
        <f t="array" ref="O23">_xlfn.LET(_xlpm.data,_xlfn.VSTACK('MDA1:NCA9'!O23),_xlpm.states,_xlfn.VSTACK('MDA1:NCA9'!$B$2),
SUM(_xlfn._xlws.FILTER(_xlpm.data,(_xlpm.states="Arizona")+(_xlpm.states="Maryland")+(_xlpm.states="North Carolina"))))</f>
        <v>31154.346666666668</v>
      </c>
      <c r="P23" s="53" cm="1">
        <f t="array" ref="P23">_xlfn.LET(_xlpm.data,_xlfn.VSTACK('MDA1:NCA9'!P23),_xlpm.states,_xlfn.VSTACK('MDA1:NCA9'!$B$2),
SUM(_xlfn._xlws.FILTER(_xlpm.data,(_xlpm.states="Arizona")+(_xlpm.states="Maryland")+(_xlpm.states="North Carolina"))))</f>
        <v>32512.479999999996</v>
      </c>
      <c r="Q23" s="53" cm="1">
        <f t="array" ref="Q23">_xlfn.LET(_xlpm.data,_xlfn.VSTACK('MDA1:NCA9'!Q23),_xlpm.states,_xlfn.VSTACK('MDA1:NCA9'!$B$2),
SUM(_xlfn._xlws.FILTER(_xlpm.data,(_xlpm.states="Arizona")+(_xlpm.states="Maryland")+(_xlpm.states="North Carolina"))))</f>
        <v>33767.359999999993</v>
      </c>
      <c r="R23" s="53" cm="1">
        <f t="array" ref="R23">_xlfn.LET(_xlpm.data,_xlfn.VSTACK('MDA1:NCA9'!R23),_xlpm.states,_xlfn.VSTACK('MDA1:NCA9'!$B$2),
SUM(_xlfn._xlws.FILTER(_xlpm.data,(_xlpm.states="Arizona")+(_xlpm.states="Maryland")+(_xlpm.states="North Carolina"))))</f>
        <v>34968.853333333325</v>
      </c>
      <c r="S23" s="53" cm="1">
        <f t="array" ref="S23">_xlfn.LET(_xlpm.data,_xlfn.VSTACK('MDA1:NCA9'!S23),_xlpm.states,_xlfn.VSTACK('MDA1:NCA9'!$B$2),
SUM(_xlfn._xlws.FILTER(_xlpm.data,(_xlpm.states="Arizona")+(_xlpm.states="Maryland")+(_xlpm.states="North Carolina"))))</f>
        <v>36120.479999999996</v>
      </c>
      <c r="T23" s="53" cm="1">
        <f t="array" ref="T23">_xlfn.LET(_xlpm.data,_xlfn.VSTACK('MDA1:NCA9'!T23),_xlpm.states,_xlfn.VSTACK('MDA1:NCA9'!$B$2),
SUM(_xlfn._xlws.FILTER(_xlpm.data,(_xlpm.states="Arizona")+(_xlpm.states="Maryland")+(_xlpm.states="North Carolina"))))</f>
        <v>37272.106666666659</v>
      </c>
      <c r="U23" s="53" cm="1">
        <f t="array" ref="U23">_xlfn.LET(_xlpm.data,_xlfn.VSTACK('MDA1:NCA9'!U23),_xlpm.states,_xlfn.VSTACK('MDA1:NCA9'!$B$2),
SUM(_xlfn._xlws.FILTER(_xlpm.data,(_xlpm.states="Arizona")+(_xlpm.states="Maryland")+(_xlpm.states="North Carolina"))))</f>
        <v>38370.346666666665</v>
      </c>
      <c r="V23" s="53" cm="1">
        <f t="array" ref="V23">_xlfn.LET(_xlpm.data,_xlfn.VSTACK('MDA1:NCA9'!V23),_xlpm.states,_xlfn.VSTACK('MDA1:NCA9'!$B$2),
SUM(_xlfn._xlws.FILTER(_xlpm.data,(_xlpm.states="Arizona")+(_xlpm.states="Maryland")+(_xlpm.states="North Carolina"))))</f>
        <v>39573.599999999999</v>
      </c>
      <c r="W23" s="53" cm="1">
        <f t="array" ref="W23">_xlfn.LET(_xlpm.data,_xlfn.VSTACK('MDA1:NCA9'!W23),_xlpm.states,_xlfn.VSTACK('MDA1:NCA9'!$B$2),
SUM(_xlfn._xlws.FILTER(_xlpm.data,(_xlpm.states="Arizona")+(_xlpm.states="Maryland")+(_xlpm.states="North Carolina"))))</f>
        <v>41040.266666666656</v>
      </c>
      <c r="X23" s="53" cm="1">
        <f t="array" ref="X23">_xlfn.LET(_xlpm.data,_xlfn.VSTACK('MDA1:NCA9'!X23),_xlpm.states,_xlfn.VSTACK('MDA1:NCA9'!$B$2),
SUM(_xlfn._xlws.FILTER(_xlpm.data,(_xlpm.states="Arizona")+(_xlpm.states="Maryland")+(_xlpm.states="North Carolina"))))</f>
        <v>42401.919999999991</v>
      </c>
      <c r="Y23" s="53" cm="1">
        <f t="array" ref="Y23">_xlfn.LET(_xlpm.data,_xlfn.VSTACK('MDA1:NCA9'!Y23),_xlpm.states,_xlfn.VSTACK('MDA1:NCA9'!$B$2),
SUM(_xlfn._xlws.FILTER(_xlpm.data,(_xlpm.states="Arizona")+(_xlpm.states="Maryland")+(_xlpm.states="North Carolina"))))</f>
        <v>43605.173333333325</v>
      </c>
      <c r="Z23" s="53" cm="1">
        <f t="array" ref="Z23">_xlfn.LET(_xlpm.data,_xlfn.VSTACK('MDA1:NCA9'!Z23),_xlpm.states,_xlfn.VSTACK('MDA1:NCA9'!$B$2),
SUM(_xlfn._xlws.FILTER(_xlpm.data,(_xlpm.states="Arizona")+(_xlpm.states="Maryland")+(_xlpm.states="North Carolina"))))</f>
        <v>44808.426666666659</v>
      </c>
      <c r="AA23" s="53" cm="1">
        <f t="array" ref="AA23">_xlfn.LET(_xlpm.data,_xlfn.VSTACK('MDA1:NCA9'!AA23),_xlpm.states,_xlfn.VSTACK('MDA1:NCA9'!$B$2),
SUM(_xlfn._xlws.FILTER(_xlpm.data,(_xlpm.states="Arizona")+(_xlpm.states="Maryland")+(_xlpm.states="North Carolina"))))</f>
        <v>45960.053333333322</v>
      </c>
      <c r="AB23" s="53" cm="1">
        <f t="array" ref="AB23">_xlfn.LET(_xlpm.data,_xlfn.VSTACK('MDA1:NCA9'!AB23),_xlpm.states,_xlfn.VSTACK('MDA1:NCA9'!$B$2),
SUM(_xlfn._xlws.FILTER(_xlpm.data,(_xlpm.states="Arizona")+(_xlpm.states="Maryland")+(_xlpm.states="North Carolina"))))</f>
        <v>46796.639999999992</v>
      </c>
      <c r="AC23" s="53" cm="1">
        <f t="array" ref="AC23">_xlfn.LET(_xlpm.data,_xlfn.VSTACK('MDA1:NCA9'!AC23),_xlpm.states,_xlfn.VSTACK('MDA1:NCA9'!$B$2),
SUM(_xlfn._xlws.FILTER(_xlpm.data,(_xlpm.states="Arizona")+(_xlpm.states="Maryland")+(_xlpm.states="North Carolina"))))</f>
        <v>47684.853333333325</v>
      </c>
      <c r="AD23" s="53" cm="1">
        <f t="array" ref="AD23">_xlfn.LET(_xlpm.data,_xlfn.VSTACK('MDA1:NCA9'!AD23),_xlpm.states,_xlfn.VSTACK('MDA1:NCA9'!$B$2),
SUM(_xlfn._xlws.FILTER(_xlpm.data,(_xlpm.states="Arizona")+(_xlpm.states="Maryland")+(_xlpm.states="North Carolina"))))</f>
        <v>48573.066666666666</v>
      </c>
      <c r="AE23" s="53" cm="1">
        <f t="array" ref="AE23">_xlfn.LET(_xlpm.data,_xlfn.VSTACK('MDA1:NCA9'!AE23),_xlpm.states,_xlfn.VSTACK('MDA1:NCA9'!$B$2),
SUM(_xlfn._xlws.FILTER(_xlpm.data,(_xlpm.states="Arizona")+(_xlpm.states="Maryland")+(_xlpm.states="North Carolina"))))</f>
        <v>49253.013333333329</v>
      </c>
      <c r="AF23" s="53" cm="1">
        <f t="array" ref="AF23">_xlfn.LET(_xlpm.data,_xlfn.VSTACK('MDA1:NCA9'!AF23),_xlpm.states,_xlfn.VSTACK('MDA1:NCA9'!$B$2),
SUM(_xlfn._xlws.FILTER(_xlpm.data,(_xlpm.states="Arizona")+(_xlpm.states="Maryland")+(_xlpm.states="North Carolina"))))</f>
        <v>49986.346666666665</v>
      </c>
      <c r="AG23" s="53" cm="1">
        <f t="array" ref="AG23">_xlfn.LET(_xlpm.data,_xlfn.VSTACK('MDA1:NCA9'!AG23),_xlpm.states,_xlfn.VSTACK('MDA1:NCA9'!$B$2),
SUM(_xlfn._xlws.FILTER(_xlpm.data,(_xlpm.states="Arizona")+(_xlpm.states="Maryland")+(_xlpm.states="North Carolina"))))</f>
        <v>50771.306666666664</v>
      </c>
      <c r="AH23" s="53" cm="1">
        <f t="array" ref="AH23">_xlfn.LET(_xlpm.data,_xlfn.VSTACK('MDA1:NCA9'!AH23),_xlpm.states,_xlfn.VSTACK('MDA1:NCA9'!$B$2),
SUM(_xlfn._xlws.FILTER(_xlpm.data,(_xlpm.states="Arizona")+(_xlpm.states="Maryland")+(_xlpm.states="North Carolina"))))</f>
        <v>52081.333333333321</v>
      </c>
      <c r="AI23" s="53" cm="1">
        <f t="array" ref="AI23">_xlfn.LET(_xlpm.data,_xlfn.VSTACK('MDA1:NCA9'!AI23),_xlpm.states,_xlfn.VSTACK('MDA1:NCA9'!$B$2),
SUM(_xlfn._xlws.FILTER(_xlpm.data,(_xlpm.states="Arizona")+(_xlpm.states="Maryland")+(_xlpm.states="North Carolina"))))</f>
        <v>53496.373333333322</v>
      </c>
      <c r="AJ23" s="53" cm="1">
        <f t="array" ref="AJ23">_xlfn.LET(_xlpm.data,_xlfn.VSTACK('MDA1:NCA9'!AJ23),_xlpm.states,_xlfn.VSTACK('MDA1:NCA9'!$B$2),
SUM(_xlfn._xlws.FILTER(_xlpm.data,(_xlpm.states="Arizona")+(_xlpm.states="Maryland")+(_xlpm.states="North Carolina"))))</f>
        <v>54859.78666666666</v>
      </c>
      <c r="AK23" s="53" cm="1">
        <f t="array" ref="AK23">_xlfn.LET(_xlpm.data,_xlfn.VSTACK('MDA1:NCA9'!AK23),_xlpm.states,_xlfn.VSTACK('MDA1:NCA9'!$B$2),
SUM(_xlfn._xlws.FILTER(_xlpm.data,(_xlpm.states="Arizona")+(_xlpm.states="Maryland")+(_xlpm.states="North Carolina"))))</f>
        <v>55959.786666666652</v>
      </c>
      <c r="AL23" s="53" cm="1">
        <f t="array" ref="AL23">_xlfn.LET(_xlpm.data,_xlfn.VSTACK('MDA1:NCA9'!AL23),_xlpm.states,_xlfn.VSTACK('MDA1:NCA9'!$B$2),
SUM(_xlfn._xlws.FILTER(_xlpm.data,(_xlpm.states="Arizona")+(_xlpm.states="Maryland")+(_xlpm.states="North Carolina"))))</f>
        <v>56744.746666666659</v>
      </c>
      <c r="AM23" s="53" cm="1">
        <f t="array" ref="AM23">_xlfn.LET(_xlpm.data,_xlfn.VSTACK('MDA1:NCA9'!AM23),_xlpm.states,_xlfn.VSTACK('MDA1:NCA9'!$B$2),
SUM(_xlfn._xlws.FILTER(_xlpm.data,(_xlpm.states="Arizona")+(_xlpm.states="Maryland")+(_xlpm.states="North Carolina"))))</f>
        <v>57529.706666666658</v>
      </c>
      <c r="AN23" s="53" cm="1">
        <f t="array" ref="AN23">_xlfn.LET(_xlpm.data,_xlfn.VSTACK('MDA1:NCA9'!AN23),_xlpm.states,_xlfn.VSTACK('MDA1:NCA9'!$B$2),
SUM(_xlfn._xlws.FILTER(_xlpm.data,(_xlpm.states="Arizona")+(_xlpm.states="Maryland")+(_xlpm.states="North Carolina"))))</f>
        <v>58263.039999999986</v>
      </c>
    </row>
    <row r="24" spans="2:40" x14ac:dyDescent="0.25">
      <c r="B24" s="3"/>
      <c r="C24" s="3"/>
      <c r="D24" s="3"/>
      <c r="E24" s="56"/>
      <c r="F24" s="56"/>
      <c r="G24" s="56"/>
      <c r="H24" s="56"/>
      <c r="I24" s="56"/>
      <c r="J24" s="56"/>
      <c r="K24" s="56"/>
      <c r="L24" s="56"/>
      <c r="M24" s="56"/>
      <c r="N24" s="56"/>
      <c r="O24" s="56"/>
      <c r="P24" s="56"/>
      <c r="Q24" s="56"/>
      <c r="R24" s="56"/>
      <c r="S24" s="56"/>
      <c r="T24" s="56"/>
      <c r="U24" s="56"/>
      <c r="V24" s="56"/>
      <c r="W24" s="56"/>
      <c r="X24" s="56"/>
      <c r="Y24" s="56"/>
      <c r="Z24" s="56"/>
      <c r="AA24" s="56"/>
      <c r="AB24" s="56"/>
      <c r="AC24" s="56"/>
      <c r="AD24" s="56"/>
      <c r="AE24" s="56"/>
      <c r="AF24" s="56"/>
      <c r="AG24" s="56"/>
      <c r="AH24" s="56"/>
      <c r="AI24" s="56"/>
      <c r="AJ24" s="56"/>
      <c r="AK24" s="56"/>
      <c r="AL24" s="56"/>
      <c r="AM24" s="56"/>
      <c r="AN24" s="56"/>
    </row>
    <row r="25" spans="2:40" x14ac:dyDescent="0.25">
      <c r="B25" s="1" t="s">
        <v>21</v>
      </c>
      <c r="E25" s="38" cm="1">
        <f t="array" ref="E25:AB25">DATE(Base!BJ4,_xlfn.SEQUENCE(1,COUNTA(Base!$BJ$4:$BL$4)*12-12,1),1)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/>
      <c r="AD25" s="38"/>
      <c r="AE25" s="38"/>
      <c r="AF25" s="38"/>
      <c r="AG25" s="38"/>
      <c r="AH25" s="38"/>
      <c r="AI25" s="38"/>
      <c r="AJ25" s="38"/>
      <c r="AK25" s="38"/>
      <c r="AL25" s="38"/>
      <c r="AM25" s="38"/>
      <c r="AN25" s="38"/>
    </row>
    <row r="26" spans="2:40" outlineLevel="1" x14ac:dyDescent="0.25">
      <c r="B26" s="39" t="s">
        <v>379</v>
      </c>
      <c r="E26" s="12" cm="1">
        <f t="array" ref="E26">_xlfn.LET(_xlpm.data,_xlfn.VSTACK('MS:NCA9'!E26),_xlpm.states,_xlfn.VSTACK('MS:NCA9'!$B$2),
SUM(_xlfn._xlws.FILTER(_xlpm.data,(_xlpm.states="North Carolina")+(_xlpm.states="Arizona")+(_xlpm.states="Maryland"))))</f>
        <v>1704687.2842271999</v>
      </c>
      <c r="F26" s="12" cm="1">
        <f t="array" ref="F26">_xlfn.LET(_xlpm.data,_xlfn.VSTACK('MS:NCA9'!F26),_xlpm.states,_xlfn.VSTACK('MS:NCA9'!$B$2),
SUM(_xlfn._xlws.FILTER(_xlpm.data,(_xlpm.states="North Carolina")+(_xlpm.states="Arizona")+(_xlpm.states="Maryland"))))</f>
        <v>1746642.6445259999</v>
      </c>
      <c r="G26" s="12" cm="1">
        <f t="array" ref="G26">_xlfn.LET(_xlpm.data,_xlfn.VSTACK('MS:NCA9'!G26),_xlpm.states,_xlfn.VSTACK('MS:NCA9'!$B$2),
SUM(_xlfn._xlws.FILTER(_xlpm.data,(_xlpm.states="North Carolina")+(_xlpm.states="Arizona")+(_xlpm.states="Maryland"))))</f>
        <v>1795995.5543711998</v>
      </c>
      <c r="H26" s="12" cm="1">
        <f t="array" ref="H26">_xlfn.LET(_xlpm.data,_xlfn.VSTACK('MS:NCA9'!H26),_xlpm.states,_xlfn.VSTACK('MS:NCA9'!$B$2),
SUM(_xlfn._xlws.FILTER(_xlpm.data,(_xlpm.states="North Carolina")+(_xlpm.states="Arizona")+(_xlpm.states="Maryland"))))</f>
        <v>1823584.0835627997</v>
      </c>
      <c r="I26" s="12" cm="1">
        <f t="array" ref="I26">_xlfn.LET(_xlpm.data,_xlfn.VSTACK('MS:NCA9'!I26),_xlpm.states,_xlfn.VSTACK('MS:NCA9'!$B$2),
SUM(_xlfn._xlws.FILTER(_xlpm.data,(_xlpm.states="North Carolina")+(_xlpm.states="Arizona")+(_xlpm.states="Maryland"))))</f>
        <v>1846979.9002043998</v>
      </c>
      <c r="J26" s="12" cm="1">
        <f t="array" ref="J26">_xlfn.LET(_xlpm.data,_xlfn.VSTACK('MS:NCA9'!J26),_xlpm.states,_xlfn.VSTACK('MS:NCA9'!$B$2),
SUM(_xlfn._xlws.FILTER(_xlpm.data,(_xlpm.states="North Carolina")+(_xlpm.states="Arizona")+(_xlpm.states="Maryland"))))</f>
        <v>1900087.7772708</v>
      </c>
      <c r="K26" s="12" cm="1">
        <f t="array" ref="K26">_xlfn.LET(_xlpm.data,_xlfn.VSTACK('MS:NCA9'!K26),_xlpm.states,_xlfn.VSTACK('MS:NCA9'!$B$2),
SUM(_xlfn._xlws.FILTER(_xlpm.data,(_xlpm.states="North Carolina")+(_xlpm.states="Arizona")+(_xlpm.states="Maryland"))))</f>
        <v>2013809.1546299995</v>
      </c>
      <c r="L26" s="12" cm="1">
        <f t="array" ref="L26">_xlfn.LET(_xlpm.data,_xlfn.VSTACK('MS:NCA9'!L26),_xlpm.states,_xlfn.VSTACK('MS:NCA9'!$B$2),
SUM(_xlfn._xlws.FILTER(_xlpm.data,(_xlpm.states="North Carolina")+(_xlpm.states="Arizona")+(_xlpm.states="Maryland"))))</f>
        <v>2062947.9304823999</v>
      </c>
      <c r="M26" s="12" cm="1">
        <f t="array" ref="M26">_xlfn.LET(_xlpm.data,_xlfn.VSTACK('MS:NCA9'!M26),_xlpm.states,_xlfn.VSTACK('MS:NCA9'!$B$2),
SUM(_xlfn._xlws.FILTER(_xlpm.data,(_xlpm.states="North Carolina")+(_xlpm.states="Arizona")+(_xlpm.states="Maryland"))))</f>
        <v>2116055.8075488</v>
      </c>
      <c r="N26" s="12" cm="1">
        <f t="array" ref="N26">_xlfn.LET(_xlpm.data,_xlfn.VSTACK('MS:NCA9'!N26),_xlpm.states,_xlfn.VSTACK('MS:NCA9'!$B$2),
SUM(_xlfn._xlws.FILTER(_xlpm.data,(_xlpm.states="North Carolina")+(_xlpm.states="Arizona")+(_xlpm.states="Maryland"))))</f>
        <v>2190554.8283423996</v>
      </c>
      <c r="O26" s="12" cm="1">
        <f t="array" ref="O26">_xlfn.LET(_xlpm.data,_xlfn.VSTACK('MS:NCA9'!O26),_xlpm.states,_xlfn.VSTACK('MS:NCA9'!$B$2),
SUM(_xlfn._xlws.FILTER(_xlpm.data,(_xlpm.states="North Carolina")+(_xlpm.states="Arizona")+(_xlpm.states="Maryland"))))</f>
        <v>2280268.0732103996</v>
      </c>
      <c r="P26" s="12" cm="1">
        <f t="array" ref="P26">_xlfn.LET(_xlpm.data,_xlfn.VSTACK('MS:NCA9'!P26),_xlpm.states,_xlfn.VSTACK('MS:NCA9'!$B$2),
SUM(_xlfn._xlws.FILTER(_xlpm.data,(_xlpm.states="North Carolina")+(_xlpm.states="Arizona")+(_xlpm.states="Maryland"))))</f>
        <v>2377705.3865135997</v>
      </c>
      <c r="Q26" s="12" cm="1">
        <f t="array" ref="Q26">_xlfn.LET(_xlpm.data,_xlfn.VSTACK('MS:NCA9'!Q26),_xlpm.states,_xlfn.VSTACK('MS:NCA9'!$B$2),
SUM(_xlfn._xlws.FILTER(_xlpm.data,(_xlpm.states="North Carolina")+(_xlpm.states="Arizona")+(_xlpm.states="Maryland"))))</f>
        <v>2541450.9519865434</v>
      </c>
      <c r="R26" s="12" cm="1">
        <f t="array" ref="R26">_xlfn.LET(_xlpm.data,_xlfn.VSTACK('MS:NCA9'!R26),_xlpm.states,_xlfn.VSTACK('MS:NCA9'!$B$2),
SUM(_xlfn._xlws.FILTER(_xlpm.data,(_xlpm.states="North Carolina")+(_xlpm.states="Arizona")+(_xlpm.states="Maryland"))))</f>
        <v>2630362.9947028197</v>
      </c>
      <c r="S26" s="12" cm="1">
        <f t="array" ref="S26">_xlfn.LET(_xlpm.data,_xlfn.VSTACK('MS:NCA9'!S26),_xlpm.states,_xlfn.VSTACK('MS:NCA9'!$B$2),
SUM(_xlfn._xlws.FILTER(_xlpm.data,(_xlpm.states="North Carolina")+(_xlpm.states="Arizona")+(_xlpm.states="Maryland"))))</f>
        <v>2714591.2884160196</v>
      </c>
      <c r="T26" s="12" cm="1">
        <f t="array" ref="T26">_xlfn.LET(_xlpm.data,_xlfn.VSTACK('MS:NCA9'!T26),_xlpm.states,_xlfn.VSTACK('MS:NCA9'!$B$2),
SUM(_xlfn._xlws.FILTER(_xlpm.data,(_xlpm.states="North Carolina")+(_xlpm.states="Arizona")+(_xlpm.states="Maryland"))))</f>
        <v>2798368.7044405555</v>
      </c>
      <c r="U26" s="12" cm="1">
        <f t="array" ref="U26">_xlfn.LET(_xlpm.data,_xlfn.VSTACK('MS:NCA9'!U26),_xlpm.states,_xlfn.VSTACK('MS:NCA9'!$B$2),
SUM(_xlfn._xlws.FILTER(_xlpm.data,(_xlpm.states="North Carolina")+(_xlpm.states="Arizona")+(_xlpm.states="Maryland"))))</f>
        <v>2879065.696371384</v>
      </c>
      <c r="V26" s="12" cm="1">
        <f t="array" ref="V26">_xlfn.LET(_xlpm.data,_xlfn.VSTACK('MS:NCA9'!V26),_xlpm.states,_xlfn.VSTACK('MS:NCA9'!$B$2),
SUM(_xlfn._xlws.FILTER(_xlpm.data,(_xlpm.states="North Carolina")+(_xlpm.states="Arizona")+(_xlpm.states="Maryland"))))</f>
        <v>2967161.6063224198</v>
      </c>
      <c r="W26" s="12" cm="1">
        <f t="array" ref="W26">_xlfn.LET(_xlpm.data,_xlfn.VSTACK('MS:NCA9'!W26),_xlpm.states,_xlfn.VSTACK('MS:NCA9'!$B$2),
SUM(_xlfn._xlws.FILTER(_xlpm.data,(_xlpm.states="North Carolina")+(_xlpm.states="Arizona")+(_xlpm.states="Maryland"))))</f>
        <v>3073586.6540962444</v>
      </c>
      <c r="X26" s="12" cm="1">
        <f t="array" ref="X26">_xlfn.LET(_xlpm.data,_xlfn.VSTACK('MS:NCA9'!X26),_xlpm.states,_xlfn.VSTACK('MS:NCA9'!$B$2),
SUM(_xlfn._xlws.FILTER(_xlpm.data,(_xlpm.states="North Carolina")+(_xlpm.states="Arizona")+(_xlpm.states="Maryland"))))</f>
        <v>3173005.7802963001</v>
      </c>
      <c r="Y26" s="12" cm="1">
        <f t="array" ref="Y26">_xlfn.LET(_xlpm.data,_xlfn.VSTACK('MS:NCA9'!Y26),_xlpm.states,_xlfn.VSTACK('MS:NCA9'!$B$2),
SUM(_xlfn._xlws.FILTER(_xlpm.data,(_xlpm.states="North Carolina")+(_xlpm.states="Arizona")+(_xlpm.states="Maryland"))))</f>
        <v>3261101.6902473359</v>
      </c>
      <c r="Z26" s="12" cm="1">
        <f t="array" ref="Z26">_xlfn.LET(_xlpm.data,_xlfn.VSTACK('MS:NCA9'!Z26),_xlpm.states,_xlfn.VSTACK('MS:NCA9'!$B$2),
SUM(_xlfn._xlws.FILTER(_xlpm.data,(_xlpm.states="North Carolina")+(_xlpm.states="Arizona")+(_xlpm.states="Maryland"))))</f>
        <v>3349197.6001983723</v>
      </c>
      <c r="AA26" s="12" cm="1">
        <f t="array" ref="AA26">_xlfn.LET(_xlpm.data,_xlfn.VSTACK('MS:NCA9'!AA26),_xlpm.states,_xlfn.VSTACK('MS:NCA9'!$B$2),
SUM(_xlfn._xlws.FILTER(_xlpm.data,(_xlpm.states="North Carolina")+(_xlpm.states="Arizona")+(_xlpm.states="Maryland"))))</f>
        <v>3432975.0162229072</v>
      </c>
      <c r="AB26" s="12" cm="1">
        <f t="array" ref="AB26">_xlfn.LET(_xlpm.data,_xlfn.VSTACK('MS:NCA9'!AB26),_xlpm.states,_xlfn.VSTACK('MS:NCA9'!$B$2),
SUM(_xlfn._xlws.FILTER(_xlpm.data,(_xlpm.states="North Carolina")+(_xlpm.states="Arizona")+(_xlpm.states="Maryland"))))</f>
        <v>3495006.5558754834</v>
      </c>
      <c r="AC26" s="12" cm="1">
        <f t="array" ref="AC26">_xlfn.LET(_xlpm.data,_xlfn.VSTACK('MS:NCA9'!AC26),_xlpm.states,_xlfn.VSTACK('MS:NCA9'!$B$2),
SUM(_xlfn._xlws.FILTER(_xlpm.data,(_xlpm.states="North Carolina")+(_xlpm.states="Arizona")+(_xlpm.states="Maryland"))))</f>
        <v>3560905.7117658951</v>
      </c>
      <c r="AD26" s="12" cm="1">
        <f t="array" ref="AD26">_xlfn.LET(_xlpm.data,_xlfn.VSTACK('MS:NCA9'!AD26),_xlpm.states,_xlfn.VSTACK('MS:NCA9'!$B$2),
SUM(_xlfn._xlws.FILTER(_xlpm.data,(_xlpm.states="North Carolina")+(_xlpm.states="Arizona")+(_xlpm.states="Maryland"))))</f>
        <v>3626804.8676563073</v>
      </c>
      <c r="AE26" s="12" cm="1">
        <f t="array" ref="AE26">_xlfn.LET(_xlpm.data,_xlfn.VSTACK('MS:NCA9'!AE26),_xlpm.states,_xlfn.VSTACK('MS:NCA9'!$B$2),
SUM(_xlfn._xlws.FILTER(_xlpm.data,(_xlpm.states="North Carolina")+(_xlpm.states="Arizona")+(_xlpm.states="Maryland"))))</f>
        <v>3676246.1806059596</v>
      </c>
      <c r="AF26" s="12" cm="1">
        <f t="array" ref="AF26">_xlfn.LET(_xlpm.data,_xlfn.VSTACK('MS:NCA9'!AF26),_xlpm.states,_xlfn.VSTACK('MS:NCA9'!$B$2),
SUM(_xlfn._xlws.FILTER(_xlpm.data,(_xlpm.states="North Carolina")+(_xlpm.states="Arizona")+(_xlpm.states="Maryland"))))</f>
        <v>3729640.7324055354</v>
      </c>
      <c r="AG26" s="12" cm="1">
        <f t="array" ref="AG26">_xlfn.LET(_xlpm.data,_xlfn.VSTACK('MS:NCA9'!AG26),_xlpm.states,_xlfn.VSTACK('MS:NCA9'!$B$2),
SUM(_xlfn._xlws.FILTER(_xlpm.data,(_xlpm.states="North Carolina")+(_xlpm.states="Arizona")+(_xlpm.states="Maryland"))))</f>
        <v>3786902.9004429476</v>
      </c>
      <c r="AH26" s="12" cm="1">
        <f t="array" ref="AH26">_xlfn.LET(_xlpm.data,_xlfn.VSTACK('MS:NCA9'!AH26),_xlpm.states,_xlfn.VSTACK('MS:NCA9'!$B$2),
SUM(_xlfn._xlws.FILTER(_xlpm.data,(_xlpm.states="North Carolina")+(_xlpm.states="Arizona")+(_xlpm.states="Maryland"))))</f>
        <v>3882003.5327165034</v>
      </c>
      <c r="AI26" s="12" cm="1">
        <f t="array" ref="AI26">_xlfn.LET(_xlpm.data,_xlfn.VSTACK('MS:NCA9'!AI26),_xlpm.states,_xlfn.VSTACK('MS:NCA9'!$B$2),
SUM(_xlfn._xlws.FILTER(_xlpm.data,(_xlpm.states="North Carolina")+(_xlpm.states="Arizona")+(_xlpm.states="Maryland"))))</f>
        <v>3984925.0200778195</v>
      </c>
      <c r="AJ26" s="12" cm="1">
        <f t="array" ref="AJ26">_xlfn.LET(_xlpm.data,_xlfn.VSTACK('MS:NCA9'!AJ26),_xlpm.states,_xlfn.VSTACK('MS:NCA9'!$B$2),
SUM(_xlfn._xlws.FILTER(_xlpm.data,(_xlpm.states="North Carolina")+(_xlpm.states="Arizona")+(_xlpm.states="Maryland"))))</f>
        <v>4083978.8912012996</v>
      </c>
      <c r="AK26" s="12" cm="1">
        <f t="array" ref="AK26">_xlfn.LET(_xlpm.data,_xlfn.VSTACK('MS:NCA9'!AK26),_xlpm.states,_xlfn.VSTACK('MS:NCA9'!$B$2),
SUM(_xlfn._xlws.FILTER(_xlpm.data,(_xlpm.states="North Carolina")+(_xlpm.states="Arizona")+(_xlpm.states="Maryland"))))</f>
        <v>4164703.6245019916</v>
      </c>
      <c r="AL26" s="12" cm="1">
        <f t="array" ref="AL26">_xlfn.LET(_xlpm.data,_xlfn.VSTACK('MS:NCA9'!AL26),_xlpm.states,_xlfn.VSTACK('MS:NCA9'!$B$2),
SUM(_xlfn._xlws.FILTER(_xlpm.data,(_xlpm.states="North Carolina")+(_xlpm.states="Arizona")+(_xlpm.states="Maryland"))))</f>
        <v>4221965.7925394038</v>
      </c>
      <c r="AM26" s="12" cm="1">
        <f t="array" ref="AM26">_xlfn.LET(_xlpm.data,_xlfn.VSTACK('MS:NCA9'!AM26),_xlpm.states,_xlfn.VSTACK('MS:NCA9'!$B$2),
SUM(_xlfn._xlws.FILTER(_xlpm.data,(_xlpm.states="North Carolina")+(_xlpm.states="Arizona")+(_xlpm.states="Maryland"))))</f>
        <v>4279227.9605768146</v>
      </c>
      <c r="AN26" s="12" cm="1">
        <f t="array" ref="AN26">_xlfn.LET(_xlpm.data,_xlfn.VSTACK('MS:NCA9'!AN26),_xlpm.states,_xlfn.VSTACK('MS:NCA9'!$B$2),
SUM(_xlfn._xlws.FILTER(_xlpm.data,(_xlpm.states="North Carolina")+(_xlpm.states="Arizona")+(_xlpm.states="Maryland"))))</f>
        <v>4332622.5123763913</v>
      </c>
    </row>
    <row r="27" spans="2:40" outlineLevel="1" x14ac:dyDescent="0.25">
      <c r="B27" s="39" t="s">
        <v>380</v>
      </c>
      <c r="E27" s="12" cm="1">
        <f t="array" ref="E27">_xlfn.LET(_xlpm.data,_xlfn.VSTACK('MS:NCA9'!E27),_xlpm.states,_xlfn.VSTACK('MS:NCA9'!$B$2),
SUM(_xlfn._xlws.FILTER(_xlpm.data,(_xlpm.states="North Carolina")+(_xlpm.states="Arizona")+(_xlpm.states="Maryland"))))</f>
        <v>84550.909941333317</v>
      </c>
      <c r="F27" s="12" cm="1">
        <f t="array" ref="F27">_xlfn.LET(_xlpm.data,_xlfn.VSTACK('MS:NCA9'!F27),_xlpm.states,_xlfn.VSTACK('MS:NCA9'!$B$2),
SUM(_xlfn._xlws.FILTER(_xlpm.data,(_xlpm.states="North Carolina")+(_xlpm.states="Arizona")+(_xlpm.states="Maryland"))))</f>
        <v>87305.460874666664</v>
      </c>
      <c r="G27" s="12" cm="1">
        <f t="array" ref="G27">_xlfn.LET(_xlpm.data,_xlfn.VSTACK('MS:NCA9'!G27),_xlpm.states,_xlfn.VSTACK('MS:NCA9'!$B$2),
SUM(_xlfn._xlws.FILTER(_xlpm.data,(_xlpm.states="North Carolina")+(_xlpm.states="Arizona")+(_xlpm.states="Maryland"))))</f>
        <v>91437.287274666654</v>
      </c>
      <c r="H27" s="12" cm="1">
        <f t="array" ref="H27">_xlfn.LET(_xlpm.data,_xlfn.VSTACK('MS:NCA9'!H27),_xlpm.states,_xlfn.VSTACK('MS:NCA9'!$B$2),
SUM(_xlfn._xlws.FILTER(_xlpm.data,(_xlpm.states="North Carolina")+(_xlpm.states="Arizona")+(_xlpm.states="Maryland"))))</f>
        <v>91437.287274666654</v>
      </c>
      <c r="I27" s="12" cm="1">
        <f t="array" ref="I27">_xlfn.LET(_xlpm.data,_xlfn.VSTACK('MS:NCA9'!I27),_xlpm.states,_xlfn.VSTACK('MS:NCA9'!$B$2),
SUM(_xlfn._xlws.FILTER(_xlpm.data,(_xlpm.states="North Carolina")+(_xlpm.states="Arizona")+(_xlpm.states="Maryland"))))</f>
        <v>91437.287274666654</v>
      </c>
      <c r="J27" s="12" cm="1">
        <f t="array" ref="J27">_xlfn.LET(_xlpm.data,_xlfn.VSTACK('MS:NCA9'!J27),_xlpm.states,_xlfn.VSTACK('MS:NCA9'!$B$2),
SUM(_xlfn._xlws.FILTER(_xlpm.data,(_xlpm.states="North Carolina")+(_xlpm.states="Arizona")+(_xlpm.states="Maryland"))))</f>
        <v>95569.11367466666</v>
      </c>
      <c r="K27" s="12" cm="1">
        <f t="array" ref="K27">_xlfn.LET(_xlpm.data,_xlfn.VSTACK('MS:NCA9'!K27),_xlpm.states,_xlfn.VSTACK('MS:NCA9'!$B$2),
SUM(_xlfn._xlws.FILTER(_xlpm.data,(_xlpm.states="North Carolina")+(_xlpm.states="Arizona")+(_xlpm.states="Maryland"))))</f>
        <v>104212.05572266666</v>
      </c>
      <c r="L27" s="12" cm="1">
        <f t="array" ref="L27">_xlfn.LET(_xlpm.data,_xlfn.VSTACK('MS:NCA9'!L27),_xlpm.states,_xlfn.VSTACK('MS:NCA9'!$B$2),
SUM(_xlfn._xlws.FILTER(_xlpm.data,(_xlpm.states="North Carolina")+(_xlpm.states="Arizona")+(_xlpm.states="Maryland"))))</f>
        <v>108343.88212266666</v>
      </c>
      <c r="M27" s="12" cm="1">
        <f t="array" ref="M27">_xlfn.LET(_xlpm.data,_xlfn.VSTACK('MS:NCA9'!M27),_xlpm.states,_xlfn.VSTACK('MS:NCA9'!$B$2),
SUM(_xlfn._xlws.FILTER(_xlpm.data,(_xlpm.states="North Carolina")+(_xlpm.states="Arizona")+(_xlpm.states="Maryland"))))</f>
        <v>112475.70852266665</v>
      </c>
      <c r="N27" s="12" cm="1">
        <f t="array" ref="N27">_xlfn.LET(_xlpm.data,_xlfn.VSTACK('MS:NCA9'!N27),_xlpm.states,_xlfn.VSTACK('MS:NCA9'!$B$2),
SUM(_xlfn._xlws.FILTER(_xlpm.data,(_xlpm.states="North Carolina")+(_xlpm.states="Arizona")+(_xlpm.states="Maryland"))))</f>
        <v>120364.55599999998</v>
      </c>
      <c r="O27" s="12" cm="1">
        <f t="array" ref="O27">_xlfn.LET(_xlpm.data,_xlfn.VSTACK('MS:NCA9'!O27),_xlpm.states,_xlfn.VSTACK('MS:NCA9'!$B$2),
SUM(_xlfn._xlws.FILTER(_xlpm.data,(_xlpm.states="North Carolina")+(_xlpm.states="Arizona")+(_xlpm.states="Maryland"))))</f>
        <v>130131.914016</v>
      </c>
      <c r="P27" s="12" cm="1">
        <f t="array" ref="P27">_xlfn.LET(_xlpm.data,_xlfn.VSTACK('MS:NCA9'!P27),_xlpm.states,_xlfn.VSTACK('MS:NCA9'!$B$2),
SUM(_xlfn._xlws.FILTER(_xlpm.data,(_xlpm.states="North Carolina")+(_xlpm.states="Arizona")+(_xlpm.states="Maryland"))))</f>
        <v>139899.27203199998</v>
      </c>
      <c r="Q27" s="12" cm="1">
        <f t="array" ref="Q27">_xlfn.LET(_xlpm.data,_xlfn.VSTACK('MS:NCA9'!Q27),_xlpm.states,_xlfn.VSTACK('MS:NCA9'!$B$2),
SUM(_xlfn._xlws.FILTER(_xlpm.data,(_xlpm.states="North Carolina")+(_xlpm.states="Arizona")+(_xlpm.states="Maryland"))))</f>
        <v>154156.62894943997</v>
      </c>
      <c r="R27" s="12" cm="1">
        <f t="array" ref="R27">_xlfn.LET(_xlpm.data,_xlfn.VSTACK('MS:NCA9'!R27),_xlpm.states,_xlfn.VSTACK('MS:NCA9'!$B$2),
SUM(_xlfn._xlws.FILTER(_xlpm.data,(_xlpm.states="North Carolina")+(_xlpm.states="Arizona")+(_xlpm.states="Maryland"))))</f>
        <v>163700.73558175997</v>
      </c>
      <c r="S27" s="12" cm="1">
        <f t="array" ref="S27">_xlfn.LET(_xlpm.data,_xlfn.VSTACK('MS:NCA9'!S27),_xlpm.states,_xlfn.VSTACK('MS:NCA9'!$B$2),
SUM(_xlfn._xlws.FILTER(_xlpm.data,(_xlpm.states="North Carolina")+(_xlpm.states="Arizona")+(_xlpm.states="Maryland"))))</f>
        <v>173761.11433823998</v>
      </c>
      <c r="T27" s="12" cm="1">
        <f t="array" ref="T27">_xlfn.LET(_xlpm.data,_xlfn.VSTACK('MS:NCA9'!T27),_xlpm.states,_xlfn.VSTACK('MS:NCA9'!$B$2),
SUM(_xlfn._xlws.FILTER(_xlpm.data,(_xlpm.states="North Carolina")+(_xlpm.states="Arizona")+(_xlpm.states="Maryland"))))</f>
        <v>183821.49309471998</v>
      </c>
      <c r="U27" s="12" cm="1">
        <f t="array" ref="U27">_xlfn.LET(_xlpm.data,_xlfn.VSTACK('MS:NCA9'!U27),_xlpm.states,_xlfn.VSTACK('MS:NCA9'!$B$2),
SUM(_xlfn._xlws.FILTER(_xlpm.data,(_xlpm.states="North Carolina")+(_xlpm.states="Arizona")+(_xlpm.states="Maryland"))))</f>
        <v>192463.2781205333</v>
      </c>
      <c r="V27" s="12" cm="1">
        <f t="array" ref="V27">_xlfn.LET(_xlpm.data,_xlfn.VSTACK('MS:NCA9'!V27),_xlpm.states,_xlfn.VSTACK('MS:NCA9'!$B$2),
SUM(_xlfn._xlws.FILTER(_xlpm.data,(_xlpm.states="North Carolina")+(_xlpm.states="Arizona")+(_xlpm.states="Maryland"))))</f>
        <v>202523.6568770133</v>
      </c>
      <c r="W27" s="12" cm="1">
        <f t="array" ref="W27">_xlfn.LET(_xlpm.data,_xlfn.VSTACK('MS:NCA9'!W27),_xlpm.states,_xlfn.VSTACK('MS:NCA9'!$B$2),
SUM(_xlfn._xlws.FILTER(_xlpm.data,(_xlpm.states="North Carolina")+(_xlpm.states="Arizona")+(_xlpm.states="Maryland"))))</f>
        <v>216839.81682549333</v>
      </c>
      <c r="X27" s="12" cm="1">
        <f t="array" ref="X27">_xlfn.LET(_xlpm.data,_xlfn.VSTACK('MS:NCA9'!X27),_xlpm.states,_xlfn.VSTACK('MS:NCA9'!$B$2),
SUM(_xlfn._xlws.FILTER(_xlpm.data,(_xlpm.states="North Carolina")+(_xlpm.states="Arizona")+(_xlpm.states="Maryland"))))</f>
        <v>227932.73983029329</v>
      </c>
      <c r="Y27" s="12" cm="1">
        <f t="array" ref="Y27">_xlfn.LET(_xlpm.data,_xlfn.VSTACK('MS:NCA9'!Y27),_xlpm.states,_xlfn.VSTACK('MS:NCA9'!$B$2),
SUM(_xlfn._xlws.FILTER(_xlpm.data,(_xlpm.states="North Carolina")+(_xlpm.states="Arizona")+(_xlpm.states="Maryland"))))</f>
        <v>237993.11858677326</v>
      </c>
      <c r="Z27" s="12" cm="1">
        <f t="array" ref="Z27">_xlfn.LET(_xlpm.data,_xlfn.VSTACK('MS:NCA9'!Z27),_xlpm.states,_xlfn.VSTACK('MS:NCA9'!$B$2),
SUM(_xlfn._xlws.FILTER(_xlpm.data,(_xlpm.states="North Carolina")+(_xlpm.states="Arizona")+(_xlpm.states="Maryland"))))</f>
        <v>248053.49734325332</v>
      </c>
      <c r="AA27" s="12" cm="1">
        <f t="array" ref="AA27">_xlfn.LET(_xlpm.data,_xlfn.VSTACK('MS:NCA9'!AA27),_xlpm.states,_xlfn.VSTACK('MS:NCA9'!$B$2),
SUM(_xlfn._xlws.FILTER(_xlpm.data,(_xlpm.states="North Carolina")+(_xlpm.states="Arizona")+(_xlpm.states="Maryland"))))</f>
        <v>258113.87609973329</v>
      </c>
      <c r="AB27" s="12" cm="1">
        <f t="array" ref="AB27">_xlfn.LET(_xlpm.data,_xlfn.VSTACK('MS:NCA9'!AB27),_xlpm.states,_xlfn.VSTACK('MS:NCA9'!$B$2),
SUM(_xlfn._xlws.FILTER(_xlpm.data,(_xlpm.states="North Carolina")+(_xlpm.states="Arizona")+(_xlpm.states="Maryland"))))</f>
        <v>263918.47366421326</v>
      </c>
      <c r="AC27" s="12" cm="1">
        <f t="array" ref="AC27">_xlfn.LET(_xlpm.data,_xlfn.VSTACK('MS:NCA9'!AC27),_xlpm.states,_xlfn.VSTACK('MS:NCA9'!$B$2),
SUM(_xlfn._xlws.FILTER(_xlpm.data,(_xlpm.states="North Carolina")+(_xlpm.states="Arizona")+(_xlpm.states="Maryland"))))</f>
        <v>269723.0712286933</v>
      </c>
      <c r="AD27" s="12" cm="1">
        <f t="array" ref="AD27">_xlfn.LET(_xlpm.data,_xlfn.VSTACK('MS:NCA9'!AD27),_xlpm.states,_xlfn.VSTACK('MS:NCA9'!$B$2),
SUM(_xlfn._xlws.FILTER(_xlpm.data,(_xlpm.states="North Carolina")+(_xlpm.states="Arizona")+(_xlpm.states="Maryland"))))</f>
        <v>275527.66879317327</v>
      </c>
      <c r="AE27" s="12" cm="1">
        <f t="array" ref="AE27">_xlfn.LET(_xlpm.data,_xlfn.VSTACK('MS:NCA9'!AE27),_xlpm.states,_xlfn.VSTACK('MS:NCA9'!$B$2),
SUM(_xlfn._xlws.FILTER(_xlpm.data,(_xlpm.states="North Carolina")+(_xlpm.states="Arizona")+(_xlpm.states="Maryland"))))</f>
        <v>280815.99423349329</v>
      </c>
      <c r="AF27" s="12" cm="1">
        <f t="array" ref="AF27">_xlfn.LET(_xlpm.data,_xlfn.VSTACK('MS:NCA9'!AF27),_xlpm.states,_xlfn.VSTACK('MS:NCA9'!$B$2),
SUM(_xlfn._xlws.FILTER(_xlpm.data,(_xlpm.states="North Carolina")+(_xlpm.states="Arizona")+(_xlpm.states="Maryland"))))</f>
        <v>286620.59179797326</v>
      </c>
      <c r="AG27" s="12" cm="1">
        <f t="array" ref="AG27">_xlfn.LET(_xlpm.data,_xlfn.VSTACK('MS:NCA9'!AG27),_xlpm.states,_xlfn.VSTACK('MS:NCA9'!$B$2),
SUM(_xlfn._xlws.FILTER(_xlpm.data,(_xlpm.states="North Carolina")+(_xlpm.states="Arizona")+(_xlpm.states="Maryland"))))</f>
        <v>292425.1893624533</v>
      </c>
      <c r="AH27" s="12" cm="1">
        <f t="array" ref="AH27">_xlfn.LET(_xlpm.data,_xlfn.VSTACK('MS:NCA9'!AH27),_xlpm.states,_xlfn.VSTACK('MS:NCA9'!$B$2),
SUM(_xlfn._xlws.FILTER(_xlpm.data,(_xlpm.states="North Carolina")+(_xlpm.states="Arizona")+(_xlpm.states="Maryland"))))</f>
        <v>303518.11236725328</v>
      </c>
      <c r="AI27" s="12" cm="1">
        <f t="array" ref="AI27">_xlfn.LET(_xlpm.data,_xlfn.VSTACK('MS:NCA9'!AI27),_xlpm.states,_xlfn.VSTACK('MS:NCA9'!$B$2),
SUM(_xlfn._xlws.FILTER(_xlpm.data,(_xlpm.states="North Carolina")+(_xlpm.states="Arizona")+(_xlpm.states="Maryland"))))</f>
        <v>315127.3074962133</v>
      </c>
      <c r="AJ27" s="12" cm="1">
        <f t="array" ref="AJ27">_xlfn.LET(_xlpm.data,_xlfn.VSTACK('MS:NCA9'!AJ27),_xlpm.states,_xlfn.VSTACK('MS:NCA9'!$B$2),
SUM(_xlfn._xlws.FILTER(_xlpm.data,(_xlpm.states="North Carolina")+(_xlpm.states="Arizona")+(_xlpm.states="Maryland"))))</f>
        <v>326736.50262517331</v>
      </c>
      <c r="AK27" s="12" cm="1">
        <f t="array" ref="AK27">_xlfn.LET(_xlpm.data,_xlfn.VSTACK('MS:NCA9'!AK27),_xlpm.states,_xlfn.VSTACK('MS:NCA9'!$B$2),
SUM(_xlfn._xlws.FILTER(_xlpm.data,(_xlpm.states="North Carolina")+(_xlpm.states="Arizona")+(_xlpm.states="Maryland"))))</f>
        <v>334089.91656213324</v>
      </c>
      <c r="AL27" s="12" cm="1">
        <f t="array" ref="AL27">_xlfn.LET(_xlpm.data,_xlfn.VSTACK('MS:NCA9'!AL27),_xlpm.states,_xlfn.VSTACK('MS:NCA9'!$B$2),
SUM(_xlfn._xlws.FILTER(_xlpm.data,(_xlpm.states="North Carolina")+(_xlpm.states="Arizona")+(_xlpm.states="Maryland"))))</f>
        <v>339894.51412661327</v>
      </c>
      <c r="AM27" s="12" cm="1">
        <f t="array" ref="AM27">_xlfn.LET(_xlpm.data,_xlfn.VSTACK('MS:NCA9'!AM27),_xlpm.states,_xlfn.VSTACK('MS:NCA9'!$B$2),
SUM(_xlfn._xlws.FILTER(_xlpm.data,(_xlpm.states="North Carolina")+(_xlpm.states="Arizona")+(_xlpm.states="Maryland"))))</f>
        <v>345699.11169109325</v>
      </c>
      <c r="AN27" s="12" cm="1">
        <f t="array" ref="AN27">_xlfn.LET(_xlpm.data,_xlfn.VSTACK('MS:NCA9'!AN27),_xlpm.states,_xlfn.VSTACK('MS:NCA9'!$B$2),
SUM(_xlfn._xlws.FILTER(_xlpm.data,(_xlpm.states="North Carolina")+(_xlpm.states="Arizona")+(_xlpm.states="Maryland"))))</f>
        <v>351503.70925557322</v>
      </c>
    </row>
    <row r="28" spans="2:40" outlineLevel="1" x14ac:dyDescent="0.25">
      <c r="B28" s="39" t="s">
        <v>381</v>
      </c>
      <c r="E28" s="12" cm="1">
        <f t="array" ref="E28">_xlfn.LET(_xlpm.data,_xlfn.VSTACK('MS:NCA9'!E28),_xlpm.states,_xlfn.VSTACK('MS:NCA9'!$B$2),
SUM(_xlfn._xlws.FILTER(_xlpm.data,(_xlpm.states="North Carolina")+(_xlpm.states="Arizona")+(_xlpm.states="Maryland"))))</f>
        <v>411307.48515479994</v>
      </c>
      <c r="F28" s="12" cm="1">
        <f t="array" ref="F28">_xlfn.LET(_xlpm.data,_xlfn.VSTACK('MS:NCA9'!F28),_xlpm.states,_xlfn.VSTACK('MS:NCA9'!$B$2),
SUM(_xlfn._xlws.FILTER(_xlpm.data,(_xlpm.states="North Carolina")+(_xlpm.states="Arizona")+(_xlpm.states="Maryland"))))</f>
        <v>420379.85559959989</v>
      </c>
      <c r="G28" s="12" cm="1">
        <f t="array" ref="G28">_xlfn.LET(_xlpm.data,_xlfn.VSTACK('MS:NCA9'!G28),_xlpm.states,_xlfn.VSTACK('MS:NCA9'!$B$2),
SUM(_xlfn._xlws.FILTER(_xlpm.data,(_xlpm.states="North Carolina")+(_xlpm.states="Arizona")+(_xlpm.states="Maryland"))))</f>
        <v>431245.96465079993</v>
      </c>
      <c r="H28" s="12" cm="1">
        <f t="array" ref="H28">_xlfn.LET(_xlpm.data,_xlfn.VSTACK('MS:NCA9'!H28),_xlpm.states,_xlfn.VSTACK('MS:NCA9'!$B$2),
SUM(_xlfn._xlws.FILTER(_xlpm.data,(_xlpm.states="North Carolina")+(_xlpm.states="Arizona")+(_xlpm.states="Maryland"))))</f>
        <v>437285.05150199996</v>
      </c>
      <c r="I28" s="12" cm="1">
        <f t="array" ref="I28">_xlfn.LET(_xlpm.data,_xlfn.VSTACK('MS:NCA9'!I28),_xlpm.states,_xlfn.VSTACK('MS:NCA9'!$B$2),
SUM(_xlfn._xlws.FILTER(_xlpm.data,(_xlpm.states="North Carolina")+(_xlpm.states="Arizona")+(_xlpm.states="Maryland"))))</f>
        <v>442477.49398319994</v>
      </c>
      <c r="J28" s="12" cm="1">
        <f t="array" ref="J28">_xlfn.LET(_xlpm.data,_xlfn.VSTACK('MS:NCA9'!J28),_xlpm.states,_xlfn.VSTACK('MS:NCA9'!$B$2),
SUM(_xlfn._xlws.FILTER(_xlpm.data,(_xlpm.states="North Carolina")+(_xlpm.states="Arizona")+(_xlpm.states="Maryland"))))</f>
        <v>454101.92393279995</v>
      </c>
      <c r="K28" s="12" cm="1">
        <f t="array" ref="K28">_xlfn.LET(_xlpm.data,_xlfn.VSTACK('MS:NCA9'!K28),_xlpm.states,_xlfn.VSTACK('MS:NCA9'!$B$2),
SUM(_xlfn._xlws.FILTER(_xlpm.data,(_xlpm.states="North Carolina")+(_xlpm.states="Arizona")+(_xlpm.states="Maryland"))))</f>
        <v>482570.13401999994</v>
      </c>
      <c r="L28" s="12" cm="1">
        <f t="array" ref="L28">_xlfn.LET(_xlpm.data,_xlfn.VSTACK('MS:NCA9'!L28),_xlpm.states,_xlfn.VSTACK('MS:NCA9'!$B$2),
SUM(_xlfn._xlws.FILTER(_xlpm.data,(_xlpm.states="North Carolina")+(_xlpm.states="Arizona")+(_xlpm.states="Maryland"))))</f>
        <v>493159.1462615999</v>
      </c>
      <c r="M28" s="12" cm="1">
        <f t="array" ref="M28">_xlfn.LET(_xlpm.data,_xlfn.VSTACK('MS:NCA9'!M28),_xlpm.states,_xlfn.VSTACK('MS:NCA9'!$B$2),
SUM(_xlfn._xlws.FILTER(_xlpm.data,(_xlpm.states="North Carolina")+(_xlpm.states="Arizona")+(_xlpm.states="Maryland"))))</f>
        <v>504783.57621119998</v>
      </c>
      <c r="N28" s="12" cm="1">
        <f t="array" ref="N28">_xlfn.LET(_xlpm.data,_xlfn.VSTACK('MS:NCA9'!N28),_xlpm.states,_xlfn.VSTACK('MS:NCA9'!$B$2),
SUM(_xlfn._xlws.FILTER(_xlpm.data,(_xlpm.states="North Carolina")+(_xlpm.states="Arizona")+(_xlpm.states="Maryland"))))</f>
        <v>521700.89850839996</v>
      </c>
      <c r="O28" s="12" cm="1">
        <f t="array" ref="O28">_xlfn.LET(_xlpm.data,_xlfn.VSTACK('MS:NCA9'!O28),_xlpm.states,_xlfn.VSTACK('MS:NCA9'!$B$2),
SUM(_xlfn._xlws.FILTER(_xlpm.data,(_xlpm.states="North Carolina")+(_xlpm.states="Arizona")+(_xlpm.states="Maryland"))))</f>
        <v>542294.02148999996</v>
      </c>
      <c r="P28" s="12" cm="1">
        <f t="array" ref="P28">_xlfn.LET(_xlpm.data,_xlfn.VSTACK('MS:NCA9'!P28),_xlpm.states,_xlfn.VSTACK('MS:NCA9'!$B$2),
SUM(_xlfn._xlws.FILTER(_xlpm.data,(_xlpm.states="North Carolina")+(_xlpm.states="Arizona")+(_xlpm.states="Maryland"))))</f>
        <v>564680.88307799993</v>
      </c>
      <c r="Q28" s="12" cm="1">
        <f t="array" ref="Q28">_xlfn.LET(_xlpm.data,_xlfn.VSTACK('MS:NCA9'!Q28),_xlpm.states,_xlfn.VSTACK('MS:NCA9'!$B$2),
SUM(_xlfn._xlws.FILTER(_xlpm.data,(_xlpm.states="North Carolina")+(_xlpm.states="Arizona")+(_xlpm.states="Maryland"))))</f>
        <v>602352.37998936011</v>
      </c>
      <c r="R28" s="12" cm="1">
        <f t="array" ref="R28">_xlfn.LET(_xlpm.data,_xlfn.VSTACK('MS:NCA9'!R28),_xlpm.states,_xlfn.VSTACK('MS:NCA9'!$B$2),
SUM(_xlfn._xlws.FILTER(_xlpm.data,(_xlpm.states="North Carolina")+(_xlpm.states="Arizona")+(_xlpm.states="Maryland"))))</f>
        <v>621822.53363100009</v>
      </c>
      <c r="S28" s="12" cm="1">
        <f t="array" ref="S28">_xlfn.LET(_xlpm.data,_xlfn.VSTACK('MS:NCA9'!S28),_xlpm.states,_xlfn.VSTACK('MS:NCA9'!$B$2),
SUM(_xlfn._xlws.FILTER(_xlpm.data,(_xlpm.states="North Carolina")+(_xlpm.states="Arizona")+(_xlpm.states="Maryland"))))</f>
        <v>640900.48982356815</v>
      </c>
      <c r="T28" s="12" cm="1">
        <f t="array" ref="T28">_xlfn.LET(_xlpm.data,_xlfn.VSTACK('MS:NCA9'!T28),_xlpm.states,_xlfn.VSTACK('MS:NCA9'!$B$2),
SUM(_xlfn._xlws.FILTER(_xlpm.data,(_xlpm.states="North Carolina")+(_xlpm.states="Arizona")+(_xlpm.states="Maryland"))))</f>
        <v>659887.47284038796</v>
      </c>
      <c r="U28" s="12" cm="1">
        <f t="array" ref="U28">_xlfn.LET(_xlpm.data,_xlfn.VSTACK('MS:NCA9'!U28),_xlpm.states,_xlfn.VSTACK('MS:NCA9'!$B$2),
SUM(_xlfn._xlws.FILTER(_xlpm.data,(_xlpm.states="North Carolina")+(_xlpm.states="Arizona")+(_xlpm.states="Maryland"))))</f>
        <v>678184.35850760399</v>
      </c>
      <c r="V28" s="12" cm="1">
        <f t="array" ref="V28">_xlfn.LET(_xlpm.data,_xlfn.VSTACK('MS:NCA9'!V28),_xlpm.states,_xlfn.VSTACK('MS:NCA9'!$B$2),
SUM(_xlfn._xlws.FILTER(_xlpm.data,(_xlpm.states="North Carolina")+(_xlpm.states="Arizona")+(_xlpm.states="Maryland"))))</f>
        <v>698043.38522552396</v>
      </c>
      <c r="W28" s="12" cm="1">
        <f t="array" ref="W28">_xlfn.LET(_xlpm.data,_xlfn.VSTACK('MS:NCA9'!W28),_xlpm.states,_xlfn.VSTACK('MS:NCA9'!$B$2),
SUM(_xlfn._xlws.FILTER(_xlpm.data,(_xlpm.states="North Carolina")+(_xlpm.states="Arizona")+(_xlpm.states="Maryland"))))</f>
        <v>721807.76457020419</v>
      </c>
      <c r="X28" s="12" cm="1">
        <f t="array" ref="X28">_xlfn.LET(_xlpm.data,_xlfn.VSTACK('MS:NCA9'!X28),_xlpm.states,_xlfn.VSTACK('MS:NCA9'!$B$2),
SUM(_xlfn._xlws.FILTER(_xlpm.data,(_xlpm.states="North Carolina")+(_xlpm.states="Arizona")+(_xlpm.states="Maryland"))))</f>
        <v>745060.66854398395</v>
      </c>
      <c r="Y28" s="12" cm="1">
        <f t="array" ref="Y28">_xlfn.LET(_xlpm.data,_xlfn.VSTACK('MS:NCA9'!Y28),_xlpm.states,_xlfn.VSTACK('MS:NCA9'!$B$2),
SUM(_xlfn._xlws.FILTER(_xlpm.data,(_xlpm.states="North Carolina")+(_xlpm.states="Arizona")+(_xlpm.states="Maryland"))))</f>
        <v>764919.69526190404</v>
      </c>
      <c r="Z28" s="12" cm="1">
        <f t="array" ref="Z28">_xlfn.LET(_xlpm.data,_xlfn.VSTACK('MS:NCA9'!Z28),_xlpm.states,_xlfn.VSTACK('MS:NCA9'!$B$2),
SUM(_xlfn._xlws.FILTER(_xlpm.data,(_xlpm.states="North Carolina")+(_xlpm.states="Arizona")+(_xlpm.states="Maryland"))))</f>
        <v>784778.72197982401</v>
      </c>
      <c r="AA28" s="12" cm="1">
        <f t="array" ref="AA28">_xlfn.LET(_xlpm.data,_xlfn.VSTACK('MS:NCA9'!AA28),_xlpm.states,_xlfn.VSTACK('MS:NCA9'!$B$2),
SUM(_xlfn._xlws.FILTER(_xlpm.data,(_xlpm.states="North Carolina")+(_xlpm.states="Arizona")+(_xlpm.states="Maryland"))))</f>
        <v>803765.70499664405</v>
      </c>
      <c r="AB28" s="12" cm="1">
        <f t="array" ref="AB28">_xlfn.LET(_xlpm.data,_xlfn.VSTACK('MS:NCA9'!AB28),_xlpm.states,_xlfn.VSTACK('MS:NCA9'!$B$2),
SUM(_xlfn._xlws.FILTER(_xlpm.data,(_xlpm.states="North Carolina")+(_xlpm.states="Arizona")+(_xlpm.states="Maryland"))))</f>
        <v>818157.23803709995</v>
      </c>
      <c r="AC28" s="12" cm="1">
        <f t="array" ref="AC28">_xlfn.LET(_xlpm.data,_xlfn.VSTACK('MS:NCA9'!AC28),_xlpm.states,_xlfn.VSTACK('MS:NCA9'!$B$2),
SUM(_xlfn._xlws.FILTER(_xlpm.data,(_xlpm.states="North Carolina")+(_xlpm.states="Arizona")+(_xlpm.states="Maryland"))))</f>
        <v>833329.8416029081</v>
      </c>
      <c r="AD28" s="12" cm="1">
        <f t="array" ref="AD28">_xlfn.LET(_xlpm.data,_xlfn.VSTACK('MS:NCA9'!AD28),_xlpm.states,_xlfn.VSTACK('MS:NCA9'!$B$2),
SUM(_xlfn._xlws.FILTER(_xlpm.data,(_xlpm.states="North Carolina")+(_xlpm.states="Arizona")+(_xlpm.states="Maryland"))))</f>
        <v>848502.4451687159</v>
      </c>
      <c r="AE28" s="12" cm="1">
        <f t="array" ref="AE28">_xlfn.LET(_xlpm.data,_xlfn.VSTACK('MS:NCA9'!AE28),_xlpm.states,_xlfn.VSTACK('MS:NCA9'!$B$2),
SUM(_xlfn._xlws.FILTER(_xlpm.data,(_xlpm.states="North Carolina")+(_xlpm.states="Arizona")+(_xlpm.states="Maryland"))))</f>
        <v>859798.00085384399</v>
      </c>
      <c r="AF28" s="12" cm="1">
        <f t="array" ref="AF28">_xlfn.LET(_xlpm.data,_xlfn.VSTACK('MS:NCA9'!AF28),_xlpm.states,_xlfn.VSTACK('MS:NCA9'!$B$2),
SUM(_xlfn._xlws.FILTER(_xlpm.data,(_xlpm.states="North Carolina")+(_xlpm.states="Arizona")+(_xlpm.states="Maryland"))))</f>
        <v>872445.44649210002</v>
      </c>
      <c r="AG28" s="12" cm="1">
        <f t="array" ref="AG28">_xlfn.LET(_xlpm.data,_xlfn.VSTACK('MS:NCA9'!AG28),_xlpm.states,_xlfn.VSTACK('MS:NCA9'!$B$2),
SUM(_xlfn._xlws.FILTER(_xlpm.data,(_xlpm.states="North Carolina")+(_xlpm.states="Arizona")+(_xlpm.states="Maryland"))))</f>
        <v>885873.96265570796</v>
      </c>
      <c r="AH28" s="12" cm="1">
        <f t="array" ref="AH28">_xlfn.LET(_xlpm.data,_xlfn.VSTACK('MS:NCA9'!AH28),_xlpm.states,_xlfn.VSTACK('MS:NCA9'!$B$2),
SUM(_xlfn._xlws.FILTER(_xlpm.data,(_xlpm.states="North Carolina")+(_xlpm.states="Arizona")+(_xlpm.states="Maryland"))))</f>
        <v>908254.82292838802</v>
      </c>
      <c r="AI28" s="12" cm="1">
        <f t="array" ref="AI28">_xlfn.LET(_xlpm.data,_xlfn.VSTACK('MS:NCA9'!AI28),_xlpm.states,_xlfn.VSTACK('MS:NCA9'!$B$2),
SUM(_xlfn._xlws.FILTER(_xlpm.data,(_xlpm.states="North Carolina")+(_xlpm.states="Arizona")+(_xlpm.states="Maryland"))))</f>
        <v>932768.64367954794</v>
      </c>
      <c r="AJ28" s="12" cm="1">
        <f t="array" ref="AJ28">_xlfn.LET(_xlpm.data,_xlfn.VSTACK('MS:NCA9'!AJ28),_xlpm.states,_xlfn.VSTACK('MS:NCA9'!$B$2),
SUM(_xlfn._xlws.FILTER(_xlpm.data,(_xlpm.states="North Carolina")+(_xlpm.states="Arizona")+(_xlpm.states="Maryland"))))</f>
        <v>956501.39390535606</v>
      </c>
      <c r="AK28" s="12" cm="1">
        <f t="array" ref="AK28">_xlfn.LET(_xlpm.data,_xlfn.VSTACK('MS:NCA9'!AK28),_xlpm.states,_xlfn.VSTACK('MS:NCA9'!$B$2),
SUM(_xlfn._xlws.FILTER(_xlpm.data,(_xlpm.states="North Carolina")+(_xlpm.states="Arizona")+(_xlpm.states="Maryland"))))</f>
        <v>976328.79150440404</v>
      </c>
      <c r="AL28" s="12" cm="1">
        <f t="array" ref="AL28">_xlfn.LET(_xlpm.data,_xlfn.VSTACK('MS:NCA9'!AL28),_xlpm.states,_xlfn.VSTACK('MS:NCA9'!$B$2),
SUM(_xlfn._xlws.FILTER(_xlpm.data,(_xlpm.states="North Carolina")+(_xlpm.states="Arizona")+(_xlpm.states="Maryland"))))</f>
        <v>989757.3076680121</v>
      </c>
      <c r="AM28" s="12" cm="1">
        <f t="array" ref="AM28">_xlfn.LET(_xlpm.data,_xlfn.VSTACK('MS:NCA9'!AM28),_xlpm.states,_xlfn.VSTACK('MS:NCA9'!$B$2),
SUM(_xlfn._xlws.FILTER(_xlpm.data,(_xlpm.states="North Carolina")+(_xlpm.states="Arizona")+(_xlpm.states="Maryland"))))</f>
        <v>1003185.82383162</v>
      </c>
      <c r="AN28" s="12" cm="1">
        <f t="array" ref="AN28">_xlfn.LET(_xlpm.data,_xlfn.VSTACK('MS:NCA9'!AN28),_xlpm.states,_xlfn.VSTACK('MS:NCA9'!$B$2),
SUM(_xlfn._xlws.FILTER(_xlpm.data,(_xlpm.states="North Carolina")+(_xlpm.states="Arizona")+(_xlpm.states="Maryland"))))</f>
        <v>1015833.269469876</v>
      </c>
    </row>
    <row r="29" spans="2:40" outlineLevel="1" x14ac:dyDescent="0.25">
      <c r="B29" s="39" t="s">
        <v>383</v>
      </c>
      <c r="E29" s="12" cm="1">
        <f t="array" ref="E29">_xlfn.LET(_xlpm.data,_xlfn.VSTACK('MS:NCA9'!E29),_xlpm.states,_xlfn.VSTACK('MS:NCA9'!$B$2),
SUM(_xlfn._xlws.FILTER(_xlpm.data,(_xlpm.states="North Carolina")+(_xlpm.states="Arizona")+(_xlpm.states="Maryland"))))</f>
        <v>29964.591311999997</v>
      </c>
      <c r="F29" s="12" cm="1">
        <f t="array" ref="F29">_xlfn.LET(_xlpm.data,_xlfn.VSTACK('MS:NCA9'!F29),_xlpm.states,_xlfn.VSTACK('MS:NCA9'!$B$2),
SUM(_xlfn._xlws.FILTER(_xlpm.data,(_xlpm.states="North Carolina")+(_xlpm.states="Arizona")+(_xlpm.states="Maryland"))))</f>
        <v>30827.925287999999</v>
      </c>
      <c r="G29" s="12" cm="1">
        <f t="array" ref="G29">_xlfn.LET(_xlpm.data,_xlfn.VSTACK('MS:NCA9'!G29),_xlpm.states,_xlfn.VSTACK('MS:NCA9'!$B$2),
SUM(_xlfn._xlws.FILTER(_xlpm.data,(_xlpm.states="North Carolina")+(_xlpm.states="Arizona")+(_xlpm.states="Maryland"))))</f>
        <v>31778.136131999996</v>
      </c>
      <c r="H29" s="12" cm="1">
        <f t="array" ref="H29">_xlfn.LET(_xlpm.data,_xlfn.VSTACK('MS:NCA9'!H29),_xlpm.states,_xlfn.VSTACK('MS:NCA9'!$B$2),
SUM(_xlfn._xlws.FILTER(_xlpm.data,(_xlpm.states="North Carolina")+(_xlpm.states="Arizona")+(_xlpm.states="Maryland"))))</f>
        <v>32469.840396</v>
      </c>
      <c r="I29" s="12" cm="1">
        <f t="array" ref="I29">_xlfn.LET(_xlpm.data,_xlfn.VSTACK('MS:NCA9'!I29),_xlpm.states,_xlfn.VSTACK('MS:NCA9'!$B$2),
SUM(_xlfn._xlws.FILTER(_xlpm.data,(_xlpm.states="North Carolina")+(_xlpm.states="Arizona")+(_xlpm.states="Maryland"))))</f>
        <v>33031.291679999995</v>
      </c>
      <c r="J29" s="12" cm="1">
        <f t="array" ref="J29">_xlfn.LET(_xlpm.data,_xlfn.VSTACK('MS:NCA9'!J29),_xlpm.states,_xlfn.VSTACK('MS:NCA9'!$B$2),
SUM(_xlfn._xlws.FILTER(_xlpm.data,(_xlpm.states="North Carolina")+(_xlpm.states="Arizona")+(_xlpm.states="Maryland"))))</f>
        <v>34067.317379999993</v>
      </c>
      <c r="K29" s="12" cm="1">
        <f t="array" ref="K29">_xlfn.LET(_xlpm.data,_xlfn.VSTACK('MS:NCA9'!K29),_xlpm.states,_xlfn.VSTACK('MS:NCA9'!$B$2),
SUM(_xlfn._xlws.FILTER(_xlpm.data,(_xlpm.states="North Carolina")+(_xlpm.states="Arizona")+(_xlpm.states="Maryland"))))</f>
        <v>35712.543167999997</v>
      </c>
      <c r="L29" s="12" cm="1">
        <f t="array" ref="L29">_xlfn.LET(_xlpm.data,_xlfn.VSTACK('MS:NCA9'!L29),_xlpm.states,_xlfn.VSTACK('MS:NCA9'!$B$2),
SUM(_xlfn._xlws.FILTER(_xlpm.data,(_xlpm.states="North Carolina")+(_xlpm.states="Arizona")+(_xlpm.states="Maryland"))))</f>
        <v>36661.692000000003</v>
      </c>
      <c r="M29" s="12" cm="1">
        <f t="array" ref="M29">_xlfn.LET(_xlpm.data,_xlfn.VSTACK('MS:NCA9'!M29),_xlpm.states,_xlfn.VSTACK('MS:NCA9'!$B$2),
SUM(_xlfn._xlws.FILTER(_xlpm.data,(_xlpm.states="North Carolina")+(_xlpm.states="Arizona")+(_xlpm.states="Maryland"))))</f>
        <v>37697.717700000008</v>
      </c>
      <c r="N29" s="12" cm="1">
        <f t="array" ref="N29">_xlfn.LET(_xlpm.data,_xlfn.VSTACK('MS:NCA9'!N29),_xlpm.states,_xlfn.VSTACK('MS:NCA9'!$B$2),
SUM(_xlfn._xlws.FILTER(_xlpm.data,(_xlpm.states="North Carolina")+(_xlpm.states="Arizona")+(_xlpm.states="Maryland"))))</f>
        <v>38861.997000000003</v>
      </c>
      <c r="O29" s="12" cm="1">
        <f t="array" ref="O29">_xlfn.LET(_xlpm.data,_xlfn.VSTACK('MS:NCA9'!O29),_xlpm.states,_xlfn.VSTACK('MS:NCA9'!$B$2),
SUM(_xlfn._xlws.FILTER(_xlpm.data,(_xlpm.states="North Carolina")+(_xlpm.states="Arizona")+(_xlpm.states="Maryland"))))</f>
        <v>40243.406148000002</v>
      </c>
      <c r="P29" s="12" cm="1">
        <f t="array" ref="P29">_xlfn.LET(_xlpm.data,_xlfn.VSTACK('MS:NCA9'!P29),_xlpm.states,_xlfn.VSTACK('MS:NCA9'!$B$2),
SUM(_xlfn._xlws.FILTER(_xlpm.data,(_xlpm.states="North Carolina")+(_xlpm.states="Arizona")+(_xlpm.states="Maryland"))))</f>
        <v>41797.50701999999</v>
      </c>
      <c r="Q29" s="12" cm="1">
        <f t="array" ref="Q29">_xlfn.LET(_xlpm.data,_xlfn.VSTACK('MS:NCA9'!Q29),_xlpm.states,_xlfn.VSTACK('MS:NCA9'!$B$2),
SUM(_xlfn._xlws.FILTER(_xlpm.data,(_xlpm.states="North Carolina")+(_xlpm.states="Arizona")+(_xlpm.states="Maryland"))))</f>
        <v>44517.867176039996</v>
      </c>
      <c r="R29" s="12" cm="1">
        <f t="array" ref="R29">_xlfn.LET(_xlpm.data,_xlfn.VSTACK('MS:NCA9'!R29),_xlpm.states,_xlfn.VSTACK('MS:NCA9'!$B$2),
SUM(_xlfn._xlws.FILTER(_xlpm.data,(_xlpm.states="North Carolina")+(_xlpm.states="Arizona")+(_xlpm.states="Maryland"))))</f>
        <v>46028.979516839994</v>
      </c>
      <c r="S29" s="12" cm="1">
        <f t="array" ref="S29">_xlfn.LET(_xlpm.data,_xlfn.VSTACK('MS:NCA9'!S29),_xlpm.states,_xlfn.VSTACK('MS:NCA9'!$B$2),
SUM(_xlfn._xlws.FILTER(_xlpm.data,(_xlpm.states="North Carolina")+(_xlpm.states="Arizona")+(_xlpm.states="Maryland"))))</f>
        <v>47272.864591199999</v>
      </c>
      <c r="T29" s="12" cm="1">
        <f t="array" ref="T29">_xlfn.LET(_xlpm.data,_xlfn.VSTACK('MS:NCA9'!T29),_xlpm.states,_xlfn.VSTACK('MS:NCA9'!$B$2),
SUM(_xlfn._xlws.FILTER(_xlpm.data,(_xlpm.states="North Carolina")+(_xlpm.states="Arizona")+(_xlpm.states="Maryland"))))</f>
        <v>48470.978397840001</v>
      </c>
      <c r="U29" s="12" cm="1">
        <f t="array" ref="U29">_xlfn.LET(_xlpm.data,_xlfn.VSTACK('MS:NCA9'!U29),_xlpm.states,_xlfn.VSTACK('MS:NCA9'!$B$2),
SUM(_xlfn._xlws.FILTER(_xlpm.data,(_xlpm.states="North Carolina")+(_xlpm.states="Arizona")+(_xlpm.states="Maryland"))))</f>
        <v>49714.863472200006</v>
      </c>
      <c r="V29" s="12" cm="1">
        <f t="array" ref="V29">_xlfn.LET(_xlpm.data,_xlfn.VSTACK('MS:NCA9'!V29),_xlpm.states,_xlfn.VSTACK('MS:NCA9'!$B$2),
SUM(_xlfn._xlws.FILTER(_xlpm.data,(_xlpm.states="North Carolina")+(_xlpm.states="Arizona")+(_xlpm.states="Maryland"))))</f>
        <v>51047.137848240003</v>
      </c>
      <c r="W29" s="12" cm="1">
        <f t="array" ref="W29">_xlfn.LET(_xlpm.data,_xlfn.VSTACK('MS:NCA9'!W29),_xlpm.states,_xlfn.VSTACK('MS:NCA9'!$B$2),
SUM(_xlfn._xlws.FILTER(_xlpm.data,(_xlpm.states="North Carolina")+(_xlpm.states="Arizona")+(_xlpm.states="Maryland"))))</f>
        <v>52556.190827640006</v>
      </c>
      <c r="X29" s="12" cm="1">
        <f t="array" ref="X29">_xlfn.LET(_xlpm.data,_xlfn.VSTACK('MS:NCA9'!X29),_xlpm.states,_xlfn.VSTACK('MS:NCA9'!$B$2),
SUM(_xlfn._xlws.FILTER(_xlpm.data,(_xlpm.states="North Carolina")+(_xlpm.states="Arizona")+(_xlpm.states="Maryland"))))</f>
        <v>53933.270982360009</v>
      </c>
      <c r="Y29" s="12" cm="1">
        <f t="array" ref="Y29">_xlfn.LET(_xlpm.data,_xlfn.VSTACK('MS:NCA9'!Y29),_xlpm.states,_xlfn.VSTACK('MS:NCA9'!$B$2),
SUM(_xlfn._xlws.FILTER(_xlpm.data,(_xlpm.states="North Carolina")+(_xlpm.states="Arizona")+(_xlpm.states="Maryland"))))</f>
        <v>55265.545358399999</v>
      </c>
      <c r="Z29" s="12" cm="1">
        <f t="array" ref="Z29">_xlfn.LET(_xlpm.data,_xlfn.VSTACK('MS:NCA9'!Z29),_xlpm.states,_xlfn.VSTACK('MS:NCA9'!$B$2),
SUM(_xlfn._xlws.FILTER(_xlpm.data,(_xlpm.states="North Carolina")+(_xlpm.states="Arizona")+(_xlpm.states="Maryland"))))</f>
        <v>56597.819734440003</v>
      </c>
      <c r="AA29" s="12" cm="1">
        <f t="array" ref="AA29">_xlfn.LET(_xlpm.data,_xlfn.VSTACK('MS:NCA9'!AA29),_xlpm.states,_xlfn.VSTACK('MS:NCA9'!$B$2),
SUM(_xlfn._xlws.FILTER(_xlpm.data,(_xlpm.states="North Carolina")+(_xlpm.states="Arizona")+(_xlpm.states="Maryland"))))</f>
        <v>57795.933541080012</v>
      </c>
      <c r="AB29" s="12" cm="1">
        <f t="array" ref="AB29">_xlfn.LET(_xlpm.data,_xlfn.VSTACK('MS:NCA9'!AB29),_xlpm.states,_xlfn.VSTACK('MS:NCA9'!$B$2),
SUM(_xlfn._xlws.FILTER(_xlpm.data,(_xlpm.states="North Carolina")+(_xlpm.states="Arizona")+(_xlpm.states="Maryland"))))</f>
        <v>58774.650710400005</v>
      </c>
      <c r="AC29" s="12" cm="1">
        <f t="array" ref="AC29">_xlfn.LET(_xlpm.data,_xlfn.VSTACK('MS:NCA9'!AC29),_xlpm.states,_xlfn.VSTACK('MS:NCA9'!$B$2),
SUM(_xlfn._xlws.FILTER(_xlpm.data,(_xlpm.states="North Carolina")+(_xlpm.states="Arizona")+(_xlpm.states="Maryland"))))</f>
        <v>59841.757181400011</v>
      </c>
      <c r="AD29" s="12" cm="1">
        <f t="array" ref="AD29">_xlfn.LET(_xlpm.data,_xlfn.VSTACK('MS:NCA9'!AD29),_xlpm.states,_xlfn.VSTACK('MS:NCA9'!$B$2),
SUM(_xlfn._xlws.FILTER(_xlpm.data,(_xlpm.states="North Carolina")+(_xlpm.states="Arizona")+(_xlpm.states="Maryland"))))</f>
        <v>60908.86365240001</v>
      </c>
      <c r="AE29" s="12" cm="1">
        <f t="array" ref="AE29">_xlfn.LET(_xlpm.data,_xlfn.VSTACK('MS:NCA9'!AE29),_xlpm.states,_xlfn.VSTACK('MS:NCA9'!$B$2),
SUM(_xlfn._xlws.FILTER(_xlpm.data,(_xlpm.states="North Carolina")+(_xlpm.states="Arizona")+(_xlpm.states="Maryland"))))</f>
        <v>61618.165810560007</v>
      </c>
      <c r="AF29" s="12" cm="1">
        <f t="array" ref="AF29">_xlfn.LET(_xlpm.data,_xlfn.VSTACK('MS:NCA9'!AF29),_xlpm.states,_xlfn.VSTACK('MS:NCA9'!$B$2),
SUM(_xlfn._xlws.FILTER(_xlpm.data,(_xlpm.states="North Carolina")+(_xlpm.states="Arizona")+(_xlpm.states="Maryland"))))</f>
        <v>62328.561841080009</v>
      </c>
      <c r="AG29" s="12" cm="1">
        <f t="array" ref="AG29">_xlfn.LET(_xlpm.data,_xlfn.VSTACK('MS:NCA9'!AG29),_xlpm.states,_xlfn.VSTACK('MS:NCA9'!$B$2),
SUM(_xlfn._xlws.FILTER(_xlpm.data,(_xlpm.states="North Carolina")+(_xlpm.states="Arizona")+(_xlpm.states="Maryland"))))</f>
        <v>63127.347173280003</v>
      </c>
      <c r="AH29" s="12" cm="1">
        <f t="array" ref="AH29">_xlfn.LET(_xlpm.data,_xlfn.VSTACK('MS:NCA9'!AH29),_xlpm.states,_xlfn.VSTACK('MS:NCA9'!$B$2),
SUM(_xlfn._xlws.FILTER(_xlpm.data,(_xlpm.states="North Carolina")+(_xlpm.states="Arizona")+(_xlpm.states="Maryland"))))</f>
        <v>64370.266758600003</v>
      </c>
      <c r="AI29" s="12" cm="1">
        <f t="array" ref="AI29">_xlfn.LET(_xlpm.data,_xlfn.VSTACK('MS:NCA9'!AI29),_xlpm.states,_xlfn.VSTACK('MS:NCA9'!$B$2),
SUM(_xlfn._xlws.FILTER(_xlpm.data,(_xlpm.states="North Carolina")+(_xlpm.states="Arizona")+(_xlpm.states="Maryland"))))</f>
        <v>65702.669517960021</v>
      </c>
      <c r="AJ29" s="12" cm="1">
        <f t="array" ref="AJ29">_xlfn.LET(_xlpm.data,_xlfn.VSTACK('MS:NCA9'!AJ29),_xlpm.states,_xlfn.VSTACK('MS:NCA9'!$B$2),
SUM(_xlfn._xlws.FILTER(_xlpm.data,(_xlpm.states="North Carolina")+(_xlpm.states="Arizona")+(_xlpm.states="Maryland"))))</f>
        <v>66946.682975640011</v>
      </c>
      <c r="AK29" s="12" cm="1">
        <f t="array" ref="AK29">_xlfn.LET(_xlpm.data,_xlfn.VSTACK('MS:NCA9'!AK29),_xlpm.states,_xlfn.VSTACK('MS:NCA9'!$B$2),
SUM(_xlfn._xlws.FILTER(_xlpm.data,(_xlpm.states="North Carolina")+(_xlpm.states="Arizona")+(_xlpm.states="Maryland"))))</f>
        <v>68013.917829960017</v>
      </c>
      <c r="AL29" s="12" cm="1">
        <f t="array" ref="AL29">_xlfn.LET(_xlpm.data,_xlfn.VSTACK('MS:NCA9'!AL29),_xlpm.states,_xlfn.VSTACK('MS:NCA9'!$B$2),
SUM(_xlfn._xlws.FILTER(_xlpm.data,(_xlpm.states="North Carolina")+(_xlpm.states="Arizona")+(_xlpm.states="Maryland"))))</f>
        <v>68812.703162160018</v>
      </c>
      <c r="AM29" s="12" cm="1">
        <f t="array" ref="AM29">_xlfn.LET(_xlpm.data,_xlfn.VSTACK('MS:NCA9'!AM29),_xlpm.states,_xlfn.VSTACK('MS:NCA9'!$B$2),
SUM(_xlfn._xlws.FILTER(_xlpm.data,(_xlpm.states="North Carolina")+(_xlpm.states="Arizona")+(_xlpm.states="Maryland"))))</f>
        <v>69611.488494360019</v>
      </c>
      <c r="AN29" s="12" cm="1">
        <f t="array" ref="AN29">_xlfn.LET(_xlpm.data,_xlfn.VSTACK('MS:NCA9'!AN29),_xlpm.states,_xlfn.VSTACK('MS:NCA9'!$B$2),
SUM(_xlfn._xlws.FILTER(_xlpm.data,(_xlpm.states="North Carolina")+(_xlpm.states="Arizona")+(_xlpm.states="Maryland"))))</f>
        <v>70321.884524880021</v>
      </c>
    </row>
    <row r="30" spans="2:40" outlineLevel="1" x14ac:dyDescent="0.25">
      <c r="B30" s="39" t="s">
        <v>382</v>
      </c>
      <c r="E30" s="12" cm="1">
        <f t="array" ref="E30">_xlfn.LET(_xlpm.data,_xlfn.VSTACK('MS:NCA9'!E30),_xlpm.states,_xlfn.VSTACK('MS:NCA9'!$B$2),
SUM(_xlfn._xlws.FILTER(_xlpm.data,(_xlpm.states="North Carolina")+(_xlpm.states="Arizona")+(_xlpm.states="Maryland"))))</f>
        <v>59446.638762666655</v>
      </c>
      <c r="F30" s="12" cm="1">
        <f t="array" ref="F30">_xlfn.LET(_xlpm.data,_xlfn.VSTACK('MS:NCA9'!F30),_xlpm.states,_xlfn.VSTACK('MS:NCA9'!$B$2),
SUM(_xlfn._xlws.FILTER(_xlpm.data,(_xlpm.states="North Carolina")+(_xlpm.states="Arizona")+(_xlpm.states="Maryland"))))</f>
        <v>60995.438911999998</v>
      </c>
      <c r="G30" s="12" cm="1">
        <f t="array" ref="G30">_xlfn.LET(_xlpm.data,_xlfn.VSTACK('MS:NCA9'!G30),_xlpm.states,_xlfn.VSTACK('MS:NCA9'!$B$2),
SUM(_xlfn._xlws.FILTER(_xlpm.data,(_xlpm.states="North Carolina")+(_xlpm.states="Arizona")+(_xlpm.states="Maryland"))))</f>
        <v>62745.099765333332</v>
      </c>
      <c r="H30" s="12" cm="1">
        <f t="array" ref="H30">_xlfn.LET(_xlpm.data,_xlfn.VSTACK('MS:NCA9'!H30),_xlpm.states,_xlfn.VSTACK('MS:NCA9'!$B$2),
SUM(_xlfn._xlws.FILTER(_xlpm.data,(_xlpm.states="North Carolina")+(_xlpm.states="Arizona")+(_xlpm.states="Maryland"))))</f>
        <v>63984.864010666657</v>
      </c>
      <c r="I30" s="12" cm="1">
        <f t="array" ref="I30">_xlfn.LET(_xlpm.data,_xlfn.VSTACK('MS:NCA9'!I30),_xlpm.states,_xlfn.VSTACK('MS:NCA9'!$B$2),
SUM(_xlfn._xlws.FILTER(_xlpm.data,(_xlpm.states="North Carolina")+(_xlpm.states="Arizona")+(_xlpm.states="Maryland"))))</f>
        <v>65037.383765333332</v>
      </c>
      <c r="J30" s="12" cm="1">
        <f t="array" ref="J30">_xlfn.LET(_xlpm.data,_xlfn.VSTACK('MS:NCA9'!J30),_xlpm.states,_xlfn.VSTACK('MS:NCA9'!$B$2),
SUM(_xlfn._xlws.FILTER(_xlpm.data,(_xlpm.states="North Carolina")+(_xlpm.states="Arizona")+(_xlpm.states="Maryland"))))</f>
        <v>66941.562570666661</v>
      </c>
      <c r="K30" s="12" cm="1">
        <f t="array" ref="K30">_xlfn.LET(_xlpm.data,_xlfn.VSTACK('MS:NCA9'!K30),_xlpm.states,_xlfn.VSTACK('MS:NCA9'!$B$2),
SUM(_xlfn._xlws.FILTER(_xlpm.data,(_xlpm.states="North Carolina")+(_xlpm.states="Arizona")+(_xlpm.states="Maryland"))))</f>
        <v>70401.903103999997</v>
      </c>
      <c r="L30" s="12" cm="1">
        <f t="array" ref="L30">_xlfn.LET(_xlpm.data,_xlfn.VSTACK('MS:NCA9'!L30),_xlpm.states,_xlfn.VSTACK('MS:NCA9'!$B$2),
SUM(_xlfn._xlws.FILTER(_xlpm.data,(_xlpm.states="North Carolina")+(_xlpm.states="Arizona")+(_xlpm.states="Maryland"))))</f>
        <v>72105.221205333321</v>
      </c>
      <c r="M30" s="12" cm="1">
        <f t="array" ref="M30">_xlfn.LET(_xlpm.data,_xlfn.VSTACK('MS:NCA9'!M30),_xlpm.states,_xlfn.VSTACK('MS:NCA9'!$B$2),
SUM(_xlfn._xlws.FILTER(_xlpm.data,(_xlpm.states="North Carolina")+(_xlpm.states="Arizona")+(_xlpm.states="Maryland"))))</f>
        <v>74009.400010666664</v>
      </c>
      <c r="N30" s="12" cm="1">
        <f t="array" ref="N30">_xlfn.LET(_xlpm.data,_xlfn.VSTACK('MS:NCA9'!N30),_xlpm.states,_xlfn.VSTACK('MS:NCA9'!$B$2),
SUM(_xlfn._xlws.FILTER(_xlpm.data,(_xlpm.states="North Carolina")+(_xlpm.states="Arizona")+(_xlpm.states="Maryland"))))</f>
        <v>76259.296277333342</v>
      </c>
      <c r="O30" s="12" cm="1">
        <f t="array" ref="O30">_xlfn.LET(_xlpm.data,_xlfn.VSTACK('MS:NCA9'!O30),_xlpm.states,_xlfn.VSTACK('MS:NCA9'!$B$2),
SUM(_xlfn._xlws.FILTER(_xlpm.data,(_xlpm.states="North Carolina")+(_xlpm.states="Arizona")+(_xlpm.states="Maryland"))))</f>
        <v>78908.830410666676</v>
      </c>
      <c r="P30" s="12" cm="1">
        <f t="array" ref="P30">_xlfn.LET(_xlpm.data,_xlfn.VSTACK('MS:NCA9'!P30),_xlpm.states,_xlfn.VSTACK('MS:NCA9'!$B$2),
SUM(_xlfn._xlws.FILTER(_xlpm.data,(_xlpm.states="North Carolina")+(_xlpm.states="Arizona")+(_xlpm.states="Maryland"))))</f>
        <v>81913.743200000012</v>
      </c>
      <c r="Q30" s="12" cm="1">
        <f t="array" ref="Q30">_xlfn.LET(_xlpm.data,_xlfn.VSTACK('MS:NCA9'!Q30),_xlpm.states,_xlfn.VSTACK('MS:NCA9'!$B$2),
SUM(_xlfn._xlws.FILTER(_xlpm.data,(_xlpm.states="North Carolina")+(_xlpm.states="Arizona")+(_xlpm.states="Maryland"))))</f>
        <v>87038.417919040003</v>
      </c>
      <c r="R30" s="12" cm="1">
        <f t="array" ref="R30">_xlfn.LET(_xlpm.data,_xlfn.VSTACK('MS:NCA9'!R30),_xlpm.states,_xlfn.VSTACK('MS:NCA9'!$B$2),
SUM(_xlfn._xlws.FILTER(_xlpm.data,(_xlpm.states="North Carolina")+(_xlpm.states="Arizona")+(_xlpm.states="Maryland"))))</f>
        <v>89679.77699018667</v>
      </c>
      <c r="S30" s="12" cm="1">
        <f t="array" ref="S30">_xlfn.LET(_xlpm.data,_xlfn.VSTACK('MS:NCA9'!S30),_xlpm.states,_xlfn.VSTACK('MS:NCA9'!$B$2),
SUM(_xlfn._xlws.FILTER(_xlpm.data,(_xlpm.states="North Carolina")+(_xlpm.states="Arizona")+(_xlpm.states="Maryland"))))</f>
        <v>91995.024097280009</v>
      </c>
      <c r="T30" s="12" cm="1">
        <f t="array" ref="T30">_xlfn.LET(_xlpm.data,_xlfn.VSTACK('MS:NCA9'!T30),_xlpm.states,_xlfn.VSTACK('MS:NCA9'!$B$2),
SUM(_xlfn._xlws.FILTER(_xlpm.data,(_xlpm.states="North Carolina")+(_xlpm.states="Arizona")+(_xlpm.states="Maryland"))))</f>
        <v>94276.562869546673</v>
      </c>
      <c r="U30" s="12" cm="1">
        <f t="array" ref="U30">_xlfn.LET(_xlpm.data,_xlfn.VSTACK('MS:NCA9'!U30),_xlpm.states,_xlfn.VSTACK('MS:NCA9'!$B$2),
SUM(_xlfn._xlws.FILTER(_xlpm.data,(_xlpm.states="North Carolina")+(_xlpm.states="Arizona")+(_xlpm.states="Maryland"))))</f>
        <v>96591.809976639997</v>
      </c>
      <c r="V30" s="12" cm="1">
        <f t="array" ref="V30">_xlfn.LET(_xlpm.data,_xlfn.VSTACK('MS:NCA9'!V30),_xlpm.states,_xlfn.VSTACK('MS:NCA9'!$B$2),
SUM(_xlfn._xlws.FILTER(_xlpm.data,(_xlpm.states="North Carolina")+(_xlpm.states="Arizona")+(_xlpm.states="Maryland"))))</f>
        <v>99066.21057429332</v>
      </c>
      <c r="W30" s="12" cm="1">
        <f t="array" ref="W30">_xlfn.LET(_xlpm.data,_xlfn.VSTACK('MS:NCA9'!W30),_xlpm.states,_xlfn.VSTACK('MS:NCA9'!$B$2),
SUM(_xlfn._xlws.FILTER(_xlpm.data,(_xlpm.states="North Carolina")+(_xlpm.states="Arizona")+(_xlpm.states="Maryland"))))</f>
        <v>101858.91815306664</v>
      </c>
      <c r="X30" s="12" cm="1">
        <f t="array" ref="X30">_xlfn.LET(_xlpm.data,_xlfn.VSTACK('MS:NCA9'!X30),_xlpm.states,_xlfn.VSTACK('MS:NCA9'!$B$2),
SUM(_xlfn._xlws.FILTER(_xlpm.data,(_xlpm.states="North Carolina")+(_xlpm.states="Arizona")+(_xlpm.states="Maryland"))))</f>
        <v>104554.22997557334</v>
      </c>
      <c r="Y30" s="12" cm="1">
        <f t="array" ref="Y30">_xlfn.LET(_xlpm.data,_xlfn.VSTACK('MS:NCA9'!Y30),_xlpm.states,_xlfn.VSTACK('MS:NCA9'!$B$2),
SUM(_xlfn._xlws.FILTER(_xlpm.data,(_xlpm.states="North Carolina")+(_xlpm.states="Arizona")+(_xlpm.states="Maryland"))))</f>
        <v>106992.99461674667</v>
      </c>
      <c r="Z30" s="12" cm="1">
        <f t="array" ref="Z30">_xlfn.LET(_xlpm.data,_xlfn.VSTACK('MS:NCA9'!Z30),_xlpm.states,_xlfn.VSTACK('MS:NCA9'!$B$2),
SUM(_xlfn._xlws.FILTER(_xlpm.data,(_xlpm.states="North Carolina")+(_xlpm.states="Arizona")+(_xlpm.states="Maryland"))))</f>
        <v>109431.75925791998</v>
      </c>
      <c r="AA30" s="12" cm="1">
        <f t="array" ref="AA30">_xlfn.LET(_xlpm.data,_xlfn.VSTACK('MS:NCA9'!AA30),_xlpm.states,_xlfn.VSTACK('MS:NCA9'!$B$2),
SUM(_xlfn._xlws.FILTER(_xlpm.data,(_xlpm.states="North Carolina")+(_xlpm.states="Arizona")+(_xlpm.states="Maryland"))))</f>
        <v>111677.66207370668</v>
      </c>
      <c r="AB30" s="12" cm="1">
        <f t="array" ref="AB30">_xlfn.LET(_xlpm.data,_xlfn.VSTACK('MS:NCA9'!AB30),_xlpm.states,_xlfn.VSTACK('MS:NCA9'!$B$2),
SUM(_xlfn._xlws.FILTER(_xlpm.data,(_xlpm.states="North Carolina")+(_xlpm.states="Arizona")+(_xlpm.states="Maryland"))))</f>
        <v>113479.81275264001</v>
      </c>
      <c r="AC30" s="12" cm="1">
        <f t="array" ref="AC30">_xlfn.LET(_xlpm.data,_xlfn.VSTACK('MS:NCA9'!AC30),_xlpm.states,_xlfn.VSTACK('MS:NCA9'!$B$2),
SUM(_xlfn._xlws.FILTER(_xlpm.data,(_xlpm.states="North Carolina")+(_xlpm.states="Arizona")+(_xlpm.states="Maryland"))))</f>
        <v>115441.11692213333</v>
      </c>
      <c r="AD30" s="12" cm="1">
        <f t="array" ref="AD30">_xlfn.LET(_xlpm.data,_xlfn.VSTACK('MS:NCA9'!AD30),_xlpm.states,_xlfn.VSTACK('MS:NCA9'!$B$2),
SUM(_xlfn._xlws.FILTER(_xlpm.data,(_xlpm.states="North Carolina")+(_xlpm.states="Arizona")+(_xlpm.states="Maryland"))))</f>
        <v>117402.42109162667</v>
      </c>
      <c r="AE30" s="12" cm="1">
        <f t="array" ref="AE30">_xlfn.LET(_xlpm.data,_xlfn.VSTACK('MS:NCA9'!AE30),_xlpm.states,_xlfn.VSTACK('MS:NCA9'!$B$2),
SUM(_xlfn._xlws.FILTER(_xlpm.data,(_xlpm.states="North Carolina")+(_xlpm.states="Arizona")+(_xlpm.states="Maryland"))))</f>
        <v>118771.11508522667</v>
      </c>
      <c r="AF30" s="12" cm="1">
        <f t="array" ref="AF30">_xlfn.LET(_xlpm.data,_xlfn.VSTACK('MS:NCA9'!AF30),_xlpm.states,_xlfn.VSTACK('MS:NCA9'!$B$2),
SUM(_xlfn._xlws.FILTER(_xlpm.data,(_xlpm.states="North Carolina")+(_xlpm.states="Arizona")+(_xlpm.states="Maryland"))))</f>
        <v>120187.54211338666</v>
      </c>
      <c r="AG30" s="12" cm="1">
        <f t="array" ref="AG30">_xlfn.LET(_xlpm.data,_xlfn.VSTACK('MS:NCA9'!AG30),_xlpm.states,_xlfn.VSTACK('MS:NCA9'!$B$2),
SUM(_xlfn._xlws.FILTER(_xlpm.data,(_xlpm.states="North Carolina")+(_xlpm.states="Arizona")+(_xlpm.states="Maryland"))))</f>
        <v>121763.12263210666</v>
      </c>
      <c r="AH30" s="12" cm="1">
        <f t="array" ref="AH30">_xlfn.LET(_xlpm.data,_xlfn.VSTACK('MS:NCA9'!AH30),_xlpm.states,_xlfn.VSTACK('MS:NCA9'!$B$2),
SUM(_xlfn._xlws.FILTER(_xlpm.data,(_xlpm.states="North Carolina")+(_xlpm.states="Arizona")+(_xlpm.states="Maryland"))))</f>
        <v>124229.93667274665</v>
      </c>
      <c r="AI30" s="12" cm="1">
        <f t="array" ref="AI30">_xlfn.LET(_xlpm.data,_xlfn.VSTACK('MS:NCA9'!AI30),_xlpm.states,_xlfn.VSTACK('MS:NCA9'!$B$2),
SUM(_xlfn._xlws.FILTER(_xlpm.data,(_xlpm.states="North Carolina")+(_xlpm.states="Arizona")+(_xlpm.states="Maryland"))))</f>
        <v>126903.63723850666</v>
      </c>
      <c r="AJ30" s="12" cm="1">
        <f t="array" ref="AJ30">_xlfn.LET(_xlpm.data,_xlfn.VSTACK('MS:NCA9'!AJ30),_xlpm.states,_xlfn.VSTACK('MS:NCA9'!$B$2),
SUM(_xlfn._xlws.FILTER(_xlpm.data,(_xlpm.states="North Carolina")+(_xlpm.states="Arizona")+(_xlpm.states="Maryland"))))</f>
        <v>129418.18431370668</v>
      </c>
      <c r="AK30" s="12" cm="1">
        <f t="array" ref="AK30">_xlfn.LET(_xlpm.data,_xlfn.VSTACK('MS:NCA9'!AK30),_xlpm.states,_xlfn.VSTACK('MS:NCA9'!$B$2),
SUM(_xlfn._xlws.FILTER(_xlpm.data,(_xlpm.states="North Carolina")+(_xlpm.states="Arizona")+(_xlpm.states="Maryland"))))</f>
        <v>131614.42440778669</v>
      </c>
      <c r="AL30" s="12" cm="1">
        <f t="array" ref="AL30">_xlfn.LET(_xlpm.data,_xlfn.VSTACK('MS:NCA9'!AL30),_xlpm.states,_xlfn.VSTACK('MS:NCA9'!$B$2),
SUM(_xlfn._xlws.FILTER(_xlpm.data,(_xlpm.states="North Carolina")+(_xlpm.states="Arizona")+(_xlpm.states="Maryland"))))</f>
        <v>133190.00492650666</v>
      </c>
      <c r="AM30" s="12" cm="1">
        <f t="array" ref="AM30">_xlfn.LET(_xlpm.data,_xlfn.VSTACK('MS:NCA9'!AM30),_xlpm.states,_xlfn.VSTACK('MS:NCA9'!$B$2),
SUM(_xlfn._xlws.FILTER(_xlpm.data,(_xlpm.states="North Carolina")+(_xlpm.states="Arizona")+(_xlpm.states="Maryland"))))</f>
        <v>134765.58544522666</v>
      </c>
      <c r="AN30" s="12" cm="1">
        <f t="array" ref="AN30">_xlfn.LET(_xlpm.data,_xlfn.VSTACK('MS:NCA9'!AN30),_xlpm.states,_xlfn.VSTACK('MS:NCA9'!$B$2),
SUM(_xlfn._xlws.FILTER(_xlpm.data,(_xlpm.states="North Carolina")+(_xlpm.states="Arizona")+(_xlpm.states="Maryland"))))</f>
        <v>136182.01247338665</v>
      </c>
    </row>
    <row r="31" spans="2:40" outlineLevel="1" x14ac:dyDescent="0.25">
      <c r="B31" s="39" t="s">
        <v>403</v>
      </c>
      <c r="E31" s="12" cm="1">
        <f t="array" ref="E31">_xlfn.LET(_xlpm.data,_xlfn.VSTACK('MS:NCA9'!E31),_xlpm.states,_xlfn.VSTACK('MS:NCA9'!$B$2),
SUM(_xlfn._xlws.FILTER(_xlpm.data,(_xlpm.states="North Carolina")+(_xlpm.states="Arizona")+(_xlpm.states="Maryland"))))</f>
        <v>0</v>
      </c>
      <c r="F31" s="12" cm="1">
        <f t="array" ref="F31">_xlfn.LET(_xlpm.data,_xlfn.VSTACK('MS:NCA9'!F31),_xlpm.states,_xlfn.VSTACK('MS:NCA9'!$B$2),
SUM(_xlfn._xlws.FILTER(_xlpm.data,(_xlpm.states="North Carolina")+(_xlpm.states="Arizona")+(_xlpm.states="Maryland"))))</f>
        <v>0</v>
      </c>
      <c r="G31" s="12" cm="1">
        <f t="array" ref="G31">_xlfn.LET(_xlpm.data,_xlfn.VSTACK('MS:NCA9'!G31),_xlpm.states,_xlfn.VSTACK('MS:NCA9'!$B$2),
SUM(_xlfn._xlws.FILTER(_xlpm.data,(_xlpm.states="North Carolina")+(_xlpm.states="Arizona")+(_xlpm.states="Maryland"))))</f>
        <v>0</v>
      </c>
      <c r="H31" s="12" cm="1">
        <f t="array" ref="H31">_xlfn.LET(_xlpm.data,_xlfn.VSTACK('MS:NCA9'!H31),_xlpm.states,_xlfn.VSTACK('MS:NCA9'!$B$2),
SUM(_xlfn._xlws.FILTER(_xlpm.data,(_xlpm.states="North Carolina")+(_xlpm.states="Arizona")+(_xlpm.states="Maryland"))))</f>
        <v>0</v>
      </c>
      <c r="I31" s="12" cm="1">
        <f t="array" ref="I31">_xlfn.LET(_xlpm.data,_xlfn.VSTACK('MS:NCA9'!I31),_xlpm.states,_xlfn.VSTACK('MS:NCA9'!$B$2),
SUM(_xlfn._xlws.FILTER(_xlpm.data,(_xlpm.states="North Carolina")+(_xlpm.states="Arizona")+(_xlpm.states="Maryland"))))</f>
        <v>0</v>
      </c>
      <c r="J31" s="12" cm="1">
        <f t="array" ref="J31">_xlfn.LET(_xlpm.data,_xlfn.VSTACK('MS:NCA9'!J31),_xlpm.states,_xlfn.VSTACK('MS:NCA9'!$B$2),
SUM(_xlfn._xlws.FILTER(_xlpm.data,(_xlpm.states="North Carolina")+(_xlpm.states="Arizona")+(_xlpm.states="Maryland"))))</f>
        <v>0</v>
      </c>
      <c r="K31" s="12" cm="1">
        <f t="array" ref="K31">_xlfn.LET(_xlpm.data,_xlfn.VSTACK('MS:NCA9'!K31),_xlpm.states,_xlfn.VSTACK('MS:NCA9'!$B$2),
SUM(_xlfn._xlws.FILTER(_xlpm.data,(_xlpm.states="North Carolina")+(_xlpm.states="Arizona")+(_xlpm.states="Maryland"))))</f>
        <v>0</v>
      </c>
      <c r="L31" s="12" cm="1">
        <f t="array" ref="L31">_xlfn.LET(_xlpm.data,_xlfn.VSTACK('MS:NCA9'!L31),_xlpm.states,_xlfn.VSTACK('MS:NCA9'!$B$2),
SUM(_xlfn._xlws.FILTER(_xlpm.data,(_xlpm.states="North Carolina")+(_xlpm.states="Arizona")+(_xlpm.states="Maryland"))))</f>
        <v>0</v>
      </c>
      <c r="M31" s="12" cm="1">
        <f t="array" ref="M31">_xlfn.LET(_xlpm.data,_xlfn.VSTACK('MS:NCA9'!M31),_xlpm.states,_xlfn.VSTACK('MS:NCA9'!$B$2),
SUM(_xlfn._xlws.FILTER(_xlpm.data,(_xlpm.states="North Carolina")+(_xlpm.states="Arizona")+(_xlpm.states="Maryland"))))</f>
        <v>0</v>
      </c>
      <c r="N31" s="12" cm="1">
        <f t="array" ref="N31">_xlfn.LET(_xlpm.data,_xlfn.VSTACK('MS:NCA9'!N31),_xlpm.states,_xlfn.VSTACK('MS:NCA9'!$B$2),
SUM(_xlfn._xlws.FILTER(_xlpm.data,(_xlpm.states="North Carolina")+(_xlpm.states="Arizona")+(_xlpm.states="Maryland"))))</f>
        <v>0</v>
      </c>
      <c r="O31" s="12" cm="1">
        <f t="array" ref="O31">_xlfn.LET(_xlpm.data,_xlfn.VSTACK('MS:NCA9'!O31),_xlpm.states,_xlfn.VSTACK('MS:NCA9'!$B$2),
SUM(_xlfn._xlws.FILTER(_xlpm.data,(_xlpm.states="North Carolina")+(_xlpm.states="Arizona")+(_xlpm.states="Maryland"))))</f>
        <v>0</v>
      </c>
      <c r="P31" s="12" cm="1">
        <f t="array" ref="P31">_xlfn.LET(_xlpm.data,_xlfn.VSTACK('MS:NCA9'!P31),_xlpm.states,_xlfn.VSTACK('MS:NCA9'!$B$2),
SUM(_xlfn._xlws.FILTER(_xlpm.data,(_xlpm.states="North Carolina")+(_xlpm.states="Arizona")+(_xlpm.states="Maryland"))))</f>
        <v>0</v>
      </c>
      <c r="Q31" s="12" cm="1">
        <f t="array" ref="Q31">_xlfn.LET(_xlpm.data,_xlfn.VSTACK('MS:NCA9'!Q31),_xlpm.states,_xlfn.VSTACK('MS:NCA9'!$B$2),
SUM(_xlfn._xlws.FILTER(_xlpm.data,(_xlpm.states="North Carolina")+(_xlpm.states="Arizona")+(_xlpm.states="Maryland"))))</f>
        <v>0</v>
      </c>
      <c r="R31" s="12" cm="1">
        <f t="array" ref="R31">_xlfn.LET(_xlpm.data,_xlfn.VSTACK('MS:NCA9'!R31),_xlpm.states,_xlfn.VSTACK('MS:NCA9'!$B$2),
SUM(_xlfn._xlws.FILTER(_xlpm.data,(_xlpm.states="North Carolina")+(_xlpm.states="Arizona")+(_xlpm.states="Maryland"))))</f>
        <v>0</v>
      </c>
      <c r="S31" s="12" cm="1">
        <f t="array" ref="S31">_xlfn.LET(_xlpm.data,_xlfn.VSTACK('MS:NCA9'!S31),_xlpm.states,_xlfn.VSTACK('MS:NCA9'!$B$2),
SUM(_xlfn._xlws.FILTER(_xlpm.data,(_xlpm.states="North Carolina")+(_xlpm.states="Arizona")+(_xlpm.states="Maryland"))))</f>
        <v>0</v>
      </c>
      <c r="T31" s="12" cm="1">
        <f t="array" ref="T31">_xlfn.LET(_xlpm.data,_xlfn.VSTACK('MS:NCA9'!T31),_xlpm.states,_xlfn.VSTACK('MS:NCA9'!$B$2),
SUM(_xlfn._xlws.FILTER(_xlpm.data,(_xlpm.states="North Carolina")+(_xlpm.states="Arizona")+(_xlpm.states="Maryland"))))</f>
        <v>0</v>
      </c>
      <c r="U31" s="12" cm="1">
        <f t="array" ref="U31">_xlfn.LET(_xlpm.data,_xlfn.VSTACK('MS:NCA9'!U31),_xlpm.states,_xlfn.VSTACK('MS:NCA9'!$B$2),
SUM(_xlfn._xlws.FILTER(_xlpm.data,(_xlpm.states="North Carolina")+(_xlpm.states="Arizona")+(_xlpm.states="Maryland"))))</f>
        <v>0</v>
      </c>
      <c r="V31" s="12" cm="1">
        <f t="array" ref="V31">_xlfn.LET(_xlpm.data,_xlfn.VSTACK('MS:NCA9'!V31),_xlpm.states,_xlfn.VSTACK('MS:NCA9'!$B$2),
SUM(_xlfn._xlws.FILTER(_xlpm.data,(_xlpm.states="North Carolina")+(_xlpm.states="Arizona")+(_xlpm.states="Maryland"))))</f>
        <v>0</v>
      </c>
      <c r="W31" s="12" cm="1">
        <f t="array" ref="W31">_xlfn.LET(_xlpm.data,_xlfn.VSTACK('MS:NCA9'!W31),_xlpm.states,_xlfn.VSTACK('MS:NCA9'!$B$2),
SUM(_xlfn._xlws.FILTER(_xlpm.data,(_xlpm.states="North Carolina")+(_xlpm.states="Arizona")+(_xlpm.states="Maryland"))))</f>
        <v>0</v>
      </c>
      <c r="X31" s="12" cm="1">
        <f t="array" ref="X31">_xlfn.LET(_xlpm.data,_xlfn.VSTACK('MS:NCA9'!X31),_xlpm.states,_xlfn.VSTACK('MS:NCA9'!$B$2),
SUM(_xlfn._xlws.FILTER(_xlpm.data,(_xlpm.states="North Carolina")+(_xlpm.states="Arizona")+(_xlpm.states="Maryland"))))</f>
        <v>0</v>
      </c>
      <c r="Y31" s="12" cm="1">
        <f t="array" ref="Y31">_xlfn.LET(_xlpm.data,_xlfn.VSTACK('MS:NCA9'!Y31),_xlpm.states,_xlfn.VSTACK('MS:NCA9'!$B$2),
SUM(_xlfn._xlws.FILTER(_xlpm.data,(_xlpm.states="North Carolina")+(_xlpm.states="Arizona")+(_xlpm.states="Maryland"))))</f>
        <v>0</v>
      </c>
      <c r="Z31" s="12" cm="1">
        <f t="array" ref="Z31">_xlfn.LET(_xlpm.data,_xlfn.VSTACK('MS:NCA9'!Z31),_xlpm.states,_xlfn.VSTACK('MS:NCA9'!$B$2),
SUM(_xlfn._xlws.FILTER(_xlpm.data,(_xlpm.states="North Carolina")+(_xlpm.states="Arizona")+(_xlpm.states="Maryland"))))</f>
        <v>0</v>
      </c>
      <c r="AA31" s="12" cm="1">
        <f t="array" ref="AA31">_xlfn.LET(_xlpm.data,_xlfn.VSTACK('MS:NCA9'!AA31),_xlpm.states,_xlfn.VSTACK('MS:NCA9'!$B$2),
SUM(_xlfn._xlws.FILTER(_xlpm.data,(_xlpm.states="North Carolina")+(_xlpm.states="Arizona")+(_xlpm.states="Maryland"))))</f>
        <v>0</v>
      </c>
      <c r="AB31" s="12" cm="1">
        <f t="array" ref="AB31">_xlfn.LET(_xlpm.data,_xlfn.VSTACK('MS:NCA9'!AB31),_xlpm.states,_xlfn.VSTACK('MS:NCA9'!$B$2),
SUM(_xlfn._xlws.FILTER(_xlpm.data,(_xlpm.states="North Carolina")+(_xlpm.states="Arizona")+(_xlpm.states="Maryland"))))</f>
        <v>0</v>
      </c>
      <c r="AC31" s="12" cm="1">
        <f t="array" ref="AC31">_xlfn.LET(_xlpm.data,_xlfn.VSTACK('MS:NCA9'!AC31),_xlpm.states,_xlfn.VSTACK('MS:NCA9'!$B$2),
SUM(_xlfn._xlws.FILTER(_xlpm.data,(_xlpm.states="North Carolina")+(_xlpm.states="Arizona")+(_xlpm.states="Maryland"))))</f>
        <v>0</v>
      </c>
      <c r="AD31" s="12" cm="1">
        <f t="array" ref="AD31">_xlfn.LET(_xlpm.data,_xlfn.VSTACK('MS:NCA9'!AD31),_xlpm.states,_xlfn.VSTACK('MS:NCA9'!$B$2),
SUM(_xlfn._xlws.FILTER(_xlpm.data,(_xlpm.states="North Carolina")+(_xlpm.states="Arizona")+(_xlpm.states="Maryland"))))</f>
        <v>0</v>
      </c>
      <c r="AE31" s="12" cm="1">
        <f t="array" ref="AE31">_xlfn.LET(_xlpm.data,_xlfn.VSTACK('MS:NCA9'!AE31),_xlpm.states,_xlfn.VSTACK('MS:NCA9'!$B$2),
SUM(_xlfn._xlws.FILTER(_xlpm.data,(_xlpm.states="North Carolina")+(_xlpm.states="Arizona")+(_xlpm.states="Maryland"))))</f>
        <v>0</v>
      </c>
      <c r="AF31" s="12" cm="1">
        <f t="array" ref="AF31">_xlfn.LET(_xlpm.data,_xlfn.VSTACK('MS:NCA9'!AF31),_xlpm.states,_xlfn.VSTACK('MS:NCA9'!$B$2),
SUM(_xlfn._xlws.FILTER(_xlpm.data,(_xlpm.states="North Carolina")+(_xlpm.states="Arizona")+(_xlpm.states="Maryland"))))</f>
        <v>0</v>
      </c>
      <c r="AG31" s="12" cm="1">
        <f t="array" ref="AG31">_xlfn.LET(_xlpm.data,_xlfn.VSTACK('MS:NCA9'!AG31),_xlpm.states,_xlfn.VSTACK('MS:NCA9'!$B$2),
SUM(_xlfn._xlws.FILTER(_xlpm.data,(_xlpm.states="North Carolina")+(_xlpm.states="Arizona")+(_xlpm.states="Maryland"))))</f>
        <v>0</v>
      </c>
      <c r="AH31" s="12" cm="1">
        <f t="array" ref="AH31">_xlfn.LET(_xlpm.data,_xlfn.VSTACK('MS:NCA9'!AH31),_xlpm.states,_xlfn.VSTACK('MS:NCA9'!$B$2),
SUM(_xlfn._xlws.FILTER(_xlpm.data,(_xlpm.states="North Carolina")+(_xlpm.states="Arizona")+(_xlpm.states="Maryland"))))</f>
        <v>0</v>
      </c>
      <c r="AI31" s="12" cm="1">
        <f t="array" ref="AI31">_xlfn.LET(_xlpm.data,_xlfn.VSTACK('MS:NCA9'!AI31),_xlpm.states,_xlfn.VSTACK('MS:NCA9'!$B$2),
SUM(_xlfn._xlws.FILTER(_xlpm.data,(_xlpm.states="North Carolina")+(_xlpm.states="Arizona")+(_xlpm.states="Maryland"))))</f>
        <v>0</v>
      </c>
      <c r="AJ31" s="12" cm="1">
        <f t="array" ref="AJ31">_xlfn.LET(_xlpm.data,_xlfn.VSTACK('MS:NCA9'!AJ31),_xlpm.states,_xlfn.VSTACK('MS:NCA9'!$B$2),
SUM(_xlfn._xlws.FILTER(_xlpm.data,(_xlpm.states="North Carolina")+(_xlpm.states="Arizona")+(_xlpm.states="Maryland"))))</f>
        <v>0</v>
      </c>
      <c r="AK31" s="12" cm="1">
        <f t="array" ref="AK31">_xlfn.LET(_xlpm.data,_xlfn.VSTACK('MS:NCA9'!AK31),_xlpm.states,_xlfn.VSTACK('MS:NCA9'!$B$2),
SUM(_xlfn._xlws.FILTER(_xlpm.data,(_xlpm.states="North Carolina")+(_xlpm.states="Arizona")+(_xlpm.states="Maryland"))))</f>
        <v>0</v>
      </c>
      <c r="AL31" s="12" cm="1">
        <f t="array" ref="AL31">_xlfn.LET(_xlpm.data,_xlfn.VSTACK('MS:NCA9'!AL31),_xlpm.states,_xlfn.VSTACK('MS:NCA9'!$B$2),
SUM(_xlfn._xlws.FILTER(_xlpm.data,(_xlpm.states="North Carolina")+(_xlpm.states="Arizona")+(_xlpm.states="Maryland"))))</f>
        <v>0</v>
      </c>
      <c r="AM31" s="12" cm="1">
        <f t="array" ref="AM31">_xlfn.LET(_xlpm.data,_xlfn.VSTACK('MS:NCA9'!AM31),_xlpm.states,_xlfn.VSTACK('MS:NCA9'!$B$2),
SUM(_xlfn._xlws.FILTER(_xlpm.data,(_xlpm.states="North Carolina")+(_xlpm.states="Arizona")+(_xlpm.states="Maryland"))))</f>
        <v>0</v>
      </c>
      <c r="AN31" s="12" cm="1">
        <f t="array" ref="AN31">_xlfn.LET(_xlpm.data,_xlfn.VSTACK('MS:NCA9'!AN31),_xlpm.states,_xlfn.VSTACK('MS:NCA9'!$B$2),
SUM(_xlfn._xlws.FILTER(_xlpm.data,(_xlpm.states="North Carolina")+(_xlpm.states="Arizona")+(_xlpm.states="Maryland"))))</f>
        <v>0</v>
      </c>
    </row>
    <row r="32" spans="2:40" outlineLevel="1" x14ac:dyDescent="0.25">
      <c r="B32" s="39" t="s">
        <v>404</v>
      </c>
      <c r="E32" s="12" cm="1">
        <f t="array" ref="E32">_xlfn.LET(_xlpm.data,_xlfn.VSTACK('MS:NCA9'!E32),_xlpm.states,_xlfn.VSTACK('MS:NCA9'!$B$2),
SUM(_xlfn._xlws.FILTER(_xlpm.data,(_xlpm.states="North Carolina")+(_xlpm.states="Arizona")+(_xlpm.states="Maryland"))))</f>
        <v>0</v>
      </c>
      <c r="F32" s="12" cm="1">
        <f t="array" ref="F32">_xlfn.LET(_xlpm.data,_xlfn.VSTACK('MS:NCA9'!F32),_xlpm.states,_xlfn.VSTACK('MS:NCA9'!$B$2),
SUM(_xlfn._xlws.FILTER(_xlpm.data,(_xlpm.states="North Carolina")+(_xlpm.states="Arizona")+(_xlpm.states="Maryland"))))</f>
        <v>0</v>
      </c>
      <c r="G32" s="12" cm="1">
        <f t="array" ref="G32">_xlfn.LET(_xlpm.data,_xlfn.VSTACK('MS:NCA9'!G32),_xlpm.states,_xlfn.VSTACK('MS:NCA9'!$B$2),
SUM(_xlfn._xlws.FILTER(_xlpm.data,(_xlpm.states="North Carolina")+(_xlpm.states="Arizona")+(_xlpm.states="Maryland"))))</f>
        <v>0</v>
      </c>
      <c r="H32" s="12" cm="1">
        <f t="array" ref="H32">_xlfn.LET(_xlpm.data,_xlfn.VSTACK('MS:NCA9'!H32),_xlpm.states,_xlfn.VSTACK('MS:NCA9'!$B$2),
SUM(_xlfn._xlws.FILTER(_xlpm.data,(_xlpm.states="North Carolina")+(_xlpm.states="Arizona")+(_xlpm.states="Maryland"))))</f>
        <v>0</v>
      </c>
      <c r="I32" s="12" cm="1">
        <f t="array" ref="I32">_xlfn.LET(_xlpm.data,_xlfn.VSTACK('MS:NCA9'!I32),_xlpm.states,_xlfn.VSTACK('MS:NCA9'!$B$2),
SUM(_xlfn._xlws.FILTER(_xlpm.data,(_xlpm.states="North Carolina")+(_xlpm.states="Arizona")+(_xlpm.states="Maryland"))))</f>
        <v>0</v>
      </c>
      <c r="J32" s="12" cm="1">
        <f t="array" ref="J32">_xlfn.LET(_xlpm.data,_xlfn.VSTACK('MS:NCA9'!J32),_xlpm.states,_xlfn.VSTACK('MS:NCA9'!$B$2),
SUM(_xlfn._xlws.FILTER(_xlpm.data,(_xlpm.states="North Carolina")+(_xlpm.states="Arizona")+(_xlpm.states="Maryland"))))</f>
        <v>0</v>
      </c>
      <c r="K32" s="12" cm="1">
        <f t="array" ref="K32">_xlfn.LET(_xlpm.data,_xlfn.VSTACK('MS:NCA9'!K32),_xlpm.states,_xlfn.VSTACK('MS:NCA9'!$B$2),
SUM(_xlfn._xlws.FILTER(_xlpm.data,(_xlpm.states="North Carolina")+(_xlpm.states="Arizona")+(_xlpm.states="Maryland"))))</f>
        <v>0</v>
      </c>
      <c r="L32" s="12" cm="1">
        <f t="array" ref="L32">_xlfn.LET(_xlpm.data,_xlfn.VSTACK('MS:NCA9'!L32),_xlpm.states,_xlfn.VSTACK('MS:NCA9'!$B$2),
SUM(_xlfn._xlws.FILTER(_xlpm.data,(_xlpm.states="North Carolina")+(_xlpm.states="Arizona")+(_xlpm.states="Maryland"))))</f>
        <v>0</v>
      </c>
      <c r="M32" s="12" cm="1">
        <f t="array" ref="M32">_xlfn.LET(_xlpm.data,_xlfn.VSTACK('MS:NCA9'!M32),_xlpm.states,_xlfn.VSTACK('MS:NCA9'!$B$2),
SUM(_xlfn._xlws.FILTER(_xlpm.data,(_xlpm.states="North Carolina")+(_xlpm.states="Arizona")+(_xlpm.states="Maryland"))))</f>
        <v>0</v>
      </c>
      <c r="N32" s="12" cm="1">
        <f t="array" ref="N32">_xlfn.LET(_xlpm.data,_xlfn.VSTACK('MS:NCA9'!N32),_xlpm.states,_xlfn.VSTACK('MS:NCA9'!$B$2),
SUM(_xlfn._xlws.FILTER(_xlpm.data,(_xlpm.states="North Carolina")+(_xlpm.states="Arizona")+(_xlpm.states="Maryland"))))</f>
        <v>0</v>
      </c>
      <c r="O32" s="12" cm="1">
        <f t="array" ref="O32">_xlfn.LET(_xlpm.data,_xlfn.VSTACK('MS:NCA9'!O32),_xlpm.states,_xlfn.VSTACK('MS:NCA9'!$B$2),
SUM(_xlfn._xlws.FILTER(_xlpm.data,(_xlpm.states="North Carolina")+(_xlpm.states="Arizona")+(_xlpm.states="Maryland"))))</f>
        <v>0</v>
      </c>
      <c r="P32" s="12" cm="1">
        <f t="array" ref="P32">_xlfn.LET(_xlpm.data,_xlfn.VSTACK('MS:NCA9'!P32),_xlpm.states,_xlfn.VSTACK('MS:NCA9'!$B$2),
SUM(_xlfn._xlws.FILTER(_xlpm.data,(_xlpm.states="North Carolina")+(_xlpm.states="Arizona")+(_xlpm.states="Maryland"))))</f>
        <v>0</v>
      </c>
      <c r="Q32" s="12" cm="1">
        <f t="array" ref="Q32">_xlfn.LET(_xlpm.data,_xlfn.VSTACK('MS:NCA9'!Q32),_xlpm.states,_xlfn.VSTACK('MS:NCA9'!$B$2),
SUM(_xlfn._xlws.FILTER(_xlpm.data,(_xlpm.states="North Carolina")+(_xlpm.states="Arizona")+(_xlpm.states="Maryland"))))</f>
        <v>0</v>
      </c>
      <c r="R32" s="12" cm="1">
        <f t="array" ref="R32">_xlfn.LET(_xlpm.data,_xlfn.VSTACK('MS:NCA9'!R32),_xlpm.states,_xlfn.VSTACK('MS:NCA9'!$B$2),
SUM(_xlfn._xlws.FILTER(_xlpm.data,(_xlpm.states="North Carolina")+(_xlpm.states="Arizona")+(_xlpm.states="Maryland"))))</f>
        <v>0</v>
      </c>
      <c r="S32" s="12" cm="1">
        <f t="array" ref="S32">_xlfn.LET(_xlpm.data,_xlfn.VSTACK('MS:NCA9'!S32),_xlpm.states,_xlfn.VSTACK('MS:NCA9'!$B$2),
SUM(_xlfn._xlws.FILTER(_xlpm.data,(_xlpm.states="North Carolina")+(_xlpm.states="Arizona")+(_xlpm.states="Maryland"))))</f>
        <v>0</v>
      </c>
      <c r="T32" s="12" cm="1">
        <f t="array" ref="T32">_xlfn.LET(_xlpm.data,_xlfn.VSTACK('MS:NCA9'!T32),_xlpm.states,_xlfn.VSTACK('MS:NCA9'!$B$2),
SUM(_xlfn._xlws.FILTER(_xlpm.data,(_xlpm.states="North Carolina")+(_xlpm.states="Arizona")+(_xlpm.states="Maryland"))))</f>
        <v>0</v>
      </c>
      <c r="U32" s="12" cm="1">
        <f t="array" ref="U32">_xlfn.LET(_xlpm.data,_xlfn.VSTACK('MS:NCA9'!U32),_xlpm.states,_xlfn.VSTACK('MS:NCA9'!$B$2),
SUM(_xlfn._xlws.FILTER(_xlpm.data,(_xlpm.states="North Carolina")+(_xlpm.states="Arizona")+(_xlpm.states="Maryland"))))</f>
        <v>0</v>
      </c>
      <c r="V32" s="12" cm="1">
        <f t="array" ref="V32">_xlfn.LET(_xlpm.data,_xlfn.VSTACK('MS:NCA9'!V32),_xlpm.states,_xlfn.VSTACK('MS:NCA9'!$B$2),
SUM(_xlfn._xlws.FILTER(_xlpm.data,(_xlpm.states="North Carolina")+(_xlpm.states="Arizona")+(_xlpm.states="Maryland"))))</f>
        <v>0</v>
      </c>
      <c r="W32" s="12" cm="1">
        <f t="array" ref="W32">_xlfn.LET(_xlpm.data,_xlfn.VSTACK('MS:NCA9'!W32),_xlpm.states,_xlfn.VSTACK('MS:NCA9'!$B$2),
SUM(_xlfn._xlws.FILTER(_xlpm.data,(_xlpm.states="North Carolina")+(_xlpm.states="Arizona")+(_xlpm.states="Maryland"))))</f>
        <v>0</v>
      </c>
      <c r="X32" s="12" cm="1">
        <f t="array" ref="X32">_xlfn.LET(_xlpm.data,_xlfn.VSTACK('MS:NCA9'!X32),_xlpm.states,_xlfn.VSTACK('MS:NCA9'!$B$2),
SUM(_xlfn._xlws.FILTER(_xlpm.data,(_xlpm.states="North Carolina")+(_xlpm.states="Arizona")+(_xlpm.states="Maryland"))))</f>
        <v>0</v>
      </c>
      <c r="Y32" s="12" cm="1">
        <f t="array" ref="Y32">_xlfn.LET(_xlpm.data,_xlfn.VSTACK('MS:NCA9'!Y32),_xlpm.states,_xlfn.VSTACK('MS:NCA9'!$B$2),
SUM(_xlfn._xlws.FILTER(_xlpm.data,(_xlpm.states="North Carolina")+(_xlpm.states="Arizona")+(_xlpm.states="Maryland"))))</f>
        <v>0</v>
      </c>
      <c r="Z32" s="12" cm="1">
        <f t="array" ref="Z32">_xlfn.LET(_xlpm.data,_xlfn.VSTACK('MS:NCA9'!Z32),_xlpm.states,_xlfn.VSTACK('MS:NCA9'!$B$2),
SUM(_xlfn._xlws.FILTER(_xlpm.data,(_xlpm.states="North Carolina")+(_xlpm.states="Arizona")+(_xlpm.states="Maryland"))))</f>
        <v>0</v>
      </c>
      <c r="AA32" s="12" cm="1">
        <f t="array" ref="AA32">_xlfn.LET(_xlpm.data,_xlfn.VSTACK('MS:NCA9'!AA32),_xlpm.states,_xlfn.VSTACK('MS:NCA9'!$B$2),
SUM(_xlfn._xlws.FILTER(_xlpm.data,(_xlpm.states="North Carolina")+(_xlpm.states="Arizona")+(_xlpm.states="Maryland"))))</f>
        <v>0</v>
      </c>
      <c r="AB32" s="12" cm="1">
        <f t="array" ref="AB32">_xlfn.LET(_xlpm.data,_xlfn.VSTACK('MS:NCA9'!AB32),_xlpm.states,_xlfn.VSTACK('MS:NCA9'!$B$2),
SUM(_xlfn._xlws.FILTER(_xlpm.data,(_xlpm.states="North Carolina")+(_xlpm.states="Arizona")+(_xlpm.states="Maryland"))))</f>
        <v>0</v>
      </c>
      <c r="AC32" s="12" cm="1">
        <f t="array" ref="AC32">_xlfn.LET(_xlpm.data,_xlfn.VSTACK('MS:NCA9'!AC32),_xlpm.states,_xlfn.VSTACK('MS:NCA9'!$B$2),
SUM(_xlfn._xlws.FILTER(_xlpm.data,(_xlpm.states="North Carolina")+(_xlpm.states="Arizona")+(_xlpm.states="Maryland"))))</f>
        <v>0</v>
      </c>
      <c r="AD32" s="12" cm="1">
        <f t="array" ref="AD32">_xlfn.LET(_xlpm.data,_xlfn.VSTACK('MS:NCA9'!AD32),_xlpm.states,_xlfn.VSTACK('MS:NCA9'!$B$2),
SUM(_xlfn._xlws.FILTER(_xlpm.data,(_xlpm.states="North Carolina")+(_xlpm.states="Arizona")+(_xlpm.states="Maryland"))))</f>
        <v>0</v>
      </c>
      <c r="AE32" s="12" cm="1">
        <f t="array" ref="AE32">_xlfn.LET(_xlpm.data,_xlfn.VSTACK('MS:NCA9'!AE32),_xlpm.states,_xlfn.VSTACK('MS:NCA9'!$B$2),
SUM(_xlfn._xlws.FILTER(_xlpm.data,(_xlpm.states="North Carolina")+(_xlpm.states="Arizona")+(_xlpm.states="Maryland"))))</f>
        <v>0</v>
      </c>
      <c r="AF32" s="12" cm="1">
        <f t="array" ref="AF32">_xlfn.LET(_xlpm.data,_xlfn.VSTACK('MS:NCA9'!AF32),_xlpm.states,_xlfn.VSTACK('MS:NCA9'!$B$2),
SUM(_xlfn._xlws.FILTER(_xlpm.data,(_xlpm.states="North Carolina")+(_xlpm.states="Arizona")+(_xlpm.states="Maryland"))))</f>
        <v>0</v>
      </c>
      <c r="AG32" s="12" cm="1">
        <f t="array" ref="AG32">_xlfn.LET(_xlpm.data,_xlfn.VSTACK('MS:NCA9'!AG32),_xlpm.states,_xlfn.VSTACK('MS:NCA9'!$B$2),
SUM(_xlfn._xlws.FILTER(_xlpm.data,(_xlpm.states="North Carolina")+(_xlpm.states="Arizona")+(_xlpm.states="Maryland"))))</f>
        <v>0</v>
      </c>
      <c r="AH32" s="12" cm="1">
        <f t="array" ref="AH32">_xlfn.LET(_xlpm.data,_xlfn.VSTACK('MS:NCA9'!AH32),_xlpm.states,_xlfn.VSTACK('MS:NCA9'!$B$2),
SUM(_xlfn._xlws.FILTER(_xlpm.data,(_xlpm.states="North Carolina")+(_xlpm.states="Arizona")+(_xlpm.states="Maryland"))))</f>
        <v>0</v>
      </c>
      <c r="AI32" s="12" cm="1">
        <f t="array" ref="AI32">_xlfn.LET(_xlpm.data,_xlfn.VSTACK('MS:NCA9'!AI32),_xlpm.states,_xlfn.VSTACK('MS:NCA9'!$B$2),
SUM(_xlfn._xlws.FILTER(_xlpm.data,(_xlpm.states="North Carolina")+(_xlpm.states="Arizona")+(_xlpm.states="Maryland"))))</f>
        <v>0</v>
      </c>
      <c r="AJ32" s="12" cm="1">
        <f t="array" ref="AJ32">_xlfn.LET(_xlpm.data,_xlfn.VSTACK('MS:NCA9'!AJ32),_xlpm.states,_xlfn.VSTACK('MS:NCA9'!$B$2),
SUM(_xlfn._xlws.FILTER(_xlpm.data,(_xlpm.states="North Carolina")+(_xlpm.states="Arizona")+(_xlpm.states="Maryland"))))</f>
        <v>0</v>
      </c>
      <c r="AK32" s="12" cm="1">
        <f t="array" ref="AK32">_xlfn.LET(_xlpm.data,_xlfn.VSTACK('MS:NCA9'!AK32),_xlpm.states,_xlfn.VSTACK('MS:NCA9'!$B$2),
SUM(_xlfn._xlws.FILTER(_xlpm.data,(_xlpm.states="North Carolina")+(_xlpm.states="Arizona")+(_xlpm.states="Maryland"))))</f>
        <v>0</v>
      </c>
      <c r="AL32" s="12" cm="1">
        <f t="array" ref="AL32">_xlfn.LET(_xlpm.data,_xlfn.VSTACK('MS:NCA9'!AL32),_xlpm.states,_xlfn.VSTACK('MS:NCA9'!$B$2),
SUM(_xlfn._xlws.FILTER(_xlpm.data,(_xlpm.states="North Carolina")+(_xlpm.states="Arizona")+(_xlpm.states="Maryland"))))</f>
        <v>0</v>
      </c>
      <c r="AM32" s="12" cm="1">
        <f t="array" ref="AM32">_xlfn.LET(_xlpm.data,_xlfn.VSTACK('MS:NCA9'!AM32),_xlpm.states,_xlfn.VSTACK('MS:NCA9'!$B$2),
SUM(_xlfn._xlws.FILTER(_xlpm.data,(_xlpm.states="North Carolina")+(_xlpm.states="Arizona")+(_xlpm.states="Maryland"))))</f>
        <v>0</v>
      </c>
      <c r="AN32" s="12" cm="1">
        <f t="array" ref="AN32">_xlfn.LET(_xlpm.data,_xlfn.VSTACK('MS:NCA9'!AN32),_xlpm.states,_xlfn.VSTACK('MS:NCA9'!$B$2),
SUM(_xlfn._xlws.FILTER(_xlpm.data,(_xlpm.states="North Carolina")+(_xlpm.states="Arizona")+(_xlpm.states="Maryland"))))</f>
        <v>0</v>
      </c>
    </row>
    <row r="33" spans="2:40" outlineLevel="1" x14ac:dyDescent="0.25">
      <c r="B33" s="39" t="s">
        <v>405</v>
      </c>
      <c r="E33" s="12" cm="1">
        <f t="array" ref="E33">_xlfn.LET(_xlpm.data,_xlfn.VSTACK('MS:NCA9'!E33),_xlpm.states,_xlfn.VSTACK('MS:NCA9'!$B$2),
SUM(_xlfn._xlws.FILTER(_xlpm.data,(_xlpm.states="North Carolina")+(_xlpm.states="Arizona")+(_xlpm.states="Maryland"))))</f>
        <v>73931.936866666656</v>
      </c>
      <c r="F33" s="12" cm="1">
        <f t="array" ref="F33">_xlfn.LET(_xlpm.data,_xlfn.VSTACK('MS:NCA9'!F33),_xlpm.states,_xlfn.VSTACK('MS:NCA9'!$B$2),
SUM(_xlfn._xlws.FILTER(_xlpm.data,(_xlpm.states="North Carolina")+(_xlpm.states="Arizona")+(_xlpm.states="Maryland"))))</f>
        <v>73931.936866666656</v>
      </c>
      <c r="G33" s="12" cm="1">
        <f t="array" ref="G33">_xlfn.LET(_xlpm.data,_xlfn.VSTACK('MS:NCA9'!G33),_xlpm.states,_xlfn.VSTACK('MS:NCA9'!$B$2),
SUM(_xlfn._xlws.FILTER(_xlpm.data,(_xlpm.states="North Carolina")+(_xlpm.states="Arizona")+(_xlpm.states="Maryland"))))</f>
        <v>73931.936866666656</v>
      </c>
      <c r="H33" s="12" cm="1">
        <f t="array" ref="H33">_xlfn.LET(_xlpm.data,_xlfn.VSTACK('MS:NCA9'!H33),_xlpm.states,_xlfn.VSTACK('MS:NCA9'!$B$2),
SUM(_xlfn._xlws.FILTER(_xlpm.data,(_xlpm.states="North Carolina")+(_xlpm.states="Arizona")+(_xlpm.states="Maryland"))))</f>
        <v>73931.936866666656</v>
      </c>
      <c r="I33" s="12" cm="1">
        <f t="array" ref="I33">_xlfn.LET(_xlpm.data,_xlfn.VSTACK('MS:NCA9'!I33),_xlpm.states,_xlfn.VSTACK('MS:NCA9'!$B$2),
SUM(_xlfn._xlws.FILTER(_xlpm.data,(_xlpm.states="North Carolina")+(_xlpm.states="Arizona")+(_xlpm.states="Maryland"))))</f>
        <v>73931.936866666656</v>
      </c>
      <c r="J33" s="12" cm="1">
        <f t="array" ref="J33">_xlfn.LET(_xlpm.data,_xlfn.VSTACK('MS:NCA9'!J33),_xlpm.states,_xlfn.VSTACK('MS:NCA9'!$B$2),
SUM(_xlfn._xlws.FILTER(_xlpm.data,(_xlpm.states="North Carolina")+(_xlpm.states="Arizona")+(_xlpm.states="Maryland"))))</f>
        <v>97693.523199999996</v>
      </c>
      <c r="K33" s="12" cm="1">
        <f t="array" ref="K33">_xlfn.LET(_xlpm.data,_xlfn.VSTACK('MS:NCA9'!K33),_xlpm.states,_xlfn.VSTACK('MS:NCA9'!$B$2),
SUM(_xlfn._xlws.FILTER(_xlpm.data,(_xlpm.states="North Carolina")+(_xlpm.states="Arizona")+(_xlpm.states="Maryland"))))</f>
        <v>122326.61956666666</v>
      </c>
      <c r="L33" s="12" cm="1">
        <f t="array" ref="L33">_xlfn.LET(_xlpm.data,_xlfn.VSTACK('MS:NCA9'!L33),_xlpm.states,_xlfn.VSTACK('MS:NCA9'!$B$2),
SUM(_xlfn._xlws.FILTER(_xlpm.data,(_xlpm.states="North Carolina")+(_xlpm.states="Arizona")+(_xlpm.states="Maryland"))))</f>
        <v>122326.61956666666</v>
      </c>
      <c r="M33" s="12" cm="1">
        <f t="array" ref="M33">_xlfn.LET(_xlpm.data,_xlfn.VSTACK('MS:NCA9'!M33),_xlpm.states,_xlfn.VSTACK('MS:NCA9'!$B$2),
SUM(_xlfn._xlws.FILTER(_xlpm.data,(_xlpm.states="North Carolina")+(_xlpm.states="Arizona")+(_xlpm.states="Maryland"))))</f>
        <v>122326.61956666666</v>
      </c>
      <c r="N33" s="12" cm="1">
        <f t="array" ref="N33">_xlfn.LET(_xlpm.data,_xlfn.VSTACK('MS:NCA9'!N33),_xlpm.states,_xlfn.VSTACK('MS:NCA9'!$B$2),
SUM(_xlfn._xlws.FILTER(_xlpm.data,(_xlpm.states="North Carolina")+(_xlpm.states="Arizona")+(_xlpm.states="Maryland"))))</f>
        <v>122326.61956666666</v>
      </c>
      <c r="O33" s="12" cm="1">
        <f t="array" ref="O33">_xlfn.LET(_xlpm.data,_xlfn.VSTACK('MS:NCA9'!O33),_xlpm.states,_xlfn.VSTACK('MS:NCA9'!$B$2),
SUM(_xlfn._xlws.FILTER(_xlpm.data,(_xlpm.states="North Carolina")+(_xlpm.states="Arizona")+(_xlpm.states="Maryland"))))</f>
        <v>122326.61956666666</v>
      </c>
      <c r="P33" s="12" cm="1">
        <f t="array" ref="P33">_xlfn.LET(_xlpm.data,_xlfn.VSTACK('MS:NCA9'!P33),_xlpm.states,_xlfn.VSTACK('MS:NCA9'!$B$2),
SUM(_xlfn._xlws.FILTER(_xlpm.data,(_xlpm.states="North Carolina")+(_xlpm.states="Arizona")+(_xlpm.states="Maryland"))))</f>
        <v>122326.61956666666</v>
      </c>
      <c r="Q33" s="12" cm="1">
        <f t="array" ref="Q33">_xlfn.LET(_xlpm.data,_xlfn.VSTACK('MS:NCA9'!Q33),_xlpm.states,_xlfn.VSTACK('MS:NCA9'!$B$2),
SUM(_xlfn._xlws.FILTER(_xlpm.data,(_xlpm.states="North Carolina")+(_xlpm.states="Arizona")+(_xlpm.states="Maryland"))))</f>
        <v>125996.41815366663</v>
      </c>
      <c r="R33" s="12" cm="1">
        <f t="array" ref="R33">_xlfn.LET(_xlpm.data,_xlfn.VSTACK('MS:NCA9'!R33),_xlpm.states,_xlfn.VSTACK('MS:NCA9'!$B$2),
SUM(_xlfn._xlws.FILTER(_xlpm.data,(_xlpm.states="North Carolina")+(_xlpm.states="Arizona")+(_xlpm.states="Maryland"))))</f>
        <v>125996.41815366663</v>
      </c>
      <c r="S33" s="12" cm="1">
        <f t="array" ref="S33">_xlfn.LET(_xlpm.data,_xlfn.VSTACK('MS:NCA9'!S33),_xlpm.states,_xlfn.VSTACK('MS:NCA9'!$B$2),
SUM(_xlfn._xlws.FILTER(_xlpm.data,(_xlpm.states="North Carolina")+(_xlpm.states="Arizona")+(_xlpm.states="Maryland"))))</f>
        <v>125996.41815366663</v>
      </c>
      <c r="T33" s="12" cm="1">
        <f t="array" ref="T33">_xlfn.LET(_xlpm.data,_xlfn.VSTACK('MS:NCA9'!T33),_xlpm.states,_xlfn.VSTACK('MS:NCA9'!$B$2),
SUM(_xlfn._xlws.FILTER(_xlpm.data,(_xlpm.states="North Carolina")+(_xlpm.states="Arizona")+(_xlpm.states="Maryland"))))</f>
        <v>125996.41815366663</v>
      </c>
      <c r="U33" s="12" cm="1">
        <f t="array" ref="U33">_xlfn.LET(_xlpm.data,_xlfn.VSTACK('MS:NCA9'!U33),_xlpm.states,_xlfn.VSTACK('MS:NCA9'!$B$2),
SUM(_xlfn._xlws.FILTER(_xlpm.data,(_xlpm.states="North Carolina")+(_xlpm.states="Arizona")+(_xlpm.states="Maryland"))))</f>
        <v>125996.41815366663</v>
      </c>
      <c r="V33" s="12" cm="1">
        <f t="array" ref="V33">_xlfn.LET(_xlpm.data,_xlfn.VSTACK('MS:NCA9'!V33),_xlpm.states,_xlfn.VSTACK('MS:NCA9'!$B$2),
SUM(_xlfn._xlws.FILTER(_xlpm.data,(_xlpm.states="North Carolina")+(_xlpm.states="Arizona")+(_xlpm.states="Maryland"))))</f>
        <v>125996.41815366663</v>
      </c>
      <c r="W33" s="12" cm="1">
        <f t="array" ref="W33">_xlfn.LET(_xlpm.data,_xlfn.VSTACK('MS:NCA9'!W33),_xlpm.states,_xlfn.VSTACK('MS:NCA9'!$B$2),
SUM(_xlfn._xlws.FILTER(_xlpm.data,(_xlpm.states="North Carolina")+(_xlpm.states="Arizona")+(_xlpm.states="Maryland"))))</f>
        <v>150470.85207699996</v>
      </c>
      <c r="X33" s="12" cm="1">
        <f t="array" ref="X33">_xlfn.LET(_xlpm.data,_xlfn.VSTACK('MS:NCA9'!X33),_xlpm.states,_xlfn.VSTACK('MS:NCA9'!$B$2),
SUM(_xlfn._xlws.FILTER(_xlpm.data,(_xlpm.states="North Carolina")+(_xlpm.states="Arizona")+(_xlpm.states="Maryland"))))</f>
        <v>176308.58260166663</v>
      </c>
      <c r="Y33" s="12" cm="1">
        <f t="array" ref="Y33">_xlfn.LET(_xlpm.data,_xlfn.VSTACK('MS:NCA9'!Y33),_xlpm.states,_xlfn.VSTACK('MS:NCA9'!$B$2),
SUM(_xlfn._xlws.FILTER(_xlpm.data,(_xlpm.states="North Carolina")+(_xlpm.states="Arizona")+(_xlpm.states="Maryland"))))</f>
        <v>176308.58260166663</v>
      </c>
      <c r="Z33" s="12" cm="1">
        <f t="array" ref="Z33">_xlfn.LET(_xlpm.data,_xlfn.VSTACK('MS:NCA9'!Z33),_xlpm.states,_xlfn.VSTACK('MS:NCA9'!$B$2),
SUM(_xlfn._xlws.FILTER(_xlpm.data,(_xlpm.states="North Carolina")+(_xlpm.states="Arizona")+(_xlpm.states="Maryland"))))</f>
        <v>176308.58260166663</v>
      </c>
      <c r="AA33" s="12" cm="1">
        <f t="array" ref="AA33">_xlfn.LET(_xlpm.data,_xlfn.VSTACK('MS:NCA9'!AA33),_xlpm.states,_xlfn.VSTACK('MS:NCA9'!$B$2),
SUM(_xlfn._xlws.FILTER(_xlpm.data,(_xlpm.states="North Carolina")+(_xlpm.states="Arizona")+(_xlpm.states="Maryland"))))</f>
        <v>176308.58260166663</v>
      </c>
      <c r="AB33" s="12" cm="1">
        <f t="array" ref="AB33">_xlfn.LET(_xlpm.data,_xlfn.VSTACK('MS:NCA9'!AB33),_xlpm.states,_xlfn.VSTACK('MS:NCA9'!$B$2),
SUM(_xlfn._xlws.FILTER(_xlpm.data,(_xlpm.states="North Carolina")+(_xlpm.states="Arizona")+(_xlpm.states="Maryland"))))</f>
        <v>176308.58260166663</v>
      </c>
      <c r="AC33" s="12" cm="1">
        <f t="array" ref="AC33">_xlfn.LET(_xlpm.data,_xlfn.VSTACK('MS:NCA9'!AC33),_xlpm.states,_xlfn.VSTACK('MS:NCA9'!$B$2),
SUM(_xlfn._xlws.FILTER(_xlpm.data,(_xlpm.states="North Carolina")+(_xlpm.states="Arizona")+(_xlpm.states="Maryland"))))</f>
        <v>176308.58260166663</v>
      </c>
      <c r="AD33" s="12" cm="1">
        <f t="array" ref="AD33">_xlfn.LET(_xlpm.data,_xlfn.VSTACK('MS:NCA9'!AD33),_xlpm.states,_xlfn.VSTACK('MS:NCA9'!$B$2),
SUM(_xlfn._xlws.FILTER(_xlpm.data,(_xlpm.states="North Carolina")+(_xlpm.states="Arizona")+(_xlpm.states="Maryland"))))</f>
        <v>176308.58260166663</v>
      </c>
      <c r="AE33" s="12" cm="1">
        <f t="array" ref="AE33">_xlfn.LET(_xlpm.data,_xlfn.VSTACK('MS:NCA9'!AE33),_xlpm.states,_xlfn.VSTACK('MS:NCA9'!$B$2),
SUM(_xlfn._xlws.FILTER(_xlpm.data,(_xlpm.states="North Carolina")+(_xlpm.states="Arizona")+(_xlpm.states="Maryland"))))</f>
        <v>176308.58260166663</v>
      </c>
      <c r="AF33" s="12" cm="1">
        <f t="array" ref="AF33">_xlfn.LET(_xlpm.data,_xlfn.VSTACK('MS:NCA9'!AF33),_xlpm.states,_xlfn.VSTACK('MS:NCA9'!$B$2),
SUM(_xlfn._xlws.FILTER(_xlpm.data,(_xlpm.states="North Carolina")+(_xlpm.states="Arizona")+(_xlpm.states="Maryland"))))</f>
        <v>176308.58260166663</v>
      </c>
      <c r="AG33" s="12" cm="1">
        <f t="array" ref="AG33">_xlfn.LET(_xlpm.data,_xlfn.VSTACK('MS:NCA9'!AG33),_xlpm.states,_xlfn.VSTACK('MS:NCA9'!$B$2),
SUM(_xlfn._xlws.FILTER(_xlpm.data,(_xlpm.states="North Carolina")+(_xlpm.states="Arizona")+(_xlpm.states="Maryland"))))</f>
        <v>176308.58260166663</v>
      </c>
      <c r="AH33" s="12" cm="1">
        <f t="array" ref="AH33">_xlfn.LET(_xlpm.data,_xlfn.VSTACK('MS:NCA9'!AH33),_xlpm.states,_xlfn.VSTACK('MS:NCA9'!$B$2),
SUM(_xlfn._xlws.FILTER(_xlpm.data,(_xlpm.states="North Carolina")+(_xlpm.states="Arizona")+(_xlpm.states="Maryland"))))</f>
        <v>226620.74704966662</v>
      </c>
      <c r="AI33" s="12" cm="1">
        <f t="array" ref="AI33">_xlfn.LET(_xlpm.data,_xlfn.VSTACK('MS:NCA9'!AI33),_xlpm.states,_xlfn.VSTACK('MS:NCA9'!$B$2),
SUM(_xlfn._xlws.FILTER(_xlpm.data,(_xlpm.states="North Carolina")+(_xlpm.states="Arizona")+(_xlpm.states="Maryland"))))</f>
        <v>226620.74704966662</v>
      </c>
      <c r="AJ33" s="12" cm="1">
        <f t="array" ref="AJ33">_xlfn.LET(_xlpm.data,_xlfn.VSTACK('MS:NCA9'!AJ33),_xlpm.states,_xlfn.VSTACK('MS:NCA9'!$B$2),
SUM(_xlfn._xlws.FILTER(_xlpm.data,(_xlpm.states="North Carolina")+(_xlpm.states="Arizona")+(_xlpm.states="Maryland"))))</f>
        <v>226620.74704966662</v>
      </c>
      <c r="AK33" s="12" cm="1">
        <f t="array" ref="AK33">_xlfn.LET(_xlpm.data,_xlfn.VSTACK('MS:NCA9'!AK33),_xlpm.states,_xlfn.VSTACK('MS:NCA9'!$B$2),
SUM(_xlfn._xlws.FILTER(_xlpm.data,(_xlpm.states="North Carolina")+(_xlpm.states="Arizona")+(_xlpm.states="Maryland"))))</f>
        <v>226620.74704966662</v>
      </c>
      <c r="AL33" s="12" cm="1">
        <f t="array" ref="AL33">_xlfn.LET(_xlpm.data,_xlfn.VSTACK('MS:NCA9'!AL33),_xlpm.states,_xlfn.VSTACK('MS:NCA9'!$B$2),
SUM(_xlfn._xlws.FILTER(_xlpm.data,(_xlpm.states="North Carolina")+(_xlpm.states="Arizona")+(_xlpm.states="Maryland"))))</f>
        <v>226620.74704966662</v>
      </c>
      <c r="AM33" s="12" cm="1">
        <f t="array" ref="AM33">_xlfn.LET(_xlpm.data,_xlfn.VSTACK('MS:NCA9'!AM33),_xlpm.states,_xlfn.VSTACK('MS:NCA9'!$B$2),
SUM(_xlfn._xlws.FILTER(_xlpm.data,(_xlpm.states="North Carolina")+(_xlpm.states="Arizona")+(_xlpm.states="Maryland"))))</f>
        <v>226620.74704966662</v>
      </c>
      <c r="AN33" s="12" cm="1">
        <f t="array" ref="AN33">_xlfn.LET(_xlpm.data,_xlfn.VSTACK('MS:NCA9'!AN33),_xlpm.states,_xlfn.VSTACK('MS:NCA9'!$B$2),
SUM(_xlfn._xlws.FILTER(_xlpm.data,(_xlpm.states="North Carolina")+(_xlpm.states="Arizona")+(_xlpm.states="Maryland"))))</f>
        <v>226620.74704966662</v>
      </c>
    </row>
    <row r="34" spans="2:40" outlineLevel="1" x14ac:dyDescent="0.25">
      <c r="B34" s="39" t="s">
        <v>406</v>
      </c>
      <c r="E34" s="12" cm="1">
        <f t="array" ref="E34">_xlfn.LET(_xlpm.data,_xlfn.VSTACK('MS:NCA9'!E34),_xlpm.states,_xlfn.VSTACK('MS:NCA9'!$B$2),
SUM(_xlfn._xlws.FILTER(_xlpm.data,(_xlpm.states="North Carolina")+(_xlpm.states="Arizona")+(_xlpm.states="Maryland"))))</f>
        <v>0</v>
      </c>
      <c r="F34" s="12" cm="1">
        <f t="array" ref="F34">_xlfn.LET(_xlpm.data,_xlfn.VSTACK('MS:NCA9'!F34),_xlpm.states,_xlfn.VSTACK('MS:NCA9'!$B$2),
SUM(_xlfn._xlws.FILTER(_xlpm.data,(_xlpm.states="North Carolina")+(_xlpm.states="Arizona")+(_xlpm.states="Maryland"))))</f>
        <v>0</v>
      </c>
      <c r="G34" s="12" cm="1">
        <f t="array" ref="G34">_xlfn.LET(_xlpm.data,_xlfn.VSTACK('MS:NCA9'!G34),_xlpm.states,_xlfn.VSTACK('MS:NCA9'!$B$2),
SUM(_xlfn._xlws.FILTER(_xlpm.data,(_xlpm.states="North Carolina")+(_xlpm.states="Arizona")+(_xlpm.states="Maryland"))))</f>
        <v>0</v>
      </c>
      <c r="H34" s="12" cm="1">
        <f t="array" ref="H34">_xlfn.LET(_xlpm.data,_xlfn.VSTACK('MS:NCA9'!H34),_xlpm.states,_xlfn.VSTACK('MS:NCA9'!$B$2),
SUM(_xlfn._xlws.FILTER(_xlpm.data,(_xlpm.states="North Carolina")+(_xlpm.states="Arizona")+(_xlpm.states="Maryland"))))</f>
        <v>0</v>
      </c>
      <c r="I34" s="12" cm="1">
        <f t="array" ref="I34">_xlfn.LET(_xlpm.data,_xlfn.VSTACK('MS:NCA9'!I34),_xlpm.states,_xlfn.VSTACK('MS:NCA9'!$B$2),
SUM(_xlfn._xlws.FILTER(_xlpm.data,(_xlpm.states="North Carolina")+(_xlpm.states="Arizona")+(_xlpm.states="Maryland"))))</f>
        <v>0</v>
      </c>
      <c r="J34" s="12" cm="1">
        <f t="array" ref="J34">_xlfn.LET(_xlpm.data,_xlfn.VSTACK('MS:NCA9'!J34),_xlpm.states,_xlfn.VSTACK('MS:NCA9'!$B$2),
SUM(_xlfn._xlws.FILTER(_xlpm.data,(_xlpm.states="North Carolina")+(_xlpm.states="Arizona")+(_xlpm.states="Maryland"))))</f>
        <v>0</v>
      </c>
      <c r="K34" s="12" cm="1">
        <f t="array" ref="K34">_xlfn.LET(_xlpm.data,_xlfn.VSTACK('MS:NCA9'!K34),_xlpm.states,_xlfn.VSTACK('MS:NCA9'!$B$2),
SUM(_xlfn._xlws.FILTER(_xlpm.data,(_xlpm.states="North Carolina")+(_xlpm.states="Arizona")+(_xlpm.states="Maryland"))))</f>
        <v>0</v>
      </c>
      <c r="L34" s="12" cm="1">
        <f t="array" ref="L34">_xlfn.LET(_xlpm.data,_xlfn.VSTACK('MS:NCA9'!L34),_xlpm.states,_xlfn.VSTACK('MS:NCA9'!$B$2),
SUM(_xlfn._xlws.FILTER(_xlpm.data,(_xlpm.states="North Carolina")+(_xlpm.states="Arizona")+(_xlpm.states="Maryland"))))</f>
        <v>0</v>
      </c>
      <c r="M34" s="12" cm="1">
        <f t="array" ref="M34">_xlfn.LET(_xlpm.data,_xlfn.VSTACK('MS:NCA9'!M34),_xlpm.states,_xlfn.VSTACK('MS:NCA9'!$B$2),
SUM(_xlfn._xlws.FILTER(_xlpm.data,(_xlpm.states="North Carolina")+(_xlpm.states="Arizona")+(_xlpm.states="Maryland"))))</f>
        <v>0</v>
      </c>
      <c r="N34" s="12" cm="1">
        <f t="array" ref="N34">_xlfn.LET(_xlpm.data,_xlfn.VSTACK('MS:NCA9'!N34),_xlpm.states,_xlfn.VSTACK('MS:NCA9'!$B$2),
SUM(_xlfn._xlws.FILTER(_xlpm.data,(_xlpm.states="North Carolina")+(_xlpm.states="Arizona")+(_xlpm.states="Maryland"))))</f>
        <v>0</v>
      </c>
      <c r="O34" s="12" cm="1">
        <f t="array" ref="O34">_xlfn.LET(_xlpm.data,_xlfn.VSTACK('MS:NCA9'!O34),_xlpm.states,_xlfn.VSTACK('MS:NCA9'!$B$2),
SUM(_xlfn._xlws.FILTER(_xlpm.data,(_xlpm.states="North Carolina")+(_xlpm.states="Arizona")+(_xlpm.states="Maryland"))))</f>
        <v>0</v>
      </c>
      <c r="P34" s="12" cm="1">
        <f t="array" ref="P34">_xlfn.LET(_xlpm.data,_xlfn.VSTACK('MS:NCA9'!P34),_xlpm.states,_xlfn.VSTACK('MS:NCA9'!$B$2),
SUM(_xlfn._xlws.FILTER(_xlpm.data,(_xlpm.states="North Carolina")+(_xlpm.states="Arizona")+(_xlpm.states="Maryland"))))</f>
        <v>0</v>
      </c>
      <c r="Q34" s="12" cm="1">
        <f t="array" ref="Q34">_xlfn.LET(_xlpm.data,_xlfn.VSTACK('MS:NCA9'!Q34),_xlpm.states,_xlfn.VSTACK('MS:NCA9'!$B$2),
SUM(_xlfn._xlws.FILTER(_xlpm.data,(_xlpm.states="North Carolina")+(_xlpm.states="Arizona")+(_xlpm.states="Maryland"))))</f>
        <v>0</v>
      </c>
      <c r="R34" s="12" cm="1">
        <f t="array" ref="R34">_xlfn.LET(_xlpm.data,_xlfn.VSTACK('MS:NCA9'!R34),_xlpm.states,_xlfn.VSTACK('MS:NCA9'!$B$2),
SUM(_xlfn._xlws.FILTER(_xlpm.data,(_xlpm.states="North Carolina")+(_xlpm.states="Arizona")+(_xlpm.states="Maryland"))))</f>
        <v>0</v>
      </c>
      <c r="S34" s="12" cm="1">
        <f t="array" ref="S34">_xlfn.LET(_xlpm.data,_xlfn.VSTACK('MS:NCA9'!S34),_xlpm.states,_xlfn.VSTACK('MS:NCA9'!$B$2),
SUM(_xlfn._xlws.FILTER(_xlpm.data,(_xlpm.states="North Carolina")+(_xlpm.states="Arizona")+(_xlpm.states="Maryland"))))</f>
        <v>0</v>
      </c>
      <c r="T34" s="12" cm="1">
        <f t="array" ref="T34">_xlfn.LET(_xlpm.data,_xlfn.VSTACK('MS:NCA9'!T34),_xlpm.states,_xlfn.VSTACK('MS:NCA9'!$B$2),
SUM(_xlfn._xlws.FILTER(_xlpm.data,(_xlpm.states="North Carolina")+(_xlpm.states="Arizona")+(_xlpm.states="Maryland"))))</f>
        <v>0</v>
      </c>
      <c r="U34" s="12" cm="1">
        <f t="array" ref="U34">_xlfn.LET(_xlpm.data,_xlfn.VSTACK('MS:NCA9'!U34),_xlpm.states,_xlfn.VSTACK('MS:NCA9'!$B$2),
SUM(_xlfn._xlws.FILTER(_xlpm.data,(_xlpm.states="North Carolina")+(_xlpm.states="Arizona")+(_xlpm.states="Maryland"))))</f>
        <v>0</v>
      </c>
      <c r="V34" s="12" cm="1">
        <f t="array" ref="V34">_xlfn.LET(_xlpm.data,_xlfn.VSTACK('MS:NCA9'!V34),_xlpm.states,_xlfn.VSTACK('MS:NCA9'!$B$2),
SUM(_xlfn._xlws.FILTER(_xlpm.data,(_xlpm.states="North Carolina")+(_xlpm.states="Arizona")+(_xlpm.states="Maryland"))))</f>
        <v>0</v>
      </c>
      <c r="W34" s="12" cm="1">
        <f t="array" ref="W34">_xlfn.LET(_xlpm.data,_xlfn.VSTACK('MS:NCA9'!W34),_xlpm.states,_xlfn.VSTACK('MS:NCA9'!$B$2),
SUM(_xlfn._xlws.FILTER(_xlpm.data,(_xlpm.states="North Carolina")+(_xlpm.states="Arizona")+(_xlpm.states="Maryland"))))</f>
        <v>0</v>
      </c>
      <c r="X34" s="12" cm="1">
        <f t="array" ref="X34">_xlfn.LET(_xlpm.data,_xlfn.VSTACK('MS:NCA9'!X34),_xlpm.states,_xlfn.VSTACK('MS:NCA9'!$B$2),
SUM(_xlfn._xlws.FILTER(_xlpm.data,(_xlpm.states="North Carolina")+(_xlpm.states="Arizona")+(_xlpm.states="Maryland"))))</f>
        <v>0</v>
      </c>
      <c r="Y34" s="12" cm="1">
        <f t="array" ref="Y34">_xlfn.LET(_xlpm.data,_xlfn.VSTACK('MS:NCA9'!Y34),_xlpm.states,_xlfn.VSTACK('MS:NCA9'!$B$2),
SUM(_xlfn._xlws.FILTER(_xlpm.data,(_xlpm.states="North Carolina")+(_xlpm.states="Arizona")+(_xlpm.states="Maryland"))))</f>
        <v>0</v>
      </c>
      <c r="Z34" s="12" cm="1">
        <f t="array" ref="Z34">_xlfn.LET(_xlpm.data,_xlfn.VSTACK('MS:NCA9'!Z34),_xlpm.states,_xlfn.VSTACK('MS:NCA9'!$B$2),
SUM(_xlfn._xlws.FILTER(_xlpm.data,(_xlpm.states="North Carolina")+(_xlpm.states="Arizona")+(_xlpm.states="Maryland"))))</f>
        <v>0</v>
      </c>
      <c r="AA34" s="12" cm="1">
        <f t="array" ref="AA34">_xlfn.LET(_xlpm.data,_xlfn.VSTACK('MS:NCA9'!AA34),_xlpm.states,_xlfn.VSTACK('MS:NCA9'!$B$2),
SUM(_xlfn._xlws.FILTER(_xlpm.data,(_xlpm.states="North Carolina")+(_xlpm.states="Arizona")+(_xlpm.states="Maryland"))))</f>
        <v>0</v>
      </c>
      <c r="AB34" s="12" cm="1">
        <f t="array" ref="AB34">_xlfn.LET(_xlpm.data,_xlfn.VSTACK('MS:NCA9'!AB34),_xlpm.states,_xlfn.VSTACK('MS:NCA9'!$B$2),
SUM(_xlfn._xlws.FILTER(_xlpm.data,(_xlpm.states="North Carolina")+(_xlpm.states="Arizona")+(_xlpm.states="Maryland"))))</f>
        <v>0</v>
      </c>
      <c r="AC34" s="12" cm="1">
        <f t="array" ref="AC34">_xlfn.LET(_xlpm.data,_xlfn.VSTACK('MS:NCA9'!AC34),_xlpm.states,_xlfn.VSTACK('MS:NCA9'!$B$2),
SUM(_xlfn._xlws.FILTER(_xlpm.data,(_xlpm.states="North Carolina")+(_xlpm.states="Arizona")+(_xlpm.states="Maryland"))))</f>
        <v>0</v>
      </c>
      <c r="AD34" s="12" cm="1">
        <f t="array" ref="AD34">_xlfn.LET(_xlpm.data,_xlfn.VSTACK('MS:NCA9'!AD34),_xlpm.states,_xlfn.VSTACK('MS:NCA9'!$B$2),
SUM(_xlfn._xlws.FILTER(_xlpm.data,(_xlpm.states="North Carolina")+(_xlpm.states="Arizona")+(_xlpm.states="Maryland"))))</f>
        <v>0</v>
      </c>
      <c r="AE34" s="12" cm="1">
        <f t="array" ref="AE34">_xlfn.LET(_xlpm.data,_xlfn.VSTACK('MS:NCA9'!AE34),_xlpm.states,_xlfn.VSTACK('MS:NCA9'!$B$2),
SUM(_xlfn._xlws.FILTER(_xlpm.data,(_xlpm.states="North Carolina")+(_xlpm.states="Arizona")+(_xlpm.states="Maryland"))))</f>
        <v>0</v>
      </c>
      <c r="AF34" s="12" cm="1">
        <f t="array" ref="AF34">_xlfn.LET(_xlpm.data,_xlfn.VSTACK('MS:NCA9'!AF34),_xlpm.states,_xlfn.VSTACK('MS:NCA9'!$B$2),
SUM(_xlfn._xlws.FILTER(_xlpm.data,(_xlpm.states="North Carolina")+(_xlpm.states="Arizona")+(_xlpm.states="Maryland"))))</f>
        <v>0</v>
      </c>
      <c r="AG34" s="12" cm="1">
        <f t="array" ref="AG34">_xlfn.LET(_xlpm.data,_xlfn.VSTACK('MS:NCA9'!AG34),_xlpm.states,_xlfn.VSTACK('MS:NCA9'!$B$2),
SUM(_xlfn._xlws.FILTER(_xlpm.data,(_xlpm.states="North Carolina")+(_xlpm.states="Arizona")+(_xlpm.states="Maryland"))))</f>
        <v>0</v>
      </c>
      <c r="AH34" s="12" cm="1">
        <f t="array" ref="AH34">_xlfn.LET(_xlpm.data,_xlfn.VSTACK('MS:NCA9'!AH34),_xlpm.states,_xlfn.VSTACK('MS:NCA9'!$B$2),
SUM(_xlfn._xlws.FILTER(_xlpm.data,(_xlpm.states="North Carolina")+(_xlpm.states="Arizona")+(_xlpm.states="Maryland"))))</f>
        <v>0</v>
      </c>
      <c r="AI34" s="12" cm="1">
        <f t="array" ref="AI34">_xlfn.LET(_xlpm.data,_xlfn.VSTACK('MS:NCA9'!AI34),_xlpm.states,_xlfn.VSTACK('MS:NCA9'!$B$2),
SUM(_xlfn._xlws.FILTER(_xlpm.data,(_xlpm.states="North Carolina")+(_xlpm.states="Arizona")+(_xlpm.states="Maryland"))))</f>
        <v>0</v>
      </c>
      <c r="AJ34" s="12" cm="1">
        <f t="array" ref="AJ34">_xlfn.LET(_xlpm.data,_xlfn.VSTACK('MS:NCA9'!AJ34),_xlpm.states,_xlfn.VSTACK('MS:NCA9'!$B$2),
SUM(_xlfn._xlws.FILTER(_xlpm.data,(_xlpm.states="North Carolina")+(_xlpm.states="Arizona")+(_xlpm.states="Maryland"))))</f>
        <v>0</v>
      </c>
      <c r="AK34" s="12" cm="1">
        <f t="array" ref="AK34">_xlfn.LET(_xlpm.data,_xlfn.VSTACK('MS:NCA9'!AK34),_xlpm.states,_xlfn.VSTACK('MS:NCA9'!$B$2),
SUM(_xlfn._xlws.FILTER(_xlpm.data,(_xlpm.states="North Carolina")+(_xlpm.states="Arizona")+(_xlpm.states="Maryland"))))</f>
        <v>0</v>
      </c>
      <c r="AL34" s="12" cm="1">
        <f t="array" ref="AL34">_xlfn.LET(_xlpm.data,_xlfn.VSTACK('MS:NCA9'!AL34),_xlpm.states,_xlfn.VSTACK('MS:NCA9'!$B$2),
SUM(_xlfn._xlws.FILTER(_xlpm.data,(_xlpm.states="North Carolina")+(_xlpm.states="Arizona")+(_xlpm.states="Maryland"))))</f>
        <v>0</v>
      </c>
      <c r="AM34" s="12" cm="1">
        <f t="array" ref="AM34">_xlfn.LET(_xlpm.data,_xlfn.VSTACK('MS:NCA9'!AM34),_xlpm.states,_xlfn.VSTACK('MS:NCA9'!$B$2),
SUM(_xlfn._xlws.FILTER(_xlpm.data,(_xlpm.states="North Carolina")+(_xlpm.states="Arizona")+(_xlpm.states="Maryland"))))</f>
        <v>0</v>
      </c>
      <c r="AN34" s="12" cm="1">
        <f t="array" ref="AN34">_xlfn.LET(_xlpm.data,_xlfn.VSTACK('MS:NCA9'!AN34),_xlpm.states,_xlfn.VSTACK('MS:NCA9'!$B$2),
SUM(_xlfn._xlws.FILTER(_xlpm.data,(_xlpm.states="North Carolina")+(_xlpm.states="Arizona")+(_xlpm.states="Maryland"))))</f>
        <v>0</v>
      </c>
    </row>
    <row r="35" spans="2:40" outlineLevel="1" x14ac:dyDescent="0.25">
      <c r="B35" s="39" t="s">
        <v>99</v>
      </c>
      <c r="E35" s="12" cm="1">
        <f t="array" ref="E35">_xlfn.LET(_xlpm.data,_xlfn.VSTACK('MS:NCA9'!E35),_xlpm.states,_xlfn.VSTACK('MS:NCA9'!$B$2),
SUM(_xlfn._xlws.FILTER(_xlpm.data,(_xlpm.states="North Carolina")+(_xlpm.states="Arizona")+(_xlpm.states="Maryland"))))</f>
        <v>-283666.66155175999</v>
      </c>
      <c r="F35" s="12" cm="1">
        <f t="array" ref="F35">_xlfn.LET(_xlpm.data,_xlfn.VSTACK('MS:NCA9'!F35),_xlpm.states,_xlfn.VSTACK('MS:NCA9'!$B$2),
SUM(_xlfn._xlws.FILTER(_xlpm.data,(_xlpm.states="North Carolina")+(_xlpm.states="Arizona")+(_xlpm.states="Maryland"))))</f>
        <v>-290409.99144803191</v>
      </c>
      <c r="G35" s="12" cm="1">
        <f t="array" ref="G35">_xlfn.LET(_xlpm.data,_xlfn.VSTACK('MS:NCA9'!G35),_xlpm.states,_xlfn.VSTACK('MS:NCA9'!$B$2),
SUM(_xlfn._xlws.FILTER(_xlpm.data,(_xlpm.states="North Carolina")+(_xlpm.states="Arizona")+(_xlpm.states="Maryland"))))</f>
        <v>-298456.07748727995</v>
      </c>
      <c r="H35" s="12" cm="1">
        <f t="array" ref="H35">_xlfn.LET(_xlpm.data,_xlfn.VSTACK('MS:NCA9'!H35),_xlpm.states,_xlfn.VSTACK('MS:NCA9'!$B$2),
SUM(_xlfn._xlws.FILTER(_xlpm.data,(_xlpm.states="North Carolina")+(_xlpm.states="Arizona")+(_xlpm.states="Maryland"))))</f>
        <v>-302723.16763353598</v>
      </c>
      <c r="I35" s="12" cm="1">
        <f t="array" ref="I35">_xlfn.LET(_xlpm.data,_xlfn.VSTACK('MS:NCA9'!I35),_xlpm.states,_xlfn.VSTACK('MS:NCA9'!$B$2),
SUM(_xlfn._xlws.FILTER(_xlpm.data,(_xlpm.states="North Carolina")+(_xlpm.states="Arizona")+(_xlpm.states="Maryland"))))</f>
        <v>-306347.43525291199</v>
      </c>
      <c r="J35" s="12" cm="1">
        <f t="array" ref="J35">_xlfn.LET(_xlpm.data,_xlfn.VSTACK('MS:NCA9'!J35),_xlpm.states,_xlfn.VSTACK('MS:NCA9'!$B$2),
SUM(_xlfn._xlws.FILTER(_xlpm.data,(_xlpm.states="North Carolina")+(_xlpm.states="Arizona")+(_xlpm.states="Maryland"))))</f>
        <v>-317815.34616347193</v>
      </c>
      <c r="K35" s="12" cm="1">
        <f t="array" ref="K35">_xlfn.LET(_xlpm.data,_xlfn.VSTACK('MS:NCA9'!K35),_xlpm.states,_xlfn.VSTACK('MS:NCA9'!$B$2),
SUM(_xlfn._xlws.FILTER(_xlpm.data,(_xlpm.states="North Carolina")+(_xlpm.states="Arizona")+(_xlpm.states="Maryland"))))</f>
        <v>-339483.88922536001</v>
      </c>
      <c r="L35" s="12" cm="1">
        <f t="array" ref="L35">_xlfn.LET(_xlpm.data,_xlfn.VSTACK('MS:NCA9'!L35),_xlpm.states,_xlfn.VSTACK('MS:NCA9'!$B$2),
SUM(_xlfn._xlws.FILTER(_xlpm.data,(_xlpm.states="North Carolina")+(_xlpm.states="Arizona")+(_xlpm.states="Maryland"))))</f>
        <v>-347465.33899663994</v>
      </c>
      <c r="M35" s="12" cm="1">
        <f t="array" ref="M35">_xlfn.LET(_xlpm.data,_xlfn.VSTACK('MS:NCA9'!M35),_xlpm.states,_xlfn.VSTACK('MS:NCA9'!$B$2),
SUM(_xlfn._xlws.FILTER(_xlpm.data,(_xlpm.states="North Carolina")+(_xlpm.states="Arizona")+(_xlpm.states="Maryland"))))</f>
        <v>-356081.85954720003</v>
      </c>
      <c r="N35" s="12" cm="1">
        <f t="array" ref="N35">_xlfn.LET(_xlpm.data,_xlfn.VSTACK('MS:NCA9'!N35),_xlpm.states,_xlfn.VSTACK('MS:NCA9'!$B$2),
SUM(_xlfn._xlws.FILTER(_xlpm.data,(_xlpm.states="North Carolina")+(_xlpm.states="Arizona")+(_xlpm.states="Maryland"))))</f>
        <v>-368408.18348337599</v>
      </c>
      <c r="O35" s="12" cm="1">
        <f t="array" ref="O35">_xlfn.LET(_xlpm.data,_xlfn.VSTACK('MS:NCA9'!O35),_xlpm.states,_xlfn.VSTACK('MS:NCA9'!$B$2),
SUM(_xlfn._xlws.FILTER(_xlpm.data,(_xlpm.states="North Carolina")+(_xlpm.states="Arizona")+(_xlpm.states="Maryland"))))</f>
        <v>-383300.74378100794</v>
      </c>
      <c r="P35" s="12" cm="1">
        <f t="array" ref="P35">_xlfn.LET(_xlpm.data,_xlfn.VSTACK('MS:NCA9'!P35),_xlpm.states,_xlfn.VSTACK('MS:NCA9'!$B$2),
SUM(_xlfn._xlws.FILTER(_xlpm.data,(_xlpm.states="North Carolina")+(_xlpm.states="Arizona")+(_xlpm.states="Maryland"))))</f>
        <v>-399398.80936923192</v>
      </c>
      <c r="Q35" s="12" cm="1">
        <f t="array" ref="Q35">_xlfn.LET(_xlpm.data,_xlfn.VSTACK('MS:NCA9'!Q35),_xlpm.states,_xlfn.VSTACK('MS:NCA9'!$B$2),
SUM(_xlfn._xlws.FILTER(_xlpm.data,(_xlpm.states="North Carolina")+(_xlpm.states="Arizona")+(_xlpm.states="Maryland"))))</f>
        <v>-426661.51970089087</v>
      </c>
      <c r="R35" s="12" cm="1">
        <f t="array" ref="R35">_xlfn.LET(_xlpm.data,_xlfn.VSTACK('MS:NCA9'!R35),_xlpm.states,_xlfn.VSTACK('MS:NCA9'!$B$2),
SUM(_xlfn._xlws.FILTER(_xlpm.data,(_xlpm.states="North Carolina")+(_xlpm.states="Arizona")+(_xlpm.states="Maryland"))))</f>
        <v>-441310.97262915276</v>
      </c>
      <c r="S35" s="12" cm="1">
        <f t="array" ref="S35">_xlfn.LET(_xlpm.data,_xlfn.VSTACK('MS:NCA9'!S35),_xlpm.states,_xlfn.VSTACK('MS:NCA9'!$B$2),
SUM(_xlfn._xlws.FILTER(_xlpm.data,(_xlpm.states="North Carolina")+(_xlpm.states="Arizona")+(_xlpm.states="Maryland"))))</f>
        <v>-455342.06393039692</v>
      </c>
      <c r="T35" s="12" cm="1">
        <f t="array" ref="T35">_xlfn.LET(_xlpm.data,_xlfn.VSTACK('MS:NCA9'!T35),_xlpm.states,_xlfn.VSTACK('MS:NCA9'!$B$2),
SUM(_xlfn._xlws.FILTER(_xlpm.data,(_xlpm.states="North Carolina")+(_xlpm.states="Arizona")+(_xlpm.states="Maryland"))))</f>
        <v>-469298.5955756061</v>
      </c>
      <c r="U35" s="12" cm="1">
        <f t="array" ref="U35">_xlfn.LET(_xlpm.data,_xlfn.VSTACK('MS:NCA9'!U35),_xlpm.states,_xlfn.VSTACK('MS:NCA9'!$B$2),
SUM(_xlfn._xlws.FILTER(_xlpm.data,(_xlpm.states="North Carolina")+(_xlpm.states="Arizona")+(_xlpm.states="Maryland"))))</f>
        <v>-482641.97095224331</v>
      </c>
      <c r="V35" s="12" cm="1">
        <f t="array" ref="V35">_xlfn.LET(_xlpm.data,_xlfn.VSTACK('MS:NCA9'!V35),_xlpm.states,_xlfn.VSTACK('MS:NCA9'!$B$2),
SUM(_xlfn._xlws.FILTER(_xlpm.data,(_xlpm.states="North Carolina")+(_xlpm.states="Arizona")+(_xlpm.states="Maryland"))))</f>
        <v>-497260.6098001388</v>
      </c>
      <c r="W35" s="12" cm="1">
        <f t="array" ref="W35">_xlfn.LET(_xlpm.data,_xlfn.VSTACK('MS:NCA9'!W35),_xlpm.states,_xlfn.VSTACK('MS:NCA9'!$B$2),
SUM(_xlfn._xlws.FILTER(_xlpm.data,(_xlpm.states="North Carolina")+(_xlpm.states="Arizona")+(_xlpm.states="Maryland"))))</f>
        <v>-518054.42358595767</v>
      </c>
      <c r="X35" s="12" cm="1">
        <f t="array" ref="X35">_xlfn.LET(_xlpm.data,_xlfn.VSTACK('MS:NCA9'!X35),_xlpm.states,_xlfn.VSTACK('MS:NCA9'!$B$2),
SUM(_xlfn._xlws.FILTER(_xlpm.data,(_xlpm.states="North Carolina")+(_xlpm.states="Arizona")+(_xlpm.states="Maryland"))))</f>
        <v>-537695.43266762118</v>
      </c>
      <c r="Y35" s="12" cm="1">
        <f t="array" ref="Y35">_xlfn.LET(_xlpm.data,_xlfn.VSTACK('MS:NCA9'!Y35),_xlpm.states,_xlfn.VSTACK('MS:NCA9'!$B$2),
SUM(_xlfn._xlws.FILTER(_xlpm.data,(_xlpm.states="North Carolina")+(_xlpm.states="Arizona")+(_xlpm.states="Maryland"))))</f>
        <v>-552309.79520073917</v>
      </c>
      <c r="Z35" s="12" cm="1">
        <f t="array" ref="Z35">_xlfn.LET(_xlpm.data,_xlfn.VSTACK('MS:NCA9'!Z35),_xlpm.states,_xlfn.VSTACK('MS:NCA9'!$B$2),
SUM(_xlfn._xlws.FILTER(_xlpm.data,(_xlpm.states="North Carolina")+(_xlpm.states="Arizona")+(_xlpm.states="Maryland"))))</f>
        <v>-566924.15773385705</v>
      </c>
      <c r="AA35" s="12" cm="1">
        <f t="array" ref="AA35">_xlfn.LET(_xlpm.data,_xlfn.VSTACK('MS:NCA9'!AA35),_xlpm.states,_xlfn.VSTACK('MS:NCA9'!$B$2),
SUM(_xlfn._xlws.FILTER(_xlpm.data,(_xlpm.states="North Carolina")+(_xlpm.states="Arizona")+(_xlpm.states="Maryland"))))</f>
        <v>-580876.41306428856</v>
      </c>
      <c r="AB35" s="12" cm="1">
        <f t="array" ref="AB35">_xlfn.LET(_xlpm.data,_xlfn.VSTACK('MS:NCA9'!AB35),_xlpm.states,_xlfn.VSTACK('MS:NCA9'!$B$2),
SUM(_xlfn._xlws.FILTER(_xlpm.data,(_xlpm.states="North Carolina")+(_xlpm.states="Arizona")+(_xlpm.states="Maryland"))))</f>
        <v>-591077.43763698044</v>
      </c>
      <c r="AC35" s="12" cm="1">
        <f t="array" ref="AC35">_xlfn.LET(_xlpm.data,_xlfn.VSTACK('MS:NCA9'!AC35),_xlpm.states,_xlfn.VSTACK('MS:NCA9'!$B$2),
SUM(_xlfn._xlws.FILTER(_xlpm.data,(_xlpm.states="North Carolina")+(_xlpm.states="Arizona")+(_xlpm.states="Maryland"))))</f>
        <v>-601866.00975632365</v>
      </c>
      <c r="AD35" s="12" cm="1">
        <f t="array" ref="AD35">_xlfn.LET(_xlpm.data,_xlfn.VSTACK('MS:NCA9'!AD35),_xlpm.states,_xlfn.VSTACK('MS:NCA9'!$B$2),
SUM(_xlfn._xlws.FILTER(_xlpm.data,(_xlpm.states="North Carolina")+(_xlpm.states="Arizona")+(_xlpm.states="Maryland"))))</f>
        <v>-612654.58187566686</v>
      </c>
      <c r="AE35" s="12" cm="1">
        <f t="array" ref="AE35">_xlfn.LET(_xlpm.data,_xlfn.VSTACK('MS:NCA9'!AE35),_xlpm.states,_xlfn.VSTACK('MS:NCA9'!$B$2),
SUM(_xlfn._xlws.FILTER(_xlpm.data,(_xlpm.states="North Carolina")+(_xlpm.states="Arizona")+(_xlpm.states="Maryland"))))</f>
        <v>-620826.96470289002</v>
      </c>
      <c r="AF35" s="12" cm="1">
        <f t="array" ref="AF35">_xlfn.LET(_xlpm.data,_xlfn.VSTACK('MS:NCA9'!AF35),_xlpm.states,_xlfn.VSTACK('MS:NCA9'!$B$2),
SUM(_xlfn._xlws.FILTER(_xlpm.data,(_xlpm.states="North Carolina")+(_xlpm.states="Arizona")+(_xlpm.states="Maryland"))))</f>
        <v>-629703.77487020916</v>
      </c>
      <c r="AG35" s="12" cm="1">
        <f t="array" ref="AG35">_xlfn.LET(_xlpm.data,_xlfn.VSTACK('MS:NCA9'!AG35),_xlpm.states,_xlfn.VSTACK('MS:NCA9'!$B$2),
SUM(_xlfn._xlws.FILTER(_xlpm.data,(_xlpm.states="North Carolina")+(_xlpm.states="Arizona")+(_xlpm.states="Maryland"))))</f>
        <v>-639168.13258417952</v>
      </c>
      <c r="AH35" s="12" cm="1">
        <f t="array" ref="AH35">_xlfn.LET(_xlpm.data,_xlfn.VSTACK('MS:NCA9'!AH35),_xlpm.states,_xlfn.VSTACK('MS:NCA9'!$B$2),
SUM(_xlfn._xlws.FILTER(_xlpm.data,(_xlpm.states="North Carolina")+(_xlpm.states="Arizona")+(_xlpm.states="Maryland"))))</f>
        <v>-661079.69021917903</v>
      </c>
      <c r="AI35" s="12" cm="1">
        <f t="array" ref="AI35">_xlfn.LET(_xlpm.data,_xlfn.VSTACK('MS:NCA9'!AI35),_xlpm.states,_xlfn.VSTACK('MS:NCA9'!$B$2),
SUM(_xlfn._xlws.FILTER(_xlpm.data,(_xlpm.states="North Carolina")+(_xlpm.states="Arizona")+(_xlpm.states="Maryland"))))</f>
        <v>-678245.76300716586</v>
      </c>
      <c r="AJ35" s="12" cm="1">
        <f t="array" ref="AJ35">_xlfn.LET(_xlpm.data,_xlfn.VSTACK('MS:NCA9'!AJ35),_xlpm.states,_xlfn.VSTACK('MS:NCA9'!$B$2),
SUM(_xlfn._xlws.FILTER(_xlpm.data,(_xlpm.states="North Carolina")+(_xlpm.states="Arizona")+(_xlpm.states="Maryland"))))</f>
        <v>-694824.28824850114</v>
      </c>
      <c r="AK35" s="12" cm="1">
        <f t="array" ref="AK35">_xlfn.LET(_xlpm.data,_xlfn.VSTACK('MS:NCA9'!AK35),_xlpm.states,_xlfn.VSTACK('MS:NCA9'!$B$2),
SUM(_xlfn._xlws.FILTER(_xlpm.data,(_xlpm.states="North Carolina")+(_xlpm.states="Arizona")+(_xlpm.states="Maryland"))))</f>
        <v>-708164.57062271319</v>
      </c>
      <c r="AL35" s="12" cm="1">
        <f t="array" ref="AL35">_xlfn.LET(_xlpm.data,_xlfn.VSTACK('MS:NCA9'!AL35),_xlpm.states,_xlfn.VSTACK('MS:NCA9'!$B$2),
SUM(_xlfn._xlws.FILTER(_xlpm.data,(_xlpm.states="North Carolina")+(_xlpm.states="Arizona")+(_xlpm.states="Maryland"))))</f>
        <v>-717628.92833668354</v>
      </c>
      <c r="AM35" s="12" cm="1">
        <f t="array" ref="AM35">_xlfn.LET(_xlpm.data,_xlfn.VSTACK('MS:NCA9'!AM35),_xlpm.states,_xlfn.VSTACK('MS:NCA9'!$B$2),
SUM(_xlfn._xlws.FILTER(_xlpm.data,(_xlpm.states="North Carolina")+(_xlpm.states="Arizona")+(_xlpm.states="Maryland"))))</f>
        <v>-727093.28605065402</v>
      </c>
      <c r="AN35" s="12" cm="1">
        <f t="array" ref="AN35">_xlfn.LET(_xlpm.data,_xlfn.VSTACK('MS:NCA9'!AN35),_xlpm.states,_xlfn.VSTACK('MS:NCA9'!$B$2),
SUM(_xlfn._xlws.FILTER(_xlpm.data,(_xlpm.states="North Carolina")+(_xlpm.states="Arizona")+(_xlpm.states="Maryland"))))</f>
        <v>-735970.09621797304</v>
      </c>
    </row>
    <row r="36" spans="2:40" outlineLevel="1" x14ac:dyDescent="0.25">
      <c r="B36" s="39" t="s">
        <v>261</v>
      </c>
      <c r="C36" s="4"/>
      <c r="E36" s="12" cm="1">
        <f t="array" ref="E36">_xlfn.LET(_xlpm.data,_xlfn.VSTACK('MS:NCA9'!E36),_xlpm.states,_xlfn.VSTACK('MS:NCA9'!$B$2),
SUM(_xlfn._xlws.FILTER(_xlpm.data,(_xlpm.states="North Carolina")+(_xlpm.states="Arizona")+(_xlpm.states="Maryland"))))</f>
        <v>0</v>
      </c>
      <c r="F36" s="12" cm="1">
        <f t="array" ref="F36">_xlfn.LET(_xlpm.data,_xlfn.VSTACK('MS:NCA9'!F36),_xlpm.states,_xlfn.VSTACK('MS:NCA9'!$B$2),
SUM(_xlfn._xlws.FILTER(_xlpm.data,(_xlpm.states="North Carolina")+(_xlpm.states="Arizona")+(_xlpm.states="Maryland"))))</f>
        <v>0</v>
      </c>
      <c r="G36" s="12" cm="1">
        <f t="array" ref="G36">_xlfn.LET(_xlpm.data,_xlfn.VSTACK('MS:NCA9'!G36),_xlpm.states,_xlfn.VSTACK('MS:NCA9'!$B$2),
SUM(_xlfn._xlws.FILTER(_xlpm.data,(_xlpm.states="North Carolina")+(_xlpm.states="Arizona")+(_xlpm.states="Maryland"))))</f>
        <v>0</v>
      </c>
      <c r="H36" s="12" cm="1">
        <f t="array" ref="H36">_xlfn.LET(_xlpm.data,_xlfn.VSTACK('MS:NCA9'!H36),_xlpm.states,_xlfn.VSTACK('MS:NCA9'!$B$2),
SUM(_xlfn._xlws.FILTER(_xlpm.data,(_xlpm.states="North Carolina")+(_xlpm.states="Arizona")+(_xlpm.states="Maryland"))))</f>
        <v>0</v>
      </c>
      <c r="I36" s="12" cm="1">
        <f t="array" ref="I36">_xlfn.LET(_xlpm.data,_xlfn.VSTACK('MS:NCA9'!I36),_xlpm.states,_xlfn.VSTACK('MS:NCA9'!$B$2),
SUM(_xlfn._xlws.FILTER(_xlpm.data,(_xlpm.states="North Carolina")+(_xlpm.states="Arizona")+(_xlpm.states="Maryland"))))</f>
        <v>0</v>
      </c>
      <c r="J36" s="12" cm="1">
        <f t="array" ref="J36">_xlfn.LET(_xlpm.data,_xlfn.VSTACK('MS:NCA9'!J36),_xlpm.states,_xlfn.VSTACK('MS:NCA9'!$B$2),
SUM(_xlfn._xlws.FILTER(_xlpm.data,(_xlpm.states="North Carolina")+(_xlpm.states="Arizona")+(_xlpm.states="Maryland"))))</f>
        <v>0</v>
      </c>
      <c r="K36" s="12" cm="1">
        <f t="array" ref="K36">_xlfn.LET(_xlpm.data,_xlfn.VSTACK('MS:NCA9'!K36),_xlpm.states,_xlfn.VSTACK('MS:NCA9'!$B$2),
SUM(_xlfn._xlws.FILTER(_xlpm.data,(_xlpm.states="North Carolina")+(_xlpm.states="Arizona")+(_xlpm.states="Maryland"))))</f>
        <v>0</v>
      </c>
      <c r="L36" s="12" cm="1">
        <f t="array" ref="L36">_xlfn.LET(_xlpm.data,_xlfn.VSTACK('MS:NCA9'!L36),_xlpm.states,_xlfn.VSTACK('MS:NCA9'!$B$2),
SUM(_xlfn._xlws.FILTER(_xlpm.data,(_xlpm.states="North Carolina")+(_xlpm.states="Arizona")+(_xlpm.states="Maryland"))))</f>
        <v>0</v>
      </c>
      <c r="M36" s="12" cm="1">
        <f t="array" ref="M36">_xlfn.LET(_xlpm.data,_xlfn.VSTACK('MS:NCA9'!M36),_xlpm.states,_xlfn.VSTACK('MS:NCA9'!$B$2),
SUM(_xlfn._xlws.FILTER(_xlpm.data,(_xlpm.states="North Carolina")+(_xlpm.states="Arizona")+(_xlpm.states="Maryland"))))</f>
        <v>0</v>
      </c>
      <c r="N36" s="12" cm="1">
        <f t="array" ref="N36">_xlfn.LET(_xlpm.data,_xlfn.VSTACK('MS:NCA9'!N36),_xlpm.states,_xlfn.VSTACK('MS:NCA9'!$B$2),
SUM(_xlfn._xlws.FILTER(_xlpm.data,(_xlpm.states="North Carolina")+(_xlpm.states="Arizona")+(_xlpm.states="Maryland"))))</f>
        <v>0</v>
      </c>
      <c r="O36" s="12" cm="1">
        <f t="array" ref="O36">_xlfn.LET(_xlpm.data,_xlfn.VSTACK('MS:NCA9'!O36),_xlpm.states,_xlfn.VSTACK('MS:NCA9'!$B$2),
SUM(_xlfn._xlws.FILTER(_xlpm.data,(_xlpm.states="North Carolina")+(_xlpm.states="Arizona")+(_xlpm.states="Maryland"))))</f>
        <v>0</v>
      </c>
      <c r="P36" s="12" cm="1">
        <f t="array" ref="P36">_xlfn.LET(_xlpm.data,_xlfn.VSTACK('MS:NCA9'!P36),_xlpm.states,_xlfn.VSTACK('MS:NCA9'!$B$2),
SUM(_xlfn._xlws.FILTER(_xlpm.data,(_xlpm.states="North Carolina")+(_xlpm.states="Arizona")+(_xlpm.states="Maryland"))))</f>
        <v>0</v>
      </c>
      <c r="Q36" s="12">
        <f>SUM('MDA1:NCA9'!Q36)</f>
        <v>0</v>
      </c>
      <c r="R36" s="12">
        <f>SUM('MDA1:NCA9'!R36)</f>
        <v>0</v>
      </c>
      <c r="S36" s="12">
        <f>SUM('MDA1:NCA9'!S36)</f>
        <v>0</v>
      </c>
      <c r="T36" s="12">
        <f>SUM('MDA1:NCA9'!T36)</f>
        <v>0</v>
      </c>
      <c r="U36" s="12">
        <f>SUM('MDA1:NCA9'!U36)</f>
        <v>0</v>
      </c>
      <c r="V36" s="12">
        <f>SUM('MDA1:NCA9'!V36)</f>
        <v>0</v>
      </c>
      <c r="W36" s="12">
        <f>SUM('MDA1:NCA9'!W36)</f>
        <v>0</v>
      </c>
      <c r="X36" s="12">
        <f>SUM('MDA1:NCA9'!X36)</f>
        <v>0</v>
      </c>
      <c r="Y36" s="12">
        <f>SUM('MDA1:NCA9'!Y36)</f>
        <v>0</v>
      </c>
      <c r="Z36" s="12">
        <f>SUM('MDA1:NCA9'!Z36)</f>
        <v>0</v>
      </c>
      <c r="AA36" s="12">
        <f>SUM('MDA1:NCA9'!AA36)</f>
        <v>0</v>
      </c>
      <c r="AB36" s="12">
        <f>SUM('MDA1:NCA9'!AB36)</f>
        <v>0</v>
      </c>
      <c r="AC36" s="12">
        <f>SUM('MDA1:NCA9'!AC36)</f>
        <v>0</v>
      </c>
      <c r="AD36" s="12">
        <f>SUM('MDA1:NCA9'!AD36)</f>
        <v>0</v>
      </c>
      <c r="AE36" s="12">
        <f>SUM('MDA1:NCA9'!AE36)</f>
        <v>0</v>
      </c>
      <c r="AF36" s="12">
        <f>SUM('MDA1:NCA9'!AF36)</f>
        <v>0</v>
      </c>
      <c r="AG36" s="12">
        <f>SUM('MDA1:NCA9'!AG36)</f>
        <v>0</v>
      </c>
      <c r="AH36" s="12">
        <f>SUM('MDA1:NCA9'!AH36)</f>
        <v>0</v>
      </c>
      <c r="AI36" s="12">
        <f>SUM('MDA1:NCA9'!AI36)</f>
        <v>0</v>
      </c>
      <c r="AJ36" s="12">
        <f>SUM('MDA1:NCA9'!AJ36)</f>
        <v>0</v>
      </c>
      <c r="AK36" s="12">
        <f>SUM('MDA1:NCA9'!AK36)</f>
        <v>0</v>
      </c>
      <c r="AL36" s="12">
        <f>SUM('MDA1:NCA9'!AL36)</f>
        <v>0</v>
      </c>
      <c r="AM36" s="12">
        <f>SUM('MDA1:NCA9'!AM36)</f>
        <v>0</v>
      </c>
      <c r="AN36" s="12">
        <f>SUM('MDA1:NCA9'!AN36)</f>
        <v>0</v>
      </c>
    </row>
    <row r="37" spans="2:40" x14ac:dyDescent="0.25">
      <c r="B37" s="1" t="s">
        <v>271</v>
      </c>
      <c r="C37" s="15"/>
      <c r="E37" s="13">
        <f t="shared" ref="E37:AN37" si="0">SUM(E26:E36)</f>
        <v>2080222.1847129068</v>
      </c>
      <c r="F37" s="13">
        <f t="shared" si="0"/>
        <v>2129673.2706189016</v>
      </c>
      <c r="G37" s="13">
        <f t="shared" si="0"/>
        <v>2188677.901573386</v>
      </c>
      <c r="H37" s="13">
        <f t="shared" si="0"/>
        <v>2219969.8959792638</v>
      </c>
      <c r="I37" s="13">
        <f t="shared" si="0"/>
        <v>2246547.8585213544</v>
      </c>
      <c r="J37" s="13">
        <f t="shared" si="0"/>
        <v>2330645.8718654616</v>
      </c>
      <c r="K37" s="13">
        <f t="shared" si="0"/>
        <v>2489548.5209859721</v>
      </c>
      <c r="L37" s="13">
        <f t="shared" si="0"/>
        <v>2548079.1526420261</v>
      </c>
      <c r="M37" s="13">
        <f t="shared" si="0"/>
        <v>2611266.9700128003</v>
      </c>
      <c r="N37" s="13">
        <f t="shared" si="0"/>
        <v>2701660.0122114234</v>
      </c>
      <c r="O37" s="13">
        <f t="shared" si="0"/>
        <v>2810872.1210607253</v>
      </c>
      <c r="P37" s="13">
        <f t="shared" si="0"/>
        <v>2928924.6020410345</v>
      </c>
      <c r="Q37" s="13">
        <f t="shared" si="0"/>
        <v>3128851.1444731993</v>
      </c>
      <c r="R37" s="13">
        <f t="shared" si="0"/>
        <v>3236280.4659471205</v>
      </c>
      <c r="S37" s="13">
        <f t="shared" si="0"/>
        <v>3339175.1354895774</v>
      </c>
      <c r="T37" s="13">
        <f t="shared" si="0"/>
        <v>3441523.0342211104</v>
      </c>
      <c r="U37" s="13">
        <f t="shared" si="0"/>
        <v>3539374.4536497844</v>
      </c>
      <c r="V37" s="13">
        <f t="shared" si="0"/>
        <v>3646577.8052010178</v>
      </c>
      <c r="W37" s="13">
        <f t="shared" si="0"/>
        <v>3799065.7729636906</v>
      </c>
      <c r="X37" s="13">
        <f t="shared" si="0"/>
        <v>3943099.8395625567</v>
      </c>
      <c r="Y37" s="13">
        <f t="shared" si="0"/>
        <v>4050271.8314720867</v>
      </c>
      <c r="Z37" s="13">
        <f t="shared" si="0"/>
        <v>4157443.8233816191</v>
      </c>
      <c r="AA37" s="13">
        <f t="shared" si="0"/>
        <v>4259760.3624714483</v>
      </c>
      <c r="AB37" s="13">
        <f t="shared" si="0"/>
        <v>4334567.8760045227</v>
      </c>
      <c r="AC37" s="13">
        <f t="shared" si="0"/>
        <v>4413684.071546373</v>
      </c>
      <c r="AD37" s="13">
        <f t="shared" si="0"/>
        <v>4492800.2670882223</v>
      </c>
      <c r="AE37" s="13">
        <f t="shared" si="0"/>
        <v>4552731.0744878594</v>
      </c>
      <c r="AF37" s="13">
        <f t="shared" si="0"/>
        <v>4617827.6823815331</v>
      </c>
      <c r="AG37" s="13">
        <f t="shared" si="0"/>
        <v>4687232.9722839827</v>
      </c>
      <c r="AH37" s="13">
        <f t="shared" si="0"/>
        <v>4847917.7282739794</v>
      </c>
      <c r="AI37" s="13">
        <f t="shared" si="0"/>
        <v>4973802.2620525481</v>
      </c>
      <c r="AJ37" s="13">
        <f t="shared" si="0"/>
        <v>5095378.113822341</v>
      </c>
      <c r="AK37" s="13">
        <f t="shared" si="0"/>
        <v>5193206.8512332281</v>
      </c>
      <c r="AL37" s="13">
        <f t="shared" si="0"/>
        <v>5262612.1411356777</v>
      </c>
      <c r="AM37" s="13">
        <f t="shared" si="0"/>
        <v>5332017.4310381273</v>
      </c>
      <c r="AN37" s="13">
        <f t="shared" si="0"/>
        <v>5397114.038931801</v>
      </c>
    </row>
    <row r="39" spans="2:40" x14ac:dyDescent="0.25">
      <c r="B39" s="1" t="s">
        <v>118</v>
      </c>
    </row>
    <row r="40" spans="2:40" outlineLevel="1" x14ac:dyDescent="0.25">
      <c r="B40" s="39" t="s">
        <v>23</v>
      </c>
      <c r="E40" s="12" cm="1">
        <f t="array" ref="E40">_xlfn.LET(_xlpm.data,_xlfn.VSTACK('MS:NCA9'!E40),_xlpm.states,_xlfn.VSTACK('MS:NCA9'!$B$2),
SUM(_xlfn._xlws.FILTER(_xlpm.data,(_xlpm.states="North Carolina")+(_xlpm.states="Arizona")+(_xlpm.states="Maryland"))))</f>
        <v>1145982.597118234</v>
      </c>
      <c r="F40" s="12" cm="1">
        <f t="array" ref="F40">_xlfn.LET(_xlpm.data,_xlfn.VSTACK('MS:NCA9'!F40),_xlpm.states,_xlfn.VSTACK('MS:NCA9'!$B$2),
SUM(_xlfn._xlws.FILTER(_xlpm.data,(_xlpm.states="North Carolina")+(_xlpm.states="Arizona")+(_xlpm.states="Maryland"))))</f>
        <v>1185625.6083289289</v>
      </c>
      <c r="G40" s="12" cm="1">
        <f t="array" ref="G40">_xlfn.LET(_xlpm.data,_xlfn.VSTACK('MS:NCA9'!G40),_xlpm.states,_xlfn.VSTACK('MS:NCA9'!$B$2),
SUM(_xlfn._xlws.FILTER(_xlpm.data,(_xlpm.states="North Carolina")+(_xlpm.states="Arizona")+(_xlpm.states="Maryland"))))</f>
        <v>1210419.5771920688</v>
      </c>
      <c r="H40" s="12" cm="1">
        <f t="array" ref="H40">_xlfn.LET(_xlpm.data,_xlfn.VSTACK('MS:NCA9'!H40),_xlpm.states,_xlfn.VSTACK('MS:NCA9'!$B$2),
SUM(_xlfn._xlws.FILTER(_xlpm.data,(_xlpm.states="North Carolina")+(_xlpm.states="Arizona")+(_xlpm.states="Maryland"))))</f>
        <v>1223830.7324089834</v>
      </c>
      <c r="I40" s="12" cm="1">
        <f t="array" ref="I40">_xlfn.LET(_xlpm.data,_xlfn.VSTACK('MS:NCA9'!I40),_xlpm.states,_xlfn.VSTACK('MS:NCA9'!$B$2),
SUM(_xlfn._xlws.FILTER(_xlpm.data,(_xlpm.states="North Carolina")+(_xlpm.states="Arizona")+(_xlpm.states="Maryland"))))</f>
        <v>1235791.1157409421</v>
      </c>
      <c r="J40" s="12" cm="1">
        <f t="array" ref="J40">_xlfn.LET(_xlpm.data,_xlfn.VSTACK('MS:NCA9'!J40),_xlpm.states,_xlfn.VSTACK('MS:NCA9'!$B$2),
SUM(_xlfn._xlws.FILTER(_xlpm.data,(_xlpm.states="North Carolina")+(_xlpm.states="Arizona")+(_xlpm.states="Maryland"))))</f>
        <v>1291460.2667362601</v>
      </c>
      <c r="K40" s="12" cm="1">
        <f t="array" ref="K40">_xlfn.LET(_xlpm.data,_xlfn.VSTACK('MS:NCA9'!K40),_xlpm.states,_xlfn.VSTACK('MS:NCA9'!$B$2),
SUM(_xlfn._xlws.FILTER(_xlpm.data,(_xlpm.states="North Carolina")+(_xlpm.states="Arizona")+(_xlpm.states="Maryland"))))</f>
        <v>1408886.0778586764</v>
      </c>
      <c r="L40" s="12" cm="1">
        <f t="array" ref="L40">_xlfn.LET(_xlpm.data,_xlfn.VSTACK('MS:NCA9'!L40),_xlpm.states,_xlfn.VSTACK('MS:NCA9'!$B$2),
SUM(_xlfn._xlws.FILTER(_xlpm.data,(_xlpm.states="North Carolina")+(_xlpm.states="Arizona")+(_xlpm.states="Maryland"))))</f>
        <v>1443052.7980662612</v>
      </c>
      <c r="M40" s="12" cm="1">
        <f t="array" ref="M40">_xlfn.LET(_xlpm.data,_xlfn.VSTACK('MS:NCA9'!M40),_xlpm.states,_xlfn.VSTACK('MS:NCA9'!$B$2),
SUM(_xlfn._xlws.FILTER(_xlpm.data,(_xlpm.states="North Carolina")+(_xlpm.states="Arizona")+(_xlpm.states="Maryland"))))</f>
        <v>1474357.3013282462</v>
      </c>
      <c r="N40" s="12" cm="1">
        <f t="array" ref="N40">_xlfn.LET(_xlpm.data,_xlfn.VSTACK('MS:NCA9'!N40),_xlpm.states,_xlfn.VSTACK('MS:NCA9'!$B$2),
SUM(_xlfn._xlws.FILTER(_xlpm.data,(_xlpm.states="North Carolina")+(_xlpm.states="Arizona")+(_xlpm.states="Maryland"))))</f>
        <v>1532742.9611078789</v>
      </c>
      <c r="O40" s="12" cm="1">
        <f t="array" ref="O40">_xlfn.LET(_xlpm.data,_xlfn.VSTACK('MS:NCA9'!O40),_xlpm.states,_xlfn.VSTACK('MS:NCA9'!$B$2),
SUM(_xlfn._xlws.FILTER(_xlpm.data,(_xlpm.states="North Carolina")+(_xlpm.states="Arizona")+(_xlpm.states="Maryland"))))</f>
        <v>1601119.6320951809</v>
      </c>
      <c r="P40" s="12" cm="1">
        <f t="array" ref="P40">_xlfn.LET(_xlpm.data,_xlfn.VSTACK('MS:NCA9'!P40),_xlpm.states,_xlfn.VSTACK('MS:NCA9'!$B$2),
SUM(_xlfn._xlws.FILTER(_xlpm.data,(_xlpm.states="North Carolina")+(_xlpm.states="Arizona")+(_xlpm.states="Maryland"))))</f>
        <v>1660718.7315496169</v>
      </c>
      <c r="Q40" s="12">
        <f>SUM('MDA1:NCA9'!Q40)</f>
        <v>4506093.5848582396</v>
      </c>
      <c r="R40" s="12">
        <f>SUM('MDA1:NCA9'!R40)</f>
        <v>4730586.3727710042</v>
      </c>
      <c r="S40" s="12">
        <f>SUM('MDA1:NCA9'!S40)</f>
        <v>5001140.0444370797</v>
      </c>
      <c r="T40" s="12">
        <f>SUM('MDA1:NCA9'!T40)</f>
        <v>5238684.8364832709</v>
      </c>
      <c r="U40" s="12">
        <f>SUM('MDA1:NCA9'!U40)</f>
        <v>5416713.4171816241</v>
      </c>
      <c r="V40" s="12">
        <f>SUM('MDA1:NCA9'!V40)</f>
        <v>5594617.1171754338</v>
      </c>
      <c r="W40" s="12">
        <f>SUM('MDA1:NCA9'!W40)</f>
        <v>5859892.3544524861</v>
      </c>
      <c r="X40" s="12">
        <f>SUM('MDA1:NCA9'!X40)</f>
        <v>6146382.2687869109</v>
      </c>
      <c r="Y40" s="12">
        <f>SUM('MDA1:NCA9'!Y40)</f>
        <v>6355021.9870909331</v>
      </c>
      <c r="Z40" s="12">
        <f>SUM('MDA1:NCA9'!Z40)</f>
        <v>6554784.9437079318</v>
      </c>
      <c r="AA40" s="12">
        <f>SUM('MDA1:NCA9'!AA40)</f>
        <v>6778789.6626285398</v>
      </c>
      <c r="AB40" s="12">
        <f>SUM('MDA1:NCA9'!AB40)</f>
        <v>7002478.3326482354</v>
      </c>
      <c r="AC40" s="12">
        <f>SUM('MDA1:NCA9'!AC40)</f>
        <v>7911344.4260136206</v>
      </c>
      <c r="AD40" s="12">
        <f>SUM('MDA1:NCA9'!AD40)</f>
        <v>8095624.1689346619</v>
      </c>
      <c r="AE40" s="12">
        <f>SUM('MDA1:NCA9'!AE40)</f>
        <v>8283129.55693461</v>
      </c>
      <c r="AF40" s="12">
        <f>SUM('MDA1:NCA9'!AF40)</f>
        <v>8466498.6627849881</v>
      </c>
      <c r="AG40" s="12">
        <f>SUM('MDA1:NCA9'!AG40)</f>
        <v>8622341.9517061878</v>
      </c>
      <c r="AH40" s="12">
        <f>SUM('MDA1:NCA9'!AH40)</f>
        <v>8882342.0875350107</v>
      </c>
      <c r="AI40" s="12">
        <f>SUM('MDA1:NCA9'!AI40)</f>
        <v>9166822.0456469804</v>
      </c>
      <c r="AJ40" s="12">
        <f>SUM('MDA1:NCA9'!AJ40)</f>
        <v>9436400.843965698</v>
      </c>
      <c r="AK40" s="12">
        <f>SUM('MDA1:NCA9'!AK40)</f>
        <v>9704669.1025728006</v>
      </c>
      <c r="AL40" s="12">
        <f>SUM('MDA1:NCA9'!AL40)</f>
        <v>9966709.6666478589</v>
      </c>
      <c r="AM40" s="12">
        <f>SUM('MDA1:NCA9'!AM40)</f>
        <v>10238678.06103473</v>
      </c>
      <c r="AN40" s="12">
        <f>SUM('MDA1:NCA9'!AN40)</f>
        <v>10483959.539397435</v>
      </c>
    </row>
    <row r="41" spans="2:40" outlineLevel="1" x14ac:dyDescent="0.25">
      <c r="B41" s="39" t="s">
        <v>24</v>
      </c>
      <c r="E41" s="12" cm="1">
        <f t="array" ref="E41">_xlfn.LET(_xlpm.data,_xlfn.VSTACK('MS:NCA9'!E41),_xlpm.states,_xlfn.VSTACK('MS:NCA9'!$B$2),
SUM(_xlfn._xlws.FILTER(_xlpm.data,(_xlpm.states="North Carolina")+(_xlpm.states="Arizona")+(_xlpm.states="Maryland"))))</f>
        <v>0</v>
      </c>
      <c r="F41" s="12" cm="1">
        <f t="array" ref="F41">_xlfn.LET(_xlpm.data,_xlfn.VSTACK('MS:NCA9'!F41),_xlpm.states,_xlfn.VSTACK('MS:NCA9'!$B$2),
SUM(_xlfn._xlws.FILTER(_xlpm.data,(_xlpm.states="North Carolina")+(_xlpm.states="Arizona")+(_xlpm.states="Maryland"))))</f>
        <v>0</v>
      </c>
      <c r="G41" s="12" cm="1">
        <f t="array" ref="G41">_xlfn.LET(_xlpm.data,_xlfn.VSTACK('MS:NCA9'!G41),_xlpm.states,_xlfn.VSTACK('MS:NCA9'!$B$2),
SUM(_xlfn._xlws.FILTER(_xlpm.data,(_xlpm.states="North Carolina")+(_xlpm.states="Arizona")+(_xlpm.states="Maryland"))))</f>
        <v>0</v>
      </c>
      <c r="H41" s="12" cm="1">
        <f t="array" ref="H41">_xlfn.LET(_xlpm.data,_xlfn.VSTACK('MS:NCA9'!H41),_xlpm.states,_xlfn.VSTACK('MS:NCA9'!$B$2),
SUM(_xlfn._xlws.FILTER(_xlpm.data,(_xlpm.states="North Carolina")+(_xlpm.states="Arizona")+(_xlpm.states="Maryland"))))</f>
        <v>0</v>
      </c>
      <c r="I41" s="12" cm="1">
        <f t="array" ref="I41">_xlfn.LET(_xlpm.data,_xlfn.VSTACK('MS:NCA9'!I41),_xlpm.states,_xlfn.VSTACK('MS:NCA9'!$B$2),
SUM(_xlfn._xlws.FILTER(_xlpm.data,(_xlpm.states="North Carolina")+(_xlpm.states="Arizona")+(_xlpm.states="Maryland"))))</f>
        <v>0</v>
      </c>
      <c r="J41" s="12" cm="1">
        <f t="array" ref="J41">_xlfn.LET(_xlpm.data,_xlfn.VSTACK('MS:NCA9'!J41),_xlpm.states,_xlfn.VSTACK('MS:NCA9'!$B$2),
SUM(_xlfn._xlws.FILTER(_xlpm.data,(_xlpm.states="North Carolina")+(_xlpm.states="Arizona")+(_xlpm.states="Maryland"))))</f>
        <v>0</v>
      </c>
      <c r="K41" s="12" cm="1">
        <f t="array" ref="K41">_xlfn.LET(_xlpm.data,_xlfn.VSTACK('MS:NCA9'!K41),_xlpm.states,_xlfn.VSTACK('MS:NCA9'!$B$2),
SUM(_xlfn._xlws.FILTER(_xlpm.data,(_xlpm.states="North Carolina")+(_xlpm.states="Arizona")+(_xlpm.states="Maryland"))))</f>
        <v>0</v>
      </c>
      <c r="L41" s="12" cm="1">
        <f t="array" ref="L41">_xlfn.LET(_xlpm.data,_xlfn.VSTACK('MS:NCA9'!L41),_xlpm.states,_xlfn.VSTACK('MS:NCA9'!$B$2),
SUM(_xlfn._xlws.FILTER(_xlpm.data,(_xlpm.states="North Carolina")+(_xlpm.states="Arizona")+(_xlpm.states="Maryland"))))</f>
        <v>0</v>
      </c>
      <c r="M41" s="12" cm="1">
        <f t="array" ref="M41">_xlfn.LET(_xlpm.data,_xlfn.VSTACK('MS:NCA9'!M41),_xlpm.states,_xlfn.VSTACK('MS:NCA9'!$B$2),
SUM(_xlfn._xlws.FILTER(_xlpm.data,(_xlpm.states="North Carolina")+(_xlpm.states="Arizona")+(_xlpm.states="Maryland"))))</f>
        <v>0</v>
      </c>
      <c r="N41" s="12" cm="1">
        <f t="array" ref="N41">_xlfn.LET(_xlpm.data,_xlfn.VSTACK('MS:NCA9'!N41),_xlpm.states,_xlfn.VSTACK('MS:NCA9'!$B$2),
SUM(_xlfn._xlws.FILTER(_xlpm.data,(_xlpm.states="North Carolina")+(_xlpm.states="Arizona")+(_xlpm.states="Maryland"))))</f>
        <v>0</v>
      </c>
      <c r="O41" s="12" cm="1">
        <f t="array" ref="O41">_xlfn.LET(_xlpm.data,_xlfn.VSTACK('MS:NCA9'!O41),_xlpm.states,_xlfn.VSTACK('MS:NCA9'!$B$2),
SUM(_xlfn._xlws.FILTER(_xlpm.data,(_xlpm.states="North Carolina")+(_xlpm.states="Arizona")+(_xlpm.states="Maryland"))))</f>
        <v>0</v>
      </c>
      <c r="P41" s="12" cm="1">
        <f t="array" ref="P41">_xlfn.LET(_xlpm.data,_xlfn.VSTACK('MS:NCA9'!P41),_xlpm.states,_xlfn.VSTACK('MS:NCA9'!$B$2),
SUM(_xlfn._xlws.FILTER(_xlpm.data,(_xlpm.states="North Carolina")+(_xlpm.states="Arizona")+(_xlpm.states="Maryland"))))</f>
        <v>0</v>
      </c>
      <c r="Q41" s="12">
        <f>SUM('MDA1:NCA9'!Q41)</f>
        <v>0</v>
      </c>
      <c r="R41" s="12">
        <f>SUM('MDA1:NCA9'!R41)</f>
        <v>0</v>
      </c>
      <c r="S41" s="12">
        <f>SUM('MDA1:NCA9'!S41)</f>
        <v>0</v>
      </c>
      <c r="T41" s="12">
        <f>SUM('MDA1:NCA9'!T41)</f>
        <v>0</v>
      </c>
      <c r="U41" s="12">
        <f>SUM('MDA1:NCA9'!U41)</f>
        <v>0</v>
      </c>
      <c r="V41" s="12">
        <f>SUM('MDA1:NCA9'!V41)</f>
        <v>0</v>
      </c>
      <c r="W41" s="12">
        <f>SUM('MDA1:NCA9'!W41)</f>
        <v>0</v>
      </c>
      <c r="X41" s="12">
        <f>SUM('MDA1:NCA9'!X41)</f>
        <v>0</v>
      </c>
      <c r="Y41" s="12">
        <f>SUM('MDA1:NCA9'!Y41)</f>
        <v>0</v>
      </c>
      <c r="Z41" s="12">
        <f>SUM('MDA1:NCA9'!Z41)</f>
        <v>0</v>
      </c>
      <c r="AA41" s="12">
        <f>SUM('MDA1:NCA9'!AA41)</f>
        <v>0</v>
      </c>
      <c r="AB41" s="12">
        <f>SUM('MDA1:NCA9'!AB41)</f>
        <v>0</v>
      </c>
      <c r="AC41" s="12">
        <f>SUM('MDA1:NCA9'!AC41)</f>
        <v>0</v>
      </c>
      <c r="AD41" s="12">
        <f>SUM('MDA1:NCA9'!AD41)</f>
        <v>0</v>
      </c>
      <c r="AE41" s="12">
        <f>SUM('MDA1:NCA9'!AE41)</f>
        <v>0</v>
      </c>
      <c r="AF41" s="12">
        <f>SUM('MDA1:NCA9'!AF41)</f>
        <v>0</v>
      </c>
      <c r="AG41" s="12">
        <f>SUM('MDA1:NCA9'!AG41)</f>
        <v>0</v>
      </c>
      <c r="AH41" s="12">
        <f>SUM('MDA1:NCA9'!AH41)</f>
        <v>0</v>
      </c>
      <c r="AI41" s="12">
        <f>SUM('MDA1:NCA9'!AI41)</f>
        <v>0</v>
      </c>
      <c r="AJ41" s="12">
        <f>SUM('MDA1:NCA9'!AJ41)</f>
        <v>0</v>
      </c>
      <c r="AK41" s="12">
        <f>SUM('MDA1:NCA9'!AK41)</f>
        <v>0</v>
      </c>
      <c r="AL41" s="12">
        <f>SUM('MDA1:NCA9'!AL41)</f>
        <v>0</v>
      </c>
      <c r="AM41" s="12">
        <f>SUM('MDA1:NCA9'!AM41)</f>
        <v>0</v>
      </c>
      <c r="AN41" s="12">
        <f>SUM('MDA1:NCA9'!AN41)</f>
        <v>0</v>
      </c>
    </row>
    <row r="42" spans="2:40" outlineLevel="1" x14ac:dyDescent="0.25">
      <c r="B42" s="39" t="s">
        <v>28</v>
      </c>
      <c r="E42" s="12" cm="1">
        <f t="array" ref="E42">_xlfn.LET(_xlpm.data,_xlfn.VSTACK('MS:NCA9'!E42),_xlpm.states,_xlfn.VSTACK('MS:NCA9'!$B$2),
SUM(_xlfn._xlws.FILTER(_xlpm.data,(_xlpm.states="North Carolina")+(_xlpm.states="Arizona")+(_xlpm.states="Maryland"))))</f>
        <v>25895.800000000003</v>
      </c>
      <c r="F42" s="12" cm="1">
        <f t="array" ref="F42">_xlfn.LET(_xlpm.data,_xlfn.VSTACK('MS:NCA9'!F42),_xlpm.states,_xlfn.VSTACK('MS:NCA9'!$B$2),
SUM(_xlfn._xlws.FILTER(_xlpm.data,(_xlpm.states="North Carolina")+(_xlpm.states="Arizona")+(_xlpm.states="Maryland"))))</f>
        <v>25895.800000000003</v>
      </c>
      <c r="G42" s="12" cm="1">
        <f t="array" ref="G42">_xlfn.LET(_xlpm.data,_xlfn.VSTACK('MS:NCA9'!G42),_xlpm.states,_xlfn.VSTACK('MS:NCA9'!$B$2),
SUM(_xlfn._xlws.FILTER(_xlpm.data,(_xlpm.states="North Carolina")+(_xlpm.states="Arizona")+(_xlpm.states="Maryland"))))</f>
        <v>25895.800000000003</v>
      </c>
      <c r="H42" s="12" cm="1">
        <f t="array" ref="H42">_xlfn.LET(_xlpm.data,_xlfn.VSTACK('MS:NCA9'!H42),_xlpm.states,_xlfn.VSTACK('MS:NCA9'!$B$2),
SUM(_xlfn._xlws.FILTER(_xlpm.data,(_xlpm.states="North Carolina")+(_xlpm.states="Arizona")+(_xlpm.states="Maryland"))))</f>
        <v>25895.800000000003</v>
      </c>
      <c r="I42" s="12" cm="1">
        <f t="array" ref="I42">_xlfn.LET(_xlpm.data,_xlfn.VSTACK('MS:NCA9'!I42),_xlpm.states,_xlfn.VSTACK('MS:NCA9'!$B$2),
SUM(_xlfn._xlws.FILTER(_xlpm.data,(_xlpm.states="North Carolina")+(_xlpm.states="Arizona")+(_xlpm.states="Maryland"))))</f>
        <v>25895.800000000003</v>
      </c>
      <c r="J42" s="12" cm="1">
        <f t="array" ref="J42">_xlfn.LET(_xlpm.data,_xlfn.VSTACK('MS:NCA9'!J42),_xlpm.states,_xlfn.VSTACK('MS:NCA9'!$B$2),
SUM(_xlfn._xlws.FILTER(_xlpm.data,(_xlpm.states="North Carolina")+(_xlpm.states="Arizona")+(_xlpm.states="Maryland"))))</f>
        <v>32608.800000000003</v>
      </c>
      <c r="K42" s="12" cm="1">
        <f t="array" ref="K42">_xlfn.LET(_xlpm.data,_xlfn.VSTACK('MS:NCA9'!K42),_xlpm.states,_xlfn.VSTACK('MS:NCA9'!$B$2),
SUM(_xlfn._xlws.FILTER(_xlpm.data,(_xlpm.states="North Carolina")+(_xlpm.states="Arizona")+(_xlpm.states="Maryland"))))</f>
        <v>46901.170000000006</v>
      </c>
      <c r="L42" s="12" cm="1">
        <f t="array" ref="L42">_xlfn.LET(_xlpm.data,_xlfn.VSTACK('MS:NCA9'!L42),_xlpm.states,_xlfn.VSTACK('MS:NCA9'!$B$2),
SUM(_xlfn._xlws.FILTER(_xlpm.data,(_xlpm.states="North Carolina")+(_xlpm.states="Arizona")+(_xlpm.states="Maryland"))))</f>
        <v>46901.170000000006</v>
      </c>
      <c r="M42" s="12" cm="1">
        <f t="array" ref="M42">_xlfn.LET(_xlpm.data,_xlfn.VSTACK('MS:NCA9'!M42),_xlpm.states,_xlfn.VSTACK('MS:NCA9'!$B$2),
SUM(_xlfn._xlws.FILTER(_xlpm.data,(_xlpm.states="North Carolina")+(_xlpm.states="Arizona")+(_xlpm.states="Maryland"))))</f>
        <v>46901.170000000006</v>
      </c>
      <c r="N42" s="12" cm="1">
        <f t="array" ref="N42">_xlfn.LET(_xlpm.data,_xlfn.VSTACK('MS:NCA9'!N42),_xlpm.states,_xlfn.VSTACK('MS:NCA9'!$B$2),
SUM(_xlfn._xlws.FILTER(_xlpm.data,(_xlpm.states="North Carolina")+(_xlpm.states="Arizona")+(_xlpm.states="Maryland"))))</f>
        <v>53614.170000000006</v>
      </c>
      <c r="O42" s="12" cm="1">
        <f t="array" ref="O42">_xlfn.LET(_xlpm.data,_xlfn.VSTACK('MS:NCA9'!O42),_xlpm.states,_xlfn.VSTACK('MS:NCA9'!$B$2),
SUM(_xlfn._xlws.FILTER(_xlpm.data,(_xlpm.states="North Carolina")+(_xlpm.states="Arizona")+(_xlpm.states="Maryland"))))</f>
        <v>53614.170000000006</v>
      </c>
      <c r="P42" s="12" cm="1">
        <f t="array" ref="P42">_xlfn.LET(_xlpm.data,_xlfn.VSTACK('MS:NCA9'!P42),_xlpm.states,_xlfn.VSTACK('MS:NCA9'!$B$2),
SUM(_xlfn._xlws.FILTER(_xlpm.data,(_xlpm.states="North Carolina")+(_xlpm.states="Arizona")+(_xlpm.states="Maryland"))))</f>
        <v>53614.170000000006</v>
      </c>
      <c r="Q42" s="12">
        <f>SUM('MDA1:NCA9'!Q42)</f>
        <v>200618.92980000004</v>
      </c>
      <c r="R42" s="12">
        <f>SUM('MDA1:NCA9'!R42)</f>
        <v>200618.92980000004</v>
      </c>
      <c r="S42" s="12">
        <f>SUM('MDA1:NCA9'!S42)</f>
        <v>216068.92980000004</v>
      </c>
      <c r="T42" s="12">
        <f>SUM('MDA1:NCA9'!T42)</f>
        <v>216068.92980000004</v>
      </c>
      <c r="U42" s="12">
        <f>SUM('MDA1:NCA9'!U42)</f>
        <v>216068.92980000004</v>
      </c>
      <c r="V42" s="12">
        <f>SUM('MDA1:NCA9'!V42)</f>
        <v>216068.92980000004</v>
      </c>
      <c r="W42" s="12">
        <f>SUM('MDA1:NCA9'!W42)</f>
        <v>238433.31980000006</v>
      </c>
      <c r="X42" s="12">
        <f>SUM('MDA1:NCA9'!X42)</f>
        <v>268604.46090000006</v>
      </c>
      <c r="Y42" s="12">
        <f>SUM('MDA1:NCA9'!Y42)</f>
        <v>268604.46090000006</v>
      </c>
      <c r="Z42" s="12">
        <f>SUM('MDA1:NCA9'!Z42)</f>
        <v>268604.46090000006</v>
      </c>
      <c r="AA42" s="12">
        <f>SUM('MDA1:NCA9'!AA42)</f>
        <v>284054.46090000006</v>
      </c>
      <c r="AB42" s="12">
        <f>SUM('MDA1:NCA9'!AB42)</f>
        <v>299504.46090000006</v>
      </c>
      <c r="AC42" s="12">
        <f>SUM('MDA1:NCA9'!AC42)</f>
        <v>308489.59472699993</v>
      </c>
      <c r="AD42" s="12">
        <f>SUM('MDA1:NCA9'!AD42)</f>
        <v>308489.59472699993</v>
      </c>
      <c r="AE42" s="12">
        <f>SUM('MDA1:NCA9'!AE42)</f>
        <v>308489.59472699993</v>
      </c>
      <c r="AF42" s="12">
        <f>SUM('MDA1:NCA9'!AF42)</f>
        <v>308489.59472699993</v>
      </c>
      <c r="AG42" s="12">
        <f>SUM('MDA1:NCA9'!AG42)</f>
        <v>308489.59472699993</v>
      </c>
      <c r="AH42" s="12">
        <f>SUM('MDA1:NCA9'!AH42)</f>
        <v>330774.1917599999</v>
      </c>
      <c r="AI42" s="12">
        <f>SUM('MDA1:NCA9'!AI42)</f>
        <v>346687.6917599999</v>
      </c>
      <c r="AJ42" s="12">
        <f>SUM('MDA1:NCA9'!AJ42)</f>
        <v>362601.1917599999</v>
      </c>
      <c r="AK42" s="12">
        <f>SUM('MDA1:NCA9'!AK42)</f>
        <v>378514.6917599999</v>
      </c>
      <c r="AL42" s="12">
        <f>SUM('MDA1:NCA9'!AL42)</f>
        <v>394428.1917599999</v>
      </c>
      <c r="AM42" s="12">
        <f>SUM('MDA1:NCA9'!AM42)</f>
        <v>410341.6917599999</v>
      </c>
      <c r="AN42" s="12">
        <f>SUM('MDA1:NCA9'!AN42)</f>
        <v>410341.6917599999</v>
      </c>
    </row>
    <row r="43" spans="2:40" outlineLevel="1" x14ac:dyDescent="0.25">
      <c r="B43" s="39" t="s">
        <v>31</v>
      </c>
      <c r="E43" s="12" cm="1">
        <f t="array" ref="E43">_xlfn.LET(_xlpm.data,_xlfn.VSTACK('MS:NCA9'!E43),_xlpm.states,_xlfn.VSTACK('MS:NCA9'!$B$2),
SUM(_xlfn._xlws.FILTER(_xlpm.data,(_xlpm.states="North Carolina")+(_xlpm.states="Arizona")+(_xlpm.states="Maryland"))))</f>
        <v>15161.26</v>
      </c>
      <c r="F43" s="12" cm="1">
        <f t="array" ref="F43">_xlfn.LET(_xlpm.data,_xlfn.VSTACK('MS:NCA9'!F43),_xlpm.states,_xlfn.VSTACK('MS:NCA9'!$B$2),
SUM(_xlfn._xlws.FILTER(_xlpm.data,(_xlpm.states="North Carolina")+(_xlpm.states="Arizona")+(_xlpm.states="Maryland"))))</f>
        <v>15161.26</v>
      </c>
      <c r="G43" s="12" cm="1">
        <f t="array" ref="G43">_xlfn.LET(_xlpm.data,_xlfn.VSTACK('MS:NCA9'!G43),_xlpm.states,_xlfn.VSTACK('MS:NCA9'!$B$2),
SUM(_xlfn._xlws.FILTER(_xlpm.data,(_xlpm.states="North Carolina")+(_xlpm.states="Arizona")+(_xlpm.states="Maryland"))))</f>
        <v>15161.26</v>
      </c>
      <c r="H43" s="12" cm="1">
        <f t="array" ref="H43">_xlfn.LET(_xlpm.data,_xlfn.VSTACK('MS:NCA9'!H43),_xlpm.states,_xlfn.VSTACK('MS:NCA9'!$B$2),
SUM(_xlfn._xlws.FILTER(_xlpm.data,(_xlpm.states="North Carolina")+(_xlpm.states="Arizona")+(_xlpm.states="Maryland"))))</f>
        <v>15161.26</v>
      </c>
      <c r="I43" s="12" cm="1">
        <f t="array" ref="I43">_xlfn.LET(_xlpm.data,_xlfn.VSTACK('MS:NCA9'!I43),_xlpm.states,_xlfn.VSTACK('MS:NCA9'!$B$2),
SUM(_xlfn._xlws.FILTER(_xlpm.data,(_xlpm.states="North Carolina")+(_xlpm.states="Arizona")+(_xlpm.states="Maryland"))))</f>
        <v>15161.26</v>
      </c>
      <c r="J43" s="12" cm="1">
        <f t="array" ref="J43">_xlfn.LET(_xlpm.data,_xlfn.VSTACK('MS:NCA9'!J43),_xlpm.states,_xlfn.VSTACK('MS:NCA9'!$B$2),
SUM(_xlfn._xlws.FILTER(_xlpm.data,(_xlpm.states="North Carolina")+(_xlpm.states="Arizona")+(_xlpm.states="Maryland"))))</f>
        <v>20761.260000000002</v>
      </c>
      <c r="K43" s="12" cm="1">
        <f t="array" ref="K43">_xlfn.LET(_xlpm.data,_xlfn.VSTACK('MS:NCA9'!K43),_xlpm.states,_xlfn.VSTACK('MS:NCA9'!$B$2),
SUM(_xlfn._xlws.FILTER(_xlpm.data,(_xlpm.states="North Carolina")+(_xlpm.states="Arizona")+(_xlpm.states="Maryland"))))</f>
        <v>26461.260000000002</v>
      </c>
      <c r="L43" s="12" cm="1">
        <f t="array" ref="L43">_xlfn.LET(_xlpm.data,_xlfn.VSTACK('MS:NCA9'!L43),_xlpm.states,_xlfn.VSTACK('MS:NCA9'!$B$2),
SUM(_xlfn._xlws.FILTER(_xlpm.data,(_xlpm.states="North Carolina")+(_xlpm.states="Arizona")+(_xlpm.states="Maryland"))))</f>
        <v>26461.260000000002</v>
      </c>
      <c r="M43" s="12" cm="1">
        <f t="array" ref="M43">_xlfn.LET(_xlpm.data,_xlfn.VSTACK('MS:NCA9'!M43),_xlpm.states,_xlfn.VSTACK('MS:NCA9'!$B$2),
SUM(_xlfn._xlws.FILTER(_xlpm.data,(_xlpm.states="North Carolina")+(_xlpm.states="Arizona")+(_xlpm.states="Maryland"))))</f>
        <v>26461.260000000002</v>
      </c>
      <c r="N43" s="12" cm="1">
        <f t="array" ref="N43">_xlfn.LET(_xlpm.data,_xlfn.VSTACK('MS:NCA9'!N43),_xlpm.states,_xlfn.VSTACK('MS:NCA9'!$B$2),
SUM(_xlfn._xlws.FILTER(_xlpm.data,(_xlpm.states="North Carolina")+(_xlpm.states="Arizona")+(_xlpm.states="Maryland"))))</f>
        <v>31061.260000000002</v>
      </c>
      <c r="O43" s="12" cm="1">
        <f t="array" ref="O43">_xlfn.LET(_xlpm.data,_xlfn.VSTACK('MS:NCA9'!O43),_xlpm.states,_xlfn.VSTACK('MS:NCA9'!$B$2),
SUM(_xlfn._xlws.FILTER(_xlpm.data,(_xlpm.states="North Carolina")+(_xlpm.states="Arizona")+(_xlpm.states="Maryland"))))</f>
        <v>31061.260000000002</v>
      </c>
      <c r="P43" s="12" cm="1">
        <f t="array" ref="P43">_xlfn.LET(_xlpm.data,_xlfn.VSTACK('MS:NCA9'!P43),_xlpm.states,_xlfn.VSTACK('MS:NCA9'!$B$2),
SUM(_xlfn._xlws.FILTER(_xlpm.data,(_xlpm.states="North Carolina")+(_xlpm.states="Arizona")+(_xlpm.states="Maryland"))))</f>
        <v>31061.260000000002</v>
      </c>
      <c r="Q43" s="12">
        <f>SUM('MDA1:NCA9'!Q43)</f>
        <v>109535.84719999999</v>
      </c>
      <c r="R43" s="12">
        <f>SUM('MDA1:NCA9'!R43)</f>
        <v>109535.84719999999</v>
      </c>
      <c r="S43" s="12">
        <f>SUM('MDA1:NCA9'!S43)</f>
        <v>118583.84719999999</v>
      </c>
      <c r="T43" s="12">
        <f>SUM('MDA1:NCA9'!T43)</f>
        <v>118583.84719999999</v>
      </c>
      <c r="U43" s="12">
        <f>SUM('MDA1:NCA9'!U43)</f>
        <v>118583.84719999999</v>
      </c>
      <c r="V43" s="12">
        <f>SUM('MDA1:NCA9'!V43)</f>
        <v>118583.84719999999</v>
      </c>
      <c r="W43" s="12">
        <f>SUM('MDA1:NCA9'!W43)</f>
        <v>132415.84719999999</v>
      </c>
      <c r="X43" s="12">
        <f>SUM('MDA1:NCA9'!X43)</f>
        <v>147391.84719999999</v>
      </c>
      <c r="Y43" s="12">
        <f>SUM('MDA1:NCA9'!Y43)</f>
        <v>147391.84719999999</v>
      </c>
      <c r="Z43" s="12">
        <f>SUM('MDA1:NCA9'!Z43)</f>
        <v>147391.84719999999</v>
      </c>
      <c r="AA43" s="12">
        <f>SUM('MDA1:NCA9'!AA43)</f>
        <v>156439.84719999999</v>
      </c>
      <c r="AB43" s="12">
        <f>SUM('MDA1:NCA9'!AB43)</f>
        <v>165487.84719999999</v>
      </c>
      <c r="AC43" s="12">
        <f>SUM('MDA1:NCA9'!AC43)</f>
        <v>172107.36108799998</v>
      </c>
      <c r="AD43" s="12">
        <f>SUM('MDA1:NCA9'!AD43)</f>
        <v>172107.36108799998</v>
      </c>
      <c r="AE43" s="12">
        <f>SUM('MDA1:NCA9'!AE43)</f>
        <v>172107.36108799998</v>
      </c>
      <c r="AF43" s="12">
        <f>SUM('MDA1:NCA9'!AF43)</f>
        <v>172107.36108799998</v>
      </c>
      <c r="AG43" s="12">
        <f>SUM('MDA1:NCA9'!AG43)</f>
        <v>172107.36108799998</v>
      </c>
      <c r="AH43" s="12">
        <f>SUM('MDA1:NCA9'!AH43)</f>
        <v>184329.44108799996</v>
      </c>
      <c r="AI43" s="12">
        <f>SUM('MDA1:NCA9'!AI43)</f>
        <v>192657.76108799997</v>
      </c>
      <c r="AJ43" s="12">
        <f>SUM('MDA1:NCA9'!AJ43)</f>
        <v>200986.08108799998</v>
      </c>
      <c r="AK43" s="12">
        <f>SUM('MDA1:NCA9'!AK43)</f>
        <v>209314.40108799998</v>
      </c>
      <c r="AL43" s="12">
        <f>SUM('MDA1:NCA9'!AL43)</f>
        <v>217642.72108799999</v>
      </c>
      <c r="AM43" s="12">
        <f>SUM('MDA1:NCA9'!AM43)</f>
        <v>225971.041088</v>
      </c>
      <c r="AN43" s="12">
        <f>SUM('MDA1:NCA9'!AN43)</f>
        <v>225971.041088</v>
      </c>
    </row>
    <row r="44" spans="2:40" outlineLevel="1" x14ac:dyDescent="0.25">
      <c r="B44" s="39" t="s">
        <v>34</v>
      </c>
      <c r="E44" s="12" cm="1">
        <f t="array" ref="E44">_xlfn.LET(_xlpm.data,_xlfn.VSTACK('MS:NCA9'!E44),_xlpm.states,_xlfn.VSTACK('MS:NCA9'!$B$2),
SUM(_xlfn._xlws.FILTER(_xlpm.data,(_xlpm.states="North Carolina")+(_xlpm.states="Arizona")+(_xlpm.states="Maryland"))))</f>
        <v>9444.4282000000003</v>
      </c>
      <c r="F44" s="12" cm="1">
        <f t="array" ref="F44">_xlfn.LET(_xlpm.data,_xlfn.VSTACK('MS:NCA9'!F44),_xlpm.states,_xlfn.VSTACK('MS:NCA9'!$B$2),
SUM(_xlfn._xlws.FILTER(_xlpm.data,(_xlpm.states="North Carolina")+(_xlpm.states="Arizona")+(_xlpm.states="Maryland"))))</f>
        <v>10552.960800000001</v>
      </c>
      <c r="G44" s="12" cm="1">
        <f t="array" ref="G44">_xlfn.LET(_xlpm.data,_xlfn.VSTACK('MS:NCA9'!G44),_xlpm.states,_xlfn.VSTACK('MS:NCA9'!$B$2),
SUM(_xlfn._xlws.FILTER(_xlpm.data,(_xlpm.states="North Carolina")+(_xlpm.states="Arizona")+(_xlpm.states="Maryland"))))</f>
        <v>10468.7258</v>
      </c>
      <c r="H44" s="12" cm="1">
        <f t="array" ref="H44">_xlfn.LET(_xlpm.data,_xlfn.VSTACK('MS:NCA9'!H44),_xlpm.states,_xlfn.VSTACK('MS:NCA9'!$B$2),
SUM(_xlfn._xlws.FILTER(_xlpm.data,(_xlpm.states="North Carolina")+(_xlpm.states="Arizona")+(_xlpm.states="Maryland"))))</f>
        <v>10566.438400000001</v>
      </c>
      <c r="I44" s="12" cm="1">
        <f t="array" ref="I44">_xlfn.LET(_xlpm.data,_xlfn.VSTACK('MS:NCA9'!I44),_xlpm.states,_xlfn.VSTACK('MS:NCA9'!$B$2),
SUM(_xlfn._xlws.FILTER(_xlpm.data,(_xlpm.states="North Carolina")+(_xlpm.states="Arizona")+(_xlpm.states="Maryland"))))</f>
        <v>10660.7816</v>
      </c>
      <c r="J44" s="12" cm="1">
        <f t="array" ref="J44">_xlfn.LET(_xlpm.data,_xlfn.VSTACK('MS:NCA9'!J44),_xlpm.states,_xlfn.VSTACK('MS:NCA9'!$B$2),
SUM(_xlfn._xlws.FILTER(_xlpm.data,(_xlpm.states="North Carolina")+(_xlpm.states="Arizona")+(_xlpm.states="Maryland"))))</f>
        <v>11125.758800000001</v>
      </c>
      <c r="K44" s="12" cm="1">
        <f t="array" ref="K44">_xlfn.LET(_xlpm.data,_xlfn.VSTACK('MS:NCA9'!K44),_xlpm.states,_xlfn.VSTACK('MS:NCA9'!$B$2),
SUM(_xlfn._xlws.FILTER(_xlpm.data,(_xlpm.states="North Carolina")+(_xlpm.states="Arizona")+(_xlpm.states="Maryland"))))</f>
        <v>12776.764799999997</v>
      </c>
      <c r="L44" s="12" cm="1">
        <f t="array" ref="L44">_xlfn.LET(_xlpm.data,_xlfn.VSTACK('MS:NCA9'!L44),_xlpm.states,_xlfn.VSTACK('MS:NCA9'!$B$2),
SUM(_xlfn._xlws.FILTER(_xlpm.data,(_xlpm.states="North Carolina")+(_xlpm.states="Arizona")+(_xlpm.states="Maryland"))))</f>
        <v>13144.029399999999</v>
      </c>
      <c r="M44" s="12" cm="1">
        <f t="array" ref="M44">_xlfn.LET(_xlpm.data,_xlfn.VSTACK('MS:NCA9'!M44),_xlpm.states,_xlfn.VSTACK('MS:NCA9'!$B$2),
SUM(_xlfn._xlws.FILTER(_xlpm.data,(_xlpm.states="North Carolina")+(_xlpm.states="Arizona")+(_xlpm.states="Maryland"))))</f>
        <v>13272.066599999998</v>
      </c>
      <c r="N44" s="12" cm="1">
        <f t="array" ref="N44">_xlfn.LET(_xlpm.data,_xlfn.VSTACK('MS:NCA9'!N44),_xlpm.states,_xlfn.VSTACK('MS:NCA9'!$B$2),
SUM(_xlfn._xlws.FILTER(_xlpm.data,(_xlpm.states="North Carolina")+(_xlpm.states="Arizona")+(_xlpm.states="Maryland"))))</f>
        <v>13757.260199999999</v>
      </c>
      <c r="O44" s="12" cm="1">
        <f t="array" ref="O44">_xlfn.LET(_xlpm.data,_xlfn.VSTACK('MS:NCA9'!O44),_xlpm.states,_xlfn.VSTACK('MS:NCA9'!$B$2),
SUM(_xlfn._xlws.FILTER(_xlpm.data,(_xlpm.states="North Carolina")+(_xlpm.states="Arizona")+(_xlpm.states="Maryland"))))</f>
        <v>14485.050599999999</v>
      </c>
      <c r="P44" s="12" cm="1">
        <f t="array" ref="P44">_xlfn.LET(_xlpm.data,_xlfn.VSTACK('MS:NCA9'!P44),_xlpm.states,_xlfn.VSTACK('MS:NCA9'!$B$2),
SUM(_xlfn._xlws.FILTER(_xlpm.data,(_xlpm.states="North Carolina")+(_xlpm.states="Arizona")+(_xlpm.states="Maryland"))))</f>
        <v>14505.267000000002</v>
      </c>
      <c r="Q44" s="12">
        <f>SUM('MDA1:NCA9'!Q44)</f>
        <v>31327.333439999999</v>
      </c>
      <c r="R44" s="12">
        <f>SUM('MDA1:NCA9'!R44)</f>
        <v>32564.307567999997</v>
      </c>
      <c r="S44" s="12">
        <f>SUM('MDA1:NCA9'!S44)</f>
        <v>33913.41532800001</v>
      </c>
      <c r="T44" s="12">
        <f>SUM('MDA1:NCA9'!T44)</f>
        <v>34551.175360000001</v>
      </c>
      <c r="U44" s="12">
        <f>SUM('MDA1:NCA9'!U44)</f>
        <v>34684.334048000004</v>
      </c>
      <c r="V44" s="12">
        <f>SUM('MDA1:NCA9'!V44)</f>
        <v>35343.119136000008</v>
      </c>
      <c r="W44" s="12">
        <f>SUM('MDA1:NCA9'!W44)</f>
        <v>36776.327120000002</v>
      </c>
      <c r="X44" s="12">
        <f>SUM('MDA1:NCA9'!X44)</f>
        <v>38724.648975999997</v>
      </c>
      <c r="Y44" s="12">
        <f>SUM('MDA1:NCA9'!Y44)</f>
        <v>40410.157632000002</v>
      </c>
      <c r="Z44" s="12">
        <f>SUM('MDA1:NCA9'!Z44)</f>
        <v>41040.909312000003</v>
      </c>
      <c r="AA44" s="12">
        <f>SUM('MDA1:NCA9'!AA44)</f>
        <v>42043.103648000018</v>
      </c>
      <c r="AB44" s="12">
        <f>SUM('MDA1:NCA9'!AB44)</f>
        <v>43143.414912000007</v>
      </c>
      <c r="AC44" s="12">
        <f>SUM('MDA1:NCA9'!AC44)</f>
        <v>45977.031792640002</v>
      </c>
      <c r="AD44" s="12">
        <f>SUM('MDA1:NCA9'!AD44)</f>
        <v>46308.667009280005</v>
      </c>
      <c r="AE44" s="12">
        <f>SUM('MDA1:NCA9'!AE44)</f>
        <v>46975.581785600014</v>
      </c>
      <c r="AF44" s="12">
        <f>SUM('MDA1:NCA9'!AF44)</f>
        <v>47642.496561920008</v>
      </c>
      <c r="AG44" s="12">
        <f>SUM('MDA1:NCA9'!AG44)</f>
        <v>48043.374296319998</v>
      </c>
      <c r="AH44" s="12">
        <f>SUM('MDA1:NCA9'!AH44)</f>
        <v>49599.508774399997</v>
      </c>
      <c r="AI44" s="12">
        <f>SUM('MDA1:NCA9'!AI44)</f>
        <v>52033.929925120021</v>
      </c>
      <c r="AJ44" s="12">
        <f>SUM('MDA1:NCA9'!AJ44)</f>
        <v>52977.814772480015</v>
      </c>
      <c r="AK44" s="12">
        <f>SUM('MDA1:NCA9'!AK44)</f>
        <v>54333.510383359986</v>
      </c>
      <c r="AL44" s="12">
        <f>SUM('MDA1:NCA9'!AL44)</f>
        <v>56326.966026240007</v>
      </c>
      <c r="AM44" s="12">
        <f>SUM('MDA1:NCA9'!AM44)</f>
        <v>57653.506892800004</v>
      </c>
      <c r="AN44" s="12">
        <f>SUM('MDA1:NCA9'!AN44)</f>
        <v>58867.073125119998</v>
      </c>
    </row>
    <row r="45" spans="2:40" outlineLevel="1" x14ac:dyDescent="0.25">
      <c r="B45" s="39" t="s">
        <v>36</v>
      </c>
      <c r="E45" s="12" cm="1">
        <f t="array" ref="E45">_xlfn.LET(_xlpm.data,_xlfn.VSTACK('MS:NCA9'!E45),_xlpm.states,_xlfn.VSTACK('MS:NCA9'!$B$2),
SUM(_xlfn._xlws.FILTER(_xlpm.data,(_xlpm.states="North Carolina")+(_xlpm.states="Arizona")+(_xlpm.states="Maryland"))))</f>
        <v>23500</v>
      </c>
      <c r="F45" s="12" cm="1">
        <f t="array" ref="F45">_xlfn.LET(_xlpm.data,_xlfn.VSTACK('MS:NCA9'!F45),_xlpm.states,_xlfn.VSTACK('MS:NCA9'!$B$2),
SUM(_xlfn._xlws.FILTER(_xlpm.data,(_xlpm.states="North Carolina")+(_xlpm.states="Arizona")+(_xlpm.states="Maryland"))))</f>
        <v>23500</v>
      </c>
      <c r="G45" s="12" cm="1">
        <f t="array" ref="G45">_xlfn.LET(_xlpm.data,_xlfn.VSTACK('MS:NCA9'!G45),_xlpm.states,_xlfn.VSTACK('MS:NCA9'!$B$2),
SUM(_xlfn._xlws.FILTER(_xlpm.data,(_xlpm.states="North Carolina")+(_xlpm.states="Arizona")+(_xlpm.states="Maryland"))))</f>
        <v>23500</v>
      </c>
      <c r="H45" s="12" cm="1">
        <f t="array" ref="H45">_xlfn.LET(_xlpm.data,_xlfn.VSTACK('MS:NCA9'!H45),_xlpm.states,_xlfn.VSTACK('MS:NCA9'!$B$2),
SUM(_xlfn._xlws.FILTER(_xlpm.data,(_xlpm.states="North Carolina")+(_xlpm.states="Arizona")+(_xlpm.states="Maryland"))))</f>
        <v>23500</v>
      </c>
      <c r="I45" s="12" cm="1">
        <f t="array" ref="I45">_xlfn.LET(_xlpm.data,_xlfn.VSTACK('MS:NCA9'!I45),_xlpm.states,_xlfn.VSTACK('MS:NCA9'!$B$2),
SUM(_xlfn._xlws.FILTER(_xlpm.data,(_xlpm.states="North Carolina")+(_xlpm.states="Arizona")+(_xlpm.states="Maryland"))))</f>
        <v>23500</v>
      </c>
      <c r="J45" s="12" cm="1">
        <f t="array" ref="J45">_xlfn.LET(_xlpm.data,_xlfn.VSTACK('MS:NCA9'!J45),_xlpm.states,_xlfn.VSTACK('MS:NCA9'!$B$2),
SUM(_xlfn._xlws.FILTER(_xlpm.data,(_xlpm.states="North Carolina")+(_xlpm.states="Arizona")+(_xlpm.states="Maryland"))))</f>
        <v>29500</v>
      </c>
      <c r="K45" s="12" cm="1">
        <f t="array" ref="K45">_xlfn.LET(_xlpm.data,_xlfn.VSTACK('MS:NCA9'!K45),_xlpm.states,_xlfn.VSTACK('MS:NCA9'!$B$2),
SUM(_xlfn._xlws.FILTER(_xlpm.data,(_xlpm.states="North Carolina")+(_xlpm.states="Arizona")+(_xlpm.states="Maryland"))))</f>
        <v>33750</v>
      </c>
      <c r="L45" s="12" cm="1">
        <f t="array" ref="L45">_xlfn.LET(_xlpm.data,_xlfn.VSTACK('MS:NCA9'!L45),_xlpm.states,_xlfn.VSTACK('MS:NCA9'!$B$2),
SUM(_xlfn._xlws.FILTER(_xlpm.data,(_xlpm.states="North Carolina")+(_xlpm.states="Arizona")+(_xlpm.states="Maryland"))))</f>
        <v>33750</v>
      </c>
      <c r="M45" s="12" cm="1">
        <f t="array" ref="M45">_xlfn.LET(_xlpm.data,_xlfn.VSTACK('MS:NCA9'!M45),_xlpm.states,_xlfn.VSTACK('MS:NCA9'!$B$2),
SUM(_xlfn._xlws.FILTER(_xlpm.data,(_xlpm.states="North Carolina")+(_xlpm.states="Arizona")+(_xlpm.states="Maryland"))))</f>
        <v>33750</v>
      </c>
      <c r="N45" s="12" cm="1">
        <f t="array" ref="N45">_xlfn.LET(_xlpm.data,_xlfn.VSTACK('MS:NCA9'!N45),_xlpm.states,_xlfn.VSTACK('MS:NCA9'!$B$2),
SUM(_xlfn._xlws.FILTER(_xlpm.data,(_xlpm.states="North Carolina")+(_xlpm.states="Arizona")+(_xlpm.states="Maryland"))))</f>
        <v>38250</v>
      </c>
      <c r="O45" s="12" cm="1">
        <f t="array" ref="O45">_xlfn.LET(_xlpm.data,_xlfn.VSTACK('MS:NCA9'!O45),_xlpm.states,_xlfn.VSTACK('MS:NCA9'!$B$2),
SUM(_xlfn._xlws.FILTER(_xlpm.data,(_xlpm.states="North Carolina")+(_xlpm.states="Arizona")+(_xlpm.states="Maryland"))))</f>
        <v>38250</v>
      </c>
      <c r="P45" s="12" cm="1">
        <f t="array" ref="P45">_xlfn.LET(_xlpm.data,_xlfn.VSTACK('MS:NCA9'!P45),_xlpm.states,_xlfn.VSTACK('MS:NCA9'!$B$2),
SUM(_xlfn._xlws.FILTER(_xlpm.data,(_xlpm.states="North Carolina")+(_xlpm.states="Arizona")+(_xlpm.states="Maryland"))))</f>
        <v>38250</v>
      </c>
      <c r="Q45" s="12">
        <f>SUM('MDA1:NCA9'!Q45)</f>
        <v>112455</v>
      </c>
      <c r="R45" s="12">
        <f>SUM('MDA1:NCA9'!R45)</f>
        <v>112455</v>
      </c>
      <c r="S45" s="12">
        <f>SUM('MDA1:NCA9'!S45)</f>
        <v>120105</v>
      </c>
      <c r="T45" s="12">
        <f>SUM('MDA1:NCA9'!T45)</f>
        <v>120105</v>
      </c>
      <c r="U45" s="12">
        <f>SUM('MDA1:NCA9'!U45)</f>
        <v>120105</v>
      </c>
      <c r="V45" s="12">
        <f>SUM('MDA1:NCA9'!V45)</f>
        <v>120105</v>
      </c>
      <c r="W45" s="12">
        <f>SUM('MDA1:NCA9'!W45)</f>
        <v>132855</v>
      </c>
      <c r="X45" s="12">
        <f>SUM('MDA1:NCA9'!X45)</f>
        <v>143820</v>
      </c>
      <c r="Y45" s="12">
        <f>SUM('MDA1:NCA9'!Y45)</f>
        <v>143820</v>
      </c>
      <c r="Z45" s="12">
        <f>SUM('MDA1:NCA9'!Z45)</f>
        <v>143820</v>
      </c>
      <c r="AA45" s="12">
        <f>SUM('MDA1:NCA9'!AA45)</f>
        <v>150450</v>
      </c>
      <c r="AB45" s="12">
        <f>SUM('MDA1:NCA9'!AB45)</f>
        <v>157080</v>
      </c>
      <c r="AC45" s="12">
        <f>SUM('MDA1:NCA9'!AC45)</f>
        <v>160221.59999999998</v>
      </c>
      <c r="AD45" s="12">
        <f>SUM('MDA1:NCA9'!AD45)</f>
        <v>160221.59999999998</v>
      </c>
      <c r="AE45" s="12">
        <f>SUM('MDA1:NCA9'!AE45)</f>
        <v>160221.59999999998</v>
      </c>
      <c r="AF45" s="12">
        <f>SUM('MDA1:NCA9'!AF45)</f>
        <v>160221.59999999998</v>
      </c>
      <c r="AG45" s="12">
        <f>SUM('MDA1:NCA9'!AG45)</f>
        <v>160221.59999999998</v>
      </c>
      <c r="AH45" s="12">
        <f>SUM('MDA1:NCA9'!AH45)</f>
        <v>170885.69999999998</v>
      </c>
      <c r="AI45" s="12">
        <f>SUM('MDA1:NCA9'!AI45)</f>
        <v>177648.30000000002</v>
      </c>
      <c r="AJ45" s="12">
        <f>SUM('MDA1:NCA9'!AJ45)</f>
        <v>184410.90000000002</v>
      </c>
      <c r="AK45" s="12">
        <f>SUM('MDA1:NCA9'!AK45)</f>
        <v>191173.50000000003</v>
      </c>
      <c r="AL45" s="12">
        <f>SUM('MDA1:NCA9'!AL45)</f>
        <v>197936.10000000003</v>
      </c>
      <c r="AM45" s="12">
        <f>SUM('MDA1:NCA9'!AM45)</f>
        <v>204698.70000000004</v>
      </c>
      <c r="AN45" s="12">
        <f>SUM('MDA1:NCA9'!AN45)</f>
        <v>204698.70000000004</v>
      </c>
    </row>
    <row r="46" spans="2:40" outlineLevel="1" x14ac:dyDescent="0.25">
      <c r="B46" s="39" t="s">
        <v>38</v>
      </c>
      <c r="E46" s="12" cm="1">
        <f t="array" ref="E46">_xlfn.LET(_xlpm.data,_xlfn.VSTACK('MS:NCA9'!E46),_xlpm.states,_xlfn.VSTACK('MS:NCA9'!$B$2),
SUM(_xlfn._xlws.FILTER(_xlpm.data,(_xlpm.states="North Carolina")+(_xlpm.states="Arizona")+(_xlpm.states="Maryland"))))</f>
        <v>107162</v>
      </c>
      <c r="F46" s="12" cm="1">
        <f t="array" ref="F46">_xlfn.LET(_xlpm.data,_xlfn.VSTACK('MS:NCA9'!F46),_xlpm.states,_xlfn.VSTACK('MS:NCA9'!$B$2),
SUM(_xlfn._xlws.FILTER(_xlpm.data,(_xlpm.states="North Carolina")+(_xlpm.states="Arizona")+(_xlpm.states="Maryland"))))</f>
        <v>110746</v>
      </c>
      <c r="G46" s="12" cm="1">
        <f t="array" ref="G46">_xlfn.LET(_xlpm.data,_xlfn.VSTACK('MS:NCA9'!G46),_xlpm.states,_xlfn.VSTACK('MS:NCA9'!$B$2),
SUM(_xlfn._xlws.FILTER(_xlpm.data,(_xlpm.states="North Carolina")+(_xlpm.states="Arizona")+(_xlpm.states="Maryland"))))</f>
        <v>113300.5</v>
      </c>
      <c r="H46" s="12" cm="1">
        <f t="array" ref="H46">_xlfn.LET(_xlpm.data,_xlfn.VSTACK('MS:NCA9'!H46),_xlpm.states,_xlfn.VSTACK('MS:NCA9'!$B$2),
SUM(_xlfn._xlws.FILTER(_xlpm.data,(_xlpm.states="North Carolina")+(_xlpm.states="Arizona")+(_xlpm.states="Maryland"))))</f>
        <v>115002.5</v>
      </c>
      <c r="I46" s="12" cm="1">
        <f t="array" ref="I46">_xlfn.LET(_xlpm.data,_xlfn.VSTACK('MS:NCA9'!I46),_xlpm.states,_xlfn.VSTACK('MS:NCA9'!$B$2),
SUM(_xlfn._xlws.FILTER(_xlpm.data,(_xlpm.states="North Carolina")+(_xlpm.states="Arizona")+(_xlpm.states="Maryland"))))</f>
        <v>116429.5</v>
      </c>
      <c r="J46" s="12" cm="1">
        <f t="array" ref="J46">_xlfn.LET(_xlpm.data,_xlfn.VSTACK('MS:NCA9'!J46),_xlpm.states,_xlfn.VSTACK('MS:NCA9'!$B$2),
SUM(_xlfn._xlws.FILTER(_xlpm.data,(_xlpm.states="North Carolina")+(_xlpm.states="Arizona")+(_xlpm.states="Maryland"))))</f>
        <v>121822.5</v>
      </c>
      <c r="K46" s="12" cm="1">
        <f t="array" ref="K46">_xlfn.LET(_xlpm.data,_xlfn.VSTACK('MS:NCA9'!K46),_xlpm.states,_xlfn.VSTACK('MS:NCA9'!$B$2),
SUM(_xlfn._xlws.FILTER(_xlpm.data,(_xlpm.states="North Carolina")+(_xlpm.states="Arizona")+(_xlpm.states="Maryland"))))</f>
        <v>130326.5</v>
      </c>
      <c r="L46" s="12" cm="1">
        <f t="array" ref="L46">_xlfn.LET(_xlpm.data,_xlfn.VSTACK('MS:NCA9'!L46),_xlpm.states,_xlfn.VSTACK('MS:NCA9'!$B$2),
SUM(_xlfn._xlws.FILTER(_xlpm.data,(_xlpm.states="North Carolina")+(_xlpm.states="Arizona")+(_xlpm.states="Maryland"))))</f>
        <v>133487</v>
      </c>
      <c r="M46" s="12" cm="1">
        <f t="array" ref="M46">_xlfn.LET(_xlpm.data,_xlfn.VSTACK('MS:NCA9'!M46),_xlpm.states,_xlfn.VSTACK('MS:NCA9'!$B$2),
SUM(_xlfn._xlws.FILTER(_xlpm.data,(_xlpm.states="North Carolina")+(_xlpm.states="Arizona")+(_xlpm.states="Maryland"))))</f>
        <v>136605</v>
      </c>
      <c r="N46" s="12" cm="1">
        <f t="array" ref="N46">_xlfn.LET(_xlpm.data,_xlfn.VSTACK('MS:NCA9'!N46),_xlpm.states,_xlfn.VSTACK('MS:NCA9'!$B$2),
SUM(_xlfn._xlws.FILTER(_xlpm.data,(_xlpm.states="North Carolina")+(_xlpm.states="Arizona")+(_xlpm.states="Maryland"))))</f>
        <v>142659.5</v>
      </c>
      <c r="O46" s="12" cm="1">
        <f t="array" ref="O46">_xlfn.LET(_xlpm.data,_xlfn.VSTACK('MS:NCA9'!O46),_xlpm.states,_xlfn.VSTACK('MS:NCA9'!$B$2),
SUM(_xlfn._xlws.FILTER(_xlpm.data,(_xlpm.states="North Carolina")+(_xlpm.states="Arizona")+(_xlpm.states="Maryland"))))</f>
        <v>148128.5</v>
      </c>
      <c r="P46" s="12" cm="1">
        <f t="array" ref="P46">_xlfn.LET(_xlpm.data,_xlfn.VSTACK('MS:NCA9'!P46),_xlpm.states,_xlfn.VSTACK('MS:NCA9'!$B$2),
SUM(_xlfn._xlws.FILTER(_xlpm.data,(_xlpm.states="North Carolina")+(_xlpm.states="Arizona")+(_xlpm.states="Maryland"))))</f>
        <v>153312.5</v>
      </c>
      <c r="Q46" s="12">
        <f>SUM('MDA1:NCA9'!Q46)</f>
        <v>337434.87</v>
      </c>
      <c r="R46" s="12">
        <f>SUM('MDA1:NCA9'!R46)</f>
        <v>355008.45000000019</v>
      </c>
      <c r="S46" s="12">
        <f>SUM('MDA1:NCA9'!S46)</f>
        <v>374439.45</v>
      </c>
      <c r="T46" s="12">
        <f>SUM('MDA1:NCA9'!T46)</f>
        <v>391248.54</v>
      </c>
      <c r="U46" s="12">
        <f>SUM('MDA1:NCA9'!U46)</f>
        <v>404276.99999999988</v>
      </c>
      <c r="V46" s="12">
        <f>SUM('MDA1:NCA9'!V46)</f>
        <v>418534.05</v>
      </c>
      <c r="W46" s="12">
        <f>SUM('MDA1:NCA9'!W46)</f>
        <v>438482.19000000006</v>
      </c>
      <c r="X46" s="12">
        <f>SUM('MDA1:NCA9'!X46)</f>
        <v>458908.2</v>
      </c>
      <c r="Y46" s="12">
        <f>SUM('MDA1:NCA9'!Y46)</f>
        <v>472980.11999999994</v>
      </c>
      <c r="Z46" s="12">
        <f>SUM('MDA1:NCA9'!Z46)</f>
        <v>488820.21000000008</v>
      </c>
      <c r="AA46" s="12">
        <f>SUM('MDA1:NCA9'!AA46)</f>
        <v>505592.07000000007</v>
      </c>
      <c r="AB46" s="12">
        <f>SUM('MDA1:NCA9'!AB46)</f>
        <v>521427.06000000006</v>
      </c>
      <c r="AC46" s="12">
        <f>SUM('MDA1:NCA9'!AC46)</f>
        <v>544154.16960000002</v>
      </c>
      <c r="AD46" s="12">
        <f>SUM('MDA1:NCA9'!AD46)</f>
        <v>556197.31979999994</v>
      </c>
      <c r="AE46" s="12">
        <f>SUM('MDA1:NCA9'!AE46)</f>
        <v>569555.01540000003</v>
      </c>
      <c r="AF46" s="12">
        <f>SUM('MDA1:NCA9'!AF46)</f>
        <v>581090.9706</v>
      </c>
      <c r="AG46" s="12">
        <f>SUM('MDA1:NCA9'!AG46)</f>
        <v>591089.21460000018</v>
      </c>
      <c r="AH46" s="12">
        <f>SUM('MDA1:NCA9'!AH46)</f>
        <v>609808.09140000003</v>
      </c>
      <c r="AI46" s="12">
        <f>SUM('MDA1:NCA9'!AI46)</f>
        <v>628185.71700000018</v>
      </c>
      <c r="AJ46" s="12">
        <f>SUM('MDA1:NCA9'!AJ46)</f>
        <v>645252.43860000011</v>
      </c>
      <c r="AK46" s="12">
        <f>SUM('MDA1:NCA9'!AK46)</f>
        <v>663653.47320000001</v>
      </c>
      <c r="AL46" s="12">
        <f>SUM('MDA1:NCA9'!AL46)</f>
        <v>680631.76079999993</v>
      </c>
      <c r="AM46" s="12">
        <f>SUM('MDA1:NCA9'!AM46)</f>
        <v>698224.40460000024</v>
      </c>
      <c r="AN46" s="12">
        <f>SUM('MDA1:NCA9'!AN46)</f>
        <v>714536.83620000014</v>
      </c>
    </row>
    <row r="47" spans="2:40" outlineLevel="1" x14ac:dyDescent="0.25">
      <c r="B47" s="39" t="s">
        <v>40</v>
      </c>
      <c r="E47" s="12" cm="1">
        <f t="array" ref="E47">_xlfn.LET(_xlpm.data,_xlfn.VSTACK('MS:NCA9'!E47),_xlpm.states,_xlfn.VSTACK('MS:NCA9'!$B$2),
SUM(_xlfn._xlws.FILTER(_xlpm.data,(_xlpm.states="North Carolina")+(_xlpm.states="Arizona")+(_xlpm.states="Maryland"))))</f>
        <v>17550</v>
      </c>
      <c r="F47" s="12" cm="1">
        <f t="array" ref="F47">_xlfn.LET(_xlpm.data,_xlfn.VSTACK('MS:NCA9'!F47),_xlpm.states,_xlfn.VSTACK('MS:NCA9'!$B$2),
SUM(_xlfn._xlws.FILTER(_xlpm.data,(_xlpm.states="North Carolina")+(_xlpm.states="Arizona")+(_xlpm.states="Maryland"))))</f>
        <v>17550</v>
      </c>
      <c r="G47" s="12" cm="1">
        <f t="array" ref="G47">_xlfn.LET(_xlpm.data,_xlfn.VSTACK('MS:NCA9'!G47),_xlpm.states,_xlfn.VSTACK('MS:NCA9'!$B$2),
SUM(_xlfn._xlws.FILTER(_xlpm.data,(_xlpm.states="North Carolina")+(_xlpm.states="Arizona")+(_xlpm.states="Maryland"))))</f>
        <v>17550</v>
      </c>
      <c r="H47" s="12" cm="1">
        <f t="array" ref="H47">_xlfn.LET(_xlpm.data,_xlfn.VSTACK('MS:NCA9'!H47),_xlpm.states,_xlfn.VSTACK('MS:NCA9'!$B$2),
SUM(_xlfn._xlws.FILTER(_xlpm.data,(_xlpm.states="North Carolina")+(_xlpm.states="Arizona")+(_xlpm.states="Maryland"))))</f>
        <v>17550</v>
      </c>
      <c r="I47" s="12" cm="1">
        <f t="array" ref="I47">_xlfn.LET(_xlpm.data,_xlfn.VSTACK('MS:NCA9'!I47),_xlpm.states,_xlfn.VSTACK('MS:NCA9'!$B$2),
SUM(_xlfn._xlws.FILTER(_xlpm.data,(_xlpm.states="North Carolina")+(_xlpm.states="Arizona")+(_xlpm.states="Maryland"))))</f>
        <v>17550</v>
      </c>
      <c r="J47" s="12" cm="1">
        <f t="array" ref="J47">_xlfn.LET(_xlpm.data,_xlfn.VSTACK('MS:NCA9'!J47),_xlpm.states,_xlfn.VSTACK('MS:NCA9'!$B$2),
SUM(_xlfn._xlws.FILTER(_xlpm.data,(_xlpm.states="North Carolina")+(_xlpm.states="Arizona")+(_xlpm.states="Maryland"))))</f>
        <v>22300</v>
      </c>
      <c r="K47" s="12" cm="1">
        <f t="array" ref="K47">_xlfn.LET(_xlpm.data,_xlfn.VSTACK('MS:NCA9'!K47),_xlpm.states,_xlfn.VSTACK('MS:NCA9'!$B$2),
SUM(_xlfn._xlws.FILTER(_xlpm.data,(_xlpm.states="North Carolina")+(_xlpm.states="Arizona")+(_xlpm.states="Maryland"))))</f>
        <v>28050</v>
      </c>
      <c r="L47" s="12" cm="1">
        <f t="array" ref="L47">_xlfn.LET(_xlpm.data,_xlfn.VSTACK('MS:NCA9'!L47),_xlpm.states,_xlfn.VSTACK('MS:NCA9'!$B$2),
SUM(_xlfn._xlws.FILTER(_xlpm.data,(_xlpm.states="North Carolina")+(_xlpm.states="Arizona")+(_xlpm.states="Maryland"))))</f>
        <v>28050</v>
      </c>
      <c r="M47" s="12" cm="1">
        <f t="array" ref="M47">_xlfn.LET(_xlpm.data,_xlfn.VSTACK('MS:NCA9'!M47),_xlpm.states,_xlfn.VSTACK('MS:NCA9'!$B$2),
SUM(_xlfn._xlws.FILTER(_xlpm.data,(_xlpm.states="North Carolina")+(_xlpm.states="Arizona")+(_xlpm.states="Maryland"))))</f>
        <v>28050</v>
      </c>
      <c r="N47" s="12" cm="1">
        <f t="array" ref="N47">_xlfn.LET(_xlpm.data,_xlfn.VSTACK('MS:NCA9'!N47),_xlpm.states,_xlfn.VSTACK('MS:NCA9'!$B$2),
SUM(_xlfn._xlws.FILTER(_xlpm.data,(_xlpm.states="North Carolina")+(_xlpm.states="Arizona")+(_xlpm.states="Maryland"))))</f>
        <v>32000</v>
      </c>
      <c r="O47" s="12" cm="1">
        <f t="array" ref="O47">_xlfn.LET(_xlpm.data,_xlfn.VSTACK('MS:NCA9'!O47),_xlpm.states,_xlfn.VSTACK('MS:NCA9'!$B$2),
SUM(_xlfn._xlws.FILTER(_xlpm.data,(_xlpm.states="North Carolina")+(_xlpm.states="Arizona")+(_xlpm.states="Maryland"))))</f>
        <v>32000</v>
      </c>
      <c r="P47" s="12" cm="1">
        <f t="array" ref="P47">_xlfn.LET(_xlpm.data,_xlfn.VSTACK('MS:NCA9'!P47),_xlpm.states,_xlfn.VSTACK('MS:NCA9'!$B$2),
SUM(_xlfn._xlws.FILTER(_xlpm.data,(_xlpm.states="North Carolina")+(_xlpm.states="Arizona")+(_xlpm.states="Maryland"))))</f>
        <v>32000</v>
      </c>
      <c r="Q47" s="12">
        <f>SUM('MDA1:NCA9'!Q47)</f>
        <v>92347.5</v>
      </c>
      <c r="R47" s="12">
        <f>SUM('MDA1:NCA9'!R47)</f>
        <v>92347.5</v>
      </c>
      <c r="S47" s="12">
        <f>SUM('MDA1:NCA9'!S47)</f>
        <v>98647.5</v>
      </c>
      <c r="T47" s="12">
        <f>SUM('MDA1:NCA9'!T47)</f>
        <v>98647.5</v>
      </c>
      <c r="U47" s="12">
        <f>SUM('MDA1:NCA9'!U47)</f>
        <v>98647.5</v>
      </c>
      <c r="V47" s="12">
        <f>SUM('MDA1:NCA9'!V47)</f>
        <v>98647.5</v>
      </c>
      <c r="W47" s="12">
        <f>SUM('MDA1:NCA9'!W47)</f>
        <v>109935</v>
      </c>
      <c r="X47" s="12">
        <f>SUM('MDA1:NCA9'!X47)</f>
        <v>122272.5</v>
      </c>
      <c r="Y47" s="12">
        <f>SUM('MDA1:NCA9'!Y47)</f>
        <v>122272.5</v>
      </c>
      <c r="Z47" s="12">
        <f>SUM('MDA1:NCA9'!Z47)</f>
        <v>122272.5</v>
      </c>
      <c r="AA47" s="12">
        <f>SUM('MDA1:NCA9'!AA47)</f>
        <v>128572.5</v>
      </c>
      <c r="AB47" s="12">
        <f>SUM('MDA1:NCA9'!AB47)</f>
        <v>134872.5</v>
      </c>
      <c r="AC47" s="12">
        <f>SUM('MDA1:NCA9'!AC47)</f>
        <v>141616.125</v>
      </c>
      <c r="AD47" s="12">
        <f>SUM('MDA1:NCA9'!AD47)</f>
        <v>141616.125</v>
      </c>
      <c r="AE47" s="12">
        <f>SUM('MDA1:NCA9'!AE47)</f>
        <v>141616.125</v>
      </c>
      <c r="AF47" s="12">
        <f>SUM('MDA1:NCA9'!AF47)</f>
        <v>141616.125</v>
      </c>
      <c r="AG47" s="12">
        <f>SUM('MDA1:NCA9'!AG47)</f>
        <v>141616.125</v>
      </c>
      <c r="AH47" s="12">
        <f>SUM('MDA1:NCA9'!AH47)</f>
        <v>153192.375</v>
      </c>
      <c r="AI47" s="12">
        <f>SUM('MDA1:NCA9'!AI47)</f>
        <v>159807.375</v>
      </c>
      <c r="AJ47" s="12">
        <f>SUM('MDA1:NCA9'!AJ47)</f>
        <v>166422.375</v>
      </c>
      <c r="AK47" s="12">
        <f>SUM('MDA1:NCA9'!AK47)</f>
        <v>173037.375</v>
      </c>
      <c r="AL47" s="12">
        <f>SUM('MDA1:NCA9'!AL47)</f>
        <v>179652.375</v>
      </c>
      <c r="AM47" s="12">
        <f>SUM('MDA1:NCA9'!AM47)</f>
        <v>186267.375</v>
      </c>
      <c r="AN47" s="12">
        <f>SUM('MDA1:NCA9'!AN47)</f>
        <v>186267.375</v>
      </c>
    </row>
    <row r="48" spans="2:40" outlineLevel="1" x14ac:dyDescent="0.25">
      <c r="B48" s="39" t="s">
        <v>41</v>
      </c>
      <c r="E48" s="12" cm="1">
        <f t="array" ref="E48">_xlfn.LET(_xlpm.data,_xlfn.VSTACK('MS:NCA9'!E48),_xlpm.states,_xlfn.VSTACK('MS:NCA9'!$B$2),
SUM(_xlfn._xlws.FILTER(_xlpm.data,(_xlpm.states="North Carolina")+(_xlpm.states="Arizona")+(_xlpm.states="Maryland"))))</f>
        <v>0</v>
      </c>
      <c r="F48" s="12" cm="1">
        <f t="array" ref="F48">_xlfn.LET(_xlpm.data,_xlfn.VSTACK('MS:NCA9'!F48),_xlpm.states,_xlfn.VSTACK('MS:NCA9'!$B$2),
SUM(_xlfn._xlws.FILTER(_xlpm.data,(_xlpm.states="North Carolina")+(_xlpm.states="Arizona")+(_xlpm.states="Maryland"))))</f>
        <v>0</v>
      </c>
      <c r="G48" s="12" cm="1">
        <f t="array" ref="G48">_xlfn.LET(_xlpm.data,_xlfn.VSTACK('MS:NCA9'!G48),_xlpm.states,_xlfn.VSTACK('MS:NCA9'!$B$2),
SUM(_xlfn._xlws.FILTER(_xlpm.data,(_xlpm.states="North Carolina")+(_xlpm.states="Arizona")+(_xlpm.states="Maryland"))))</f>
        <v>0</v>
      </c>
      <c r="H48" s="12" cm="1">
        <f t="array" ref="H48">_xlfn.LET(_xlpm.data,_xlfn.VSTACK('MS:NCA9'!H48),_xlpm.states,_xlfn.VSTACK('MS:NCA9'!$B$2),
SUM(_xlfn._xlws.FILTER(_xlpm.data,(_xlpm.states="North Carolina")+(_xlpm.states="Arizona")+(_xlpm.states="Maryland"))))</f>
        <v>104139</v>
      </c>
      <c r="I48" s="12" cm="1">
        <f t="array" ref="I48">_xlfn.LET(_xlpm.data,_xlfn.VSTACK('MS:NCA9'!I48),_xlpm.states,_xlfn.VSTACK('MS:NCA9'!$B$2),
SUM(_xlfn._xlws.FILTER(_xlpm.data,(_xlpm.states="North Carolina")+(_xlpm.states="Arizona")+(_xlpm.states="Maryland"))))</f>
        <v>126877.11</v>
      </c>
      <c r="J48" s="12" cm="1">
        <f t="array" ref="J48">_xlfn.LET(_xlpm.data,_xlfn.VSTACK('MS:NCA9'!J48),_xlpm.states,_xlfn.VSTACK('MS:NCA9'!$B$2),
SUM(_xlfn._xlws.FILTER(_xlpm.data,(_xlpm.states="North Carolina")+(_xlpm.states="Arizona")+(_xlpm.states="Maryland"))))</f>
        <v>0</v>
      </c>
      <c r="K48" s="12" cm="1">
        <f t="array" ref="K48">_xlfn.LET(_xlpm.data,_xlfn.VSTACK('MS:NCA9'!K48),_xlpm.states,_xlfn.VSTACK('MS:NCA9'!$B$2),
SUM(_xlfn._xlws.FILTER(_xlpm.data,(_xlpm.states="North Carolina")+(_xlpm.states="Arizona")+(_xlpm.states="Maryland"))))</f>
        <v>0</v>
      </c>
      <c r="L48" s="12" cm="1">
        <f t="array" ref="L48">_xlfn.LET(_xlpm.data,_xlfn.VSTACK('MS:NCA9'!L48),_xlpm.states,_xlfn.VSTACK('MS:NCA9'!$B$2),
SUM(_xlfn._xlws.FILTER(_xlpm.data,(_xlpm.states="North Carolina")+(_xlpm.states="Arizona")+(_xlpm.states="Maryland"))))</f>
        <v>103139</v>
      </c>
      <c r="M48" s="12" cm="1">
        <f t="array" ref="M48">_xlfn.LET(_xlpm.data,_xlfn.VSTACK('MS:NCA9'!M48),_xlpm.states,_xlfn.VSTACK('MS:NCA9'!$B$2),
SUM(_xlfn._xlws.FILTER(_xlpm.data,(_xlpm.states="North Carolina")+(_xlpm.states="Arizona")+(_xlpm.states="Maryland"))))</f>
        <v>0</v>
      </c>
      <c r="N48" s="12" cm="1">
        <f t="array" ref="N48">_xlfn.LET(_xlpm.data,_xlfn.VSTACK('MS:NCA9'!N48),_xlpm.states,_xlfn.VSTACK('MS:NCA9'!$B$2),
SUM(_xlfn._xlws.FILTER(_xlpm.data,(_xlpm.states="North Carolina")+(_xlpm.states="Arizona")+(_xlpm.states="Maryland"))))</f>
        <v>0</v>
      </c>
      <c r="O48" s="12" cm="1">
        <f t="array" ref="O48">_xlfn.LET(_xlpm.data,_xlfn.VSTACK('MS:NCA9'!O48),_xlpm.states,_xlfn.VSTACK('MS:NCA9'!$B$2),
SUM(_xlfn._xlws.FILTER(_xlpm.data,(_xlpm.states="North Carolina")+(_xlpm.states="Arizona")+(_xlpm.states="Maryland"))))</f>
        <v>0</v>
      </c>
      <c r="P48" s="12" cm="1">
        <f t="array" ref="P48">_xlfn.LET(_xlpm.data,_xlfn.VSTACK('MS:NCA9'!P48),_xlpm.states,_xlfn.VSTACK('MS:NCA9'!$B$2),
SUM(_xlfn._xlws.FILTER(_xlpm.data,(_xlpm.states="North Carolina")+(_xlpm.states="Arizona")+(_xlpm.states="Maryland"))))</f>
        <v>0</v>
      </c>
      <c r="Q48" s="12">
        <f>SUM('MDA1:NCA9'!Q48)</f>
        <v>151234.47</v>
      </c>
      <c r="R48" s="12">
        <f>SUM('MDA1:NCA9'!R48)</f>
        <v>0</v>
      </c>
      <c r="S48" s="12">
        <f>SUM('MDA1:NCA9'!S48)</f>
        <v>0</v>
      </c>
      <c r="T48" s="12">
        <f>SUM('MDA1:NCA9'!T48)</f>
        <v>0</v>
      </c>
      <c r="U48" s="12">
        <f>SUM('MDA1:NCA9'!U48)</f>
        <v>255373.47</v>
      </c>
      <c r="V48" s="12">
        <f>SUM('MDA1:NCA9'!V48)</f>
        <v>278111.58</v>
      </c>
      <c r="W48" s="12">
        <f>SUM('MDA1:NCA9'!W48)</f>
        <v>0</v>
      </c>
      <c r="X48" s="12">
        <f>SUM('MDA1:NCA9'!X48)</f>
        <v>0</v>
      </c>
      <c r="Y48" s="12">
        <f>SUM('MDA1:NCA9'!Y48)</f>
        <v>151234.47</v>
      </c>
      <c r="Z48" s="12">
        <f>SUM('MDA1:NCA9'!Z48)</f>
        <v>151234.47</v>
      </c>
      <c r="AA48" s="12">
        <f>SUM('MDA1:NCA9'!AA48)</f>
        <v>0</v>
      </c>
      <c r="AB48" s="12">
        <f>SUM('MDA1:NCA9'!AB48)</f>
        <v>0</v>
      </c>
      <c r="AC48" s="12">
        <f>SUM('MDA1:NCA9'!AC48)</f>
        <v>0</v>
      </c>
      <c r="AD48" s="12">
        <f>SUM('MDA1:NCA9'!AD48)</f>
        <v>0</v>
      </c>
      <c r="AE48" s="12">
        <f>SUM('MDA1:NCA9'!AE48)</f>
        <v>0</v>
      </c>
      <c r="AF48" s="12">
        <f>SUM('MDA1:NCA9'!AF48)</f>
        <v>231016.11</v>
      </c>
      <c r="AG48" s="12">
        <f>SUM('MDA1:NCA9'!AG48)</f>
        <v>151234.47</v>
      </c>
      <c r="AH48" s="12">
        <f>SUM('MDA1:NCA9'!AH48)</f>
        <v>151234.47</v>
      </c>
      <c r="AI48" s="12">
        <f>SUM('MDA1:NCA9'!AI48)</f>
        <v>151234.47</v>
      </c>
      <c r="AJ48" s="12">
        <f>SUM('MDA1:NCA9'!AJ48)</f>
        <v>151234.47</v>
      </c>
      <c r="AK48" s="12">
        <f>SUM('MDA1:NCA9'!AK48)</f>
        <v>151234.47</v>
      </c>
      <c r="AL48" s="12">
        <f>SUM('MDA1:NCA9'!AL48)</f>
        <v>0</v>
      </c>
      <c r="AM48" s="12">
        <f>SUM('MDA1:NCA9'!AM48)</f>
        <v>0</v>
      </c>
      <c r="AN48" s="12">
        <f>SUM('MDA1:NCA9'!AN48)</f>
        <v>0</v>
      </c>
    </row>
    <row r="49" spans="2:40" outlineLevel="1" x14ac:dyDescent="0.25">
      <c r="B49" s="39" t="s">
        <v>42</v>
      </c>
      <c r="E49" s="12" cm="1">
        <f t="array" ref="E49">_xlfn.LET(_xlpm.data,_xlfn.VSTACK('MS:NCA9'!E49),_xlpm.states,_xlfn.VSTACK('MS:NCA9'!$B$2),
SUM(_xlfn._xlws.FILTER(_xlpm.data,(_xlpm.states="North Carolina")+(_xlpm.states="Arizona")+(_xlpm.states="Maryland"))))</f>
        <v>661498.3655199958</v>
      </c>
      <c r="F49" s="12" cm="1">
        <f t="array" ref="F49">_xlfn.LET(_xlpm.data,_xlfn.VSTACK('MS:NCA9'!F49),_xlpm.states,_xlfn.VSTACK('MS:NCA9'!$B$2),
SUM(_xlfn._xlws.FILTER(_xlpm.data,(_xlpm.states="North Carolina")+(_xlpm.states="Arizona")+(_xlpm.states="Maryland"))))</f>
        <v>635446.56666915584</v>
      </c>
      <c r="G49" s="12" cm="1">
        <f t="array" ref="G49">_xlfn.LET(_xlpm.data,_xlfn.VSTACK('MS:NCA9'!G49),_xlpm.states,_xlfn.VSTACK('MS:NCA9'!$B$2),
SUM(_xlfn._xlws.FILTER(_xlpm.data,(_xlpm.states="North Carolina")+(_xlpm.states="Arizona")+(_xlpm.states="Maryland"))))</f>
        <v>593869.82896241243</v>
      </c>
      <c r="H49" s="12" cm="1">
        <f t="array" ref="H49">_xlfn.LET(_xlpm.data,_xlfn.VSTACK('MS:NCA9'!H49),_xlpm.states,_xlfn.VSTACK('MS:NCA9'!$B$2),
SUM(_xlfn._xlws.FILTER(_xlpm.data,(_xlpm.states="North Carolina")+(_xlpm.states="Arizona")+(_xlpm.states="Maryland"))))</f>
        <v>551065.99429237202</v>
      </c>
      <c r="I49" s="12" cm="1">
        <f t="array" ref="I49">_xlfn.LET(_xlpm.data,_xlfn.VSTACK('MS:NCA9'!I49),_xlpm.states,_xlfn.VSTACK('MS:NCA9'!$B$2),
SUM(_xlfn._xlws.FILTER(_xlpm.data,(_xlpm.states="North Carolina")+(_xlpm.states="Arizona")+(_xlpm.states="Maryland"))))</f>
        <v>525031.55391936807</v>
      </c>
      <c r="J49" s="12" cm="1">
        <f t="array" ref="J49">_xlfn.LET(_xlpm.data,_xlfn.VSTACK('MS:NCA9'!J49),_xlpm.states,_xlfn.VSTACK('MS:NCA9'!$B$2),
SUM(_xlfn._xlws.FILTER(_xlpm.data,(_xlpm.states="North Carolina")+(_xlpm.states="Arizona")+(_xlpm.states="Maryland"))))</f>
        <v>508938.35765983374</v>
      </c>
      <c r="K49" s="12" cm="1">
        <f t="array" ref="K49">_xlfn.LET(_xlpm.data,_xlfn.VSTACK('MS:NCA9'!K49),_xlpm.states,_xlfn.VSTACK('MS:NCA9'!$B$2),
SUM(_xlfn._xlws.FILTER(_xlpm.data,(_xlpm.states="North Carolina")+(_xlpm.states="Arizona")+(_xlpm.states="Maryland"))))</f>
        <v>498879.8996407825</v>
      </c>
      <c r="L49" s="12" cm="1">
        <f t="array" ref="L49">_xlfn.LET(_xlpm.data,_xlfn.VSTACK('MS:NCA9'!L49),_xlpm.states,_xlfn.VSTACK('MS:NCA9'!$B$2),
SUM(_xlfn._xlws.FILTER(_xlpm.data,(_xlpm.states="North Carolina")+(_xlpm.states="Arizona")+(_xlpm.states="Maryland"))))</f>
        <v>482191.86757846788</v>
      </c>
      <c r="M49" s="12" cm="1">
        <f t="array" ref="M49">_xlfn.LET(_xlpm.data,_xlfn.VSTACK('MS:NCA9'!M49),_xlpm.states,_xlfn.VSTACK('MS:NCA9'!$B$2),
SUM(_xlfn._xlws.FILTER(_xlpm.data,(_xlpm.states="North Carolina")+(_xlpm.states="Arizona")+(_xlpm.states="Maryland"))))</f>
        <v>462825.51467931003</v>
      </c>
      <c r="N49" s="12" cm="1">
        <f t="array" ref="N49">_xlfn.LET(_xlpm.data,_xlfn.VSTACK('MS:NCA9'!N49),_xlpm.states,_xlfn.VSTACK('MS:NCA9'!$B$2),
SUM(_xlfn._xlws.FILTER(_xlpm.data,(_xlpm.states="North Carolina")+(_xlpm.states="Arizona")+(_xlpm.states="Maryland"))))</f>
        <v>450511.09620256588</v>
      </c>
      <c r="O49" s="12" cm="1">
        <f t="array" ref="O49">_xlfn.LET(_xlpm.data,_xlfn.VSTACK('MS:NCA9'!O49),_xlpm.states,_xlfn.VSTACK('MS:NCA9'!$B$2),
SUM(_xlfn._xlws.FILTER(_xlpm.data,(_xlpm.states="North Carolina")+(_xlpm.states="Arizona")+(_xlpm.states="Maryland"))))</f>
        <v>437876.37207412935</v>
      </c>
      <c r="P49" s="12" cm="1">
        <f t="array" ref="P49">_xlfn.LET(_xlpm.data,_xlfn.VSTACK('MS:NCA9'!P49),_xlpm.states,_xlfn.VSTACK('MS:NCA9'!$B$2),
SUM(_xlfn._xlws.FILTER(_xlpm.data,(_xlpm.states="North Carolina")+(_xlpm.states="Arizona")+(_xlpm.states="Maryland"))))</f>
        <v>429891.60879783856</v>
      </c>
      <c r="Q49" s="12">
        <f>SUM('MDA1:NCA9'!Q49)</f>
        <v>1235366.2997663692</v>
      </c>
      <c r="R49" s="12">
        <f>SUM('MDA1:NCA9'!R49)</f>
        <v>1254440.3988459557</v>
      </c>
      <c r="S49" s="12">
        <f>SUM('MDA1:NCA9'!S49)</f>
        <v>1274945.055356513</v>
      </c>
      <c r="T49" s="12">
        <f>SUM('MDA1:NCA9'!T49)</f>
        <v>1295926.564344058</v>
      </c>
      <c r="U49" s="12">
        <f>SUM('MDA1:NCA9'!U49)</f>
        <v>1313093.2535156868</v>
      </c>
      <c r="V49" s="12">
        <f>SUM('MDA1:NCA9'!V49)</f>
        <v>1329306.2377333359</v>
      </c>
      <c r="W49" s="12">
        <f>SUM('MDA1:NCA9'!W49)</f>
        <v>1347903.4843359338</v>
      </c>
      <c r="X49" s="12">
        <f>SUM('MDA1:NCA9'!X49)</f>
        <v>1366977.5834155208</v>
      </c>
      <c r="Y49" s="12">
        <f>SUM('MDA1:NCA9'!Y49)</f>
        <v>1383190.5676331706</v>
      </c>
      <c r="Z49" s="12">
        <f>SUM('MDA1:NCA9'!Z49)</f>
        <v>1401310.9617587775</v>
      </c>
      <c r="AA49" s="12">
        <f>SUM('MDA1:NCA9'!AA49)</f>
        <v>1419431.3558843846</v>
      </c>
      <c r="AB49" s="12">
        <f>SUM('MDA1:NCA9'!AB49)</f>
        <v>1436121.1925790235</v>
      </c>
      <c r="AC49" s="12">
        <f>SUM('MDA1:NCA9'!AC49)</f>
        <v>1582735.3219456479</v>
      </c>
      <c r="AD49" s="12">
        <f>SUM('MDA1:NCA9'!AD49)</f>
        <v>1599475.0597558618</v>
      </c>
      <c r="AE49" s="12">
        <f>SUM('MDA1:NCA9'!AE49)</f>
        <v>1615168.5639529373</v>
      </c>
      <c r="AF49" s="12">
        <f>SUM('MDA1:NCA9'!AF49)</f>
        <v>1629815.8345368737</v>
      </c>
      <c r="AG49" s="12">
        <f>SUM('MDA1:NCA9'!AG49)</f>
        <v>1643416.8715076724</v>
      </c>
      <c r="AH49" s="12">
        <f>SUM('MDA1:NCA9'!AH49)</f>
        <v>1660156.6093178864</v>
      </c>
      <c r="AI49" s="12">
        <f>SUM('MDA1:NCA9'!AI49)</f>
        <v>1680035.0479675143</v>
      </c>
      <c r="AJ49" s="12">
        <f>SUM('MDA1:NCA9'!AJ49)</f>
        <v>1699390.3698105738</v>
      </c>
      <c r="AK49" s="12">
        <f>SUM('MDA1:NCA9'!AK49)</f>
        <v>1718222.5748470637</v>
      </c>
      <c r="AL49" s="12">
        <f>SUM('MDA1:NCA9'!AL49)</f>
        <v>1736008.5462704173</v>
      </c>
      <c r="AM49" s="12">
        <f>SUM('MDA1:NCA9'!AM49)</f>
        <v>1755886.9849200454</v>
      </c>
      <c r="AN49" s="12">
        <f>SUM('MDA1:NCA9'!AN49)</f>
        <v>1774196.073149967</v>
      </c>
    </row>
    <row r="50" spans="2:40" x14ac:dyDescent="0.25">
      <c r="B50" s="1" t="s">
        <v>272</v>
      </c>
      <c r="E50" s="13">
        <f>SUM(E40:E49)</f>
        <v>2006194.4508382299</v>
      </c>
      <c r="F50" s="13">
        <f t="shared" ref="F50:AN50" si="1">SUM(F40:F49)</f>
        <v>2024478.1957980848</v>
      </c>
      <c r="G50" s="13">
        <f t="shared" si="1"/>
        <v>2010165.6919544812</v>
      </c>
      <c r="H50" s="13">
        <f t="shared" si="1"/>
        <v>2086711.7251013555</v>
      </c>
      <c r="I50" s="13">
        <f t="shared" si="1"/>
        <v>2096897.1212603105</v>
      </c>
      <c r="J50" s="13">
        <f t="shared" si="1"/>
        <v>2038516.9431960939</v>
      </c>
      <c r="K50" s="13">
        <f t="shared" si="1"/>
        <v>2186031.6722994586</v>
      </c>
      <c r="L50" s="13">
        <f t="shared" si="1"/>
        <v>2310177.1250447291</v>
      </c>
      <c r="M50" s="13">
        <f t="shared" si="1"/>
        <v>2222222.3126075561</v>
      </c>
      <c r="N50" s="13">
        <f t="shared" si="1"/>
        <v>2294596.2475104448</v>
      </c>
      <c r="O50" s="13">
        <f t="shared" si="1"/>
        <v>2356534.9847693103</v>
      </c>
      <c r="P50" s="13">
        <f t="shared" si="1"/>
        <v>2413353.5373474555</v>
      </c>
      <c r="Q50" s="13">
        <f t="shared" si="1"/>
        <v>6776413.8350646086</v>
      </c>
      <c r="R50" s="13">
        <f t="shared" si="1"/>
        <v>6887556.8061849596</v>
      </c>
      <c r="S50" s="13">
        <f t="shared" si="1"/>
        <v>7237843.2421215922</v>
      </c>
      <c r="T50" s="13">
        <f t="shared" si="1"/>
        <v>7513816.3931873282</v>
      </c>
      <c r="U50" s="13">
        <f t="shared" si="1"/>
        <v>7977546.7517453106</v>
      </c>
      <c r="V50" s="13">
        <f t="shared" si="1"/>
        <v>8209317.3810447697</v>
      </c>
      <c r="W50" s="13">
        <f t="shared" si="1"/>
        <v>8296693.5229084194</v>
      </c>
      <c r="X50" s="13">
        <f t="shared" si="1"/>
        <v>8693081.5092784315</v>
      </c>
      <c r="Y50" s="13">
        <f t="shared" si="1"/>
        <v>9084926.1104561035</v>
      </c>
      <c r="Z50" s="13">
        <f t="shared" si="1"/>
        <v>9319280.3028787076</v>
      </c>
      <c r="AA50" s="13">
        <f t="shared" si="1"/>
        <v>9465373.0002609249</v>
      </c>
      <c r="AB50" s="13">
        <f t="shared" si="1"/>
        <v>9760114.8082392588</v>
      </c>
      <c r="AC50" s="13">
        <f t="shared" si="1"/>
        <v>10866645.630166911</v>
      </c>
      <c r="AD50" s="13">
        <f t="shared" si="1"/>
        <v>11080039.896314804</v>
      </c>
      <c r="AE50" s="13">
        <f t="shared" si="1"/>
        <v>11297263.398888148</v>
      </c>
      <c r="AF50" s="13">
        <f t="shared" si="1"/>
        <v>11738498.755298782</v>
      </c>
      <c r="AG50" s="13">
        <f t="shared" si="1"/>
        <v>11838560.562925182</v>
      </c>
      <c r="AH50" s="13">
        <f t="shared" si="1"/>
        <v>12192322.474875296</v>
      </c>
      <c r="AI50" s="13">
        <f t="shared" si="1"/>
        <v>12555112.338387616</v>
      </c>
      <c r="AJ50" s="13">
        <f t="shared" si="1"/>
        <v>12899676.484996751</v>
      </c>
      <c r="AK50" s="13">
        <f t="shared" si="1"/>
        <v>13244153.098851224</v>
      </c>
      <c r="AL50" s="13">
        <f t="shared" si="1"/>
        <v>13429336.327592514</v>
      </c>
      <c r="AM50" s="13">
        <f t="shared" si="1"/>
        <v>13777721.765295574</v>
      </c>
      <c r="AN50" s="13">
        <f t="shared" si="1"/>
        <v>14058838.329720523</v>
      </c>
    </row>
    <row r="51" spans="2:40" x14ac:dyDescent="0.25">
      <c r="B51" s="1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</row>
    <row r="52" spans="2:40" x14ac:dyDescent="0.25">
      <c r="B52" s="1" t="s">
        <v>48</v>
      </c>
      <c r="E52" s="74">
        <f>E37-E50</f>
        <v>74027.733874676982</v>
      </c>
      <c r="F52" s="74">
        <f t="shared" ref="F52:AN52" si="2">F37-F50</f>
        <v>105195.07482081675</v>
      </c>
      <c r="G52" s="74">
        <f t="shared" si="2"/>
        <v>178512.20961890486</v>
      </c>
      <c r="H52" s="74">
        <f t="shared" si="2"/>
        <v>133258.17087790836</v>
      </c>
      <c r="I52" s="74">
        <f t="shared" si="2"/>
        <v>149650.73726104386</v>
      </c>
      <c r="J52" s="74">
        <f t="shared" si="2"/>
        <v>292128.92866936768</v>
      </c>
      <c r="K52" s="74">
        <f t="shared" si="2"/>
        <v>303516.84868651349</v>
      </c>
      <c r="L52" s="74">
        <f t="shared" si="2"/>
        <v>237902.02759729698</v>
      </c>
      <c r="M52" s="74">
        <f t="shared" si="2"/>
        <v>389044.65740524419</v>
      </c>
      <c r="N52" s="74">
        <f t="shared" si="2"/>
        <v>407063.76470097853</v>
      </c>
      <c r="O52" s="74">
        <f t="shared" si="2"/>
        <v>454337.13629141496</v>
      </c>
      <c r="P52" s="74">
        <f t="shared" si="2"/>
        <v>515571.06469357898</v>
      </c>
      <c r="Q52" s="74">
        <f t="shared" si="2"/>
        <v>-3647562.6905914093</v>
      </c>
      <c r="R52" s="74">
        <f t="shared" si="2"/>
        <v>-3651276.3402378391</v>
      </c>
      <c r="S52" s="74">
        <f t="shared" si="2"/>
        <v>-3898668.1066320147</v>
      </c>
      <c r="T52" s="74">
        <f t="shared" si="2"/>
        <v>-4072293.3589662178</v>
      </c>
      <c r="U52" s="74">
        <f t="shared" si="2"/>
        <v>-4438172.2980955262</v>
      </c>
      <c r="V52" s="74">
        <f t="shared" si="2"/>
        <v>-4562739.5758437514</v>
      </c>
      <c r="W52" s="74">
        <f t="shared" si="2"/>
        <v>-4497627.7499447288</v>
      </c>
      <c r="X52" s="74">
        <f t="shared" si="2"/>
        <v>-4749981.6697158748</v>
      </c>
      <c r="Y52" s="74">
        <f t="shared" si="2"/>
        <v>-5034654.2789840167</v>
      </c>
      <c r="Z52" s="74">
        <f t="shared" si="2"/>
        <v>-5161836.4794970881</v>
      </c>
      <c r="AA52" s="74">
        <f t="shared" si="2"/>
        <v>-5205612.6377894767</v>
      </c>
      <c r="AB52" s="74">
        <f t="shared" si="2"/>
        <v>-5425546.9322347362</v>
      </c>
      <c r="AC52" s="74">
        <f t="shared" si="2"/>
        <v>-6452961.5586205376</v>
      </c>
      <c r="AD52" s="74">
        <f t="shared" si="2"/>
        <v>-6587239.6292265812</v>
      </c>
      <c r="AE52" s="74">
        <f t="shared" si="2"/>
        <v>-6744532.324400289</v>
      </c>
      <c r="AF52" s="74">
        <f t="shared" si="2"/>
        <v>-7120671.0729172491</v>
      </c>
      <c r="AG52" s="74">
        <f t="shared" si="2"/>
        <v>-7151327.5906411996</v>
      </c>
      <c r="AH52" s="74">
        <f t="shared" si="2"/>
        <v>-7344404.7466013161</v>
      </c>
      <c r="AI52" s="74">
        <f t="shared" si="2"/>
        <v>-7581310.0763350679</v>
      </c>
      <c r="AJ52" s="74">
        <f t="shared" si="2"/>
        <v>-7804298.37117441</v>
      </c>
      <c r="AK52" s="74">
        <f t="shared" si="2"/>
        <v>-8050946.2476179963</v>
      </c>
      <c r="AL52" s="74">
        <f t="shared" si="2"/>
        <v>-8166724.1864568368</v>
      </c>
      <c r="AM52" s="74">
        <f t="shared" si="2"/>
        <v>-8445704.3342574462</v>
      </c>
      <c r="AN52" s="74">
        <f t="shared" si="2"/>
        <v>-8661724.2907887213</v>
      </c>
    </row>
    <row r="53" spans="2:40" x14ac:dyDescent="0.25">
      <c r="B53" s="1"/>
      <c r="E53" s="109">
        <f>IFERROR(E52/E37,"")</f>
        <v>3.5586455340535471E-2</v>
      </c>
      <c r="F53" s="109">
        <f t="shared" ref="F53:AN53" si="3">IFERROR(F52/F37,"")</f>
        <v>4.9394935961348731E-2</v>
      </c>
      <c r="G53" s="109">
        <f t="shared" si="3"/>
        <v>8.1561663089199599E-2</v>
      </c>
      <c r="H53" s="109">
        <f t="shared" si="3"/>
        <v>6.0027017086700662E-2</v>
      </c>
      <c r="I53" s="109">
        <f t="shared" si="3"/>
        <v>6.6613643102863537E-2</v>
      </c>
      <c r="J53" s="109">
        <f t="shared" si="3"/>
        <v>0.12534247789242478</v>
      </c>
      <c r="K53" s="109">
        <f t="shared" si="3"/>
        <v>0.1219164222460333</v>
      </c>
      <c r="L53" s="109">
        <f t="shared" si="3"/>
        <v>9.3365242343678212E-2</v>
      </c>
      <c r="M53" s="109">
        <f t="shared" si="3"/>
        <v>0.14898693311444028</v>
      </c>
      <c r="N53" s="109">
        <f t="shared" si="3"/>
        <v>0.15067172140871254</v>
      </c>
      <c r="O53" s="109">
        <f t="shared" si="3"/>
        <v>0.16163564784297763</v>
      </c>
      <c r="P53" s="109">
        <f t="shared" si="3"/>
        <v>0.17602742806499727</v>
      </c>
      <c r="Q53" s="109">
        <f t="shared" si="3"/>
        <v>-1.1657833889076066</v>
      </c>
      <c r="R53" s="109">
        <f t="shared" si="3"/>
        <v>-1.1282323576888345</v>
      </c>
      <c r="S53" s="109">
        <f t="shared" si="3"/>
        <v>-1.1675542457165566</v>
      </c>
      <c r="T53" s="109">
        <f t="shared" si="3"/>
        <v>-1.1832823196221507</v>
      </c>
      <c r="U53" s="109">
        <f t="shared" si="3"/>
        <v>-1.2539425698569153</v>
      </c>
      <c r="V53" s="109">
        <f t="shared" si="3"/>
        <v>-1.2512387832054581</v>
      </c>
      <c r="W53" s="109">
        <f t="shared" si="3"/>
        <v>-1.1838773052976346</v>
      </c>
      <c r="X53" s="109">
        <f t="shared" si="3"/>
        <v>-1.2046313466520879</v>
      </c>
      <c r="Y53" s="109">
        <f t="shared" si="3"/>
        <v>-1.2430410818017004</v>
      </c>
      <c r="Z53" s="109">
        <f t="shared" si="3"/>
        <v>-1.2415889904432929</v>
      </c>
      <c r="AA53" s="109">
        <f t="shared" si="3"/>
        <v>-1.2220435411463519</v>
      </c>
      <c r="AB53" s="109">
        <f t="shared" si="3"/>
        <v>-1.2516926917374394</v>
      </c>
      <c r="AC53" s="109">
        <f t="shared" si="3"/>
        <v>-1.4620352191088488</v>
      </c>
      <c r="AD53" s="109">
        <f t="shared" si="3"/>
        <v>-1.4661768246144986</v>
      </c>
      <c r="AE53" s="109">
        <f t="shared" si="3"/>
        <v>-1.4814255913762679</v>
      </c>
      <c r="AF53" s="109">
        <f t="shared" si="3"/>
        <v>-1.5419958393174462</v>
      </c>
      <c r="AG53" s="109">
        <f t="shared" si="3"/>
        <v>-1.5257034657606361</v>
      </c>
      <c r="AH53" s="109">
        <f t="shared" si="3"/>
        <v>-1.5149606817309107</v>
      </c>
      <c r="AI53" s="109">
        <f t="shared" si="3"/>
        <v>-1.5242483872301096</v>
      </c>
      <c r="AJ53" s="109">
        <f t="shared" si="3"/>
        <v>-1.5316426370799692</v>
      </c>
      <c r="AK53" s="109">
        <f t="shared" si="3"/>
        <v>-1.5502841458560701</v>
      </c>
      <c r="AL53" s="109">
        <f t="shared" si="3"/>
        <v>-1.5518385105033503</v>
      </c>
      <c r="AM53" s="109">
        <f t="shared" si="3"/>
        <v>-1.5839603758784213</v>
      </c>
      <c r="AN53" s="109">
        <f t="shared" si="3"/>
        <v>-1.6048807248295709</v>
      </c>
    </row>
    <row r="54" spans="2:40" x14ac:dyDescent="0.25">
      <c r="B54" s="39" t="s">
        <v>296</v>
      </c>
      <c r="C54" s="12">
        <v>53455.242566182867</v>
      </c>
      <c r="E54" s="67">
        <f>E67*_xlfn.XLOOKUP(YEAR($E$25),Base!$BJ$4:$BL$4,Base!$BJ$276:$BL$276,0,0)/12</f>
        <v>48745.043644914316</v>
      </c>
      <c r="F54" s="67">
        <f>F67*_xlfn.XLOOKUP(YEAR($E$25),Base!$BJ$4:$BL$4,Base!$BJ$276:$BL$276,0,0)/12</f>
        <v>61242.928974323062</v>
      </c>
      <c r="G54" s="67">
        <f>G67*_xlfn.XLOOKUP(YEAR($E$25),Base!$BJ$4:$BL$4,Base!$BJ$276:$BL$276,0,0)/12</f>
        <v>73992.778216616716</v>
      </c>
      <c r="H54" s="67">
        <f>H67*_xlfn.XLOOKUP(YEAR($E$25),Base!$BJ$4:$BL$4,Base!$BJ$276:$BL$276,0,0)/12</f>
        <v>85060.754023145055</v>
      </c>
      <c r="I54" s="67">
        <f>I67*_xlfn.XLOOKUP(YEAR($E$25),Base!$BJ$4:$BL$4,Base!$BJ$276:$BL$276,0,0)/12</f>
        <v>99165.654385448841</v>
      </c>
      <c r="J54" s="67">
        <f>J67*_xlfn.XLOOKUP(YEAR($E$25),Base!$BJ$4:$BL$4,Base!$BJ$276:$BL$276,0,0)/12</f>
        <v>112499.11271012748</v>
      </c>
      <c r="K54" s="67">
        <f>K67*_xlfn.XLOOKUP(YEAR($E$25),Base!$BJ$4:$BL$4,Base!$BJ$276:$BL$276,0,0)/12</f>
        <v>125051.58782908683</v>
      </c>
      <c r="L54" s="67">
        <f>L67*_xlfn.XLOOKUP(YEAR($E$25),Base!$BJ$4:$BL$4,Base!$BJ$276:$BL$276,0,0)/12</f>
        <v>137944.52956500131</v>
      </c>
      <c r="M54" s="67">
        <f>M67*_xlfn.XLOOKUP(YEAR($E$25),Base!$BJ$4:$BL$4,Base!$BJ$276:$BL$276,0,0)/12</f>
        <v>150990.2546613031</v>
      </c>
      <c r="N54" s="67">
        <f>N67*_xlfn.XLOOKUP(YEAR($E$25),Base!$BJ$4:$BL$4,Base!$BJ$276:$BL$276,0,0)/12</f>
        <v>164252.67433893241</v>
      </c>
      <c r="O54" s="67">
        <f>O67*_xlfn.XLOOKUP(YEAR($E$25),Base!$BJ$4:$BL$4,Base!$BJ$276:$BL$276,0,0)/12</f>
        <v>174982.32502575227</v>
      </c>
      <c r="P54" s="67">
        <f>P67*_xlfn.XLOOKUP(YEAR($E$25),Base!$BJ$4:$BL$4,Base!$BJ$276:$BL$276,0,0)/12</f>
        <v>185083.70075892584</v>
      </c>
      <c r="Q54" s="67">
        <f>Q67*_xlfn.XLOOKUP(YEAR($E$25),Base!$BJ$4:$BL$4,Base!$BJ$276:$BL$276,0,0)/12</f>
        <v>252302.21893475697</v>
      </c>
      <c r="R54" s="67">
        <f>R67*_xlfn.XLOOKUP(YEAR($E$25),Base!$BJ$4:$BL$4,Base!$BJ$276:$BL$276,0,0)/12</f>
        <v>294484.92314814887</v>
      </c>
      <c r="S54" s="67">
        <f>S67*_xlfn.XLOOKUP(YEAR($E$25),Base!$BJ$4:$BL$4,Base!$BJ$276:$BL$276,0,0)/12</f>
        <v>337361.36220324942</v>
      </c>
      <c r="T54" s="67">
        <f>T67*_xlfn.XLOOKUP(YEAR($E$25),Base!$BJ$4:$BL$4,Base!$BJ$276:$BL$276,0,0)/12</f>
        <v>381393.88794098498</v>
      </c>
      <c r="U54" s="67">
        <f>U67*_xlfn.XLOOKUP(YEAR($E$25),Base!$BJ$4:$BL$4,Base!$BJ$276:$BL$276,0,0)/12</f>
        <v>431809.17200310738</v>
      </c>
      <c r="V54" s="67">
        <f>V67*_xlfn.XLOOKUP(YEAR($E$25),Base!$BJ$4:$BL$4,Base!$BJ$276:$BL$276,0,0)/12</f>
        <v>487113.41317034216</v>
      </c>
      <c r="W54" s="67">
        <f>W67*_xlfn.XLOOKUP(YEAR($E$25),Base!$BJ$4:$BL$4,Base!$BJ$276:$BL$276,0,0)/12</f>
        <v>540831.38615086931</v>
      </c>
      <c r="X54" s="67">
        <f>X67*_xlfn.XLOOKUP(YEAR($E$25),Base!$BJ$4:$BL$4,Base!$BJ$276:$BL$276,0,0)/12</f>
        <v>596739.94919216482</v>
      </c>
      <c r="Y54" s="67">
        <f>Y67*_xlfn.XLOOKUP(YEAR($E$25),Base!$BJ$4:$BL$4,Base!$BJ$276:$BL$276,0,0)/12</f>
        <v>657539.9557904785</v>
      </c>
      <c r="Z54" s="67">
        <f>Z67*_xlfn.XLOOKUP(YEAR($E$25),Base!$BJ$4:$BL$4,Base!$BJ$276:$BL$276,0,0)/12</f>
        <v>722925.36722076789</v>
      </c>
      <c r="AA54" s="67">
        <f>AA67*_xlfn.XLOOKUP(YEAR($E$25),Base!$BJ$4:$BL$4,Base!$BJ$276:$BL$276,0,0)/12</f>
        <v>787863.77599331725</v>
      </c>
      <c r="AB54" s="67">
        <f>AB67*_xlfn.XLOOKUP(YEAR($E$25),Base!$BJ$4:$BL$4,Base!$BJ$276:$BL$276,0,0)/12</f>
        <v>852086.98279818892</v>
      </c>
      <c r="AC54" s="67">
        <f>AC67*_xlfn.XLOOKUP(YEAR($E$25),Base!$BJ$4:$BL$4,Base!$BJ$276:$BL$276,0,0)/12</f>
        <v>874005.62057918066</v>
      </c>
      <c r="AD54" s="67">
        <f>AD67*_xlfn.XLOOKUP(YEAR($E$25),Base!$BJ$4:$BL$4,Base!$BJ$276:$BL$276,0,0)/12</f>
        <v>949153.61567270337</v>
      </c>
      <c r="AE54" s="67">
        <f>AE67*_xlfn.XLOOKUP(YEAR($E$25),Base!$BJ$4:$BL$4,Base!$BJ$276:$BL$276,0,0)/12</f>
        <v>1025392.742041045</v>
      </c>
      <c r="AF54" s="67">
        <f>AF67*_xlfn.XLOOKUP(YEAR($E$25),Base!$BJ$4:$BL$4,Base!$BJ$276:$BL$276,0,0)/12</f>
        <v>1104781.4616164137</v>
      </c>
      <c r="AG54" s="67">
        <f>AG67*_xlfn.XLOOKUP(YEAR($E$25),Base!$BJ$4:$BL$4,Base!$BJ$276:$BL$276,0,0)/12</f>
        <v>1186206.2237612228</v>
      </c>
      <c r="AH54" s="67">
        <f>AH67*_xlfn.XLOOKUP(YEAR($E$25),Base!$BJ$4:$BL$4,Base!$BJ$276:$BL$276,0,0)/12</f>
        <v>1271841.8910709133</v>
      </c>
      <c r="AI54" s="67">
        <f>AI67*_xlfn.XLOOKUP(YEAR($E$25),Base!$BJ$4:$BL$4,Base!$BJ$276:$BL$276,0,0)/12</f>
        <v>1362067.8166082012</v>
      </c>
      <c r="AJ54" s="67">
        <f>AJ67*_xlfn.XLOOKUP(YEAR($E$25),Base!$BJ$4:$BL$4,Base!$BJ$276:$BL$276,0,0)/12</f>
        <v>1456142.0150625305</v>
      </c>
      <c r="AK54" s="67">
        <f>AK67*_xlfn.XLOOKUP(YEAR($E$25),Base!$BJ$4:$BL$4,Base!$BJ$276:$BL$276,0,0)/12</f>
        <v>1554950.2832665367</v>
      </c>
      <c r="AL54" s="67">
        <f>AL67*_xlfn.XLOOKUP(YEAR($E$25),Base!$BJ$4:$BL$4,Base!$BJ$276:$BL$276,0,0)/12</f>
        <v>1654430.2394631633</v>
      </c>
      <c r="AM54" s="67">
        <f>AM67*_xlfn.XLOOKUP(YEAR($E$25),Base!$BJ$4:$BL$4,Base!$BJ$276:$BL$276,0,0)/12</f>
        <v>1756067.4196338609</v>
      </c>
      <c r="AN54" s="67">
        <f>AN67*_xlfn.XLOOKUP(YEAR($E$25),Base!$BJ$4:$BL$4,Base!$BJ$276:$BL$276,0,0)/12</f>
        <v>1859482.8569219538</v>
      </c>
    </row>
    <row r="55" spans="2:40" x14ac:dyDescent="0.25">
      <c r="B55" s="39"/>
      <c r="C55" s="12"/>
      <c r="E55" s="67"/>
      <c r="F55" s="67"/>
      <c r="G55" s="67"/>
      <c r="H55" s="67"/>
      <c r="I55" s="67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  <c r="AA55" s="67"/>
      <c r="AB55" s="67"/>
      <c r="AC55" s="67"/>
      <c r="AD55" s="67"/>
      <c r="AE55" s="67"/>
      <c r="AF55" s="67"/>
      <c r="AG55" s="67"/>
      <c r="AH55" s="67"/>
      <c r="AI55" s="67"/>
      <c r="AJ55" s="67"/>
      <c r="AK55" s="67"/>
      <c r="AL55" s="67"/>
      <c r="AM55" s="67"/>
      <c r="AN55" s="67"/>
    </row>
    <row r="56" spans="2:40" x14ac:dyDescent="0.25">
      <c r="B56" s="1" t="s">
        <v>274</v>
      </c>
      <c r="E56" s="74">
        <f t="shared" ref="E56:AN56" si="4">E52-E54</f>
        <v>25282.690229762666</v>
      </c>
      <c r="F56" s="74">
        <f t="shared" si="4"/>
        <v>43952.145846493688</v>
      </c>
      <c r="G56" s="74">
        <f t="shared" si="4"/>
        <v>104519.43140228814</v>
      </c>
      <c r="H56" s="74">
        <f t="shared" si="4"/>
        <v>48197.416854763302</v>
      </c>
      <c r="I56" s="74">
        <f t="shared" si="4"/>
        <v>50485.082875595021</v>
      </c>
      <c r="J56" s="74">
        <f t="shared" si="4"/>
        <v>179629.81595924019</v>
      </c>
      <c r="K56" s="74">
        <f t="shared" si="4"/>
        <v>178465.26085742668</v>
      </c>
      <c r="L56" s="74">
        <f t="shared" si="4"/>
        <v>99957.498032295669</v>
      </c>
      <c r="M56" s="74">
        <f t="shared" si="4"/>
        <v>238054.40274394109</v>
      </c>
      <c r="N56" s="74">
        <f t="shared" si="4"/>
        <v>242811.09036204612</v>
      </c>
      <c r="O56" s="74">
        <f t="shared" si="4"/>
        <v>279354.81126566266</v>
      </c>
      <c r="P56" s="74">
        <f t="shared" si="4"/>
        <v>330487.36393465311</v>
      </c>
      <c r="Q56" s="74">
        <f t="shared" si="4"/>
        <v>-3899864.9095261665</v>
      </c>
      <c r="R56" s="74">
        <f t="shared" si="4"/>
        <v>-3945761.2633859878</v>
      </c>
      <c r="S56" s="74">
        <f t="shared" si="4"/>
        <v>-4236029.4688352644</v>
      </c>
      <c r="T56" s="74">
        <f t="shared" si="4"/>
        <v>-4453687.2469072025</v>
      </c>
      <c r="U56" s="74">
        <f t="shared" si="4"/>
        <v>-4869981.4700986333</v>
      </c>
      <c r="V56" s="74">
        <f t="shared" si="4"/>
        <v>-5049852.9890140938</v>
      </c>
      <c r="W56" s="74">
        <f t="shared" si="4"/>
        <v>-5038459.1360955983</v>
      </c>
      <c r="X56" s="74">
        <f t="shared" si="4"/>
        <v>-5346721.6189080393</v>
      </c>
      <c r="Y56" s="74">
        <f t="shared" si="4"/>
        <v>-5692194.2347744955</v>
      </c>
      <c r="Z56" s="74">
        <f t="shared" si="4"/>
        <v>-5884761.8467178559</v>
      </c>
      <c r="AA56" s="74">
        <f t="shared" si="4"/>
        <v>-5993476.413782794</v>
      </c>
      <c r="AB56" s="74">
        <f t="shared" si="4"/>
        <v>-6277633.9150329251</v>
      </c>
      <c r="AC56" s="74">
        <f t="shared" si="4"/>
        <v>-7326967.1791997179</v>
      </c>
      <c r="AD56" s="74">
        <f t="shared" si="4"/>
        <v>-7536393.2448992841</v>
      </c>
      <c r="AE56" s="74">
        <f t="shared" si="4"/>
        <v>-7769925.0664413339</v>
      </c>
      <c r="AF56" s="74">
        <f t="shared" si="4"/>
        <v>-8225452.5345336627</v>
      </c>
      <c r="AG56" s="74">
        <f t="shared" si="4"/>
        <v>-8337533.8144024219</v>
      </c>
      <c r="AH56" s="74">
        <f t="shared" si="4"/>
        <v>-8616246.6376722287</v>
      </c>
      <c r="AI56" s="74">
        <f t="shared" si="4"/>
        <v>-8943377.8929432686</v>
      </c>
      <c r="AJ56" s="74">
        <f t="shared" si="4"/>
        <v>-9260440.3862369396</v>
      </c>
      <c r="AK56" s="74">
        <f t="shared" si="4"/>
        <v>-9605896.5308845323</v>
      </c>
      <c r="AL56" s="74">
        <f t="shared" si="4"/>
        <v>-9821154.4259200003</v>
      </c>
      <c r="AM56" s="74">
        <f t="shared" si="4"/>
        <v>-10201771.753891308</v>
      </c>
      <c r="AN56" s="74">
        <f t="shared" si="4"/>
        <v>-10521207.147710675</v>
      </c>
    </row>
    <row r="57" spans="2:40" x14ac:dyDescent="0.25">
      <c r="B57" s="1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</row>
    <row r="58" spans="2:40" x14ac:dyDescent="0.25">
      <c r="B58" t="s">
        <v>57</v>
      </c>
      <c r="C58" s="12">
        <f>SUM('MDA1:NCA9'!C55)</f>
        <v>33374520</v>
      </c>
      <c r="D58" s="12">
        <f>SUM('MDA1:NCA9'!D55)</f>
        <v>4444740</v>
      </c>
      <c r="E58" s="12">
        <f>SUM('MDA1:NCA9'!E55)</f>
        <v>945666.66666666663</v>
      </c>
      <c r="F58" s="12">
        <f>SUM('MDA1:NCA9'!F55)</f>
        <v>1180833.3333333333</v>
      </c>
      <c r="G58" s="12">
        <f>SUM('MDA1:NCA9'!G55)</f>
        <v>1180833.3333333333</v>
      </c>
      <c r="H58" s="12">
        <f>SUM('MDA1:NCA9'!H55)</f>
        <v>838306.66666666663</v>
      </c>
      <c r="I58" s="12">
        <f>SUM('MDA1:NCA9'!I55)</f>
        <v>1204613.3333333333</v>
      </c>
      <c r="J58" s="12">
        <f>SUM('MDA1:NCA9'!J55)</f>
        <v>1204613.3333333333</v>
      </c>
      <c r="K58" s="12">
        <f>SUM('MDA1:NCA9'!K55)</f>
        <v>967780</v>
      </c>
      <c r="L58" s="12">
        <f>SUM('MDA1:NCA9'!L55)</f>
        <v>883819.99999999988</v>
      </c>
      <c r="M58" s="12">
        <f>SUM('MDA1:NCA9'!M55)</f>
        <v>1118986.6666666667</v>
      </c>
      <c r="N58" s="12">
        <f>SUM('MDA1:NCA9'!N55)</f>
        <v>987846.66666666663</v>
      </c>
      <c r="O58" s="12">
        <f>SUM('MDA1:NCA9'!O55)</f>
        <v>621540</v>
      </c>
      <c r="P58" s="12">
        <f>SUM('MDA1:NCA9'!P55)</f>
        <v>621540</v>
      </c>
      <c r="Q58" s="12">
        <f>SUM('MDA1:NCA9'!Q55)</f>
        <v>621540</v>
      </c>
      <c r="R58" s="12">
        <f>SUM('MDA1:NCA9'!R55)</f>
        <v>470333.33333333331</v>
      </c>
      <c r="S58" s="12">
        <f>SUM('MDA1:NCA9'!S55)</f>
        <v>235166.66666666666</v>
      </c>
      <c r="T58" s="12">
        <f>SUM('MDA1:NCA9'!T55)</f>
        <v>235166.66666666666</v>
      </c>
      <c r="U58" s="12">
        <f>SUM('MDA1:NCA9'!U55)</f>
        <v>601473.33333333326</v>
      </c>
      <c r="V58" s="12">
        <f>SUM('MDA1:NCA9'!V55)</f>
        <v>967780</v>
      </c>
      <c r="W58" s="12">
        <f>SUM('MDA1:NCA9'!W55)</f>
        <v>732613.33333333326</v>
      </c>
      <c r="X58" s="12">
        <f>SUM('MDA1:NCA9'!X55)</f>
        <v>732613.33333333326</v>
      </c>
      <c r="Y58" s="12">
        <f>SUM('MDA1:NCA9'!Y55)</f>
        <v>967780</v>
      </c>
      <c r="Z58" s="12">
        <f>SUM('MDA1:NCA9'!Z55)</f>
        <v>1202946.6666666665</v>
      </c>
      <c r="AA58" s="12">
        <f>SUM('MDA1:NCA9'!AA55)</f>
        <v>836640</v>
      </c>
      <c r="AB58" s="12">
        <f>SUM('MDA1:NCA9'!AB55)</f>
        <v>470333.33333333331</v>
      </c>
      <c r="AC58" s="12">
        <f>SUM('MDA1:NCA9'!AC55)</f>
        <v>470333.33333333331</v>
      </c>
      <c r="AD58" s="12">
        <f>SUM('MDA1:NCA9'!AD55)</f>
        <v>470333.33333333331</v>
      </c>
      <c r="AE58" s="12">
        <f>SUM('MDA1:NCA9'!AE55)</f>
        <v>235166.66666666666</v>
      </c>
      <c r="AF58" s="12">
        <f>SUM('MDA1:NCA9'!AF55)</f>
        <v>262280</v>
      </c>
      <c r="AG58" s="12">
        <f>SUM('MDA1:NCA9'!AG55)</f>
        <v>497446.66666666663</v>
      </c>
      <c r="AH58" s="12">
        <f>SUM('MDA1:NCA9'!AH55)</f>
        <v>732613.33333333326</v>
      </c>
      <c r="AI58" s="12">
        <f>SUM('MDA1:NCA9'!AI55)</f>
        <v>967780</v>
      </c>
      <c r="AJ58" s="12">
        <f>SUM('MDA1:NCA9'!AJ55)</f>
        <v>1202946.6666666665</v>
      </c>
      <c r="AK58" s="12">
        <f>SUM('MDA1:NCA9'!AK55)</f>
        <v>1438113.3333333333</v>
      </c>
      <c r="AL58" s="12">
        <f>SUM('MDA1:NCA9'!AL55)</f>
        <v>1175833.3333333333</v>
      </c>
      <c r="AM58" s="12">
        <f>SUM('MDA1:NCA9'!AM55)</f>
        <v>940666.66666666663</v>
      </c>
      <c r="AN58" s="12">
        <f>SUM('MDA1:NCA9'!AN55)</f>
        <v>705500</v>
      </c>
    </row>
    <row r="59" spans="2:40" x14ac:dyDescent="0.25">
      <c r="B59" t="s">
        <v>469</v>
      </c>
      <c r="E59" s="12">
        <f>SUM('MDA1:NCA9'!E56)</f>
        <v>-557962.8872970693</v>
      </c>
      <c r="F59" s="12">
        <f>SUM('MDA1:NCA9'!F56)</f>
        <v>-542001.40843040263</v>
      </c>
      <c r="G59" s="12">
        <f>SUM('MDA1:NCA9'!G56)</f>
        <v>-636415.84628373594</v>
      </c>
      <c r="H59" s="12">
        <f>SUM('MDA1:NCA9'!H56)</f>
        <v>-696688.83353173581</v>
      </c>
      <c r="I59" s="12">
        <f>SUM('MDA1:NCA9'!I56)</f>
        <v>-740630.03154506919</v>
      </c>
      <c r="J59" s="12">
        <f>SUM('MDA1:NCA9'!J56)</f>
        <v>-766144.3842410692</v>
      </c>
      <c r="K59" s="12">
        <f>SUM('MDA1:NCA9'!K56)</f>
        <v>-896901.08517096832</v>
      </c>
      <c r="L59" s="12">
        <f>SUM('MDA1:NCA9'!L56)</f>
        <v>-948089.33789014095</v>
      </c>
      <c r="M59" s="12">
        <f>SUM('MDA1:NCA9'!M56)</f>
        <v>-871543.47401381307</v>
      </c>
      <c r="N59" s="12">
        <f>SUM('MDA1:NCA9'!N56)</f>
        <v>-1036549.4670569168</v>
      </c>
      <c r="O59" s="12">
        <f>SUM('MDA1:NCA9'!O56)</f>
        <v>-1099164.553528463</v>
      </c>
      <c r="P59" s="12">
        <f>SUM('MDA1:NCA9'!P56)</f>
        <v>-1065898.8374242999</v>
      </c>
      <c r="Q59" s="12">
        <f>SUM('MDA1:NCA9'!Q56)</f>
        <v>-1108282.6987604888</v>
      </c>
      <c r="R59" s="12">
        <f>SUM('MDA1:NCA9'!R56)</f>
        <v>-1250448.6692796517</v>
      </c>
      <c r="S59" s="12">
        <f>SUM('MDA1:NCA9'!S56)</f>
        <v>-1288538.8442332458</v>
      </c>
      <c r="T59" s="12">
        <f>SUM('MDA1:NCA9'!T56)</f>
        <v>-1226182.0438619414</v>
      </c>
      <c r="U59" s="12">
        <f>SUM('MDA1:NCA9'!U56)</f>
        <v>-1300998.3555798025</v>
      </c>
      <c r="V59" s="12">
        <f>SUM('MDA1:NCA9'!V56)</f>
        <v>-1411570.0744511185</v>
      </c>
      <c r="W59" s="12">
        <f>SUM('MDA1:NCA9'!W56)</f>
        <v>-1445041.9009552174</v>
      </c>
      <c r="X59" s="12">
        <f>SUM('MDA1:NCA9'!X56)</f>
        <v>-1431048.6829726612</v>
      </c>
      <c r="Y59" s="12">
        <f>SUM('MDA1:NCA9'!Y56)</f>
        <v>-1507493.3182656388</v>
      </c>
      <c r="Z59" s="12">
        <f>SUM('MDA1:NCA9'!Z56)</f>
        <v>-1695731.7554177016</v>
      </c>
      <c r="AA59" s="12">
        <f>SUM('MDA1:NCA9'!AA56)</f>
        <v>-1893276.4979963324</v>
      </c>
      <c r="AB59" s="12">
        <f>SUM('MDA1:NCA9'!AB56)</f>
        <v>-1879350.1990881674</v>
      </c>
      <c r="AC59" s="12">
        <f>SUM('MDA1:NCA9'!AC56)</f>
        <v>-1947103.162713493</v>
      </c>
      <c r="AD59" s="12">
        <f>SUM('MDA1:NCA9'!AD56)</f>
        <v>-2088154.0959972769</v>
      </c>
      <c r="AE59" s="12">
        <f>SUM('MDA1:NCA9'!AE56)</f>
        <v>-2236364.242372551</v>
      </c>
      <c r="AF59" s="12">
        <f>SUM('MDA1:NCA9'!AF56)</f>
        <v>-2176818.7950908453</v>
      </c>
      <c r="AG59" s="12">
        <f>SUM('MDA1:NCA9'!AG56)</f>
        <v>-2103079.2337169265</v>
      </c>
      <c r="AH59" s="12">
        <f>SUM('MDA1:NCA9'!AH56)</f>
        <v>-2154864.670929532</v>
      </c>
      <c r="AI59" s="12">
        <f>SUM('MDA1:NCA9'!AI56)</f>
        <v>-2209191.4375657379</v>
      </c>
      <c r="AJ59" s="12">
        <f>SUM('MDA1:NCA9'!AJ56)</f>
        <v>-2173913.6061279951</v>
      </c>
      <c r="AK59" s="12">
        <f>SUM('MDA1:NCA9'!AK56)</f>
        <v>-2229234.1645202357</v>
      </c>
      <c r="AL59" s="12">
        <f>SUM('MDA1:NCA9'!AL56)</f>
        <v>-2366486.3564935462</v>
      </c>
      <c r="AM59" s="12">
        <f>SUM('MDA1:NCA9'!AM56)</f>
        <v>-2510822.7823724216</v>
      </c>
      <c r="AN59" s="12">
        <f>SUM('MDA1:NCA9'!AN56)</f>
        <v>-2665433.2613231037</v>
      </c>
    </row>
    <row r="60" spans="2:40" x14ac:dyDescent="0.25"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</row>
    <row r="61" spans="2:40" x14ac:dyDescent="0.25">
      <c r="B61" s="1" t="s">
        <v>468</v>
      </c>
      <c r="E61" s="13">
        <f>E37-E50-E58+E59</f>
        <v>-1429601.820089059</v>
      </c>
      <c r="F61" s="13">
        <f t="shared" ref="F61:AN61" si="5">F37-F50-F58+F59</f>
        <v>-1617639.6669429191</v>
      </c>
      <c r="G61" s="13">
        <f t="shared" si="5"/>
        <v>-1638736.9699981643</v>
      </c>
      <c r="H61" s="13">
        <f t="shared" si="5"/>
        <v>-1401737.3293204941</v>
      </c>
      <c r="I61" s="13">
        <f t="shared" si="5"/>
        <v>-1795592.6276173587</v>
      </c>
      <c r="J61" s="13">
        <f t="shared" si="5"/>
        <v>-1678628.7889050348</v>
      </c>
      <c r="K61" s="13">
        <f t="shared" si="5"/>
        <v>-1561164.2364844549</v>
      </c>
      <c r="L61" s="13">
        <f t="shared" si="5"/>
        <v>-1594007.3102928437</v>
      </c>
      <c r="M61" s="13">
        <f t="shared" si="5"/>
        <v>-1601485.4832752356</v>
      </c>
      <c r="N61" s="13">
        <f t="shared" si="5"/>
        <v>-1617332.369022605</v>
      </c>
      <c r="O61" s="13">
        <f t="shared" si="5"/>
        <v>-1266367.417237048</v>
      </c>
      <c r="P61" s="13">
        <f t="shared" si="5"/>
        <v>-1171867.7727307209</v>
      </c>
      <c r="Q61" s="13">
        <f t="shared" si="5"/>
        <v>-5377385.3893518988</v>
      </c>
      <c r="R61" s="13">
        <f t="shared" si="5"/>
        <v>-5372058.3428508248</v>
      </c>
      <c r="S61" s="13">
        <f t="shared" si="5"/>
        <v>-5422373.6175319273</v>
      </c>
      <c r="T61" s="13">
        <f t="shared" si="5"/>
        <v>-5533642.0694948258</v>
      </c>
      <c r="U61" s="13">
        <f t="shared" si="5"/>
        <v>-6340643.987008662</v>
      </c>
      <c r="V61" s="13">
        <f t="shared" si="5"/>
        <v>-6942089.6502948701</v>
      </c>
      <c r="W61" s="13">
        <f t="shared" si="5"/>
        <v>-6675282.9842332788</v>
      </c>
      <c r="X61" s="13">
        <f t="shared" si="5"/>
        <v>-6913643.6860218691</v>
      </c>
      <c r="Y61" s="13">
        <f t="shared" si="5"/>
        <v>-7509927.5972496551</v>
      </c>
      <c r="Z61" s="13">
        <f t="shared" si="5"/>
        <v>-8060514.901581456</v>
      </c>
      <c r="AA61" s="13">
        <f t="shared" si="5"/>
        <v>-7935529.1357858088</v>
      </c>
      <c r="AB61" s="13">
        <f t="shared" si="5"/>
        <v>-7775230.4646562366</v>
      </c>
      <c r="AC61" s="13">
        <f t="shared" si="5"/>
        <v>-8870398.0546673629</v>
      </c>
      <c r="AD61" s="13">
        <f t="shared" si="5"/>
        <v>-9145727.0585571919</v>
      </c>
      <c r="AE61" s="13">
        <f t="shared" si="5"/>
        <v>-9216063.233439507</v>
      </c>
      <c r="AF61" s="13">
        <f t="shared" si="5"/>
        <v>-9559769.8680080939</v>
      </c>
      <c r="AG61" s="13">
        <f t="shared" si="5"/>
        <v>-9751853.4910247922</v>
      </c>
      <c r="AH61" s="13">
        <f t="shared" si="5"/>
        <v>-10231882.750864182</v>
      </c>
      <c r="AI61" s="13">
        <f t="shared" si="5"/>
        <v>-10758281.513900807</v>
      </c>
      <c r="AJ61" s="13">
        <f t="shared" si="5"/>
        <v>-11181158.64396907</v>
      </c>
      <c r="AK61" s="13">
        <f t="shared" si="5"/>
        <v>-11718293.745471565</v>
      </c>
      <c r="AL61" s="13">
        <f t="shared" si="5"/>
        <v>-11709043.876283716</v>
      </c>
      <c r="AM61" s="13">
        <f t="shared" si="5"/>
        <v>-11897193.783296533</v>
      </c>
      <c r="AN61" s="13">
        <f t="shared" si="5"/>
        <v>-12032657.552111825</v>
      </c>
    </row>
    <row r="62" spans="2:40" x14ac:dyDescent="0.25">
      <c r="B62" t="s">
        <v>277</v>
      </c>
      <c r="E62" s="12" cm="1">
        <f t="array" ref="E62:AN62">_xlfn.SCAN(-D58,E61:AN61,_xlfn.LAMBDA(_xlpm.capex,_xlpm.fcf,_xlpm.capex+_xlpm.fcf))</f>
        <v>-5874341.820089059</v>
      </c>
      <c r="F62" s="12">
        <v>-7491981.4870319776</v>
      </c>
      <c r="G62" s="12">
        <v>-9130718.4570301417</v>
      </c>
      <c r="H62" s="12">
        <v>-10532455.786350636</v>
      </c>
      <c r="I62" s="12">
        <v>-12328048.413967995</v>
      </c>
      <c r="J62" s="12">
        <v>-14006677.202873029</v>
      </c>
      <c r="K62" s="12">
        <v>-15567841.439357484</v>
      </c>
      <c r="L62" s="12">
        <v>-17161848.749650329</v>
      </c>
      <c r="M62" s="12">
        <v>-18763334.232925564</v>
      </c>
      <c r="N62" s="12">
        <v>-20380666.601948168</v>
      </c>
      <c r="O62" s="12">
        <v>-21647034.019185215</v>
      </c>
      <c r="P62" s="12">
        <v>-22818901.791915935</v>
      </c>
      <c r="Q62" s="12">
        <v>-28196287.181267835</v>
      </c>
      <c r="R62" s="12">
        <v>-33568345.524118662</v>
      </c>
      <c r="S62" s="12">
        <v>-38990719.141650587</v>
      </c>
      <c r="T62" s="12">
        <v>-44524361.211145416</v>
      </c>
      <c r="U62" s="12">
        <v>-50865005.198154077</v>
      </c>
      <c r="V62" s="12">
        <v>-57807094.848448947</v>
      </c>
      <c r="W62" s="12">
        <v>-64482377.832682222</v>
      </c>
      <c r="X62" s="12">
        <v>-71396021.518704087</v>
      </c>
      <c r="Y62" s="12">
        <v>-78905949.115953743</v>
      </c>
      <c r="Z62" s="12">
        <v>-86966464.017535195</v>
      </c>
      <c r="AA62" s="12">
        <v>-94901993.153320998</v>
      </c>
      <c r="AB62" s="12">
        <v>-102677223.61797723</v>
      </c>
      <c r="AC62" s="12">
        <v>-111547621.6726446</v>
      </c>
      <c r="AD62" s="12">
        <v>-120693348.7312018</v>
      </c>
      <c r="AE62" s="12">
        <v>-129909411.9646413</v>
      </c>
      <c r="AF62" s="12">
        <v>-139469181.83264941</v>
      </c>
      <c r="AG62" s="12">
        <v>-149221035.3236742</v>
      </c>
      <c r="AH62" s="12">
        <v>-159452918.07453838</v>
      </c>
      <c r="AI62" s="12">
        <v>-170211199.5884392</v>
      </c>
      <c r="AJ62" s="12">
        <v>-181392358.23240826</v>
      </c>
      <c r="AK62" s="12">
        <v>-193110651.97787982</v>
      </c>
      <c r="AL62" s="12">
        <v>-204819695.85416353</v>
      </c>
      <c r="AM62" s="12">
        <v>-216716889.63746005</v>
      </c>
      <c r="AN62" s="12">
        <v>-228749547.18957189</v>
      </c>
    </row>
    <row r="64" spans="2:40" x14ac:dyDescent="0.25">
      <c r="B64" s="1" t="s">
        <v>219</v>
      </c>
      <c r="C64" s="1" t="s">
        <v>287</v>
      </c>
    </row>
    <row r="65" spans="2:40" x14ac:dyDescent="0.25">
      <c r="B65" s="39" t="s">
        <v>288</v>
      </c>
      <c r="E65" s="67">
        <f>C67+C54</f>
        <v>4869737.3325661831</v>
      </c>
      <c r="F65" s="67">
        <f t="shared" ref="F65:AN65" si="6">E67+E54</f>
        <v>6548084.1963001564</v>
      </c>
      <c r="G65" s="67">
        <f t="shared" si="6"/>
        <v>8226966.7922173981</v>
      </c>
      <c r="H65" s="67">
        <f t="shared" si="6"/>
        <v>9939696.5404321793</v>
      </c>
      <c r="I65" s="67">
        <f t="shared" si="6"/>
        <v>11426494.623775819</v>
      </c>
      <c r="J65" s="67">
        <f t="shared" si="6"/>
        <v>13321252.905778628</v>
      </c>
      <c r="K65" s="67">
        <f t="shared" si="6"/>
        <v>15112380.807393791</v>
      </c>
      <c r="L65" s="67">
        <f t="shared" si="6"/>
        <v>16798596.631707333</v>
      </c>
      <c r="M65" s="67">
        <f t="shared" si="6"/>
        <v>18530548.47156518</v>
      </c>
      <c r="N65" s="67">
        <f t="shared" si="6"/>
        <v>20283024.209501717</v>
      </c>
      <c r="O65" s="67">
        <f t="shared" si="6"/>
        <v>22064609.252863254</v>
      </c>
      <c r="P65" s="67">
        <f t="shared" si="6"/>
        <v>23505958.995126054</v>
      </c>
      <c r="Q65" s="67">
        <f t="shared" si="6"/>
        <v>24862910.468615703</v>
      </c>
      <c r="R65" s="67">
        <f t="shared" si="6"/>
        <v>33892598.07690236</v>
      </c>
      <c r="S65" s="67">
        <f t="shared" si="6"/>
        <v>39559141.342901334</v>
      </c>
      <c r="T65" s="67">
        <f t="shared" si="6"/>
        <v>45318876.322636507</v>
      </c>
      <c r="U65" s="67">
        <f t="shared" si="6"/>
        <v>51233912.280072324</v>
      </c>
      <c r="V65" s="67">
        <f t="shared" si="6"/>
        <v>58006365.43908409</v>
      </c>
      <c r="W65" s="67">
        <f t="shared" si="6"/>
        <v>65435568.502549306</v>
      </c>
      <c r="X65" s="67">
        <f t="shared" si="6"/>
        <v>72651682.872933447</v>
      </c>
      <c r="Y65" s="67">
        <f t="shared" si="6"/>
        <v>80162066.508147478</v>
      </c>
      <c r="Z65" s="67">
        <f t="shared" si="6"/>
        <v>88329534.06118761</v>
      </c>
      <c r="AA65" s="67">
        <f t="shared" si="6"/>
        <v>97112974.329989836</v>
      </c>
      <c r="AB65" s="67">
        <f t="shared" si="6"/>
        <v>105836367.24176896</v>
      </c>
      <c r="AC65" s="67">
        <f t="shared" si="6"/>
        <v>114463684.68922338</v>
      </c>
      <c r="AD65" s="67">
        <f t="shared" si="6"/>
        <v>117408088.36446993</v>
      </c>
      <c r="AE65" s="67">
        <f t="shared" si="6"/>
        <v>127502969.03869984</v>
      </c>
      <c r="AF65" s="67">
        <f t="shared" si="6"/>
        <v>137744425.01418039</v>
      </c>
      <c r="AG65" s="67">
        <f t="shared" si="6"/>
        <v>148408976.34380493</v>
      </c>
      <c r="AH65" s="67">
        <f t="shared" si="6"/>
        <v>159347036.05859095</v>
      </c>
      <c r="AI65" s="67">
        <f t="shared" si="6"/>
        <v>170850760.70052603</v>
      </c>
      <c r="AJ65" s="67">
        <f t="shared" si="6"/>
        <v>182971110.03103504</v>
      </c>
      <c r="AK65" s="67">
        <f t="shared" si="6"/>
        <v>195608410.69006664</v>
      </c>
      <c r="AL65" s="67">
        <f t="shared" si="6"/>
        <v>208881654.71880475</v>
      </c>
      <c r="AM65" s="67">
        <f t="shared" si="6"/>
        <v>222245128.8345516</v>
      </c>
      <c r="AN65" s="67">
        <f t="shared" si="6"/>
        <v>235898390.03748199</v>
      </c>
    </row>
    <row r="66" spans="2:40" x14ac:dyDescent="0.25">
      <c r="B66" s="39" t="s">
        <v>289</v>
      </c>
      <c r="C66" s="12"/>
      <c r="E66" s="67">
        <f>_xlfn.LET(_xlpm.fcf,E61,_xlpm.cash,C69,_xlpm.principal,E65,_xlpm.wc,_xlfn.XLOOKUP(YEAR(E$25),Base!$BJ$4:$BL$4,Base!$BJ$284:$BL$284,0,0),
IF(_xlpm.fcf&lt;0,MAX(0,_xlpm.wc-(_xlpm.cash+_xlpm.fcf)),-MIN(_xlpm.fcf,_xlpm.principal)+MAX(_xlpm.wc-_xlpm.cash,0)))</f>
        <v>1629601.820089059</v>
      </c>
      <c r="F66" s="67">
        <f>_xlfn.LET(_xlpm.fcf,F61,_xlpm.cash,E69,_xlpm.principal,F65,_xlpm.wc,_xlfn.XLOOKUP(YEAR(F$25),Base!$BJ$4:$BL$4,Base!$BJ$284:$BL$284,0,0),
IF(_xlpm.fcf&lt;0,MAX(0,_xlpm.wc-(_xlpm.cash+_xlpm.fcf)),-MIN(_xlpm.fcf,_xlpm.principal)+MAX(_xlpm.wc-_xlpm.cash,0)))</f>
        <v>1617639.6669429191</v>
      </c>
      <c r="G66" s="67">
        <f>_xlfn.LET(_xlpm.fcf,G61,_xlpm.cash,F69,_xlpm.principal,G65,_xlpm.wc,_xlfn.XLOOKUP(YEAR(G$25),Base!$BJ$4:$BL$4,Base!$BJ$284:$BL$284,0,0),
IF(_xlpm.fcf&lt;0,MAX(0,_xlpm.wc-(_xlpm.cash+_xlpm.fcf)),-MIN(_xlpm.fcf,_xlpm.principal)+MAX(_xlpm.wc-_xlpm.cash,0)))</f>
        <v>1638736.9699981643</v>
      </c>
      <c r="H66" s="67">
        <f>_xlfn.LET(_xlpm.fcf,H61,_xlpm.cash,G69,_xlpm.principal,H65,_xlpm.wc,_xlfn.XLOOKUP(YEAR(H$25),Base!$BJ$4:$BL$4,Base!$BJ$284:$BL$284,0,0),
IF(_xlpm.fcf&lt;0,MAX(0,_xlpm.wc-(_xlpm.cash+_xlpm.fcf)),-MIN(_xlpm.fcf,_xlpm.principal)+MAX(_xlpm.wc-_xlpm.cash,0)))</f>
        <v>1401737.3293204941</v>
      </c>
      <c r="I66" s="67">
        <f>_xlfn.LET(_xlpm.fcf,I61,_xlpm.cash,H69,_xlpm.principal,I65,_xlpm.wc,_xlfn.XLOOKUP(YEAR(I$25),Base!$BJ$4:$BL$4,Base!$BJ$284:$BL$284,0,0),
IF(_xlpm.fcf&lt;0,MAX(0,_xlpm.wc-(_xlpm.cash+_xlpm.fcf)),-MIN(_xlpm.fcf,_xlpm.principal)+MAX(_xlpm.wc-_xlpm.cash,0)))</f>
        <v>1795592.6276173587</v>
      </c>
      <c r="J66" s="67">
        <f>_xlfn.LET(_xlpm.fcf,J61,_xlpm.cash,I69,_xlpm.principal,J65,_xlpm.wc,_xlfn.XLOOKUP(YEAR(J$25),Base!$BJ$4:$BL$4,Base!$BJ$284:$BL$284,0,0),
IF(_xlpm.fcf&lt;0,MAX(0,_xlpm.wc-(_xlpm.cash+_xlpm.fcf)),-MIN(_xlpm.fcf,_xlpm.principal)+MAX(_xlpm.wc-_xlpm.cash,0)))</f>
        <v>1678628.7889050348</v>
      </c>
      <c r="K66" s="67">
        <f>_xlfn.LET(_xlpm.fcf,K61,_xlpm.cash,J69,_xlpm.principal,K65,_xlpm.wc,_xlfn.XLOOKUP(YEAR(K$25),Base!$BJ$4:$BL$4,Base!$BJ$284:$BL$284,0,0),
IF(_xlpm.fcf&lt;0,MAX(0,_xlpm.wc-(_xlpm.cash+_xlpm.fcf)),-MIN(_xlpm.fcf,_xlpm.principal)+MAX(_xlpm.wc-_xlpm.cash,0)))</f>
        <v>1561164.2364844549</v>
      </c>
      <c r="L66" s="67">
        <f>_xlfn.LET(_xlpm.fcf,L61,_xlpm.cash,K69,_xlpm.principal,L65,_xlpm.wc,_xlfn.XLOOKUP(YEAR(L$25),Base!$BJ$4:$BL$4,Base!$BJ$284:$BL$284,0,0),
IF(_xlpm.fcf&lt;0,MAX(0,_xlpm.wc-(_xlpm.cash+_xlpm.fcf)),-MIN(_xlpm.fcf,_xlpm.principal)+MAX(_xlpm.wc-_xlpm.cash,0)))</f>
        <v>1594007.3102928437</v>
      </c>
      <c r="M66" s="67">
        <f>_xlfn.LET(_xlpm.fcf,M61,_xlpm.cash,L69,_xlpm.principal,M65,_xlpm.wc,_xlfn.XLOOKUP(YEAR(M$25),Base!$BJ$4:$BL$4,Base!$BJ$284:$BL$284,0,0),
IF(_xlpm.fcf&lt;0,MAX(0,_xlpm.wc-(_xlpm.cash+_xlpm.fcf)),-MIN(_xlpm.fcf,_xlpm.principal)+MAX(_xlpm.wc-_xlpm.cash,0)))</f>
        <v>1601485.4832752356</v>
      </c>
      <c r="N66" s="67">
        <f>_xlfn.LET(_xlpm.fcf,N61,_xlpm.cash,M69,_xlpm.principal,N65,_xlpm.wc,_xlfn.XLOOKUP(YEAR(N$25),Base!$BJ$4:$BL$4,Base!$BJ$284:$BL$284,0,0),
IF(_xlpm.fcf&lt;0,MAX(0,_xlpm.wc-(_xlpm.cash+_xlpm.fcf)),-MIN(_xlpm.fcf,_xlpm.principal)+MAX(_xlpm.wc-_xlpm.cash,0)))</f>
        <v>1617332.369022605</v>
      </c>
      <c r="O66" s="67">
        <f>_xlfn.LET(_xlpm.fcf,O61,_xlpm.cash,N69,_xlpm.principal,O65,_xlpm.wc,_xlfn.XLOOKUP(YEAR(O$25),Base!$BJ$4:$BL$4,Base!$BJ$284:$BL$284,0,0),
IF(_xlpm.fcf&lt;0,MAX(0,_xlpm.wc-(_xlpm.cash+_xlpm.fcf)),-MIN(_xlpm.fcf,_xlpm.principal)+MAX(_xlpm.wc-_xlpm.cash,0)))</f>
        <v>1266367.417237048</v>
      </c>
      <c r="P66" s="67">
        <f>_xlfn.LET(_xlpm.fcf,P61,_xlpm.cash,O69,_xlpm.principal,P65,_xlpm.wc,_xlfn.XLOOKUP(YEAR(P$25),Base!$BJ$4:$BL$4,Base!$BJ$284:$BL$284,0,0),
IF(_xlpm.fcf&lt;0,MAX(0,_xlpm.wc-(_xlpm.cash+_xlpm.fcf)),-MIN(_xlpm.fcf,_xlpm.principal)+MAX(_xlpm.wc-_xlpm.cash,0)))</f>
        <v>1171867.7727307212</v>
      </c>
      <c r="Q66" s="67">
        <f>_xlfn.LET(_xlpm.fcf,Q61,_xlpm.cash,P69,_xlpm.principal,Q65,_xlpm.wc,_xlfn.XLOOKUP(YEAR(Q$25),Base!$BJ$4:$BL$4,Base!$BJ$284:$BL$284,0,0),
IF(_xlpm.fcf&lt;0,MAX(0,_xlpm.wc-(_xlpm.cash+_xlpm.fcf)),-MIN(_xlpm.fcf,_xlpm.principal)+MAX(_xlpm.wc-_xlpm.cash,0)))</f>
        <v>8777385.3893518988</v>
      </c>
      <c r="R66" s="67">
        <f>_xlfn.LET(_xlpm.fcf,R61,_xlpm.cash,Q69,_xlpm.principal,R65,_xlpm.wc,_xlfn.XLOOKUP(YEAR(R$25),Base!$BJ$4:$BL$4,Base!$BJ$284:$BL$284,0,0),
IF(_xlpm.fcf&lt;0,MAX(0,_xlpm.wc-(_xlpm.cash+_xlpm.fcf)),-MIN(_xlpm.fcf,_xlpm.principal)+MAX(_xlpm.wc-_xlpm.cash,0)))</f>
        <v>5372058.3428508248</v>
      </c>
      <c r="S66" s="67">
        <f>_xlfn.LET(_xlpm.fcf,S61,_xlpm.cash,R69,_xlpm.principal,S65,_xlpm.wc,_xlfn.XLOOKUP(YEAR(S$25),Base!$BJ$4:$BL$4,Base!$BJ$284:$BL$284,0,0),
IF(_xlpm.fcf&lt;0,MAX(0,_xlpm.wc-(_xlpm.cash+_xlpm.fcf)),-MIN(_xlpm.fcf,_xlpm.principal)+MAX(_xlpm.wc-_xlpm.cash,0)))</f>
        <v>5422373.6175319273</v>
      </c>
      <c r="T66" s="67">
        <f>_xlfn.LET(_xlpm.fcf,T61,_xlpm.cash,S69,_xlpm.principal,T65,_xlpm.wc,_xlfn.XLOOKUP(YEAR(T$25),Base!$BJ$4:$BL$4,Base!$BJ$284:$BL$284,0,0),
IF(_xlpm.fcf&lt;0,MAX(0,_xlpm.wc-(_xlpm.cash+_xlpm.fcf)),-MIN(_xlpm.fcf,_xlpm.principal)+MAX(_xlpm.wc-_xlpm.cash,0)))</f>
        <v>5533642.0694948258</v>
      </c>
      <c r="U66" s="67">
        <f>_xlfn.LET(_xlpm.fcf,U61,_xlpm.cash,T69,_xlpm.principal,U65,_xlpm.wc,_xlfn.XLOOKUP(YEAR(U$25),Base!$BJ$4:$BL$4,Base!$BJ$284:$BL$284,0,0),
IF(_xlpm.fcf&lt;0,MAX(0,_xlpm.wc-(_xlpm.cash+_xlpm.fcf)),-MIN(_xlpm.fcf,_xlpm.principal)+MAX(_xlpm.wc-_xlpm.cash,0)))</f>
        <v>6340643.987008662</v>
      </c>
      <c r="V66" s="67">
        <f>_xlfn.LET(_xlpm.fcf,V61,_xlpm.cash,U69,_xlpm.principal,V65,_xlpm.wc,_xlfn.XLOOKUP(YEAR(V$25),Base!$BJ$4:$BL$4,Base!$BJ$284:$BL$284,0,0),
IF(_xlpm.fcf&lt;0,MAX(0,_xlpm.wc-(_xlpm.cash+_xlpm.fcf)),-MIN(_xlpm.fcf,_xlpm.principal)+MAX(_xlpm.wc-_xlpm.cash,0)))</f>
        <v>6942089.6502948701</v>
      </c>
      <c r="W66" s="67">
        <f>_xlfn.LET(_xlpm.fcf,W61,_xlpm.cash,V69,_xlpm.principal,W65,_xlpm.wc,_xlfn.XLOOKUP(YEAR(W$25),Base!$BJ$4:$BL$4,Base!$BJ$284:$BL$284,0,0),
IF(_xlpm.fcf&lt;0,MAX(0,_xlpm.wc-(_xlpm.cash+_xlpm.fcf)),-MIN(_xlpm.fcf,_xlpm.principal)+MAX(_xlpm.wc-_xlpm.cash,0)))</f>
        <v>6675282.9842332788</v>
      </c>
      <c r="X66" s="67">
        <f>_xlfn.LET(_xlpm.fcf,X61,_xlpm.cash,W69,_xlpm.principal,X65,_xlpm.wc,_xlfn.XLOOKUP(YEAR(X$25),Base!$BJ$4:$BL$4,Base!$BJ$284:$BL$284,0,0),
IF(_xlpm.fcf&lt;0,MAX(0,_xlpm.wc-(_xlpm.cash+_xlpm.fcf)),-MIN(_xlpm.fcf,_xlpm.principal)+MAX(_xlpm.wc-_xlpm.cash,0)))</f>
        <v>6913643.6860218691</v>
      </c>
      <c r="Y66" s="67">
        <f>_xlfn.LET(_xlpm.fcf,Y61,_xlpm.cash,X69,_xlpm.principal,Y65,_xlpm.wc,_xlfn.XLOOKUP(YEAR(Y$25),Base!$BJ$4:$BL$4,Base!$BJ$284:$BL$284,0,0),
IF(_xlpm.fcf&lt;0,MAX(0,_xlpm.wc-(_xlpm.cash+_xlpm.fcf)),-MIN(_xlpm.fcf,_xlpm.principal)+MAX(_xlpm.wc-_xlpm.cash,0)))</f>
        <v>7509927.5972496551</v>
      </c>
      <c r="Z66" s="67">
        <f>_xlfn.LET(_xlpm.fcf,Z61,_xlpm.cash,Y69,_xlpm.principal,Z65,_xlpm.wc,_xlfn.XLOOKUP(YEAR(Z$25),Base!$BJ$4:$BL$4,Base!$BJ$284:$BL$284,0,0),
IF(_xlpm.fcf&lt;0,MAX(0,_xlpm.wc-(_xlpm.cash+_xlpm.fcf)),-MIN(_xlpm.fcf,_xlpm.principal)+MAX(_xlpm.wc-_xlpm.cash,0)))</f>
        <v>8060514.901581456</v>
      </c>
      <c r="AA66" s="67">
        <f>_xlfn.LET(_xlpm.fcf,AA61,_xlpm.cash,Z69,_xlpm.principal,AA65,_xlpm.wc,_xlfn.XLOOKUP(YEAR(AA$25),Base!$BJ$4:$BL$4,Base!$BJ$284:$BL$284,0,0),
IF(_xlpm.fcf&lt;0,MAX(0,_xlpm.wc-(_xlpm.cash+_xlpm.fcf)),-MIN(_xlpm.fcf,_xlpm.principal)+MAX(_xlpm.wc-_xlpm.cash,0)))</f>
        <v>7935529.1357858088</v>
      </c>
      <c r="AB66" s="67">
        <f>_xlfn.LET(_xlpm.fcf,AB61,_xlpm.cash,AA69,_xlpm.principal,AB65,_xlpm.wc,_xlfn.XLOOKUP(YEAR(AB$25),Base!$BJ$4:$BL$4,Base!$BJ$284:$BL$284,0,0),
IF(_xlpm.fcf&lt;0,MAX(0,_xlpm.wc-(_xlpm.cash+_xlpm.fcf)),-MIN(_xlpm.fcf,_xlpm.principal)+MAX(_xlpm.wc-_xlpm.cash,0)))</f>
        <v>7775230.4646562366</v>
      </c>
      <c r="AC66" s="67">
        <f>_xlfn.LET(_xlpm.fcf,AC61,_xlpm.cash,AB69,_xlpm.principal,AC65,_xlpm.wc,_xlfn.XLOOKUP(YEAR(AC$25),Base!$BJ$4:$BL$4,Base!$BJ$284:$BL$284,0,0),
IF(_xlpm.fcf&lt;0,MAX(0,_xlpm.wc-(_xlpm.cash+_xlpm.fcf)),-MIN(_xlpm.fcf,_xlpm.principal)+MAX(_xlpm.wc-_xlpm.cash,0)))</f>
        <v>2070398.0546673629</v>
      </c>
      <c r="AD66" s="67">
        <f>_xlfn.LET(_xlpm.fcf,AD61,_xlpm.cash,AC69,_xlpm.principal,AD65,_xlpm.wc,_xlfn.XLOOKUP(YEAR(AD$25),Base!$BJ$4:$BL$4,Base!$BJ$284:$BL$284,0,0),
IF(_xlpm.fcf&lt;0,MAX(0,_xlpm.wc-(_xlpm.cash+_xlpm.fcf)),-MIN(_xlpm.fcf,_xlpm.principal)+MAX(_xlpm.wc-_xlpm.cash,0)))</f>
        <v>9145727.0585571919</v>
      </c>
      <c r="AE66" s="67">
        <f>_xlfn.LET(_xlpm.fcf,AE61,_xlpm.cash,AD69,_xlpm.principal,AE65,_xlpm.wc,_xlfn.XLOOKUP(YEAR(AE$25),Base!$BJ$4:$BL$4,Base!$BJ$284:$BL$284,0,0),
IF(_xlpm.fcf&lt;0,MAX(0,_xlpm.wc-(_xlpm.cash+_xlpm.fcf)),-MIN(_xlpm.fcf,_xlpm.principal)+MAX(_xlpm.wc-_xlpm.cash,0)))</f>
        <v>9216063.233439507</v>
      </c>
      <c r="AF66" s="67">
        <f>_xlfn.LET(_xlpm.fcf,AF61,_xlpm.cash,AE69,_xlpm.principal,AF65,_xlpm.wc,_xlfn.XLOOKUP(YEAR(AF$25),Base!$BJ$4:$BL$4,Base!$BJ$284:$BL$284,0,0),
IF(_xlpm.fcf&lt;0,MAX(0,_xlpm.wc-(_xlpm.cash+_xlpm.fcf)),-MIN(_xlpm.fcf,_xlpm.principal)+MAX(_xlpm.wc-_xlpm.cash,0)))</f>
        <v>9559769.8680080939</v>
      </c>
      <c r="AG66" s="67">
        <f>_xlfn.LET(_xlpm.fcf,AG61,_xlpm.cash,AF69,_xlpm.principal,AG65,_xlpm.wc,_xlfn.XLOOKUP(YEAR(AG$25),Base!$BJ$4:$BL$4,Base!$BJ$284:$BL$284,0,0),
IF(_xlpm.fcf&lt;0,MAX(0,_xlpm.wc-(_xlpm.cash+_xlpm.fcf)),-MIN(_xlpm.fcf,_xlpm.principal)+MAX(_xlpm.wc-_xlpm.cash,0)))</f>
        <v>9751853.4910247922</v>
      </c>
      <c r="AH66" s="67">
        <f>_xlfn.LET(_xlpm.fcf,AH61,_xlpm.cash,AG69,_xlpm.principal,AH65,_xlpm.wc,_xlfn.XLOOKUP(YEAR(AH$25),Base!$BJ$4:$BL$4,Base!$BJ$284:$BL$284,0,0),
IF(_xlpm.fcf&lt;0,MAX(0,_xlpm.wc-(_xlpm.cash+_xlpm.fcf)),-MIN(_xlpm.fcf,_xlpm.principal)+MAX(_xlpm.wc-_xlpm.cash,0)))</f>
        <v>10231882.750864182</v>
      </c>
      <c r="AI66" s="67">
        <f>_xlfn.LET(_xlpm.fcf,AI61,_xlpm.cash,AH69,_xlpm.principal,AI65,_xlpm.wc,_xlfn.XLOOKUP(YEAR(AI$25),Base!$BJ$4:$BL$4,Base!$BJ$284:$BL$284,0,0),
IF(_xlpm.fcf&lt;0,MAX(0,_xlpm.wc-(_xlpm.cash+_xlpm.fcf)),-MIN(_xlpm.fcf,_xlpm.principal)+MAX(_xlpm.wc-_xlpm.cash,0)))</f>
        <v>10758281.513900807</v>
      </c>
      <c r="AJ66" s="67">
        <f>_xlfn.LET(_xlpm.fcf,AJ61,_xlpm.cash,AI69,_xlpm.principal,AJ65,_xlpm.wc,_xlfn.XLOOKUP(YEAR(AJ$25),Base!$BJ$4:$BL$4,Base!$BJ$284:$BL$284,0,0),
IF(_xlpm.fcf&lt;0,MAX(0,_xlpm.wc-(_xlpm.cash+_xlpm.fcf)),-MIN(_xlpm.fcf,_xlpm.principal)+MAX(_xlpm.wc-_xlpm.cash,0)))</f>
        <v>11181158.64396907</v>
      </c>
      <c r="AK66" s="67">
        <f>_xlfn.LET(_xlpm.fcf,AK61,_xlpm.cash,AJ69,_xlpm.principal,AK65,_xlpm.wc,_xlfn.XLOOKUP(YEAR(AK$25),Base!$BJ$4:$BL$4,Base!$BJ$284:$BL$284,0,0),
IF(_xlpm.fcf&lt;0,MAX(0,_xlpm.wc-(_xlpm.cash+_xlpm.fcf)),-MIN(_xlpm.fcf,_xlpm.principal)+MAX(_xlpm.wc-_xlpm.cash,0)))</f>
        <v>11718293.745471565</v>
      </c>
      <c r="AL66" s="67">
        <f>_xlfn.LET(_xlpm.fcf,AL61,_xlpm.cash,AK69,_xlpm.principal,AL65,_xlpm.wc,_xlfn.XLOOKUP(YEAR(AL$25),Base!$BJ$4:$BL$4,Base!$BJ$284:$BL$284,0,0),
IF(_xlpm.fcf&lt;0,MAX(0,_xlpm.wc-(_xlpm.cash+_xlpm.fcf)),-MIN(_xlpm.fcf,_xlpm.principal)+MAX(_xlpm.wc-_xlpm.cash,0)))</f>
        <v>11709043.876283716</v>
      </c>
      <c r="AM66" s="67">
        <f>_xlfn.LET(_xlpm.fcf,AM61,_xlpm.cash,AL69,_xlpm.principal,AM65,_xlpm.wc,_xlfn.XLOOKUP(YEAR(AM$25),Base!$BJ$4:$BL$4,Base!$BJ$284:$BL$284,0,0),
IF(_xlpm.fcf&lt;0,MAX(0,_xlpm.wc-(_xlpm.cash+_xlpm.fcf)),-MIN(_xlpm.fcf,_xlpm.principal)+MAX(_xlpm.wc-_xlpm.cash,0)))</f>
        <v>11897193.783296533</v>
      </c>
      <c r="AN66" s="67">
        <f>_xlfn.LET(_xlpm.fcf,AN61,_xlpm.cash,AM69,_xlpm.principal,AN65,_xlpm.wc,_xlfn.XLOOKUP(YEAR(AN$25),Base!$BJ$4:$BL$4,Base!$BJ$284:$BL$284,0,0),
IF(_xlpm.fcf&lt;0,MAX(0,_xlpm.wc-(_xlpm.cash+_xlpm.fcf)),-MIN(_xlpm.fcf,_xlpm.principal)+MAX(_xlpm.wc-_xlpm.cash,0)))</f>
        <v>12032657.552111825</v>
      </c>
    </row>
    <row r="67" spans="2:40" x14ac:dyDescent="0.25">
      <c r="B67" s="39" t="s">
        <v>290</v>
      </c>
      <c r="C67" s="12">
        <f>Base!$BJ$281</f>
        <v>4816282.09</v>
      </c>
      <c r="E67" s="74">
        <f>SUM(E65:E66)</f>
        <v>6499339.152655242</v>
      </c>
      <c r="F67" s="74">
        <f t="shared" ref="F67:AN67" si="7">SUM(F65:F66)</f>
        <v>8165723.8632430751</v>
      </c>
      <c r="G67" s="74">
        <f t="shared" si="7"/>
        <v>9865703.7622155622</v>
      </c>
      <c r="H67" s="74">
        <f t="shared" si="7"/>
        <v>11341433.869752673</v>
      </c>
      <c r="I67" s="74">
        <f t="shared" si="7"/>
        <v>13222087.251393178</v>
      </c>
      <c r="J67" s="74">
        <f t="shared" si="7"/>
        <v>14999881.694683664</v>
      </c>
      <c r="K67" s="74">
        <f t="shared" si="7"/>
        <v>16673545.043878246</v>
      </c>
      <c r="L67" s="74">
        <f t="shared" si="7"/>
        <v>18392603.942000177</v>
      </c>
      <c r="M67" s="74">
        <f t="shared" si="7"/>
        <v>20132033.954840414</v>
      </c>
      <c r="N67" s="74">
        <f t="shared" si="7"/>
        <v>21900356.578524321</v>
      </c>
      <c r="O67" s="74">
        <f t="shared" si="7"/>
        <v>23330976.670100302</v>
      </c>
      <c r="P67" s="74">
        <f t="shared" si="7"/>
        <v>24677826.767856777</v>
      </c>
      <c r="Q67" s="74">
        <f t="shared" si="7"/>
        <v>33640295.8579676</v>
      </c>
      <c r="R67" s="74">
        <f t="shared" si="7"/>
        <v>39264656.419753186</v>
      </c>
      <c r="S67" s="74">
        <f t="shared" si="7"/>
        <v>44981514.96043326</v>
      </c>
      <c r="T67" s="74">
        <f t="shared" si="7"/>
        <v>50852518.392131336</v>
      </c>
      <c r="U67" s="74">
        <f t="shared" si="7"/>
        <v>57574556.267080985</v>
      </c>
      <c r="V67" s="74">
        <f t="shared" si="7"/>
        <v>64948455.08937896</v>
      </c>
      <c r="W67" s="74">
        <f t="shared" si="7"/>
        <v>72110851.486782581</v>
      </c>
      <c r="X67" s="74">
        <f t="shared" si="7"/>
        <v>79565326.558955312</v>
      </c>
      <c r="Y67" s="74">
        <f t="shared" si="7"/>
        <v>87671994.105397135</v>
      </c>
      <c r="Z67" s="74">
        <f t="shared" si="7"/>
        <v>96390048.962769061</v>
      </c>
      <c r="AA67" s="74">
        <f t="shared" si="7"/>
        <v>105048503.46577564</v>
      </c>
      <c r="AB67" s="74">
        <f t="shared" si="7"/>
        <v>113611597.70642519</v>
      </c>
      <c r="AC67" s="74">
        <f t="shared" si="7"/>
        <v>116534082.74389075</v>
      </c>
      <c r="AD67" s="74">
        <f t="shared" si="7"/>
        <v>126553815.42302713</v>
      </c>
      <c r="AE67" s="74">
        <f t="shared" si="7"/>
        <v>136719032.27213934</v>
      </c>
      <c r="AF67" s="74">
        <f t="shared" si="7"/>
        <v>147304194.8821885</v>
      </c>
      <c r="AG67" s="74">
        <f t="shared" si="7"/>
        <v>158160829.83482972</v>
      </c>
      <c r="AH67" s="74">
        <f t="shared" si="7"/>
        <v>169578918.80945513</v>
      </c>
      <c r="AI67" s="74">
        <f t="shared" si="7"/>
        <v>181609042.21442685</v>
      </c>
      <c r="AJ67" s="74">
        <f t="shared" si="7"/>
        <v>194152268.67500409</v>
      </c>
      <c r="AK67" s="74">
        <f t="shared" si="7"/>
        <v>207326704.4355382</v>
      </c>
      <c r="AL67" s="74">
        <f t="shared" si="7"/>
        <v>220590698.59508845</v>
      </c>
      <c r="AM67" s="74">
        <f t="shared" si="7"/>
        <v>234142322.61784813</v>
      </c>
      <c r="AN67" s="74">
        <f t="shared" si="7"/>
        <v>247931047.58959383</v>
      </c>
    </row>
    <row r="68" spans="2:40" x14ac:dyDescent="0.25">
      <c r="B68" s="39"/>
      <c r="C68" s="12"/>
      <c r="E68" s="67"/>
      <c r="F68" s="67"/>
      <c r="G68" s="67"/>
      <c r="H68" s="67"/>
      <c r="I68" s="67"/>
      <c r="J68" s="67"/>
      <c r="K68" s="67"/>
      <c r="L68" s="67"/>
      <c r="M68" s="67"/>
      <c r="N68" s="67"/>
      <c r="O68" s="67"/>
      <c r="P68" s="67"/>
      <c r="Q68" s="67"/>
      <c r="R68" s="67"/>
      <c r="S68" s="67"/>
      <c r="T68" s="67"/>
      <c r="U68" s="67"/>
      <c r="V68" s="67"/>
      <c r="W68" s="67"/>
      <c r="X68" s="67"/>
      <c r="Y68" s="67"/>
      <c r="Z68" s="67"/>
      <c r="AA68" s="67"/>
      <c r="AB68" s="67"/>
      <c r="AC68" s="67"/>
      <c r="AD68" s="67"/>
      <c r="AE68" s="67"/>
      <c r="AF68" s="67"/>
      <c r="AG68" s="67"/>
      <c r="AH68" s="67"/>
      <c r="AI68" s="67"/>
      <c r="AJ68" s="67"/>
      <c r="AK68" s="67"/>
      <c r="AL68" s="67"/>
      <c r="AM68" s="67"/>
      <c r="AN68" s="67"/>
    </row>
    <row r="69" spans="2:40" x14ac:dyDescent="0.25">
      <c r="B69" s="39" t="s">
        <v>291</v>
      </c>
      <c r="C69" s="12">
        <f>Base!$BJ$283</f>
        <v>3200000</v>
      </c>
      <c r="D69" s="12"/>
      <c r="E69" s="145">
        <f>C69+E61+E66</f>
        <v>3400000</v>
      </c>
      <c r="F69" s="145">
        <f t="shared" ref="F69:AN69" si="8">E69+F61+F66</f>
        <v>3400000</v>
      </c>
      <c r="G69" s="145">
        <f t="shared" si="8"/>
        <v>3400000</v>
      </c>
      <c r="H69" s="145">
        <f t="shared" si="8"/>
        <v>3400000</v>
      </c>
      <c r="I69" s="145">
        <f t="shared" si="8"/>
        <v>3400000</v>
      </c>
      <c r="J69" s="145">
        <f t="shared" si="8"/>
        <v>3400000</v>
      </c>
      <c r="K69" s="145">
        <f t="shared" si="8"/>
        <v>3400000</v>
      </c>
      <c r="L69" s="145">
        <f t="shared" si="8"/>
        <v>3400000</v>
      </c>
      <c r="M69" s="145">
        <f t="shared" si="8"/>
        <v>3400000</v>
      </c>
      <c r="N69" s="145">
        <f t="shared" si="8"/>
        <v>3400000</v>
      </c>
      <c r="O69" s="145">
        <f t="shared" si="8"/>
        <v>3400000</v>
      </c>
      <c r="P69" s="145">
        <f t="shared" si="8"/>
        <v>3400000</v>
      </c>
      <c r="Q69" s="145">
        <f t="shared" si="8"/>
        <v>6800000</v>
      </c>
      <c r="R69" s="145">
        <f t="shared" si="8"/>
        <v>6800000</v>
      </c>
      <c r="S69" s="145">
        <f t="shared" si="8"/>
        <v>6800000</v>
      </c>
      <c r="T69" s="145">
        <f t="shared" si="8"/>
        <v>6800000</v>
      </c>
      <c r="U69" s="145">
        <f t="shared" si="8"/>
        <v>6800000</v>
      </c>
      <c r="V69" s="145">
        <f t="shared" si="8"/>
        <v>6800000</v>
      </c>
      <c r="W69" s="145">
        <f t="shared" si="8"/>
        <v>6800000</v>
      </c>
      <c r="X69" s="145">
        <f t="shared" si="8"/>
        <v>6800000</v>
      </c>
      <c r="Y69" s="145">
        <f t="shared" si="8"/>
        <v>6800000</v>
      </c>
      <c r="Z69" s="145">
        <f t="shared" si="8"/>
        <v>6800000</v>
      </c>
      <c r="AA69" s="145">
        <f t="shared" si="8"/>
        <v>6800000</v>
      </c>
      <c r="AB69" s="145">
        <f t="shared" si="8"/>
        <v>6800000</v>
      </c>
      <c r="AC69" s="145">
        <f t="shared" si="8"/>
        <v>0</v>
      </c>
      <c r="AD69" s="145">
        <f t="shared" si="8"/>
        <v>0</v>
      </c>
      <c r="AE69" s="145">
        <f t="shared" si="8"/>
        <v>0</v>
      </c>
      <c r="AF69" s="145">
        <f t="shared" si="8"/>
        <v>0</v>
      </c>
      <c r="AG69" s="145">
        <f t="shared" si="8"/>
        <v>0</v>
      </c>
      <c r="AH69" s="145">
        <f t="shared" si="8"/>
        <v>0</v>
      </c>
      <c r="AI69" s="145">
        <f t="shared" si="8"/>
        <v>0</v>
      </c>
      <c r="AJ69" s="145">
        <f t="shared" si="8"/>
        <v>0</v>
      </c>
      <c r="AK69" s="145">
        <f t="shared" si="8"/>
        <v>0</v>
      </c>
      <c r="AL69" s="145">
        <f t="shared" si="8"/>
        <v>0</v>
      </c>
      <c r="AM69" s="145">
        <f t="shared" si="8"/>
        <v>0</v>
      </c>
      <c r="AN69" s="145">
        <f t="shared" si="8"/>
        <v>0</v>
      </c>
    </row>
    <row r="70" spans="2:40" x14ac:dyDescent="0.25">
      <c r="B70" s="39" t="s">
        <v>292</v>
      </c>
      <c r="E70" s="74">
        <f t="shared" ref="E70:AN70" si="9">E61+E66</f>
        <v>200000</v>
      </c>
      <c r="F70" s="74">
        <f t="shared" si="9"/>
        <v>0</v>
      </c>
      <c r="G70" s="74">
        <f t="shared" si="9"/>
        <v>0</v>
      </c>
      <c r="H70" s="74">
        <f t="shared" si="9"/>
        <v>0</v>
      </c>
      <c r="I70" s="74">
        <f t="shared" si="9"/>
        <v>0</v>
      </c>
      <c r="J70" s="74">
        <f t="shared" si="9"/>
        <v>0</v>
      </c>
      <c r="K70" s="74">
        <f t="shared" si="9"/>
        <v>0</v>
      </c>
      <c r="L70" s="74">
        <f t="shared" si="9"/>
        <v>0</v>
      </c>
      <c r="M70" s="74">
        <f t="shared" si="9"/>
        <v>0</v>
      </c>
      <c r="N70" s="74">
        <f t="shared" si="9"/>
        <v>0</v>
      </c>
      <c r="O70" s="74">
        <f t="shared" si="9"/>
        <v>0</v>
      </c>
      <c r="P70" s="74">
        <f t="shared" si="9"/>
        <v>0</v>
      </c>
      <c r="Q70" s="74">
        <f t="shared" si="9"/>
        <v>3400000</v>
      </c>
      <c r="R70" s="74">
        <f t="shared" si="9"/>
        <v>0</v>
      </c>
      <c r="S70" s="74">
        <f t="shared" si="9"/>
        <v>0</v>
      </c>
      <c r="T70" s="74">
        <f t="shared" si="9"/>
        <v>0</v>
      </c>
      <c r="U70" s="74">
        <f t="shared" si="9"/>
        <v>0</v>
      </c>
      <c r="V70" s="74">
        <f t="shared" si="9"/>
        <v>0</v>
      </c>
      <c r="W70" s="74">
        <f t="shared" si="9"/>
        <v>0</v>
      </c>
      <c r="X70" s="74">
        <f t="shared" si="9"/>
        <v>0</v>
      </c>
      <c r="Y70" s="74">
        <f t="shared" si="9"/>
        <v>0</v>
      </c>
      <c r="Z70" s="74">
        <f t="shared" si="9"/>
        <v>0</v>
      </c>
      <c r="AA70" s="74">
        <f t="shared" si="9"/>
        <v>0</v>
      </c>
      <c r="AB70" s="74">
        <f t="shared" si="9"/>
        <v>0</v>
      </c>
      <c r="AC70" s="74">
        <f t="shared" si="9"/>
        <v>-6800000</v>
      </c>
      <c r="AD70" s="74">
        <f t="shared" si="9"/>
        <v>0</v>
      </c>
      <c r="AE70" s="74">
        <f t="shared" si="9"/>
        <v>0</v>
      </c>
      <c r="AF70" s="74">
        <f t="shared" si="9"/>
        <v>0</v>
      </c>
      <c r="AG70" s="74">
        <f t="shared" si="9"/>
        <v>0</v>
      </c>
      <c r="AH70" s="74">
        <f t="shared" si="9"/>
        <v>0</v>
      </c>
      <c r="AI70" s="74">
        <f t="shared" si="9"/>
        <v>0</v>
      </c>
      <c r="AJ70" s="74">
        <f t="shared" si="9"/>
        <v>0</v>
      </c>
      <c r="AK70" s="74">
        <f t="shared" si="9"/>
        <v>0</v>
      </c>
      <c r="AL70" s="74">
        <f t="shared" si="9"/>
        <v>0</v>
      </c>
      <c r="AM70" s="74">
        <f t="shared" si="9"/>
        <v>0</v>
      </c>
      <c r="AN70" s="74">
        <f t="shared" si="9"/>
        <v>0</v>
      </c>
    </row>
    <row r="71" spans="2:40" x14ac:dyDescent="0.25">
      <c r="Z71" s="67"/>
      <c r="AN71" s="67"/>
    </row>
    <row r="72" spans="2:40" x14ac:dyDescent="0.25">
      <c r="E72" s="95" t="s">
        <v>293</v>
      </c>
      <c r="AN72" s="67"/>
    </row>
    <row r="78" spans="2:40" x14ac:dyDescent="0.25">
      <c r="E78" s="12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8C5323-A177-4189-B9F6-7C642979B219}">
  <sheetPr>
    <tabColor theme="9" tint="0.79998168889431442"/>
  </sheetPr>
  <dimension ref="A1:AN72"/>
  <sheetViews>
    <sheetView workbookViewId="0">
      <pane xSplit="4" ySplit="25" topLeftCell="E53" activePane="bottomRight" state="frozen"/>
      <selection pane="topRight" activeCell="E1" sqref="E1"/>
      <selection pane="bottomLeft" activeCell="A26" sqref="A26"/>
      <selection pane="bottomRight" activeCell="B59" sqref="B59"/>
    </sheetView>
  </sheetViews>
  <sheetFormatPr defaultRowHeight="15" outlineLevelRow="1" outlineLevelCol="1" x14ac:dyDescent="0.25"/>
  <cols>
    <col min="2" max="2" width="24.5703125" bestFit="1" customWidth="1"/>
    <col min="3" max="3" width="13.42578125" bestFit="1" customWidth="1"/>
    <col min="4" max="4" width="12.5703125" bestFit="1" customWidth="1"/>
    <col min="5" max="16" width="14.28515625" customWidth="1"/>
    <col min="17" max="40" width="14.28515625" customWidth="1" outlineLevel="1"/>
  </cols>
  <sheetData>
    <row r="1" spans="1:40" x14ac:dyDescent="0.25">
      <c r="A1" s="82" t="s">
        <v>294</v>
      </c>
      <c r="B1" s="3"/>
      <c r="C1" s="3"/>
      <c r="D1" s="55" t="s">
        <v>390</v>
      </c>
      <c r="E1" s="69">
        <f>SUM('MDA1:NCA9'!E1)</f>
        <v>389</v>
      </c>
      <c r="F1" s="69">
        <f>SUM('MDA1:NCA9'!F1)</f>
        <v>410</v>
      </c>
      <c r="G1" s="69">
        <f>SUM('MDA1:NCA9'!G1)</f>
        <v>437</v>
      </c>
      <c r="H1" s="69">
        <f>SUM('MDA1:NCA9'!H1)</f>
        <v>466</v>
      </c>
      <c r="I1" s="69">
        <f>SUM('MDA1:NCA9'!I1)</f>
        <v>490</v>
      </c>
      <c r="J1" s="69">
        <f>SUM('MDA1:NCA9'!J1)</f>
        <v>520</v>
      </c>
      <c r="K1" s="69">
        <f>SUM('MDA1:NCA9'!K1)</f>
        <v>559</v>
      </c>
      <c r="L1" s="69">
        <f>SUM('MDA1:NCA9'!L1)</f>
        <v>590</v>
      </c>
      <c r="M1" s="69">
        <f>SUM('MDA1:NCA9'!M1)</f>
        <v>626</v>
      </c>
      <c r="N1" s="69">
        <f>SUM('MDA1:NCA9'!N1)</f>
        <v>665</v>
      </c>
      <c r="O1" s="69">
        <f>SUM('MDA1:NCA9'!O1)</f>
        <v>710</v>
      </c>
      <c r="P1" s="69">
        <f>SUM('MDA1:NCA9'!P1)</f>
        <v>758</v>
      </c>
      <c r="Q1" s="69">
        <f>SUM('MDA1:NCA9'!Q1)</f>
        <v>804</v>
      </c>
      <c r="R1" s="69">
        <f>SUM('MDA1:NCA9'!R1)</f>
        <v>844</v>
      </c>
      <c r="S1" s="69">
        <f>SUM('MDA1:NCA9'!S1)</f>
        <v>887</v>
      </c>
      <c r="T1" s="69">
        <f>SUM('MDA1:NCA9'!T1)</f>
        <v>931</v>
      </c>
      <c r="U1" s="69">
        <f>SUM('MDA1:NCA9'!U1)</f>
        <v>967</v>
      </c>
      <c r="V1" s="69">
        <f>SUM('MDA1:NCA9'!V1)</f>
        <v>1001</v>
      </c>
      <c r="W1" s="69">
        <f>SUM('MDA1:NCA9'!W1)</f>
        <v>1040</v>
      </c>
      <c r="X1" s="69">
        <f>SUM('MDA1:NCA9'!X1)</f>
        <v>1080</v>
      </c>
      <c r="Y1" s="69">
        <f>SUM('MDA1:NCA9'!Y1)</f>
        <v>1114</v>
      </c>
      <c r="Z1" s="69">
        <f>SUM('MDA1:NCA9'!Z1)</f>
        <v>1152</v>
      </c>
      <c r="AA1" s="69">
        <f>SUM('MDA1:NCA9'!AA1)</f>
        <v>1190</v>
      </c>
      <c r="AB1" s="69">
        <f>SUM('MDA1:NCA9'!AB1)</f>
        <v>1225</v>
      </c>
      <c r="AC1" s="69">
        <f>SUM('MDA1:NCA9'!AC1)</f>
        <v>1255</v>
      </c>
      <c r="AD1" s="69">
        <f>SUM('MDA1:NCA9'!AD1)</f>
        <v>1287</v>
      </c>
      <c r="AE1" s="69">
        <f>SUM('MDA1:NCA9'!AE1)</f>
        <v>1317</v>
      </c>
      <c r="AF1" s="69">
        <f>SUM('MDA1:NCA9'!AF1)</f>
        <v>1345</v>
      </c>
      <c r="AG1" s="69">
        <f>SUM('MDA1:NCA9'!AG1)</f>
        <v>1371</v>
      </c>
      <c r="AH1" s="69">
        <f>SUM('MDA1:NCA9'!AH1)</f>
        <v>1403</v>
      </c>
      <c r="AI1" s="69">
        <f>SUM('MDA1:NCA9'!AI1)</f>
        <v>1441</v>
      </c>
      <c r="AJ1" s="69">
        <f>SUM('MDA1:NCA9'!AJ1)</f>
        <v>1478</v>
      </c>
      <c r="AK1" s="69">
        <f>SUM('MDA1:NCA9'!AK1)</f>
        <v>1514</v>
      </c>
      <c r="AL1" s="69">
        <f>SUM('MDA1:NCA9'!AL1)</f>
        <v>1548</v>
      </c>
      <c r="AM1" s="69">
        <f>SUM('MDA1:NCA9'!AM1)</f>
        <v>1586</v>
      </c>
      <c r="AN1" s="69">
        <f>SUM('MDA1:NCA9'!AN1)</f>
        <v>1621</v>
      </c>
    </row>
    <row r="2" spans="1:40" hidden="1" outlineLevel="1" x14ac:dyDescent="0.25">
      <c r="B2" s="1" t="s">
        <v>269</v>
      </c>
      <c r="C2" s="3"/>
      <c r="D2" s="3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</row>
    <row r="3" spans="1:40" hidden="1" outlineLevel="1" x14ac:dyDescent="0.25">
      <c r="B3" s="39" t="s">
        <v>257</v>
      </c>
      <c r="C3" s="3"/>
      <c r="D3" s="3"/>
      <c r="E3" s="69" cm="1">
        <f t="array" ref="E3:AN3">_xlfn.LET(_xlpm.core,Base!$D$186:$D$254,_xlpm.scale,Base!$D$257:$D$271,
_xlpm.core_count,_xlfn.BYCOL(_xlfn.ANCHORARRAY($E$25),_xlfn.LAMBDA(_xlpm.a,SUM(_xlpm.core*(Base!$A$186:$A$254&lt;=_xlpm.a)))),
_xlpm.scale_count,_xlfn.BYCOL(E1:AN1,_xlfn.LAMBDA(_xlpm.c,SUM(_xlpm.c/_xlpm.scale))),_xlpm.core_count+_xlpm.scale_count)</f>
        <v>74.312816834286025</v>
      </c>
      <c r="F3" s="69">
        <v>75.679318514286038</v>
      </c>
      <c r="G3" s="69">
        <v>78.436249245714649</v>
      </c>
      <c r="H3" s="69">
        <v>80.323322994286102</v>
      </c>
      <c r="I3" s="69">
        <v>81.885039200000392</v>
      </c>
      <c r="J3" s="69">
        <v>83.83718445714328</v>
      </c>
      <c r="K3" s="69">
        <v>86.374973291429029</v>
      </c>
      <c r="L3" s="69">
        <v>89.392190057143338</v>
      </c>
      <c r="M3" s="69">
        <v>91.734764365714796</v>
      </c>
      <c r="N3" s="69">
        <v>94.27255320000053</v>
      </c>
      <c r="O3" s="69">
        <v>97.200771085714848</v>
      </c>
      <c r="P3" s="69">
        <v>100.32420349714346</v>
      </c>
      <c r="Q3" s="69">
        <v>103.31749289142923</v>
      </c>
      <c r="R3" s="69">
        <v>105.9203532342864</v>
      </c>
      <c r="S3" s="69">
        <v>108.71842810285784</v>
      </c>
      <c r="T3" s="69">
        <v>111.58157448000075</v>
      </c>
      <c r="U3" s="69">
        <v>113.92414878857221</v>
      </c>
      <c r="V3" s="69">
        <v>116.13658008000078</v>
      </c>
      <c r="W3" s="69">
        <v>118.67436891428657</v>
      </c>
      <c r="X3" s="69">
        <v>121.27722925714372</v>
      </c>
      <c r="Y3" s="69">
        <v>123.48966054857232</v>
      </c>
      <c r="Z3" s="69">
        <v>125.96237787428663</v>
      </c>
      <c r="AA3" s="69">
        <v>128.43509520000094</v>
      </c>
      <c r="AB3" s="69">
        <v>130.71259800000101</v>
      </c>
      <c r="AC3" s="69">
        <v>133.66474325714387</v>
      </c>
      <c r="AD3" s="69">
        <v>135.74703153142963</v>
      </c>
      <c r="AE3" s="69">
        <v>137.69917678857246</v>
      </c>
      <c r="AF3" s="69">
        <v>139.5211790285725</v>
      </c>
      <c r="AG3" s="69">
        <v>141.21303825142968</v>
      </c>
      <c r="AH3" s="69">
        <v>143.29532652571541</v>
      </c>
      <c r="AI3" s="69">
        <v>145.76804385142975</v>
      </c>
      <c r="AJ3" s="69">
        <v>148.1756896685726</v>
      </c>
      <c r="AK3" s="69">
        <v>150.5182639771441</v>
      </c>
      <c r="AL3" s="69">
        <v>152.73069526857267</v>
      </c>
      <c r="AM3" s="69">
        <v>155.20341259428699</v>
      </c>
      <c r="AN3" s="69">
        <v>157.48091539428702</v>
      </c>
    </row>
    <row r="4" spans="1:40" hidden="1" outlineLevel="1" x14ac:dyDescent="0.25">
      <c r="B4" s="39" t="s">
        <v>395</v>
      </c>
      <c r="C4" s="3"/>
      <c r="D4" s="3"/>
      <c r="E4" s="5">
        <f>ROUND(SUM('MDA1:NCA9'!E$21),0)</f>
        <v>282</v>
      </c>
      <c r="F4" s="5">
        <f>ROUND(SUM('MDA1:NCA9'!F$21),0)</f>
        <v>298</v>
      </c>
      <c r="G4" s="5">
        <f>ROUND(SUM('MDA1:NCA9'!G$21),0)</f>
        <v>321</v>
      </c>
      <c r="H4" s="5">
        <f>ROUND(SUM('MDA1:NCA9'!H$21),0)</f>
        <v>349</v>
      </c>
      <c r="I4" s="5">
        <f>ROUND(SUM('MDA1:NCA9'!I$21),0)</f>
        <v>372</v>
      </c>
      <c r="J4" s="5">
        <f>ROUND(SUM('MDA1:NCA9'!J$21),0)</f>
        <v>396</v>
      </c>
      <c r="K4" s="5">
        <f>ROUND(SUM('MDA1:NCA9'!K$21),0)</f>
        <v>434</v>
      </c>
      <c r="L4" s="5">
        <f>ROUND(SUM('MDA1:NCA9'!L$21),0)</f>
        <v>462</v>
      </c>
      <c r="M4" s="5">
        <f>ROUND(SUM('MDA1:NCA9'!M$21),0)</f>
        <v>495</v>
      </c>
      <c r="N4" s="5">
        <f>ROUND(SUM('MDA1:NCA9'!N$21),0)</f>
        <v>530</v>
      </c>
      <c r="O4" s="5">
        <f>ROUND(SUM('MDA1:NCA9'!O$21),0)</f>
        <v>572</v>
      </c>
      <c r="P4" s="5">
        <f>ROUND(SUM('MDA1:NCA9'!P$21),0)</f>
        <v>618</v>
      </c>
      <c r="Q4" s="5">
        <f>ROUND(SUM('MDA1:NCA9'!Q$21),0)</f>
        <v>661</v>
      </c>
      <c r="R4" s="5">
        <f>ROUND(SUM('MDA1:NCA9'!R$21),0)</f>
        <v>696</v>
      </c>
      <c r="S4" s="5">
        <f>ROUND(SUM('MDA1:NCA9'!S$21),0)</f>
        <v>734</v>
      </c>
      <c r="T4" s="5">
        <f>ROUND(SUM('MDA1:NCA9'!T$21),0)</f>
        <v>778</v>
      </c>
      <c r="U4" s="5">
        <f>ROUND(SUM('MDA1:NCA9'!U$21),0)</f>
        <v>810</v>
      </c>
      <c r="V4" s="5">
        <f>ROUND(SUM('MDA1:NCA9'!V$21),0)</f>
        <v>838</v>
      </c>
      <c r="W4" s="5">
        <f>ROUND(SUM('MDA1:NCA9'!W$21),0)</f>
        <v>873</v>
      </c>
      <c r="X4" s="5">
        <f>ROUND(SUM('MDA1:NCA9'!X$21),0)</f>
        <v>915</v>
      </c>
      <c r="Y4" s="5">
        <f>ROUND(SUM('MDA1:NCA9'!Y$21),0)</f>
        <v>944</v>
      </c>
      <c r="Z4" s="5">
        <f>ROUND(SUM('MDA1:NCA9'!Z$21),0)</f>
        <v>978</v>
      </c>
      <c r="AA4" s="5">
        <f>ROUND(SUM('MDA1:NCA9'!AA$21),0)</f>
        <v>1009</v>
      </c>
      <c r="AB4" s="5">
        <f>ROUND(SUM('MDA1:NCA9'!AB$21),0)</f>
        <v>1045</v>
      </c>
      <c r="AC4" s="5">
        <f>ROUND(SUM('MDA1:NCA9'!AC$21),0)</f>
        <v>1072</v>
      </c>
      <c r="AD4" s="5">
        <f>ROUND(SUM('MDA1:NCA9'!AD$21),0)</f>
        <v>1099</v>
      </c>
      <c r="AE4" s="5">
        <f>ROUND(SUM('MDA1:NCA9'!AE$21),0)</f>
        <v>1125</v>
      </c>
      <c r="AF4" s="5">
        <f>ROUND(SUM('MDA1:NCA9'!AF$21),0)</f>
        <v>1155</v>
      </c>
      <c r="AG4" s="5">
        <f>ROUND(SUM('MDA1:NCA9'!AG$21),0)</f>
        <v>1178</v>
      </c>
      <c r="AH4" s="5">
        <f>ROUND(SUM('MDA1:NCA9'!AH$21),0)</f>
        <v>1207</v>
      </c>
      <c r="AI4" s="5">
        <f>ROUND(SUM('MDA1:NCA9'!AI$21),0)</f>
        <v>1240</v>
      </c>
      <c r="AJ4" s="5">
        <f>ROUND(SUM('MDA1:NCA9'!AJ$21),0)</f>
        <v>1279</v>
      </c>
      <c r="AK4" s="5">
        <f>ROUND(SUM('MDA1:NCA9'!AK$21),0)</f>
        <v>1315</v>
      </c>
      <c r="AL4" s="5">
        <f>ROUND(SUM('MDA1:NCA9'!AL$21),0)</f>
        <v>1344</v>
      </c>
      <c r="AM4" s="5">
        <f>ROUND(SUM('MDA1:NCA9'!AM$21),0)</f>
        <v>1379</v>
      </c>
      <c r="AN4" s="5">
        <f>ROUND(SUM('MDA1:NCA9'!AN$21),0)</f>
        <v>1415</v>
      </c>
    </row>
    <row r="5" spans="1:40" hidden="1" outlineLevel="1" x14ac:dyDescent="0.25">
      <c r="B5" s="39" t="s">
        <v>354</v>
      </c>
      <c r="C5" s="3"/>
      <c r="D5" s="3"/>
      <c r="E5" s="5">
        <f>ROUND(SUM('MDA1:NCA9'!E$6)-SUM('MDA1:NCA9'!E$21),0)</f>
        <v>59</v>
      </c>
      <c r="F5" s="5">
        <f>ROUND(SUM('MDA1:NCA9'!F$6)-SUM('MDA1:NCA9'!F$21),0)</f>
        <v>67</v>
      </c>
      <c r="G5" s="5">
        <f>ROUND(SUM('MDA1:NCA9'!G$6)-SUM('MDA1:NCA9'!G$21),0)</f>
        <v>74</v>
      </c>
      <c r="H5" s="5">
        <f>ROUND(SUM('MDA1:NCA9'!H$6)-SUM('MDA1:NCA9'!H$21),0)</f>
        <v>80</v>
      </c>
      <c r="I5" s="5">
        <f>ROUND(SUM('MDA1:NCA9'!I$6)-SUM('MDA1:NCA9'!I$21),0)</f>
        <v>86</v>
      </c>
      <c r="J5" s="5">
        <f>ROUND(SUM('MDA1:NCA9'!J$6)-SUM('MDA1:NCA9'!J$21),0)</f>
        <v>91</v>
      </c>
      <c r="K5" s="5">
        <f>ROUND(SUM('MDA1:NCA9'!K$6)-SUM('MDA1:NCA9'!K$21),0)</f>
        <v>104</v>
      </c>
      <c r="L5" s="5">
        <f>ROUND(SUM('MDA1:NCA9'!L$6)-SUM('MDA1:NCA9'!L$21),0)</f>
        <v>112</v>
      </c>
      <c r="M5" s="5">
        <f>ROUND(SUM('MDA1:NCA9'!M$6)-SUM('MDA1:NCA9'!M$21),0)</f>
        <v>115</v>
      </c>
      <c r="N5" s="5">
        <f>ROUND(SUM('MDA1:NCA9'!N$6)-SUM('MDA1:NCA9'!N$21),0)</f>
        <v>123</v>
      </c>
      <c r="O5" s="5">
        <f>ROUND(SUM('MDA1:NCA9'!O$6)-SUM('MDA1:NCA9'!O$21),0)</f>
        <v>135</v>
      </c>
      <c r="P5" s="5">
        <f>ROUND(SUM('MDA1:NCA9'!P$6)-SUM('MDA1:NCA9'!P$21),0)</f>
        <v>140</v>
      </c>
      <c r="Q5" s="5">
        <f>ROUND(SUM('MDA1:NCA9'!Q$6)-SUM('MDA1:NCA9'!Q$21),0)</f>
        <v>145</v>
      </c>
      <c r="R5" s="5">
        <f>ROUND(SUM('MDA1:NCA9'!R$6)-SUM('MDA1:NCA9'!R$21),0)</f>
        <v>152</v>
      </c>
      <c r="S5" s="5">
        <f>ROUND(SUM('MDA1:NCA9'!S$6)-SUM('MDA1:NCA9'!S$21),0)</f>
        <v>160</v>
      </c>
      <c r="T5" s="5">
        <f>ROUND(SUM('MDA1:NCA9'!T$6)-SUM('MDA1:NCA9'!T$21),0)</f>
        <v>160</v>
      </c>
      <c r="U5" s="5">
        <f>ROUND(SUM('MDA1:NCA9'!U$6)-SUM('MDA1:NCA9'!U$21),0)</f>
        <v>162</v>
      </c>
      <c r="V5" s="5">
        <f>ROUND(SUM('MDA1:NCA9'!V$6)-SUM('MDA1:NCA9'!V$21),0)</f>
        <v>167</v>
      </c>
      <c r="W5" s="5">
        <f>ROUND(SUM('MDA1:NCA9'!W$6)-SUM('MDA1:NCA9'!W$21),0)</f>
        <v>178</v>
      </c>
      <c r="X5" s="5">
        <f>ROUND(SUM('MDA1:NCA9'!X$6)-SUM('MDA1:NCA9'!X$21),0)</f>
        <v>181</v>
      </c>
      <c r="Y5" s="5">
        <f>ROUND(SUM('MDA1:NCA9'!Y$6)-SUM('MDA1:NCA9'!Y$21),0)</f>
        <v>193</v>
      </c>
      <c r="Z5" s="5">
        <f>ROUND(SUM('MDA1:NCA9'!Z$6)-SUM('MDA1:NCA9'!Z$21),0)</f>
        <v>194</v>
      </c>
      <c r="AA5" s="5">
        <f>ROUND(SUM('MDA1:NCA9'!AA$6)-SUM('MDA1:NCA9'!AA$21),0)</f>
        <v>204</v>
      </c>
      <c r="AB5" s="5">
        <f>ROUND(SUM('MDA1:NCA9'!AB$6)-SUM('MDA1:NCA9'!AB$21),0)</f>
        <v>207</v>
      </c>
      <c r="AC5" s="5">
        <f>ROUND(SUM('MDA1:NCA9'!AC$6)-SUM('MDA1:NCA9'!AC$21),0)</f>
        <v>211</v>
      </c>
      <c r="AD5" s="5">
        <f>ROUND(SUM('MDA1:NCA9'!AD$6)-SUM('MDA1:NCA9'!AD$21),0)</f>
        <v>215</v>
      </c>
      <c r="AE5" s="5">
        <f>ROUND(SUM('MDA1:NCA9'!AE$6)-SUM('MDA1:NCA9'!AE$21),0)</f>
        <v>221</v>
      </c>
      <c r="AF5" s="5">
        <f>ROUND(SUM('MDA1:NCA9'!AF$6)-SUM('MDA1:NCA9'!AF$21),0)</f>
        <v>221</v>
      </c>
      <c r="AG5" s="5">
        <f>ROUND(SUM('MDA1:NCA9'!AG$6)-SUM('MDA1:NCA9'!AG$21),0)</f>
        <v>224</v>
      </c>
      <c r="AH5" s="5">
        <f>ROUND(SUM('MDA1:NCA9'!AH$6)-SUM('MDA1:NCA9'!AH$21),0)</f>
        <v>232</v>
      </c>
      <c r="AI5" s="5">
        <f>ROUND(SUM('MDA1:NCA9'!AI$6)-SUM('MDA1:NCA9'!AI$21),0)</f>
        <v>245</v>
      </c>
      <c r="AJ5" s="5">
        <f>ROUND(SUM('MDA1:NCA9'!AJ$6)-SUM('MDA1:NCA9'!AJ$21),0)</f>
        <v>249</v>
      </c>
      <c r="AK5" s="5">
        <f>ROUND(SUM('MDA1:NCA9'!AK$6)-SUM('MDA1:NCA9'!AK$21),0)</f>
        <v>255</v>
      </c>
      <c r="AL5" s="5">
        <f>ROUND(SUM('MDA1:NCA9'!AL$6)-SUM('MDA1:NCA9'!AL$21),0)</f>
        <v>265</v>
      </c>
      <c r="AM5" s="5">
        <f>ROUND(SUM('MDA1:NCA9'!AM$6)-SUM('MDA1:NCA9'!AM$21),0)</f>
        <v>272</v>
      </c>
      <c r="AN5" s="5">
        <f>ROUND(SUM('MDA1:NCA9'!AN$6)-SUM('MDA1:NCA9'!AN$21),0)</f>
        <v>276</v>
      </c>
    </row>
    <row r="6" spans="1:40" hidden="1" outlineLevel="1" x14ac:dyDescent="0.25">
      <c r="B6" s="94"/>
      <c r="C6" s="3"/>
      <c r="D6" s="3"/>
      <c r="E6" s="69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</row>
    <row r="7" spans="1:40" hidden="1" outlineLevel="1" x14ac:dyDescent="0.25">
      <c r="B7" s="214" t="s">
        <v>379</v>
      </c>
      <c r="C7" s="3"/>
      <c r="D7" s="3"/>
      <c r="E7" s="69">
        <f>SUM('MDA1:NCA9'!E7)</f>
        <v>236.17000000000002</v>
      </c>
      <c r="F7" s="69">
        <f>SUM('MDA1:NCA9'!F7)</f>
        <v>251.25</v>
      </c>
      <c r="G7" s="69">
        <f>SUM('MDA1:NCA9'!G7)</f>
        <v>271.92</v>
      </c>
      <c r="H7" s="69">
        <f>SUM('MDA1:NCA9'!H7)</f>
        <v>294.15999999999997</v>
      </c>
      <c r="I7" s="69">
        <f>SUM('MDA1:NCA9'!I7)</f>
        <v>312.20999999999998</v>
      </c>
      <c r="J7" s="69">
        <f>SUM('MDA1:NCA9'!J7)</f>
        <v>334.4</v>
      </c>
      <c r="K7" s="69">
        <f>SUM('MDA1:NCA9'!K7)</f>
        <v>366.58999999999992</v>
      </c>
      <c r="L7" s="69">
        <f>SUM('MDA1:NCA9'!L7)</f>
        <v>390.7299999999999</v>
      </c>
      <c r="M7" s="69">
        <f>SUM('MDA1:NCA9'!M7)</f>
        <v>418.57000000000005</v>
      </c>
      <c r="N7" s="69">
        <f>SUM('MDA1:NCA9'!N7)</f>
        <v>449.69999999999987</v>
      </c>
      <c r="O7" s="69">
        <f>SUM('MDA1:NCA9'!O7)</f>
        <v>486.1099999999999</v>
      </c>
      <c r="P7" s="69">
        <f>SUM('MDA1:NCA9'!P7)</f>
        <v>523.77</v>
      </c>
      <c r="Q7" s="69">
        <f>SUM('MDA1:NCA9'!Q7)</f>
        <v>560.52</v>
      </c>
      <c r="R7" s="69">
        <f>SUM('MDA1:NCA9'!R7)</f>
        <v>591.16999999999985</v>
      </c>
      <c r="S7" s="69">
        <f>SUM('MDA1:NCA9'!S7)</f>
        <v>625.12999999999988</v>
      </c>
      <c r="T7" s="69">
        <f>SUM('MDA1:NCA9'!T7)</f>
        <v>659.51999999999987</v>
      </c>
      <c r="U7" s="69">
        <f>SUM('MDA1:NCA9'!U7)</f>
        <v>686.8900000000001</v>
      </c>
      <c r="V7" s="69">
        <f>SUM('MDA1:NCA9'!V7)</f>
        <v>712.37999999999988</v>
      </c>
      <c r="W7" s="69">
        <f>SUM('MDA1:NCA9'!W7)</f>
        <v>743.14</v>
      </c>
      <c r="X7" s="69">
        <f>SUM('MDA1:NCA9'!X7)</f>
        <v>775.27999999999975</v>
      </c>
      <c r="Y7" s="69">
        <f>SUM('MDA1:NCA9'!Y7)</f>
        <v>802.2399999999999</v>
      </c>
      <c r="Z7" s="69">
        <f>SUM('MDA1:NCA9'!Z7)</f>
        <v>831.03999999999974</v>
      </c>
      <c r="AA7" s="69">
        <f>SUM('MDA1:NCA9'!AA7)</f>
        <v>859.81999999999982</v>
      </c>
      <c r="AB7" s="69">
        <f>SUM('MDA1:NCA9'!AB7)</f>
        <v>887.28999999999985</v>
      </c>
      <c r="AC7" s="69">
        <f>SUM('MDA1:NCA9'!AC7)</f>
        <v>910.98999999999978</v>
      </c>
      <c r="AD7" s="69">
        <f>SUM('MDA1:NCA9'!AD7)</f>
        <v>935.59999999999991</v>
      </c>
      <c r="AE7" s="69">
        <f>SUM('MDA1:NCA9'!AE7)</f>
        <v>958.81999999999994</v>
      </c>
      <c r="AF7" s="69">
        <f>SUM('MDA1:NCA9'!AF7)</f>
        <v>981.65999999999985</v>
      </c>
      <c r="AG7" s="69">
        <f>SUM('MDA1:NCA9'!AG7)</f>
        <v>1002.0799999999998</v>
      </c>
      <c r="AH7" s="69">
        <f>SUM('MDA1:NCA9'!AH7)</f>
        <v>1027.6899999999996</v>
      </c>
      <c r="AI7" s="69">
        <f>SUM('MDA1:NCA9'!AI7)</f>
        <v>1057.93</v>
      </c>
      <c r="AJ7" s="69">
        <f>SUM('MDA1:NCA9'!AJ7)</f>
        <v>1089.25</v>
      </c>
      <c r="AK7" s="69">
        <f>SUM('MDA1:NCA9'!AK7)</f>
        <v>1118.6099999999997</v>
      </c>
      <c r="AL7" s="69">
        <f>SUM('MDA1:NCA9'!AL7)</f>
        <v>1145.5899999999997</v>
      </c>
      <c r="AM7" s="69">
        <f>SUM('MDA1:NCA9'!AM7)</f>
        <v>1175.8399999999999</v>
      </c>
      <c r="AN7" s="69">
        <f>SUM('MDA1:NCA9'!AN7)</f>
        <v>1204.79</v>
      </c>
    </row>
    <row r="8" spans="1:40" hidden="1" outlineLevel="1" x14ac:dyDescent="0.25">
      <c r="B8" s="214" t="s">
        <v>380</v>
      </c>
      <c r="C8" s="3"/>
      <c r="D8" s="3"/>
      <c r="E8" s="69">
        <f>SUM('MDA1:NCA9'!E8)</f>
        <v>43.33</v>
      </c>
      <c r="F8" s="69">
        <f>SUM('MDA1:NCA9'!F8)</f>
        <v>45.97</v>
      </c>
      <c r="G8" s="69">
        <f>SUM('MDA1:NCA9'!G8)</f>
        <v>49.51</v>
      </c>
      <c r="H8" s="69">
        <f>SUM('MDA1:NCA9'!H8)</f>
        <v>53.26</v>
      </c>
      <c r="I8" s="69">
        <f>SUM('MDA1:NCA9'!I8)</f>
        <v>56.339999999999989</v>
      </c>
      <c r="J8" s="69">
        <f>SUM('MDA1:NCA9'!J8)</f>
        <v>60.139999999999993</v>
      </c>
      <c r="K8" s="69">
        <f>SUM('MDA1:NCA9'!K8)</f>
        <v>65.36999999999999</v>
      </c>
      <c r="L8" s="69">
        <f>SUM('MDA1:NCA9'!L8)</f>
        <v>69.39</v>
      </c>
      <c r="M8" s="69">
        <f>SUM('MDA1:NCA9'!M8)</f>
        <v>74.040000000000006</v>
      </c>
      <c r="N8" s="69">
        <f>SUM('MDA1:NCA9'!N8)</f>
        <v>79.179999999999993</v>
      </c>
      <c r="O8" s="69">
        <f>SUM('MDA1:NCA9'!O8)</f>
        <v>85.11</v>
      </c>
      <c r="P8" s="69">
        <f>SUM('MDA1:NCA9'!P8)</f>
        <v>91.329999999999984</v>
      </c>
      <c r="Q8" s="69">
        <f>SUM('MDA1:NCA9'!Q8)</f>
        <v>97.219999999999985</v>
      </c>
      <c r="R8" s="69">
        <f>SUM('MDA1:NCA9'!R8)</f>
        <v>102.22000000000001</v>
      </c>
      <c r="S8" s="69">
        <f>SUM('MDA1:NCA9'!S8)</f>
        <v>107.68000000000002</v>
      </c>
      <c r="T8" s="69">
        <f>SUM('MDA1:NCA9'!T8)</f>
        <v>113.21999999999998</v>
      </c>
      <c r="U8" s="69">
        <f>SUM('MDA1:NCA9'!U8)</f>
        <v>117.69000000000001</v>
      </c>
      <c r="V8" s="69">
        <f>SUM('MDA1:NCA9'!V8)</f>
        <v>121.89999999999999</v>
      </c>
      <c r="W8" s="69">
        <f>SUM('MDA1:NCA9'!W8)</f>
        <v>126.84</v>
      </c>
      <c r="X8" s="69">
        <f>SUM('MDA1:NCA9'!X8)</f>
        <v>131.99</v>
      </c>
      <c r="Y8" s="69">
        <f>SUM('MDA1:NCA9'!Y8)</f>
        <v>136.32</v>
      </c>
      <c r="Z8" s="69">
        <f>SUM('MDA1:NCA9'!Z8)</f>
        <v>141.03</v>
      </c>
      <c r="AA8" s="69">
        <f>SUM('MDA1:NCA9'!AA8)</f>
        <v>145.73999999999998</v>
      </c>
      <c r="AB8" s="69">
        <f>SUM('MDA1:NCA9'!AB8)</f>
        <v>150.16999999999999</v>
      </c>
      <c r="AC8" s="69">
        <f>SUM('MDA1:NCA9'!AC8)</f>
        <v>153.97</v>
      </c>
      <c r="AD8" s="69">
        <f>SUM('MDA1:NCA9'!AD8)</f>
        <v>157.98000000000002</v>
      </c>
      <c r="AE8" s="69">
        <f>SUM('MDA1:NCA9'!AE8)</f>
        <v>161.77000000000001</v>
      </c>
      <c r="AF8" s="69">
        <f>SUM('MDA1:NCA9'!AF8)</f>
        <v>165.41</v>
      </c>
      <c r="AG8" s="69">
        <f>SUM('MDA1:NCA9'!AG8)</f>
        <v>168.69</v>
      </c>
      <c r="AH8" s="69">
        <f>SUM('MDA1:NCA9'!AH8)</f>
        <v>172.81</v>
      </c>
      <c r="AI8" s="69">
        <f>SUM('MDA1:NCA9'!AI8)</f>
        <v>177.68</v>
      </c>
      <c r="AJ8" s="69">
        <f>SUM('MDA1:NCA9'!AJ8)</f>
        <v>182.59</v>
      </c>
      <c r="AK8" s="69">
        <f>SUM('MDA1:NCA9'!AK8)</f>
        <v>187.28</v>
      </c>
      <c r="AL8" s="69">
        <f>SUM('MDA1:NCA9'!AL8)</f>
        <v>191.61999999999998</v>
      </c>
      <c r="AM8" s="69">
        <f>SUM('MDA1:NCA9'!AM8)</f>
        <v>196.49000000000004</v>
      </c>
      <c r="AN8" s="69">
        <f>SUM('MDA1:NCA9'!AN8)</f>
        <v>201.08000000000004</v>
      </c>
    </row>
    <row r="9" spans="1:40" collapsed="1" x14ac:dyDescent="0.25">
      <c r="B9" s="94"/>
      <c r="C9" s="3"/>
      <c r="D9" s="3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</row>
    <row r="10" spans="1:40" hidden="1" outlineLevel="1" x14ac:dyDescent="0.25">
      <c r="B10" s="55" t="s">
        <v>391</v>
      </c>
      <c r="C10" s="3"/>
      <c r="D10" s="94"/>
      <c r="E10" s="69">
        <f>SUM('MDA1:NCA9'!E2)</f>
        <v>38.353858784893276</v>
      </c>
      <c r="F10" s="69">
        <f>SUM('MDA1:NCA9'!F2)</f>
        <v>43.806239737274211</v>
      </c>
      <c r="G10" s="69">
        <f>SUM('MDA1:NCA9'!G2)</f>
        <v>42.711001642036116</v>
      </c>
      <c r="H10" s="69">
        <f>SUM('MDA1:NCA9'!H2)</f>
        <v>44.877668308702795</v>
      </c>
      <c r="I10" s="69">
        <f>SUM('MDA1:NCA9'!I2)</f>
        <v>51.591954022988503</v>
      </c>
      <c r="J10" s="69">
        <f>SUM('MDA1:NCA9'!J2)</f>
        <v>55.306239737274218</v>
      </c>
      <c r="K10" s="69">
        <f>SUM('MDA1:NCA9'!K2)</f>
        <v>63.472906403940883</v>
      </c>
      <c r="L10" s="69">
        <f>SUM('MDA1:NCA9'!L2)</f>
        <v>71.83004926108373</v>
      </c>
      <c r="M10" s="69">
        <f>SUM('MDA1:NCA9'!M2)</f>
        <v>74.163382594417072</v>
      </c>
      <c r="N10" s="69">
        <f>SUM('MDA1:NCA9'!N2)</f>
        <v>79.663382594417087</v>
      </c>
      <c r="O10" s="69">
        <f>SUM('MDA1:NCA9'!O2)</f>
        <v>87.06814449917897</v>
      </c>
      <c r="P10" s="69">
        <f>SUM('MDA1:NCA9'!P2)</f>
        <v>92.615763546798021</v>
      </c>
      <c r="Q10" s="69">
        <f>SUM('MDA1:NCA9'!Q2)</f>
        <v>89.782430213464721</v>
      </c>
      <c r="R10" s="69">
        <f>SUM('MDA1:NCA9'!R2)</f>
        <v>92.711001642036123</v>
      </c>
      <c r="S10" s="69">
        <f>SUM('MDA1:NCA9'!S2)</f>
        <v>97.425287356321846</v>
      </c>
      <c r="T10" s="69">
        <f>SUM('MDA1:NCA9'!T2)</f>
        <v>97.591954022988531</v>
      </c>
      <c r="U10" s="69">
        <f>SUM('MDA1:NCA9'!U2)</f>
        <v>95.877668308702781</v>
      </c>
      <c r="V10" s="69">
        <f>SUM('MDA1:NCA9'!V2)</f>
        <v>96.830049261083744</v>
      </c>
      <c r="W10" s="69">
        <f>SUM('MDA1:NCA9'!W2)</f>
        <v>98.377668308702809</v>
      </c>
      <c r="X10" s="69">
        <f>SUM('MDA1:NCA9'!X2)</f>
        <v>101.6871921182266</v>
      </c>
      <c r="Y10" s="69">
        <f>SUM('MDA1:NCA9'!Y2)</f>
        <v>111.04433497536944</v>
      </c>
      <c r="Z10" s="69">
        <f>SUM('MDA1:NCA9'!Z2)</f>
        <v>111.54433497536947</v>
      </c>
      <c r="AA10" s="69">
        <f>SUM('MDA1:NCA9'!AA2)</f>
        <v>112.18719211822662</v>
      </c>
      <c r="AB10" s="69">
        <f>SUM('MDA1:NCA9'!AB2)</f>
        <v>113.97290640394087</v>
      </c>
      <c r="AC10" s="69">
        <f>SUM('MDA1:NCA9'!AC2)</f>
        <v>120.30623973727421</v>
      </c>
      <c r="AD10" s="69">
        <f>SUM('MDA1:NCA9'!AD2)</f>
        <v>121.59195402298852</v>
      </c>
      <c r="AE10" s="69">
        <f>SUM('MDA1:NCA9'!AE2)</f>
        <v>122.71100164203611</v>
      </c>
      <c r="AF10" s="69">
        <f>SUM('MDA1:NCA9'!AF2)</f>
        <v>124.0919540229885</v>
      </c>
      <c r="AG10" s="69">
        <f>SUM('MDA1:NCA9'!AG2)</f>
        <v>126.59195402298853</v>
      </c>
      <c r="AH10" s="69">
        <f>SUM('MDA1:NCA9'!AH2)</f>
        <v>129.09195402298849</v>
      </c>
      <c r="AI10" s="69">
        <f>SUM('MDA1:NCA9'!AI2)</f>
        <v>137.61576354679801</v>
      </c>
      <c r="AJ10" s="69">
        <f>SUM('MDA1:NCA9'!AJ2)</f>
        <v>137.28243021346472</v>
      </c>
      <c r="AK10" s="69">
        <f>SUM('MDA1:NCA9'!AK2)</f>
        <v>137.25862068965517</v>
      </c>
      <c r="AL10" s="69">
        <f>SUM('MDA1:NCA9'!AL2)</f>
        <v>144.97290640394087</v>
      </c>
      <c r="AM10" s="69">
        <f>SUM('MDA1:NCA9'!AM2)</f>
        <v>149.09195402298852</v>
      </c>
      <c r="AN10" s="69">
        <f>SUM('MDA1:NCA9'!AN2)</f>
        <v>151.92528735632183</v>
      </c>
    </row>
    <row r="11" spans="1:40" hidden="1" outlineLevel="1" x14ac:dyDescent="0.25">
      <c r="B11" s="55" t="s">
        <v>392</v>
      </c>
      <c r="C11" s="3"/>
      <c r="D11" s="94"/>
      <c r="E11" s="69">
        <f>SUM('MDA1:NCA9'!E3)</f>
        <v>21.666666666666668</v>
      </c>
      <c r="F11" s="69">
        <f>SUM('MDA1:NCA9'!F3)</f>
        <v>23</v>
      </c>
      <c r="G11" s="69">
        <f>SUM('MDA1:NCA9'!G3)</f>
        <v>24.333333333333332</v>
      </c>
      <c r="H11" s="69">
        <f>SUM('MDA1:NCA9'!H3)</f>
        <v>26.000000000000004</v>
      </c>
      <c r="I11" s="69">
        <f>SUM('MDA1:NCA9'!I3)</f>
        <v>28</v>
      </c>
      <c r="J11" s="69">
        <f>SUM('MDA1:NCA9'!J3)</f>
        <v>29.999999999999996</v>
      </c>
      <c r="K11" s="69">
        <f>SUM('MDA1:NCA9'!K3)</f>
        <v>35.166666666666664</v>
      </c>
      <c r="L11" s="69">
        <f>SUM('MDA1:NCA9'!L3)</f>
        <v>37.666666666666664</v>
      </c>
      <c r="M11" s="69">
        <f>SUM('MDA1:NCA9'!M3)</f>
        <v>40.000000000000007</v>
      </c>
      <c r="N11" s="69">
        <f>SUM('MDA1:NCA9'!N3)</f>
        <v>42.5</v>
      </c>
      <c r="O11" s="69">
        <f>SUM('MDA1:NCA9'!O3)</f>
        <v>45.333333333333321</v>
      </c>
      <c r="P11" s="69">
        <f>SUM('MDA1:NCA9'!P3)</f>
        <v>48.500000000000007</v>
      </c>
      <c r="Q11" s="69">
        <f>SUM('MDA1:NCA9'!Q3)</f>
        <v>51.666666666666671</v>
      </c>
      <c r="R11" s="69">
        <f>SUM('MDA1:NCA9'!R3)</f>
        <v>54.666666666666657</v>
      </c>
      <c r="S11" s="69">
        <f>SUM('MDA1:NCA9'!S3)</f>
        <v>57.666666666666671</v>
      </c>
      <c r="T11" s="69">
        <f>SUM('MDA1:NCA9'!T3)</f>
        <v>60.833333333333336</v>
      </c>
      <c r="U11" s="69">
        <f>SUM('MDA1:NCA9'!U3)</f>
        <v>63.833333333333329</v>
      </c>
      <c r="V11" s="69">
        <f>SUM('MDA1:NCA9'!V3)</f>
        <v>66.5</v>
      </c>
      <c r="W11" s="69">
        <f>SUM('MDA1:NCA9'!W3)</f>
        <v>69.333333333333329</v>
      </c>
      <c r="X11" s="69">
        <f>SUM('MDA1:NCA9'!X3)</f>
        <v>72.500000000000014</v>
      </c>
      <c r="Y11" s="69">
        <f>SUM('MDA1:NCA9'!Y3)</f>
        <v>75.999999999999986</v>
      </c>
      <c r="Z11" s="69">
        <f>SUM('MDA1:NCA9'!Z3)</f>
        <v>79.5</v>
      </c>
      <c r="AA11" s="69">
        <f>SUM('MDA1:NCA9'!AA3)</f>
        <v>83.000000000000028</v>
      </c>
      <c r="AB11" s="69">
        <f>SUM('MDA1:NCA9'!AB3)</f>
        <v>86.499999999999986</v>
      </c>
      <c r="AC11" s="69">
        <f>SUM('MDA1:NCA9'!AC3)</f>
        <v>89.833333333333329</v>
      </c>
      <c r="AD11" s="69">
        <f>SUM('MDA1:NCA9'!AD3)</f>
        <v>92.833333333333343</v>
      </c>
      <c r="AE11" s="69">
        <f>SUM('MDA1:NCA9'!AE3)</f>
        <v>95.666666666666657</v>
      </c>
      <c r="AF11" s="69">
        <f>SUM('MDA1:NCA9'!AF3)</f>
        <v>98.333333333333343</v>
      </c>
      <c r="AG11" s="69">
        <f>SUM('MDA1:NCA9'!AG3)</f>
        <v>100.83333333333333</v>
      </c>
      <c r="AH11" s="69">
        <f>SUM('MDA1:NCA9'!AH3)</f>
        <v>103.33333333333333</v>
      </c>
      <c r="AI11" s="69">
        <f>SUM('MDA1:NCA9'!AI3)</f>
        <v>106.00000000000001</v>
      </c>
      <c r="AJ11" s="69">
        <f>SUM('MDA1:NCA9'!AJ3)</f>
        <v>108.66666666666667</v>
      </c>
      <c r="AK11" s="69">
        <f>SUM('MDA1:NCA9'!AK3)</f>
        <v>111.49999999999999</v>
      </c>
      <c r="AL11" s="69">
        <f>SUM('MDA1:NCA9'!AL3)</f>
        <v>114.50000000000003</v>
      </c>
      <c r="AM11" s="69">
        <f>SUM('MDA1:NCA9'!AM3)</f>
        <v>117.33333333333331</v>
      </c>
      <c r="AN11" s="69">
        <f>SUM('MDA1:NCA9'!AN3)</f>
        <v>120.16666666666667</v>
      </c>
    </row>
    <row r="12" spans="1:40" hidden="1" outlineLevel="1" x14ac:dyDescent="0.25">
      <c r="B12" s="55" t="s">
        <v>393</v>
      </c>
      <c r="C12" s="3"/>
      <c r="D12" s="94"/>
      <c r="E12" s="69">
        <f>SUM('MDA1:NCA9'!E4)</f>
        <v>427.3538587848933</v>
      </c>
      <c r="F12" s="69">
        <f>SUM('MDA1:NCA9'!F4)</f>
        <v>453.80623973727421</v>
      </c>
      <c r="G12" s="69">
        <f>SUM('MDA1:NCA9'!G4)</f>
        <v>479.71100164203614</v>
      </c>
      <c r="H12" s="69">
        <f>SUM('MDA1:NCA9'!H4)</f>
        <v>510.87766830870282</v>
      </c>
      <c r="I12" s="69">
        <f>SUM('MDA1:NCA9'!I4)</f>
        <v>541.59195402298849</v>
      </c>
      <c r="J12" s="69">
        <f>SUM('MDA1:NCA9'!J4)</f>
        <v>575.30623973727415</v>
      </c>
      <c r="K12" s="69">
        <f>SUM('MDA1:NCA9'!K4)</f>
        <v>622.4729064039409</v>
      </c>
      <c r="L12" s="69">
        <f>SUM('MDA1:NCA9'!L4)</f>
        <v>661.83004926108367</v>
      </c>
      <c r="M12" s="69">
        <f>SUM('MDA1:NCA9'!M4)</f>
        <v>700.16338259441704</v>
      </c>
      <c r="N12" s="69">
        <f>SUM('MDA1:NCA9'!N4)</f>
        <v>744.66338259441716</v>
      </c>
      <c r="O12" s="69">
        <f>SUM('MDA1:NCA9'!O4)</f>
        <v>797.06814449917897</v>
      </c>
      <c r="P12" s="69">
        <f>SUM('MDA1:NCA9'!P4)</f>
        <v>850.61576354679801</v>
      </c>
      <c r="Q12" s="69">
        <f>SUM('MDA1:NCA9'!Q4)</f>
        <v>893.78243021346464</v>
      </c>
      <c r="R12" s="69">
        <f>SUM('MDA1:NCA9'!R4)</f>
        <v>936.71100164203608</v>
      </c>
      <c r="S12" s="69">
        <f>SUM('MDA1:NCA9'!S4)</f>
        <v>984.42528735632186</v>
      </c>
      <c r="T12" s="69">
        <f>SUM('MDA1:NCA9'!T4)</f>
        <v>1028.5919540229884</v>
      </c>
      <c r="U12" s="69">
        <f>SUM('MDA1:NCA9'!U4)</f>
        <v>1062.8776683087026</v>
      </c>
      <c r="V12" s="69">
        <f>SUM('MDA1:NCA9'!V4)</f>
        <v>1097.8300492610838</v>
      </c>
      <c r="W12" s="69">
        <f>SUM('MDA1:NCA9'!W4)</f>
        <v>1138.3776683087028</v>
      </c>
      <c r="X12" s="69">
        <f>SUM('MDA1:NCA9'!X4)</f>
        <v>1181.6871921182264</v>
      </c>
      <c r="Y12" s="69">
        <f>SUM('MDA1:NCA9'!Y4)</f>
        <v>1225.0443349753693</v>
      </c>
      <c r="Z12" s="69">
        <f>SUM('MDA1:NCA9'!Z4)</f>
        <v>1263.5443349753696</v>
      </c>
      <c r="AA12" s="69">
        <f>SUM('MDA1:NCA9'!AA4)</f>
        <v>1302.1871921182264</v>
      </c>
      <c r="AB12" s="69">
        <f>SUM('MDA1:NCA9'!AB4)</f>
        <v>1338.9729064039409</v>
      </c>
      <c r="AC12" s="69">
        <f>SUM('MDA1:NCA9'!AC4)</f>
        <v>1375.3062397372742</v>
      </c>
      <c r="AD12" s="69">
        <f>SUM('MDA1:NCA9'!AD4)</f>
        <v>1408.5919540229884</v>
      </c>
      <c r="AE12" s="69">
        <f>SUM('MDA1:NCA9'!AE4)</f>
        <v>1439.7110016420361</v>
      </c>
      <c r="AF12" s="69">
        <f>SUM('MDA1:NCA9'!AF4)</f>
        <v>1469.0919540229884</v>
      </c>
      <c r="AG12" s="69">
        <f>SUM('MDA1:NCA9'!AG4)</f>
        <v>1497.5919540229884</v>
      </c>
      <c r="AH12" s="69">
        <f>SUM('MDA1:NCA9'!AH4)</f>
        <v>1532.0919540229886</v>
      </c>
      <c r="AI12" s="69">
        <f>SUM('MDA1:NCA9'!AI4)</f>
        <v>1578.615763546798</v>
      </c>
      <c r="AJ12" s="69">
        <f>SUM('MDA1:NCA9'!AJ4)</f>
        <v>1615.2824302134647</v>
      </c>
      <c r="AK12" s="69">
        <f>SUM('MDA1:NCA9'!AK4)</f>
        <v>1651.2586206896553</v>
      </c>
      <c r="AL12" s="69">
        <f>SUM('MDA1:NCA9'!AL4)</f>
        <v>1692.9729064039407</v>
      </c>
      <c r="AM12" s="69">
        <f>SUM('MDA1:NCA9'!AM4)</f>
        <v>1735.0919540229884</v>
      </c>
      <c r="AN12" s="69">
        <f>SUM('MDA1:NCA9'!AN4)</f>
        <v>1772.9252873563221</v>
      </c>
    </row>
    <row r="13" spans="1:40" collapsed="1" x14ac:dyDescent="0.25">
      <c r="B13" s="3"/>
      <c r="C13" s="3"/>
      <c r="D13" s="3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</row>
    <row r="14" spans="1:40" hidden="1" outlineLevel="1" x14ac:dyDescent="0.25">
      <c r="B14" s="3"/>
      <c r="C14" s="3"/>
      <c r="D14" s="3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</row>
    <row r="15" spans="1:40" hidden="1" outlineLevel="1" x14ac:dyDescent="0.25">
      <c r="B15" s="3"/>
      <c r="C15" s="3"/>
      <c r="D15" s="3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</row>
    <row r="16" spans="1:40" hidden="1" outlineLevel="1" x14ac:dyDescent="0.25">
      <c r="B16" s="3"/>
      <c r="C16" s="3"/>
      <c r="D16" s="3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</row>
    <row r="17" spans="2:40" hidden="1" outlineLevel="1" x14ac:dyDescent="0.25">
      <c r="B17" s="3"/>
      <c r="C17" s="3"/>
      <c r="D17" s="3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</row>
    <row r="18" spans="2:40" hidden="1" outlineLevel="1" x14ac:dyDescent="0.25">
      <c r="B18" s="3"/>
      <c r="C18" s="3"/>
      <c r="D18" s="3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</row>
    <row r="19" spans="2:40" hidden="1" outlineLevel="1" x14ac:dyDescent="0.25">
      <c r="B19" s="3"/>
      <c r="C19" s="3"/>
      <c r="D19" s="3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</row>
    <row r="20" spans="2:40" hidden="1" outlineLevel="1" x14ac:dyDescent="0.25">
      <c r="B20" s="3"/>
      <c r="C20" s="3"/>
      <c r="D20" s="3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</row>
    <row r="21" spans="2:40" hidden="1" outlineLevel="1" collapsed="1" x14ac:dyDescent="0.25">
      <c r="B21" s="2"/>
      <c r="D21" s="55"/>
      <c r="E21" s="60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107"/>
      <c r="S21" s="107"/>
      <c r="T21" s="107"/>
      <c r="U21" s="107"/>
      <c r="V21" s="107"/>
      <c r="W21" s="107"/>
      <c r="X21" s="107"/>
      <c r="Y21" s="107"/>
      <c r="Z21" s="107"/>
      <c r="AA21" s="107"/>
      <c r="AB21" s="107"/>
      <c r="AC21" s="107"/>
      <c r="AD21" s="107"/>
      <c r="AE21" s="107"/>
      <c r="AF21" s="107"/>
      <c r="AG21" s="107"/>
      <c r="AH21" s="107"/>
      <c r="AI21" s="107"/>
      <c r="AJ21" s="107"/>
      <c r="AK21" s="107"/>
      <c r="AL21" s="107"/>
      <c r="AM21" s="107"/>
      <c r="AN21" s="107"/>
    </row>
    <row r="22" spans="2:40" collapsed="1" x14ac:dyDescent="0.25">
      <c r="B22" s="2" t="s">
        <v>394</v>
      </c>
      <c r="D22" s="55"/>
      <c r="E22" s="60" cm="1">
        <f t="array" ref="E22:AN22">_xlfn.BYCOL($E$26:$AN$30,_xlfn.LAMBDA(_xlpm.a,SUM(_xlpm.a)))/$E$23:$AN$23</f>
        <v>113.48136350378822</v>
      </c>
      <c r="F22" s="107">
        <v>115.59713245523659</v>
      </c>
      <c r="G22" s="107">
        <v>118.38373977118054</v>
      </c>
      <c r="H22" s="107">
        <v>121.72909213816456</v>
      </c>
      <c r="I22" s="107">
        <v>124.07380278590553</v>
      </c>
      <c r="J22" s="107">
        <v>125.96619705957097</v>
      </c>
      <c r="K22" s="107">
        <v>127.38961323928771</v>
      </c>
      <c r="L22" s="107">
        <v>129.14425910252587</v>
      </c>
      <c r="M22" s="107">
        <v>131.01860225101291</v>
      </c>
      <c r="N22" s="107">
        <v>132.50537175110924</v>
      </c>
      <c r="O22" s="107">
        <v>133.96890051241368</v>
      </c>
      <c r="P22" s="107">
        <v>135.20949323243374</v>
      </c>
      <c r="Q22" s="107">
        <v>140.4339867527741</v>
      </c>
      <c r="R22" s="107">
        <v>141.12918736752229</v>
      </c>
      <c r="S22" s="107">
        <v>142.02001190702291</v>
      </c>
      <c r="T22" s="107">
        <v>142.84307555042486</v>
      </c>
      <c r="U22" s="107">
        <v>143.26159068571101</v>
      </c>
      <c r="V22" s="107">
        <v>143.45135078769502</v>
      </c>
      <c r="W22" s="107">
        <v>143.64136872657684</v>
      </c>
      <c r="X22" s="107">
        <v>143.97150141809814</v>
      </c>
      <c r="Y22" s="107">
        <v>144.17517150077506</v>
      </c>
      <c r="Z22" s="107">
        <v>144.45673720301488</v>
      </c>
      <c r="AA22" s="107">
        <v>144.76137591002845</v>
      </c>
      <c r="AB22" s="107">
        <v>145.2382639425245</v>
      </c>
      <c r="AC22" s="107">
        <v>145.49357535821625</v>
      </c>
      <c r="AD22" s="107">
        <v>145.77531822530014</v>
      </c>
      <c r="AE22" s="107">
        <v>146.14010386296906</v>
      </c>
      <c r="AF22" s="107">
        <v>146.43399250477833</v>
      </c>
      <c r="AG22" s="107">
        <v>146.59580692171392</v>
      </c>
      <c r="AH22" s="107">
        <v>146.5680179199083</v>
      </c>
      <c r="AI22" s="107">
        <v>146.62859291035471</v>
      </c>
      <c r="AJ22" s="107">
        <v>146.74617069942354</v>
      </c>
      <c r="AK22" s="107">
        <v>146.96465062273484</v>
      </c>
      <c r="AL22" s="107">
        <v>147.29494020709552</v>
      </c>
      <c r="AM22" s="107">
        <v>147.70486780714526</v>
      </c>
      <c r="AN22" s="107">
        <v>148.0857594682214</v>
      </c>
    </row>
    <row r="23" spans="2:40" x14ac:dyDescent="0.25">
      <c r="B23" s="2" t="s">
        <v>53</v>
      </c>
      <c r="C23" s="3"/>
      <c r="D23" s="3"/>
      <c r="E23" s="53">
        <f>SUM('MDA1:NCA9'!E23)</f>
        <v>28678.026666666672</v>
      </c>
      <c r="F23" s="53">
        <f>SUM('MDA1:NCA9'!F23)</f>
        <v>30402.826666666664</v>
      </c>
      <c r="G23" s="53">
        <f>SUM('MDA1:NCA9'!G23)</f>
        <v>32757.706666666669</v>
      </c>
      <c r="H23" s="53">
        <f>SUM('MDA1:NCA9'!H23)</f>
        <v>35267.32</v>
      </c>
      <c r="I23" s="53">
        <f>SUM('MDA1:NCA9'!I23)</f>
        <v>37303.346666666665</v>
      </c>
      <c r="J23" s="53">
        <f>SUM('MDA1:NCA9'!J23)</f>
        <v>39809.293333333335</v>
      </c>
      <c r="K23" s="53">
        <f>SUM('MDA1:NCA9'!K23)</f>
        <v>43422.426666666666</v>
      </c>
      <c r="L23" s="53">
        <f>SUM('MDA1:NCA9'!L23)</f>
        <v>46140.160000000003</v>
      </c>
      <c r="M23" s="53">
        <f>SUM('MDA1:NCA9'!M23)</f>
        <v>49276.186666666668</v>
      </c>
      <c r="N23" s="53">
        <f>SUM('MDA1:NCA9'!N23)</f>
        <v>52780.639999999992</v>
      </c>
      <c r="O23" s="53">
        <f>SUM('MDA1:NCA9'!O23)</f>
        <v>56863.693333333322</v>
      </c>
      <c r="P23" s="53">
        <f>SUM('MDA1:NCA9'!P23)</f>
        <v>61099.72</v>
      </c>
      <c r="Q23" s="53">
        <f>SUM('MDA1:NCA9'!Q23)</f>
        <v>65232.493333333332</v>
      </c>
      <c r="R23" s="53">
        <f>SUM('MDA1:NCA9'!R23)</f>
        <v>68683.706666666665</v>
      </c>
      <c r="S23" s="53">
        <f>SUM('MDA1:NCA9'!S23)</f>
        <v>72501.439999999988</v>
      </c>
      <c r="T23" s="53">
        <f>SUM('MDA1:NCA9'!T23)</f>
        <v>76370.799999999974</v>
      </c>
      <c r="U23" s="53">
        <f>SUM('MDA1:NCA9'!U23)</f>
        <v>79453.439999999973</v>
      </c>
      <c r="V23" s="53">
        <f>SUM('MDA1:NCA9'!V23)</f>
        <v>82329.866666666654</v>
      </c>
      <c r="W23" s="53">
        <f>SUM('MDA1:NCA9'!W23)</f>
        <v>85784.746666666644</v>
      </c>
      <c r="X23" s="53">
        <f>SUM('MDA1:NCA9'!X23)</f>
        <v>89398.026666666672</v>
      </c>
      <c r="Y23" s="53">
        <f>SUM('MDA1:NCA9'!Y23)</f>
        <v>92434.613333333313</v>
      </c>
      <c r="Z23" s="53">
        <f>SUM('MDA1:NCA9'!Z23)</f>
        <v>95677.706666666651</v>
      </c>
      <c r="AA23" s="53">
        <f>SUM('MDA1:NCA9'!AA23)</f>
        <v>98920.799999999959</v>
      </c>
      <c r="AB23" s="53">
        <f>SUM('MDA1:NCA9'!AB23)</f>
        <v>102009.01333333332</v>
      </c>
      <c r="AC23" s="53">
        <f>SUM('MDA1:NCA9'!AC23)</f>
        <v>104678.93333333332</v>
      </c>
      <c r="AD23" s="53">
        <f>SUM('MDA1:NCA9'!AD23)</f>
        <v>107452.1066666666</v>
      </c>
      <c r="AE23" s="53">
        <f>SUM('MDA1:NCA9'!AE23)</f>
        <v>110068.63999999997</v>
      </c>
      <c r="AF23" s="53">
        <f>SUM('MDA1:NCA9'!AF23)</f>
        <v>112635.30666666664</v>
      </c>
      <c r="AG23" s="53">
        <f>SUM('MDA1:NCA9'!AG23)</f>
        <v>114938.55999999997</v>
      </c>
      <c r="AH23" s="53">
        <f>SUM('MDA1:NCA9'!AH23)</f>
        <v>117818.5066666666</v>
      </c>
      <c r="AI23" s="53">
        <f>SUM('MDA1:NCA9'!AI23)</f>
        <v>121221.75999999998</v>
      </c>
      <c r="AJ23" s="53">
        <f>SUM('MDA1:NCA9'!AJ23)</f>
        <v>124733.5466666666</v>
      </c>
      <c r="AK23" s="53">
        <f>SUM('MDA1:NCA9'!AK23)</f>
        <v>128033.5466666666</v>
      </c>
      <c r="AL23" s="53">
        <f>SUM('MDA1:NCA9'!AL23)</f>
        <v>131070.13333333326</v>
      </c>
      <c r="AM23" s="53">
        <f>SUM('MDA1:NCA9'!AM23)</f>
        <v>134473.38666666657</v>
      </c>
      <c r="AN23" s="53">
        <f>SUM('MDA1:NCA9'!AN23)</f>
        <v>137721.75999999992</v>
      </c>
    </row>
    <row r="24" spans="2:40" x14ac:dyDescent="0.25">
      <c r="B24" s="3"/>
      <c r="C24" s="3"/>
      <c r="D24" s="3"/>
      <c r="E24" s="56"/>
      <c r="F24" s="56"/>
      <c r="G24" s="56"/>
      <c r="H24" s="56"/>
      <c r="I24" s="56"/>
      <c r="J24" s="56"/>
      <c r="K24" s="56"/>
      <c r="L24" s="56"/>
      <c r="M24" s="56"/>
      <c r="N24" s="56"/>
      <c r="O24" s="56"/>
      <c r="P24" s="56"/>
      <c r="Q24" s="56"/>
      <c r="R24" s="56"/>
      <c r="S24" s="56"/>
      <c r="T24" s="56"/>
      <c r="U24" s="56"/>
      <c r="V24" s="56"/>
      <c r="W24" s="56"/>
      <c r="X24" s="56"/>
      <c r="Y24" s="56"/>
      <c r="Z24" s="56"/>
      <c r="AA24" s="56"/>
      <c r="AB24" s="56"/>
      <c r="AC24" s="56"/>
      <c r="AD24" s="56"/>
      <c r="AE24" s="56"/>
      <c r="AF24" s="56"/>
      <c r="AG24" s="56"/>
      <c r="AH24" s="56"/>
      <c r="AI24" s="56"/>
      <c r="AJ24" s="56"/>
      <c r="AK24" s="56"/>
      <c r="AL24" s="56"/>
      <c r="AM24" s="56"/>
      <c r="AN24" s="56"/>
    </row>
    <row r="25" spans="2:40" x14ac:dyDescent="0.25">
      <c r="B25" s="1" t="s">
        <v>21</v>
      </c>
      <c r="E25" s="38" cm="1">
        <f t="array" ref="E25:AN25">DATE(Base!BJ4,_xlfn.SEQUENCE(1,COUNTA(Base!$BJ$4:$BL$4)*12,1),1)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</row>
    <row r="26" spans="2:40" outlineLevel="1" x14ac:dyDescent="0.25">
      <c r="B26" s="39" t="s">
        <v>379</v>
      </c>
      <c r="E26" s="12">
        <f>SUM('MDA1:NCA9'!E26)</f>
        <v>2498404.7975605326</v>
      </c>
      <c r="F26" s="12">
        <f>SUM('MDA1:NCA9'!F26)</f>
        <v>2707639.7378593329</v>
      </c>
      <c r="G26" s="12">
        <f>SUM('MDA1:NCA9'!G26)</f>
        <v>2999995.4943712</v>
      </c>
      <c r="H26" s="12">
        <f>SUM('MDA1:NCA9'!H26)</f>
        <v>3338737.8102294668</v>
      </c>
      <c r="I26" s="12">
        <f>SUM('MDA1:NCA9'!I26)</f>
        <v>3612364.6035377327</v>
      </c>
      <c r="J26" s="12">
        <f>SUM('MDA1:NCA9'!J26)</f>
        <v>3923619.9806041326</v>
      </c>
      <c r="K26" s="12">
        <f>SUM('MDA1:NCA9'!K26)</f>
        <v>4333350.4912966667</v>
      </c>
      <c r="L26" s="12">
        <f>SUM('MDA1:NCA9'!L26)</f>
        <v>4678154.203815734</v>
      </c>
      <c r="M26" s="12">
        <f>SUM('MDA1:NCA9'!M26)</f>
        <v>5080277.500882132</v>
      </c>
      <c r="N26" s="12">
        <f>SUM('MDA1:NCA9'!N26)</f>
        <v>5511708.4650090663</v>
      </c>
      <c r="O26" s="12">
        <f>SUM('MDA1:NCA9'!O26)</f>
        <v>6012048.3332103994</v>
      </c>
      <c r="P26" s="12">
        <f>SUM('MDA1:NCA9'!P26)</f>
        <v>6527684.5965135973</v>
      </c>
      <c r="Q26" s="12">
        <f>SUM('MDA1:NCA9'!Q26)</f>
        <v>7246674.4567865441</v>
      </c>
      <c r="R26" s="12">
        <f>SUM('MDA1:NCA9'!R26)</f>
        <v>7673091.9829694852</v>
      </c>
      <c r="S26" s="12">
        <f>SUM('MDA1:NCA9'!S26)</f>
        <v>8157576.2544493508</v>
      </c>
      <c r="T26" s="12">
        <f>SUM('MDA1:NCA9'!T26)</f>
        <v>8649763.6672738884</v>
      </c>
      <c r="U26" s="12">
        <f>SUM('MDA1:NCA9'!U26)</f>
        <v>9028968.6603380516</v>
      </c>
      <c r="V26" s="12">
        <f>SUM('MDA1:NCA9'!V26)</f>
        <v>9369484.6377557535</v>
      </c>
      <c r="W26" s="12">
        <f>SUM('MDA1:NCA9'!W26)</f>
        <v>9775126.7317962442</v>
      </c>
      <c r="X26" s="12">
        <f>SUM('MDA1:NCA9'!X26)</f>
        <v>10212405.864029633</v>
      </c>
      <c r="Y26" s="12">
        <f>SUM('MDA1:NCA9'!Y26)</f>
        <v>10575256.763147335</v>
      </c>
      <c r="Z26" s="12">
        <f>SUM('MDA1:NCA9'!Z26)</f>
        <v>10970723.738398371</v>
      </c>
      <c r="AA26" s="12">
        <f>SUM('MDA1:NCA9'!AA26)</f>
        <v>11370026.238756239</v>
      </c>
      <c r="AB26" s="12">
        <f>SUM('MDA1:NCA9'!AB26)</f>
        <v>11769917.784442147</v>
      </c>
      <c r="AC26" s="12">
        <f>SUM('MDA1:NCA9'!AC26)</f>
        <v>12102417.910465891</v>
      </c>
      <c r="AD26" s="12">
        <f>SUM('MDA1:NCA9'!AD26)</f>
        <v>12451226.074556306</v>
      </c>
      <c r="AE26" s="12">
        <f>SUM('MDA1:NCA9'!AE26)</f>
        <v>12791730.41473929</v>
      </c>
      <c r="AF26" s="12">
        <f>SUM('MDA1:NCA9'!AF26)</f>
        <v>13119879.955705533</v>
      </c>
      <c r="AG26" s="12">
        <f>SUM('MDA1:NCA9'!AG26)</f>
        <v>13405100.134109611</v>
      </c>
      <c r="AH26" s="12">
        <f>SUM('MDA1:NCA9'!AH26)</f>
        <v>13736312.795783168</v>
      </c>
      <c r="AI26" s="12">
        <f>SUM('MDA1:NCA9'!AI26)</f>
        <v>14138451.329411155</v>
      </c>
      <c r="AJ26" s="12">
        <f>SUM('MDA1:NCA9'!AJ26)</f>
        <v>14559057.168501297</v>
      </c>
      <c r="AK26" s="12">
        <f>SUM('MDA1:NCA9'!AK26)</f>
        <v>14969487.88880199</v>
      </c>
      <c r="AL26" s="12">
        <f>SUM('MDA1:NCA9'!AL26)</f>
        <v>15364610.062872738</v>
      </c>
      <c r="AM26" s="12">
        <f>SUM('MDA1:NCA9'!AM26)</f>
        <v>15814683.234776814</v>
      </c>
      <c r="AN26" s="12">
        <f>SUM('MDA1:NCA9'!AN26)</f>
        <v>16244580.752376389</v>
      </c>
    </row>
    <row r="27" spans="2:40" outlineLevel="1" x14ac:dyDescent="0.25">
      <c r="B27" s="39" t="s">
        <v>380</v>
      </c>
      <c r="E27" s="12">
        <f>SUM('MDA1:NCA9'!E27)</f>
        <v>122734.33660799998</v>
      </c>
      <c r="F27" s="12">
        <f>SUM('MDA1:NCA9'!F27)</f>
        <v>134368.754208</v>
      </c>
      <c r="G27" s="12">
        <f>SUM('MDA1:NCA9'!G27)</f>
        <v>151820.38060799998</v>
      </c>
      <c r="H27" s="12">
        <f>SUM('MDA1:NCA9'!H27)</f>
        <v>168692.12727466665</v>
      </c>
      <c r="I27" s="12">
        <f>SUM('MDA1:NCA9'!I27)</f>
        <v>182011.92727466667</v>
      </c>
      <c r="J27" s="12">
        <f>SUM('MDA1:NCA9'!J27)</f>
        <v>199463.55367466665</v>
      </c>
      <c r="K27" s="12">
        <f>SUM('MDA1:NCA9'!K27)</f>
        <v>224090.25572266662</v>
      </c>
      <c r="L27" s="12">
        <f>SUM('MDA1:NCA9'!L27)</f>
        <v>244205.84212266668</v>
      </c>
      <c r="M27" s="12">
        <f>SUM('MDA1:NCA9'!M27)</f>
        <v>266985.38852266665</v>
      </c>
      <c r="N27" s="12">
        <f>SUM('MDA1:NCA9'!N27)</f>
        <v>293521.95600000001</v>
      </c>
      <c r="O27" s="12">
        <f>SUM('MDA1:NCA9'!O27)</f>
        <v>324600.9940159999</v>
      </c>
      <c r="P27" s="12">
        <f>SUM('MDA1:NCA9'!P27)</f>
        <v>355680.03203200002</v>
      </c>
      <c r="Q27" s="12">
        <f>SUM('MDA1:NCA9'!Q27)</f>
        <v>398361.84214943997</v>
      </c>
      <c r="R27" s="12">
        <f>SUM('MDA1:NCA9'!R27)</f>
        <v>424369.22158175992</v>
      </c>
      <c r="S27" s="12">
        <f>SUM('MDA1:NCA9'!S27)</f>
        <v>453636.75193823996</v>
      </c>
      <c r="T27" s="12">
        <f>SUM('MDA1:NCA9'!T27)</f>
        <v>482904.28229472</v>
      </c>
      <c r="U27" s="12">
        <f>SUM('MDA1:NCA9'!U27)</f>
        <v>505265.46132053336</v>
      </c>
      <c r="V27" s="12">
        <f>SUM('MDA1:NCA9'!V27)</f>
        <v>526301.35527701338</v>
      </c>
      <c r="W27" s="12">
        <f>SUM('MDA1:NCA9'!W27)</f>
        <v>554336.90922549332</v>
      </c>
      <c r="X27" s="12">
        <f>SUM('MDA1:NCA9'!X27)</f>
        <v>581893.10503029346</v>
      </c>
      <c r="Y27" s="12">
        <f>SUM('MDA1:NCA9'!Y27)</f>
        <v>605672.87778677337</v>
      </c>
      <c r="Z27" s="12">
        <f>SUM('MDA1:NCA9'!Z27)</f>
        <v>629452.6505432534</v>
      </c>
      <c r="AA27" s="12">
        <f>SUM('MDA1:NCA9'!AA27)</f>
        <v>653232.42329973343</v>
      </c>
      <c r="AB27" s="12">
        <f>SUM('MDA1:NCA9'!AB27)</f>
        <v>675500.29366421339</v>
      </c>
      <c r="AC27" s="12">
        <f>SUM('MDA1:NCA9'!AC27)</f>
        <v>695024.28522869339</v>
      </c>
      <c r="AD27" s="12">
        <f>SUM('MDA1:NCA9'!AD27)</f>
        <v>714548.2767931734</v>
      </c>
      <c r="AE27" s="12">
        <f>SUM('MDA1:NCA9'!AE27)</f>
        <v>733555.99623349344</v>
      </c>
      <c r="AF27" s="12">
        <f>SUM('MDA1:NCA9'!AF27)</f>
        <v>753079.98779797333</v>
      </c>
      <c r="AG27" s="12">
        <f>SUM('MDA1:NCA9'!AG27)</f>
        <v>769860.10056245339</v>
      </c>
      <c r="AH27" s="12">
        <f>SUM('MDA1:NCA9'!AH27)</f>
        <v>791928.53876725328</v>
      </c>
      <c r="AI27" s="12">
        <f>SUM('MDA1:NCA9'!AI27)</f>
        <v>817257.12789621344</v>
      </c>
      <c r="AJ27" s="12">
        <f>SUM('MDA1:NCA9'!AJ27)</f>
        <v>845329.59582517319</v>
      </c>
      <c r="AK27" s="12">
        <f>SUM('MDA1:NCA9'!AK27)</f>
        <v>869146.28256213316</v>
      </c>
      <c r="AL27" s="12">
        <f>SUM('MDA1:NCA9'!AL27)</f>
        <v>891414.15292661323</v>
      </c>
      <c r="AM27" s="12">
        <f>SUM('MDA1:NCA9'!AM27)</f>
        <v>916425.90209109324</v>
      </c>
      <c r="AN27" s="12">
        <f>SUM('MDA1:NCA9'!AN27)</f>
        <v>941437.65125557338</v>
      </c>
    </row>
    <row r="28" spans="2:40" outlineLevel="1" x14ac:dyDescent="0.25">
      <c r="B28" s="39" t="s">
        <v>381</v>
      </c>
      <c r="E28" s="12">
        <f>SUM('MDA1:NCA9'!E28)</f>
        <v>521047.9731547999</v>
      </c>
      <c r="F28" s="12">
        <f>SUM('MDA1:NCA9'!F28)</f>
        <v>553334.6775995997</v>
      </c>
      <c r="G28" s="12">
        <f>SUM('MDA1:NCA9'!G28)</f>
        <v>597967.09065079992</v>
      </c>
      <c r="H28" s="12">
        <f>SUM('MDA1:NCA9'!H28)</f>
        <v>647269.25450199982</v>
      </c>
      <c r="I28" s="12">
        <f>SUM('MDA1:NCA9'!I28)</f>
        <v>687283.19798319985</v>
      </c>
      <c r="J28" s="12">
        <f>SUM('MDA1:NCA9'!J28)</f>
        <v>734784.32593279972</v>
      </c>
      <c r="K28" s="12">
        <f>SUM('MDA1:NCA9'!K28)</f>
        <v>804405.21902000008</v>
      </c>
      <c r="L28" s="12">
        <f>SUM('MDA1:NCA9'!L28)</f>
        <v>856146.91426159977</v>
      </c>
      <c r="M28" s="12">
        <f>SUM('MDA1:NCA9'!M28)</f>
        <v>916310.4062111997</v>
      </c>
      <c r="N28" s="12">
        <f>SUM('MDA1:NCA9'!N28)</f>
        <v>982821.98750839976</v>
      </c>
      <c r="O28" s="12">
        <f>SUM('MDA1:NCA9'!O28)</f>
        <v>1060395.7484899999</v>
      </c>
      <c r="P28" s="12">
        <f>SUM('MDA1:NCA9'!P28)</f>
        <v>1140818.4450779995</v>
      </c>
      <c r="Q28" s="12">
        <f>SUM('MDA1:NCA9'!Q28)</f>
        <v>1255550.9788993597</v>
      </c>
      <c r="R28" s="12">
        <f>SUM('MDA1:NCA9'!R28)</f>
        <v>1321755.8076709996</v>
      </c>
      <c r="S28" s="12">
        <f>SUM('MDA1:NCA9'!S28)</f>
        <v>1396263.2622735675</v>
      </c>
      <c r="T28" s="12">
        <f>SUM('MDA1:NCA9'!T28)</f>
        <v>1471766.5966103876</v>
      </c>
      <c r="U28" s="12">
        <f>SUM('MDA1:NCA9'!U28)</f>
        <v>1531363.8928576037</v>
      </c>
      <c r="V28" s="12">
        <f>SUM('MDA1:NCA9'!V28)</f>
        <v>1586002.2126955239</v>
      </c>
      <c r="W28" s="12">
        <f>SUM('MDA1:NCA9'!W28)</f>
        <v>1651067.0026202037</v>
      </c>
      <c r="X28" s="12">
        <f>SUM('MDA1:NCA9'!X28)</f>
        <v>1721054.5817239839</v>
      </c>
      <c r="Y28" s="12">
        <f>SUM('MDA1:NCA9'!Y28)</f>
        <v>1778953.4602919042</v>
      </c>
      <c r="Z28" s="12">
        <f>SUM('MDA1:NCA9'!Z28)</f>
        <v>1841199.7504998234</v>
      </c>
      <c r="AA28" s="12">
        <f>SUM('MDA1:NCA9'!AA28)</f>
        <v>1903660.849916643</v>
      </c>
      <c r="AB28" s="12">
        <f>SUM('MDA1:NCA9'!AB28)</f>
        <v>1964787.0580870996</v>
      </c>
      <c r="AC28" s="12">
        <f>SUM('MDA1:NCA9'!AC28)</f>
        <v>2016912.6605929076</v>
      </c>
      <c r="AD28" s="12">
        <f>SUM('MDA1:NCA9'!AD28)</f>
        <v>2071211.9689187149</v>
      </c>
      <c r="AE28" s="12">
        <f>SUM('MDA1:NCA9'!AE28)</f>
        <v>2122721.0822738432</v>
      </c>
      <c r="AF28" s="12">
        <f>SUM('MDA1:NCA9'!AF28)</f>
        <v>2173408.3797620991</v>
      </c>
      <c r="AG28" s="12">
        <f>SUM('MDA1:NCA9'!AG28)</f>
        <v>2218355.6303157075</v>
      </c>
      <c r="AH28" s="12">
        <f>SUM('MDA1:NCA9'!AH28)</f>
        <v>2273342.0778883868</v>
      </c>
      <c r="AI28" s="12">
        <f>SUM('MDA1:NCA9'!AI28)</f>
        <v>2339156.3092195471</v>
      </c>
      <c r="AJ28" s="12">
        <f>SUM('MDA1:NCA9'!AJ28)</f>
        <v>2407450.0287553552</v>
      </c>
      <c r="AK28" s="12">
        <f>SUM('MDA1:NCA9'!AK28)</f>
        <v>2472925.2485744036</v>
      </c>
      <c r="AL28" s="12">
        <f>SUM('MDA1:NCA9'!AL28)</f>
        <v>2533088.439868011</v>
      </c>
      <c r="AM28" s="12">
        <f>SUM('MDA1:NCA9'!AM28)</f>
        <v>2600859.6015316192</v>
      </c>
      <c r="AN28" s="12">
        <f>SUM('MDA1:NCA9'!AN28)</f>
        <v>2665675.9868498752</v>
      </c>
    </row>
    <row r="29" spans="2:40" outlineLevel="1" x14ac:dyDescent="0.25">
      <c r="B29" s="39" t="s">
        <v>383</v>
      </c>
      <c r="E29" s="12">
        <f>SUM('MDA1:NCA9'!E29)</f>
        <v>39867.209311999992</v>
      </c>
      <c r="F29" s="12">
        <f>SUM('MDA1:NCA9'!F29)</f>
        <v>42678.599287999998</v>
      </c>
      <c r="G29" s="12">
        <f>SUM('MDA1:NCA9'!G29)</f>
        <v>46388.556132000005</v>
      </c>
      <c r="H29" s="12">
        <f>SUM('MDA1:NCA9'!H29)</f>
        <v>50651.696395999999</v>
      </c>
      <c r="I29" s="12">
        <f>SUM('MDA1:NCA9'!I29)</f>
        <v>54135.231680000004</v>
      </c>
      <c r="J29" s="12">
        <f>SUM('MDA1:NCA9'!J29)</f>
        <v>58255.679379999994</v>
      </c>
      <c r="K29" s="12">
        <f>SUM('MDA1:NCA9'!K29)</f>
        <v>63310.003167999996</v>
      </c>
      <c r="L29" s="12">
        <f>SUM('MDA1:NCA9'!L29)</f>
        <v>67668.25</v>
      </c>
      <c r="M29" s="12">
        <f>SUM('MDA1:NCA9'!M29)</f>
        <v>72762.725699999995</v>
      </c>
      <c r="N29" s="12">
        <f>SUM('MDA1:NCA9'!N29)</f>
        <v>78147.792999999976</v>
      </c>
      <c r="O29" s="12">
        <f>SUM('MDA1:NCA9'!O29)</f>
        <v>84399.342147999996</v>
      </c>
      <c r="P29" s="12">
        <f>SUM('MDA1:NCA9'!P29)</f>
        <v>90985.921019999994</v>
      </c>
      <c r="Q29" s="12">
        <f>SUM('MDA1:NCA9'!Q29)</f>
        <v>100365.38593603995</v>
      </c>
      <c r="R29" s="12">
        <f>SUM('MDA1:NCA9'!R29)</f>
        <v>106056.70177684</v>
      </c>
      <c r="S29" s="12">
        <f>SUM('MDA1:NCA9'!S29)</f>
        <v>112316.83105119994</v>
      </c>
      <c r="T29" s="12">
        <f>SUM('MDA1:NCA9'!T29)</f>
        <v>118698.39719784002</v>
      </c>
      <c r="U29" s="12">
        <f>SUM('MDA1:NCA9'!U29)</f>
        <v>123788.0694922</v>
      </c>
      <c r="V29" s="12">
        <f>SUM('MDA1:NCA9'!V29)</f>
        <v>128464.50666824001</v>
      </c>
      <c r="W29" s="12">
        <f>SUM('MDA1:NCA9'!W29)</f>
        <v>133819.34686763995</v>
      </c>
      <c r="X29" s="12">
        <f>SUM('MDA1:NCA9'!X29)</f>
        <v>139376.63052236001</v>
      </c>
      <c r="Y29" s="12">
        <f>SUM('MDA1:NCA9'!Y29)</f>
        <v>144053.06769840003</v>
      </c>
      <c r="Z29" s="12">
        <f>SUM('MDA1:NCA9'!Z29)</f>
        <v>149398.33743444001</v>
      </c>
      <c r="AA29" s="12">
        <f>SUM('MDA1:NCA9'!AA29)</f>
        <v>154776.65474107998</v>
      </c>
      <c r="AB29" s="12">
        <f>SUM('MDA1:NCA9'!AB29)</f>
        <v>159935.57541039999</v>
      </c>
      <c r="AC29" s="12">
        <f>SUM('MDA1:NCA9'!AC29)</f>
        <v>164179.63654139993</v>
      </c>
      <c r="AD29" s="12">
        <f>SUM('MDA1:NCA9'!AD29)</f>
        <v>168758.11395240002</v>
      </c>
      <c r="AE29" s="12">
        <f>SUM('MDA1:NCA9'!AE29)</f>
        <v>173145.99519056006</v>
      </c>
      <c r="AF29" s="12">
        <f>SUM('MDA1:NCA9'!AF29)</f>
        <v>177200.55402108</v>
      </c>
      <c r="AG29" s="12">
        <f>SUM('MDA1:NCA9'!AG29)</f>
        <v>180841.87773327998</v>
      </c>
      <c r="AH29" s="12">
        <f>SUM('MDA1:NCA9'!AH29)</f>
        <v>185094.54383859999</v>
      </c>
      <c r="AI29" s="12">
        <f>SUM('MDA1:NCA9'!AI29)</f>
        <v>190272.73381796008</v>
      </c>
      <c r="AJ29" s="12">
        <f>SUM('MDA1:NCA9'!AJ29)</f>
        <v>195362.53449564002</v>
      </c>
      <c r="AK29" s="12">
        <f>SUM('MDA1:NCA9'!AK29)</f>
        <v>200442.76470995994</v>
      </c>
      <c r="AL29" s="12">
        <f>SUM('MDA1:NCA9'!AL29)</f>
        <v>205421.75354215998</v>
      </c>
      <c r="AM29" s="12">
        <f>SUM('MDA1:NCA9'!AM29)</f>
        <v>211069.57493435999</v>
      </c>
      <c r="AN29" s="12">
        <f>SUM('MDA1:NCA9'!AN29)</f>
        <v>216294.59074487994</v>
      </c>
    </row>
    <row r="30" spans="2:40" outlineLevel="1" x14ac:dyDescent="0.25">
      <c r="B30" s="39" t="s">
        <v>382</v>
      </c>
      <c r="E30" s="12">
        <f>SUM('MDA1:NCA9'!E30)</f>
        <v>72367.252095999982</v>
      </c>
      <c r="F30" s="12">
        <f>SUM('MDA1:NCA9'!F30)</f>
        <v>76457.81224533332</v>
      </c>
      <c r="G30" s="12">
        <f>SUM('MDA1:NCA9'!G30)</f>
        <v>81808.29976533333</v>
      </c>
      <c r="H30" s="12">
        <f>SUM('MDA1:NCA9'!H30)</f>
        <v>87707.957344000009</v>
      </c>
      <c r="I30" s="12">
        <f>SUM('MDA1:NCA9'!I30)</f>
        <v>92573.117098666684</v>
      </c>
      <c r="J30" s="12">
        <f>SUM('MDA1:NCA9'!J30)</f>
        <v>98501.749237333337</v>
      </c>
      <c r="K30" s="12">
        <f>SUM('MDA1:NCA9'!K30)</f>
        <v>106410.16977066667</v>
      </c>
      <c r="L30" s="12">
        <f>SUM('MDA1:NCA9'!L30)</f>
        <v>112561.567872</v>
      </c>
      <c r="M30" s="12">
        <f>SUM('MDA1:NCA9'!M30)</f>
        <v>119761.08001066666</v>
      </c>
      <c r="N30" s="12">
        <f>SUM('MDA1:NCA9'!N30)</f>
        <v>127518.122944</v>
      </c>
      <c r="O30" s="12">
        <f>SUM('MDA1:NCA9'!O30)</f>
        <v>136522.05707733333</v>
      </c>
      <c r="P30" s="12">
        <f>SUM('MDA1:NCA9'!P30)</f>
        <v>146093.1832</v>
      </c>
      <c r="Q30" s="12">
        <f>SUM('MDA1:NCA9'!Q30)</f>
        <v>159906.44085237331</v>
      </c>
      <c r="R30" s="12">
        <f>SUM('MDA1:NCA9'!R30)</f>
        <v>168001.99325685334</v>
      </c>
      <c r="S30" s="12">
        <f>SUM('MDA1:NCA9'!S30)</f>
        <v>176862.27236394663</v>
      </c>
      <c r="T30" s="12">
        <f>SUM('MDA1:NCA9'!T30)</f>
        <v>185907.01086954668</v>
      </c>
      <c r="U30" s="12">
        <f>SUM('MDA1:NCA9'!U30)</f>
        <v>193240.11584330664</v>
      </c>
      <c r="V30" s="12">
        <f>SUM('MDA1:NCA9'!V30)</f>
        <v>200077.87110762665</v>
      </c>
      <c r="W30" s="12">
        <f>SUM('MDA1:NCA9'!W30)</f>
        <v>207888.43655306668</v>
      </c>
      <c r="X30" s="12">
        <f>SUM('MDA1:NCA9'!X30)</f>
        <v>216037.94170890673</v>
      </c>
      <c r="Y30" s="12">
        <f>SUM('MDA1:NCA9'!Y30)</f>
        <v>222840.06101674665</v>
      </c>
      <c r="Z30" s="12">
        <f>SUM('MDA1:NCA9'!Z30)</f>
        <v>230514.85125791997</v>
      </c>
      <c r="AA30" s="12">
        <f>SUM('MDA1:NCA9'!AA30)</f>
        <v>238214.94740703999</v>
      </c>
      <c r="AB30" s="12">
        <f>SUM('MDA1:NCA9'!AB30)</f>
        <v>245471.29141930671</v>
      </c>
      <c r="AC30" s="12">
        <f>SUM('MDA1:NCA9'!AC30)</f>
        <v>251577.78252213335</v>
      </c>
      <c r="AD30" s="12">
        <f>SUM('MDA1:NCA9'!AD30)</f>
        <v>258120.60909162657</v>
      </c>
      <c r="AE30" s="12">
        <f>SUM('MDA1:NCA9'!AE30)</f>
        <v>264288.99321856</v>
      </c>
      <c r="AF30" s="12">
        <f>SUM('MDA1:NCA9'!AF30)</f>
        <v>270068.77491338673</v>
      </c>
      <c r="AG30" s="12">
        <f>SUM('MDA1:NCA9'!AG30)</f>
        <v>275353.20689877332</v>
      </c>
      <c r="AH30" s="12">
        <f>SUM('MDA1:NCA9'!AH30)</f>
        <v>281747.04013941332</v>
      </c>
      <c r="AI30" s="12">
        <f>SUM('MDA1:NCA9'!AI30)</f>
        <v>289438.59857183998</v>
      </c>
      <c r="AJ30" s="12">
        <f>SUM('MDA1:NCA9'!AJ30)</f>
        <v>296971.00351370667</v>
      </c>
      <c r="AK30" s="12">
        <f>SUM('MDA1:NCA9'!AK30)</f>
        <v>304403.26920778671</v>
      </c>
      <c r="AL30" s="12">
        <f>SUM('MDA1:NCA9'!AL30)</f>
        <v>311433.04305984004</v>
      </c>
      <c r="AM30" s="12">
        <f>SUM('MDA1:NCA9'!AM30)</f>
        <v>319335.48784522666</v>
      </c>
      <c r="AN30" s="12">
        <f>SUM('MDA1:NCA9'!AN30)</f>
        <v>326642.4436733867</v>
      </c>
    </row>
    <row r="31" spans="2:40" outlineLevel="1" x14ac:dyDescent="0.25">
      <c r="B31" s="39" t="s">
        <v>403</v>
      </c>
      <c r="E31" s="12">
        <f>SUM('MDA1:NCA9'!E31)</f>
        <v>0</v>
      </c>
      <c r="F31" s="12">
        <f>SUM('MDA1:NCA9'!F31)</f>
        <v>0</v>
      </c>
      <c r="G31" s="12">
        <f>SUM('MDA1:NCA9'!G31)</f>
        <v>0</v>
      </c>
      <c r="H31" s="12">
        <f>SUM('MDA1:NCA9'!H31)</f>
        <v>0</v>
      </c>
      <c r="I31" s="12">
        <f>SUM('MDA1:NCA9'!I31)</f>
        <v>0</v>
      </c>
      <c r="J31" s="12">
        <f>SUM('MDA1:NCA9'!J31)</f>
        <v>0</v>
      </c>
      <c r="K31" s="12">
        <f>SUM('MDA1:NCA9'!K31)</f>
        <v>0</v>
      </c>
      <c r="L31" s="12">
        <f>SUM('MDA1:NCA9'!L31)</f>
        <v>0</v>
      </c>
      <c r="M31" s="12">
        <f>SUM('MDA1:NCA9'!M31)</f>
        <v>0</v>
      </c>
      <c r="N31" s="12">
        <f>SUM('MDA1:NCA9'!N31)</f>
        <v>0</v>
      </c>
      <c r="O31" s="12">
        <f>SUM('MDA1:NCA9'!O31)</f>
        <v>0</v>
      </c>
      <c r="P31" s="12">
        <f>SUM('MDA1:NCA9'!P31)</f>
        <v>0</v>
      </c>
      <c r="Q31" s="12">
        <f>SUM('MDA1:NCA9'!Q31)</f>
        <v>0</v>
      </c>
      <c r="R31" s="12">
        <f>SUM('MDA1:NCA9'!R31)</f>
        <v>0</v>
      </c>
      <c r="S31" s="12">
        <f>SUM('MDA1:NCA9'!S31)</f>
        <v>0</v>
      </c>
      <c r="T31" s="12">
        <f>SUM('MDA1:NCA9'!T31)</f>
        <v>0</v>
      </c>
      <c r="U31" s="12">
        <f>SUM('MDA1:NCA9'!U31)</f>
        <v>0</v>
      </c>
      <c r="V31" s="12">
        <f>SUM('MDA1:NCA9'!V31)</f>
        <v>0</v>
      </c>
      <c r="W31" s="12">
        <f>SUM('MDA1:NCA9'!W31)</f>
        <v>0</v>
      </c>
      <c r="X31" s="12">
        <f>SUM('MDA1:NCA9'!X31)</f>
        <v>0</v>
      </c>
      <c r="Y31" s="12">
        <f>SUM('MDA1:NCA9'!Y31)</f>
        <v>0</v>
      </c>
      <c r="Z31" s="12">
        <f>SUM('MDA1:NCA9'!Z31)</f>
        <v>0</v>
      </c>
      <c r="AA31" s="12">
        <f>SUM('MDA1:NCA9'!AA31)</f>
        <v>0</v>
      </c>
      <c r="AB31" s="12">
        <f>SUM('MDA1:NCA9'!AB31)</f>
        <v>0</v>
      </c>
      <c r="AC31" s="12">
        <f>SUM('MDA1:NCA9'!AC31)</f>
        <v>0</v>
      </c>
      <c r="AD31" s="12">
        <f>SUM('MDA1:NCA9'!AD31)</f>
        <v>0</v>
      </c>
      <c r="AE31" s="12">
        <f>SUM('MDA1:NCA9'!AE31)</f>
        <v>0</v>
      </c>
      <c r="AF31" s="12">
        <f>SUM('MDA1:NCA9'!AF31)</f>
        <v>0</v>
      </c>
      <c r="AG31" s="12">
        <f>SUM('MDA1:NCA9'!AG31)</f>
        <v>0</v>
      </c>
      <c r="AH31" s="12">
        <f>SUM('MDA1:NCA9'!AH31)</f>
        <v>0</v>
      </c>
      <c r="AI31" s="12">
        <f>SUM('MDA1:NCA9'!AI31)</f>
        <v>0</v>
      </c>
      <c r="AJ31" s="12">
        <f>SUM('MDA1:NCA9'!AJ31)</f>
        <v>0</v>
      </c>
      <c r="AK31" s="12">
        <f>SUM('MDA1:NCA9'!AK31)</f>
        <v>0</v>
      </c>
      <c r="AL31" s="12">
        <f>SUM('MDA1:NCA9'!AL31)</f>
        <v>0</v>
      </c>
      <c r="AM31" s="12">
        <f>SUM('MDA1:NCA9'!AM31)</f>
        <v>0</v>
      </c>
      <c r="AN31" s="12">
        <f>SUM('MDA1:NCA9'!AN31)</f>
        <v>0</v>
      </c>
    </row>
    <row r="32" spans="2:40" outlineLevel="1" x14ac:dyDescent="0.25">
      <c r="B32" s="39" t="s">
        <v>404</v>
      </c>
      <c r="E32" s="12">
        <f>SUM('MDA1:NCA9'!E32)</f>
        <v>0</v>
      </c>
      <c r="F32" s="12">
        <f>SUM('MDA1:NCA9'!F32)</f>
        <v>0</v>
      </c>
      <c r="G32" s="12">
        <f>SUM('MDA1:NCA9'!G32)</f>
        <v>0</v>
      </c>
      <c r="H32" s="12">
        <f>SUM('MDA1:NCA9'!H32)</f>
        <v>0</v>
      </c>
      <c r="I32" s="12">
        <f>SUM('MDA1:NCA9'!I32)</f>
        <v>0</v>
      </c>
      <c r="J32" s="12">
        <f>SUM('MDA1:NCA9'!J32)</f>
        <v>0</v>
      </c>
      <c r="K32" s="12">
        <f>SUM('MDA1:NCA9'!K32)</f>
        <v>0</v>
      </c>
      <c r="L32" s="12">
        <f>SUM('MDA1:NCA9'!L32)</f>
        <v>0</v>
      </c>
      <c r="M32" s="12">
        <f>SUM('MDA1:NCA9'!M32)</f>
        <v>0</v>
      </c>
      <c r="N32" s="12">
        <f>SUM('MDA1:NCA9'!N32)</f>
        <v>0</v>
      </c>
      <c r="O32" s="12">
        <f>SUM('MDA1:NCA9'!O32)</f>
        <v>0</v>
      </c>
      <c r="P32" s="12">
        <f>SUM('MDA1:NCA9'!P32)</f>
        <v>0</v>
      </c>
      <c r="Q32" s="12">
        <f>SUM('MDA1:NCA9'!Q32)</f>
        <v>0</v>
      </c>
      <c r="R32" s="12">
        <f>SUM('MDA1:NCA9'!R32)</f>
        <v>0</v>
      </c>
      <c r="S32" s="12">
        <f>SUM('MDA1:NCA9'!S32)</f>
        <v>0</v>
      </c>
      <c r="T32" s="12">
        <f>SUM('MDA1:NCA9'!T32)</f>
        <v>0</v>
      </c>
      <c r="U32" s="12">
        <f>SUM('MDA1:NCA9'!U32)</f>
        <v>0</v>
      </c>
      <c r="V32" s="12">
        <f>SUM('MDA1:NCA9'!V32)</f>
        <v>0</v>
      </c>
      <c r="W32" s="12">
        <f>SUM('MDA1:NCA9'!W32)</f>
        <v>0</v>
      </c>
      <c r="X32" s="12">
        <f>SUM('MDA1:NCA9'!X32)</f>
        <v>0</v>
      </c>
      <c r="Y32" s="12">
        <f>SUM('MDA1:NCA9'!Y32)</f>
        <v>0</v>
      </c>
      <c r="Z32" s="12">
        <f>SUM('MDA1:NCA9'!Z32)</f>
        <v>0</v>
      </c>
      <c r="AA32" s="12">
        <f>SUM('MDA1:NCA9'!AA32)</f>
        <v>0</v>
      </c>
      <c r="AB32" s="12">
        <f>SUM('MDA1:NCA9'!AB32)</f>
        <v>0</v>
      </c>
      <c r="AC32" s="12">
        <f>SUM('MDA1:NCA9'!AC32)</f>
        <v>0</v>
      </c>
      <c r="AD32" s="12">
        <f>SUM('MDA1:NCA9'!AD32)</f>
        <v>0</v>
      </c>
      <c r="AE32" s="12">
        <f>SUM('MDA1:NCA9'!AE32)</f>
        <v>0</v>
      </c>
      <c r="AF32" s="12">
        <f>SUM('MDA1:NCA9'!AF32)</f>
        <v>0</v>
      </c>
      <c r="AG32" s="12">
        <f>SUM('MDA1:NCA9'!AG32)</f>
        <v>0</v>
      </c>
      <c r="AH32" s="12">
        <f>SUM('MDA1:NCA9'!AH32)</f>
        <v>0</v>
      </c>
      <c r="AI32" s="12">
        <f>SUM('MDA1:NCA9'!AI32)</f>
        <v>0</v>
      </c>
      <c r="AJ32" s="12">
        <f>SUM('MDA1:NCA9'!AJ32)</f>
        <v>0</v>
      </c>
      <c r="AK32" s="12">
        <f>SUM('MDA1:NCA9'!AK32)</f>
        <v>0</v>
      </c>
      <c r="AL32" s="12">
        <f>SUM('MDA1:NCA9'!AL32)</f>
        <v>0</v>
      </c>
      <c r="AM32" s="12">
        <f>SUM('MDA1:NCA9'!AM32)</f>
        <v>0</v>
      </c>
      <c r="AN32" s="12">
        <f>SUM('MDA1:NCA9'!AN32)</f>
        <v>0</v>
      </c>
    </row>
    <row r="33" spans="2:40" outlineLevel="1" x14ac:dyDescent="0.25">
      <c r="B33" s="39" t="s">
        <v>405</v>
      </c>
      <c r="E33" s="12">
        <f>SUM('MDA1:NCA9'!E33)</f>
        <v>151666.41186666666</v>
      </c>
      <c r="F33" s="12">
        <f>SUM('MDA1:NCA9'!F33)</f>
        <v>151666.41186666666</v>
      </c>
      <c r="G33" s="12">
        <f>SUM('MDA1:NCA9'!G33)</f>
        <v>203489.3952</v>
      </c>
      <c r="H33" s="12">
        <f>SUM('MDA1:NCA9'!H33)</f>
        <v>229400.88686666667</v>
      </c>
      <c r="I33" s="12">
        <f>SUM('MDA1:NCA9'!I33)</f>
        <v>229400.88686666667</v>
      </c>
      <c r="J33" s="12">
        <f>SUM('MDA1:NCA9'!J33)</f>
        <v>253162.47320000001</v>
      </c>
      <c r="K33" s="12">
        <f>SUM('MDA1:NCA9'!K33)</f>
        <v>303707.06123333331</v>
      </c>
      <c r="L33" s="12">
        <f>SUM('MDA1:NCA9'!L33)</f>
        <v>303707.06123333331</v>
      </c>
      <c r="M33" s="12">
        <f>SUM('MDA1:NCA9'!M33)</f>
        <v>329618.55290000001</v>
      </c>
      <c r="N33" s="12">
        <f>SUM('MDA1:NCA9'!N33)</f>
        <v>329618.55290000001</v>
      </c>
      <c r="O33" s="12">
        <f>SUM('MDA1:NCA9'!O33)</f>
        <v>355530.04456666665</v>
      </c>
      <c r="P33" s="12">
        <f>SUM('MDA1:NCA9'!P33)</f>
        <v>355530.04456666665</v>
      </c>
      <c r="Q33" s="12">
        <f>SUM('MDA1:NCA9'!Q33)</f>
        <v>366195.94590366667</v>
      </c>
      <c r="R33" s="12">
        <f>SUM('MDA1:NCA9'!R33)</f>
        <v>366195.94590366667</v>
      </c>
      <c r="S33" s="12">
        <f>SUM('MDA1:NCA9'!S33)</f>
        <v>392884.78232033335</v>
      </c>
      <c r="T33" s="12">
        <f>SUM('MDA1:NCA9'!T33)</f>
        <v>392884.78232033335</v>
      </c>
      <c r="U33" s="12">
        <f>SUM('MDA1:NCA9'!U33)</f>
        <v>392884.78232033335</v>
      </c>
      <c r="V33" s="12">
        <f>SUM('MDA1:NCA9'!V33)</f>
        <v>392884.78232033335</v>
      </c>
      <c r="W33" s="12">
        <f>SUM('MDA1:NCA9'!W33)</f>
        <v>444048.0526603334</v>
      </c>
      <c r="X33" s="12">
        <f>SUM('MDA1:NCA9'!X33)</f>
        <v>496574.61960166675</v>
      </c>
      <c r="Y33" s="12">
        <f>SUM('MDA1:NCA9'!Y33)</f>
        <v>496574.61960166675</v>
      </c>
      <c r="Z33" s="12">
        <f>SUM('MDA1:NCA9'!Z33)</f>
        <v>496574.61960166675</v>
      </c>
      <c r="AA33" s="12">
        <f>SUM('MDA1:NCA9'!AA33)</f>
        <v>523263.45601833344</v>
      </c>
      <c r="AB33" s="12">
        <f>SUM('MDA1:NCA9'!AB33)</f>
        <v>549952.29243500007</v>
      </c>
      <c r="AC33" s="12">
        <f>SUM('MDA1:NCA9'!AC33)</f>
        <v>549952.29243500007</v>
      </c>
      <c r="AD33" s="12">
        <f>SUM('MDA1:NCA9'!AD33)</f>
        <v>549952.29243500007</v>
      </c>
      <c r="AE33" s="12">
        <f>SUM('MDA1:NCA9'!AE33)</f>
        <v>549952.29243500007</v>
      </c>
      <c r="AF33" s="12">
        <f>SUM('MDA1:NCA9'!AF33)</f>
        <v>549952.29243500007</v>
      </c>
      <c r="AG33" s="12">
        <f>SUM('MDA1:NCA9'!AG33)</f>
        <v>549952.29243500007</v>
      </c>
      <c r="AH33" s="12">
        <f>SUM('MDA1:NCA9'!AH33)</f>
        <v>600264.45688299998</v>
      </c>
      <c r="AI33" s="12">
        <f>SUM('MDA1:NCA9'!AI33)</f>
        <v>626953.29329966661</v>
      </c>
      <c r="AJ33" s="12">
        <f>SUM('MDA1:NCA9'!AJ33)</f>
        <v>653642.12971633323</v>
      </c>
      <c r="AK33" s="12">
        <f>SUM('MDA1:NCA9'!AK33)</f>
        <v>680330.96613299986</v>
      </c>
      <c r="AL33" s="12">
        <f>SUM('MDA1:NCA9'!AL33)</f>
        <v>707019.80254966649</v>
      </c>
      <c r="AM33" s="12">
        <f>SUM('MDA1:NCA9'!AM33)</f>
        <v>733708.63896633312</v>
      </c>
      <c r="AN33" s="12">
        <f>SUM('MDA1:NCA9'!AN33)</f>
        <v>733708.63896633312</v>
      </c>
    </row>
    <row r="34" spans="2:40" outlineLevel="1" x14ac:dyDescent="0.25">
      <c r="B34" s="39" t="s">
        <v>406</v>
      </c>
      <c r="E34" s="12">
        <f>SUM('MDA1:NCA9'!E34)</f>
        <v>0</v>
      </c>
      <c r="F34" s="12">
        <f>SUM('MDA1:NCA9'!F34)</f>
        <v>0</v>
      </c>
      <c r="G34" s="12">
        <f>SUM('MDA1:NCA9'!G34)</f>
        <v>0</v>
      </c>
      <c r="H34" s="12">
        <f>SUM('MDA1:NCA9'!H34)</f>
        <v>0</v>
      </c>
      <c r="I34" s="12">
        <f>SUM('MDA1:NCA9'!I34)</f>
        <v>0</v>
      </c>
      <c r="J34" s="12">
        <f>SUM('MDA1:NCA9'!J34)</f>
        <v>0</v>
      </c>
      <c r="K34" s="12">
        <f>SUM('MDA1:NCA9'!K34)</f>
        <v>0</v>
      </c>
      <c r="L34" s="12">
        <f>SUM('MDA1:NCA9'!L34)</f>
        <v>0</v>
      </c>
      <c r="M34" s="12">
        <f>SUM('MDA1:NCA9'!M34)</f>
        <v>0</v>
      </c>
      <c r="N34" s="12">
        <f>SUM('MDA1:NCA9'!N34)</f>
        <v>0</v>
      </c>
      <c r="O34" s="12">
        <f>SUM('MDA1:NCA9'!O34)</f>
        <v>0</v>
      </c>
      <c r="P34" s="12">
        <f>SUM('MDA1:NCA9'!P34)</f>
        <v>0</v>
      </c>
      <c r="Q34" s="12">
        <f>SUM('MDA1:NCA9'!Q34)</f>
        <v>0</v>
      </c>
      <c r="R34" s="12">
        <f>SUM('MDA1:NCA9'!R34)</f>
        <v>0</v>
      </c>
      <c r="S34" s="12">
        <f>SUM('MDA1:NCA9'!S34)</f>
        <v>0</v>
      </c>
      <c r="T34" s="12">
        <f>SUM('MDA1:NCA9'!T34)</f>
        <v>0</v>
      </c>
      <c r="U34" s="12">
        <f>SUM('MDA1:NCA9'!U34)</f>
        <v>0</v>
      </c>
      <c r="V34" s="12">
        <f>SUM('MDA1:NCA9'!V34)</f>
        <v>0</v>
      </c>
      <c r="W34" s="12">
        <f>SUM('MDA1:NCA9'!W34)</f>
        <v>0</v>
      </c>
      <c r="X34" s="12">
        <f>SUM('MDA1:NCA9'!X34)</f>
        <v>0</v>
      </c>
      <c r="Y34" s="12">
        <f>SUM('MDA1:NCA9'!Y34)</f>
        <v>0</v>
      </c>
      <c r="Z34" s="12">
        <f>SUM('MDA1:NCA9'!Z34)</f>
        <v>0</v>
      </c>
      <c r="AA34" s="12">
        <f>SUM('MDA1:NCA9'!AA34)</f>
        <v>0</v>
      </c>
      <c r="AB34" s="12">
        <f>SUM('MDA1:NCA9'!AB34)</f>
        <v>0</v>
      </c>
      <c r="AC34" s="12">
        <f>SUM('MDA1:NCA9'!AC34)</f>
        <v>0</v>
      </c>
      <c r="AD34" s="12">
        <f>SUM('MDA1:NCA9'!AD34)</f>
        <v>0</v>
      </c>
      <c r="AE34" s="12">
        <f>SUM('MDA1:NCA9'!AE34)</f>
        <v>0</v>
      </c>
      <c r="AF34" s="12">
        <f>SUM('MDA1:NCA9'!AF34)</f>
        <v>0</v>
      </c>
      <c r="AG34" s="12">
        <f>SUM('MDA1:NCA9'!AG34)</f>
        <v>0</v>
      </c>
      <c r="AH34" s="12">
        <f>SUM('MDA1:NCA9'!AH34)</f>
        <v>0</v>
      </c>
      <c r="AI34" s="12">
        <f>SUM('MDA1:NCA9'!AI34)</f>
        <v>0</v>
      </c>
      <c r="AJ34" s="12">
        <f>SUM('MDA1:NCA9'!AJ34)</f>
        <v>0</v>
      </c>
      <c r="AK34" s="12">
        <f>SUM('MDA1:NCA9'!AK34)</f>
        <v>0</v>
      </c>
      <c r="AL34" s="12">
        <f>SUM('MDA1:NCA9'!AL34)</f>
        <v>0</v>
      </c>
      <c r="AM34" s="12">
        <f>SUM('MDA1:NCA9'!AM34)</f>
        <v>0</v>
      </c>
      <c r="AN34" s="12">
        <f>SUM('MDA1:NCA9'!AN34)</f>
        <v>0</v>
      </c>
    </row>
    <row r="35" spans="2:40" outlineLevel="1" x14ac:dyDescent="0.25">
      <c r="B35" s="39" t="s">
        <v>99</v>
      </c>
      <c r="E35" s="12">
        <f>SUM('MDA1:NCA9'!E35)</f>
        <v>-408730.55767175998</v>
      </c>
      <c r="F35" s="12">
        <f>SUM('MDA1:NCA9'!F35)</f>
        <v>-439937.51916803193</v>
      </c>
      <c r="G35" s="12">
        <f>SUM('MDA1:NCA9'!G35)</f>
        <v>-489776.30600727996</v>
      </c>
      <c r="H35" s="12">
        <f>SUM('MDA1:NCA9'!H35)</f>
        <v>-542695.16791353608</v>
      </c>
      <c r="I35" s="12">
        <f>SUM('MDA1:NCA9'!I35)</f>
        <v>-582932.27573291177</v>
      </c>
      <c r="J35" s="12">
        <f>SUM('MDA1:NCA9'!J35)</f>
        <v>-632134.53144347179</v>
      </c>
      <c r="K35" s="12">
        <f>SUM('MDA1:NCA9'!K35)</f>
        <v>-700232.78402535978</v>
      </c>
      <c r="L35" s="12">
        <f>SUM('MDA1:NCA9'!L35)</f>
        <v>-751493.26071663981</v>
      </c>
      <c r="M35" s="12">
        <f>SUM('MDA1:NCA9'!M35)</f>
        <v>-814285.87850719981</v>
      </c>
      <c r="N35" s="12">
        <f>SUM('MDA1:NCA9'!N35)</f>
        <v>-878800.42528337578</v>
      </c>
      <c r="O35" s="12">
        <f>SUM('MDA1:NCA9'!O35)</f>
        <v>-956819.58234100766</v>
      </c>
      <c r="P35" s="12">
        <f>SUM('MDA1:NCA9'!P35)</f>
        <v>-1034015.0666892318</v>
      </c>
      <c r="Q35" s="12">
        <f>SUM('MDA1:NCA9'!Q35)</f>
        <v>-1143246.6060632905</v>
      </c>
      <c r="R35" s="12">
        <f>SUM('MDA1:NCA9'!R35)</f>
        <v>-1207136.5983791524</v>
      </c>
      <c r="S35" s="12">
        <f>SUM('MDA1:NCA9'!S35)</f>
        <v>-1282744.8185275972</v>
      </c>
      <c r="T35" s="12">
        <f>SUM('MDA1:NCA9'!T35)</f>
        <v>-1356230.9683880059</v>
      </c>
      <c r="U35" s="12">
        <f>SUM('MDA1:NCA9'!U35)</f>
        <v>-1413061.3178606431</v>
      </c>
      <c r="V35" s="12">
        <f>SUM('MDA1:NCA9'!V35)</f>
        <v>-1464385.8438989383</v>
      </c>
      <c r="W35" s="12">
        <f>SUM('MDA1:NCA9'!W35)</f>
        <v>-1531954.3775667574</v>
      </c>
      <c r="X35" s="12">
        <f>SUM('MDA1:NCA9'!X35)</f>
        <v>-1604081.1291140211</v>
      </c>
      <c r="Y35" s="12">
        <f>SUM('MDA1:NCA9'!Y35)</f>
        <v>-1658802.1019451388</v>
      </c>
      <c r="Z35" s="12">
        <f>SUM('MDA1:NCA9'!Z35)</f>
        <v>-1718143.6737282565</v>
      </c>
      <c r="AA35" s="12">
        <f>SUM('MDA1:NCA9'!AA35)</f>
        <v>-1781180.948416688</v>
      </c>
      <c r="AB35" s="12">
        <f>SUM('MDA1:NCA9'!AB35)</f>
        <v>-1843867.7154549803</v>
      </c>
      <c r="AC35" s="12">
        <f>SUM('MDA1:NCA9'!AC35)</f>
        <v>-1893607.7481343234</v>
      </c>
      <c r="AD35" s="12">
        <f>SUM('MDA1:NCA9'!AD35)</f>
        <v>-1945658.0802896663</v>
      </c>
      <c r="AE35" s="12">
        <f>SUM('MDA1:NCA9'!AE35)</f>
        <v>-1996247.3728908892</v>
      </c>
      <c r="AF35" s="12">
        <f>SUM('MDA1:NCA9'!AF35)</f>
        <v>-2045230.7933562088</v>
      </c>
      <c r="AG35" s="12">
        <f>SUM('MDA1:NCA9'!AG35)</f>
        <v>-2087935.5890465793</v>
      </c>
      <c r="AH35" s="12">
        <f>SUM('MDA1:NCA9'!AH35)</f>
        <v>-2144242.734395979</v>
      </c>
      <c r="AI35" s="12">
        <f>SUM('MDA1:NCA9'!AI35)</f>
        <v>-2208183.5270659658</v>
      </c>
      <c r="AJ35" s="12">
        <f>SUM('MDA1:NCA9'!AJ35)</f>
        <v>-2274937.4952969006</v>
      </c>
      <c r="AK35" s="12">
        <f>SUM('MDA1:NCA9'!AK35)</f>
        <v>-2339608.3703987128</v>
      </c>
      <c r="AL35" s="12">
        <f>SUM('MDA1:NCA9'!AL35)</f>
        <v>-2401558.4705782835</v>
      </c>
      <c r="AM35" s="12">
        <f>SUM('MDA1:NCA9'!AM35)</f>
        <v>-2471529.8928174539</v>
      </c>
      <c r="AN35" s="12">
        <f>SUM('MDA1:NCA9'!AN35)</f>
        <v>-2535400.807663972</v>
      </c>
    </row>
    <row r="36" spans="2:40" outlineLevel="1" x14ac:dyDescent="0.25">
      <c r="B36" s="39" t="s">
        <v>261</v>
      </c>
      <c r="C36" s="4"/>
      <c r="E36" s="12">
        <f>SUM('MDA1:NCA9'!E36)</f>
        <v>0</v>
      </c>
      <c r="F36" s="12">
        <f>SUM('MDA1:NCA9'!F36)</f>
        <v>0</v>
      </c>
      <c r="G36" s="12">
        <f>SUM('MDA1:NCA9'!G36)</f>
        <v>0</v>
      </c>
      <c r="H36" s="12">
        <f>SUM('MDA1:NCA9'!H36)</f>
        <v>0</v>
      </c>
      <c r="I36" s="12">
        <f>SUM('MDA1:NCA9'!I36)</f>
        <v>0</v>
      </c>
      <c r="J36" s="12">
        <f>SUM('MDA1:NCA9'!J36)</f>
        <v>0</v>
      </c>
      <c r="K36" s="12">
        <f>SUM('MDA1:NCA9'!K36)</f>
        <v>0</v>
      </c>
      <c r="L36" s="12">
        <f>SUM('MDA1:NCA9'!L36)</f>
        <v>0</v>
      </c>
      <c r="M36" s="12">
        <f>SUM('MDA1:NCA9'!M36)</f>
        <v>0</v>
      </c>
      <c r="N36" s="12">
        <f>SUM('MDA1:NCA9'!N36)</f>
        <v>0</v>
      </c>
      <c r="O36" s="12">
        <f>SUM('MDA1:NCA9'!O36)</f>
        <v>0</v>
      </c>
      <c r="P36" s="12">
        <f>SUM('MDA1:NCA9'!P36)</f>
        <v>0</v>
      </c>
      <c r="Q36" s="12">
        <f>SUM('MDA1:NCA9'!Q36)</f>
        <v>0</v>
      </c>
      <c r="R36" s="12">
        <f>SUM('MDA1:NCA9'!R36)</f>
        <v>0</v>
      </c>
      <c r="S36" s="12">
        <f>SUM('MDA1:NCA9'!S36)</f>
        <v>0</v>
      </c>
      <c r="T36" s="12">
        <f>SUM('MDA1:NCA9'!T36)</f>
        <v>0</v>
      </c>
      <c r="U36" s="12">
        <f>SUM('MDA1:NCA9'!U36)</f>
        <v>0</v>
      </c>
      <c r="V36" s="12">
        <f>SUM('MDA1:NCA9'!V36)</f>
        <v>0</v>
      </c>
      <c r="W36" s="12">
        <f>SUM('MDA1:NCA9'!W36)</f>
        <v>0</v>
      </c>
      <c r="X36" s="12">
        <f>SUM('MDA1:NCA9'!X36)</f>
        <v>0</v>
      </c>
      <c r="Y36" s="12">
        <f>SUM('MDA1:NCA9'!Y36)</f>
        <v>0</v>
      </c>
      <c r="Z36" s="12">
        <f>SUM('MDA1:NCA9'!Z36)</f>
        <v>0</v>
      </c>
      <c r="AA36" s="12">
        <f>SUM('MDA1:NCA9'!AA36)</f>
        <v>0</v>
      </c>
      <c r="AB36" s="12">
        <f>SUM('MDA1:NCA9'!AB36)</f>
        <v>0</v>
      </c>
      <c r="AC36" s="12">
        <f>SUM('MDA1:NCA9'!AC36)</f>
        <v>0</v>
      </c>
      <c r="AD36" s="12">
        <f>SUM('MDA1:NCA9'!AD36)</f>
        <v>0</v>
      </c>
      <c r="AE36" s="12">
        <f>SUM('MDA1:NCA9'!AE36)</f>
        <v>0</v>
      </c>
      <c r="AF36" s="12">
        <f>SUM('MDA1:NCA9'!AF36)</f>
        <v>0</v>
      </c>
      <c r="AG36" s="12">
        <f>SUM('MDA1:NCA9'!AG36)</f>
        <v>0</v>
      </c>
      <c r="AH36" s="12">
        <f>SUM('MDA1:NCA9'!AH36)</f>
        <v>0</v>
      </c>
      <c r="AI36" s="12">
        <f>SUM('MDA1:NCA9'!AI36)</f>
        <v>0</v>
      </c>
      <c r="AJ36" s="12">
        <f>SUM('MDA1:NCA9'!AJ36)</f>
        <v>0</v>
      </c>
      <c r="AK36" s="12">
        <f>SUM('MDA1:NCA9'!AK36)</f>
        <v>0</v>
      </c>
      <c r="AL36" s="12">
        <f>SUM('MDA1:NCA9'!AL36)</f>
        <v>0</v>
      </c>
      <c r="AM36" s="12">
        <f>SUM('MDA1:NCA9'!AM36)</f>
        <v>0</v>
      </c>
      <c r="AN36" s="12">
        <f>SUM('MDA1:NCA9'!AN36)</f>
        <v>0</v>
      </c>
    </row>
    <row r="37" spans="2:40" x14ac:dyDescent="0.25">
      <c r="B37" s="1" t="s">
        <v>271</v>
      </c>
      <c r="C37" s="15"/>
      <c r="E37" s="13">
        <f t="shared" ref="E37:AJ37" si="0">SUM(E26:E36)</f>
        <v>2997357.4229262397</v>
      </c>
      <c r="F37" s="13">
        <f t="shared" si="0"/>
        <v>3226208.4738989002</v>
      </c>
      <c r="G37" s="13">
        <f t="shared" si="0"/>
        <v>3591692.9107200531</v>
      </c>
      <c r="H37" s="13">
        <f t="shared" si="0"/>
        <v>3979764.5646992638</v>
      </c>
      <c r="I37" s="13">
        <f t="shared" si="0"/>
        <v>4274836.6887080204</v>
      </c>
      <c r="J37" s="13">
        <f t="shared" si="0"/>
        <v>4635653.2305854596</v>
      </c>
      <c r="K37" s="13">
        <f t="shared" si="0"/>
        <v>5135040.4161859732</v>
      </c>
      <c r="L37" s="13">
        <f t="shared" si="0"/>
        <v>5510950.5785886943</v>
      </c>
      <c r="M37" s="13">
        <f t="shared" si="0"/>
        <v>5971429.7757194666</v>
      </c>
      <c r="N37" s="13">
        <f t="shared" si="0"/>
        <v>6444536.4520780891</v>
      </c>
      <c r="O37" s="13">
        <f t="shared" si="0"/>
        <v>7016676.9371673921</v>
      </c>
      <c r="P37" s="13">
        <f t="shared" si="0"/>
        <v>7582777.1557210321</v>
      </c>
      <c r="Q37" s="13">
        <f t="shared" si="0"/>
        <v>8383808.4444641331</v>
      </c>
      <c r="R37" s="13">
        <f t="shared" si="0"/>
        <v>8852335.0547804534</v>
      </c>
      <c r="S37" s="13">
        <f t="shared" si="0"/>
        <v>9406795.3358690403</v>
      </c>
      <c r="T37" s="13">
        <f t="shared" si="0"/>
        <v>9945693.7681787107</v>
      </c>
      <c r="U37" s="13">
        <f t="shared" si="0"/>
        <v>10362449.664311387</v>
      </c>
      <c r="V37" s="13">
        <f t="shared" si="0"/>
        <v>10738829.521925552</v>
      </c>
      <c r="W37" s="13">
        <f t="shared" si="0"/>
        <v>11234332.102156224</v>
      </c>
      <c r="X37" s="13">
        <f t="shared" si="0"/>
        <v>11763261.613502823</v>
      </c>
      <c r="Y37" s="13">
        <f t="shared" si="0"/>
        <v>12164548.747597687</v>
      </c>
      <c r="Z37" s="13">
        <f t="shared" si="0"/>
        <v>12599720.27400722</v>
      </c>
      <c r="AA37" s="13">
        <f t="shared" si="0"/>
        <v>13061993.621722383</v>
      </c>
      <c r="AB37" s="13">
        <f t="shared" si="0"/>
        <v>13521696.580003185</v>
      </c>
      <c r="AC37" s="13">
        <f t="shared" si="0"/>
        <v>13886456.819651701</v>
      </c>
      <c r="AD37" s="13">
        <f t="shared" si="0"/>
        <v>14268159.255457554</v>
      </c>
      <c r="AE37" s="13">
        <f t="shared" si="0"/>
        <v>14639147.401199857</v>
      </c>
      <c r="AF37" s="13">
        <f t="shared" si="0"/>
        <v>14998359.151278863</v>
      </c>
      <c r="AG37" s="13">
        <f t="shared" si="0"/>
        <v>15311527.653008249</v>
      </c>
      <c r="AH37" s="13">
        <f t="shared" si="0"/>
        <v>15724446.718903845</v>
      </c>
      <c r="AI37" s="13">
        <f t="shared" si="0"/>
        <v>16193345.865150418</v>
      </c>
      <c r="AJ37" s="13">
        <f t="shared" si="0"/>
        <v>16682874.965510601</v>
      </c>
      <c r="AK37" s="13">
        <f t="shared" ref="AK37:AN37" si="1">SUM(AK26:AK36)</f>
        <v>17157128.049590562</v>
      </c>
      <c r="AL37" s="13">
        <f t="shared" si="1"/>
        <v>17611428.784240745</v>
      </c>
      <c r="AM37" s="13">
        <f t="shared" si="1"/>
        <v>18124552.547327995</v>
      </c>
      <c r="AN37" s="13">
        <f t="shared" si="1"/>
        <v>18592939.256202463</v>
      </c>
    </row>
    <row r="39" spans="2:40" x14ac:dyDescent="0.25">
      <c r="B39" s="1" t="s">
        <v>118</v>
      </c>
    </row>
    <row r="40" spans="2:40" outlineLevel="1" x14ac:dyDescent="0.25">
      <c r="B40" s="39" t="s">
        <v>23</v>
      </c>
      <c r="E40" s="12">
        <f>SUM('MDA1:NCA9'!E40)</f>
        <v>1663938.4356637122</v>
      </c>
      <c r="F40" s="12">
        <f>SUM('MDA1:NCA9'!F40)</f>
        <v>1772337.1253409968</v>
      </c>
      <c r="G40" s="12">
        <f>SUM('MDA1:NCA9'!G40)</f>
        <v>1947233.0514551769</v>
      </c>
      <c r="H40" s="12">
        <f>SUM('MDA1:NCA9'!H40)</f>
        <v>2137818.2187150912</v>
      </c>
      <c r="I40" s="12">
        <f>SUM('MDA1:NCA9'!I40)</f>
        <v>2284992.46430249</v>
      </c>
      <c r="J40" s="12">
        <f>SUM('MDA1:NCA9'!J40)</f>
        <v>2455211.3546020938</v>
      </c>
      <c r="K40" s="12">
        <f>SUM('MDA1:NCA9'!K40)</f>
        <v>2721166.0881361747</v>
      </c>
      <c r="L40" s="12">
        <f>SUM('MDA1:NCA9'!L40)</f>
        <v>2891850.1002443149</v>
      </c>
      <c r="M40" s="12">
        <f>SUM('MDA1:NCA9'!M40)</f>
        <v>3093188.8554119244</v>
      </c>
      <c r="N40" s="12">
        <f>SUM('MDA1:NCA9'!N40)</f>
        <v>3321511.8736682497</v>
      </c>
      <c r="O40" s="12">
        <f>SUM('MDA1:NCA9'!O40)</f>
        <v>3604306.9578717588</v>
      </c>
      <c r="P40" s="12">
        <f>SUM('MDA1:NCA9'!P40)</f>
        <v>3856737.0739468029</v>
      </c>
      <c r="Q40" s="12">
        <f>SUM('MDA1:NCA9'!Q40)</f>
        <v>4506093.5848582396</v>
      </c>
      <c r="R40" s="12">
        <f>SUM('MDA1:NCA9'!R40)</f>
        <v>4730586.3727710042</v>
      </c>
      <c r="S40" s="12">
        <f>SUM('MDA1:NCA9'!S40)</f>
        <v>5001140.0444370797</v>
      </c>
      <c r="T40" s="12">
        <f>SUM('MDA1:NCA9'!T40)</f>
        <v>5238684.8364832709</v>
      </c>
      <c r="U40" s="12">
        <f>SUM('MDA1:NCA9'!U40)</f>
        <v>5416713.4171816241</v>
      </c>
      <c r="V40" s="12">
        <f>SUM('MDA1:NCA9'!V40)</f>
        <v>5594617.1171754338</v>
      </c>
      <c r="W40" s="12">
        <f>SUM('MDA1:NCA9'!W40)</f>
        <v>5859892.3544524861</v>
      </c>
      <c r="X40" s="12">
        <f>SUM('MDA1:NCA9'!X40)</f>
        <v>6146382.2687869109</v>
      </c>
      <c r="Y40" s="12">
        <f>SUM('MDA1:NCA9'!Y40)</f>
        <v>6355021.9870909331</v>
      </c>
      <c r="Z40" s="12">
        <f>SUM('MDA1:NCA9'!Z40)</f>
        <v>6554784.9437079318</v>
      </c>
      <c r="AA40" s="12">
        <f>SUM('MDA1:NCA9'!AA40)</f>
        <v>6778789.6626285398</v>
      </c>
      <c r="AB40" s="12">
        <f>SUM('MDA1:NCA9'!AB40)</f>
        <v>7002478.3326482354</v>
      </c>
      <c r="AC40" s="12">
        <f>SUM('MDA1:NCA9'!AC40)</f>
        <v>7911344.4260136206</v>
      </c>
      <c r="AD40" s="12">
        <f>SUM('MDA1:NCA9'!AD40)</f>
        <v>8095624.1689346619</v>
      </c>
      <c r="AE40" s="12">
        <f>SUM('MDA1:NCA9'!AE40)</f>
        <v>8283129.55693461</v>
      </c>
      <c r="AF40" s="12">
        <f>SUM('MDA1:NCA9'!AF40)</f>
        <v>8466498.6627849881</v>
      </c>
      <c r="AG40" s="12">
        <f>SUM('MDA1:NCA9'!AG40)</f>
        <v>8622341.9517061878</v>
      </c>
      <c r="AH40" s="12">
        <f>SUM('MDA1:NCA9'!AH40)</f>
        <v>8882342.0875350107</v>
      </c>
      <c r="AI40" s="12">
        <f>SUM('MDA1:NCA9'!AI40)</f>
        <v>9166822.0456469804</v>
      </c>
      <c r="AJ40" s="12">
        <f>SUM('MDA1:NCA9'!AJ40)</f>
        <v>9436400.843965698</v>
      </c>
      <c r="AK40" s="12">
        <f>SUM('MDA1:NCA9'!AK40)</f>
        <v>9704669.1025728006</v>
      </c>
      <c r="AL40" s="12">
        <f>SUM('MDA1:NCA9'!AL40)</f>
        <v>9966709.6666478589</v>
      </c>
      <c r="AM40" s="12">
        <f>SUM('MDA1:NCA9'!AM40)</f>
        <v>10238678.06103473</v>
      </c>
      <c r="AN40" s="12">
        <f>SUM('MDA1:NCA9'!AN40)</f>
        <v>10483959.539397435</v>
      </c>
    </row>
    <row r="41" spans="2:40" outlineLevel="1" x14ac:dyDescent="0.25">
      <c r="B41" s="39" t="s">
        <v>24</v>
      </c>
      <c r="E41" s="12">
        <f>SUM('MDA1:NCA9'!E41)</f>
        <v>0</v>
      </c>
      <c r="F41" s="12">
        <f>SUM('MDA1:NCA9'!F41)</f>
        <v>0</v>
      </c>
      <c r="G41" s="12">
        <f>SUM('MDA1:NCA9'!G41)</f>
        <v>0</v>
      </c>
      <c r="H41" s="12">
        <f>SUM('MDA1:NCA9'!H41)</f>
        <v>0</v>
      </c>
      <c r="I41" s="12">
        <f>SUM('MDA1:NCA9'!I41)</f>
        <v>0</v>
      </c>
      <c r="J41" s="12">
        <f>SUM('MDA1:NCA9'!J41)</f>
        <v>0</v>
      </c>
      <c r="K41" s="12">
        <f>SUM('MDA1:NCA9'!K41)</f>
        <v>0</v>
      </c>
      <c r="L41" s="12">
        <f>SUM('MDA1:NCA9'!L41)</f>
        <v>0</v>
      </c>
      <c r="M41" s="12">
        <f>SUM('MDA1:NCA9'!M41)</f>
        <v>0</v>
      </c>
      <c r="N41" s="12">
        <f>SUM('MDA1:NCA9'!N41)</f>
        <v>0</v>
      </c>
      <c r="O41" s="12">
        <f>SUM('MDA1:NCA9'!O41)</f>
        <v>0</v>
      </c>
      <c r="P41" s="12">
        <f>SUM('MDA1:NCA9'!P41)</f>
        <v>0</v>
      </c>
      <c r="Q41" s="12">
        <f>SUM('MDA1:NCA9'!Q41)</f>
        <v>0</v>
      </c>
      <c r="R41" s="12">
        <f>SUM('MDA1:NCA9'!R41)</f>
        <v>0</v>
      </c>
      <c r="S41" s="12">
        <f>SUM('MDA1:NCA9'!S41)</f>
        <v>0</v>
      </c>
      <c r="T41" s="12">
        <f>SUM('MDA1:NCA9'!T41)</f>
        <v>0</v>
      </c>
      <c r="U41" s="12">
        <f>SUM('MDA1:NCA9'!U41)</f>
        <v>0</v>
      </c>
      <c r="V41" s="12">
        <f>SUM('MDA1:NCA9'!V41)</f>
        <v>0</v>
      </c>
      <c r="W41" s="12">
        <f>SUM('MDA1:NCA9'!W41)</f>
        <v>0</v>
      </c>
      <c r="X41" s="12">
        <f>SUM('MDA1:NCA9'!X41)</f>
        <v>0</v>
      </c>
      <c r="Y41" s="12">
        <f>SUM('MDA1:NCA9'!Y41)</f>
        <v>0</v>
      </c>
      <c r="Z41" s="12">
        <f>SUM('MDA1:NCA9'!Z41)</f>
        <v>0</v>
      </c>
      <c r="AA41" s="12">
        <f>SUM('MDA1:NCA9'!AA41)</f>
        <v>0</v>
      </c>
      <c r="AB41" s="12">
        <f>SUM('MDA1:NCA9'!AB41)</f>
        <v>0</v>
      </c>
      <c r="AC41" s="12">
        <f>SUM('MDA1:NCA9'!AC41)</f>
        <v>0</v>
      </c>
      <c r="AD41" s="12">
        <f>SUM('MDA1:NCA9'!AD41)</f>
        <v>0</v>
      </c>
      <c r="AE41" s="12">
        <f>SUM('MDA1:NCA9'!AE41)</f>
        <v>0</v>
      </c>
      <c r="AF41" s="12">
        <f>SUM('MDA1:NCA9'!AF41)</f>
        <v>0</v>
      </c>
      <c r="AG41" s="12">
        <f>SUM('MDA1:NCA9'!AG41)</f>
        <v>0</v>
      </c>
      <c r="AH41" s="12">
        <f>SUM('MDA1:NCA9'!AH41)</f>
        <v>0</v>
      </c>
      <c r="AI41" s="12">
        <f>SUM('MDA1:NCA9'!AI41)</f>
        <v>0</v>
      </c>
      <c r="AJ41" s="12">
        <f>SUM('MDA1:NCA9'!AJ41)</f>
        <v>0</v>
      </c>
      <c r="AK41" s="12">
        <f>SUM('MDA1:NCA9'!AK41)</f>
        <v>0</v>
      </c>
      <c r="AL41" s="12">
        <f>SUM('MDA1:NCA9'!AL41)</f>
        <v>0</v>
      </c>
      <c r="AM41" s="12">
        <f>SUM('MDA1:NCA9'!AM41)</f>
        <v>0</v>
      </c>
      <c r="AN41" s="12">
        <f>SUM('MDA1:NCA9'!AN41)</f>
        <v>0</v>
      </c>
    </row>
    <row r="42" spans="2:40" outlineLevel="1" x14ac:dyDescent="0.25">
      <c r="B42" s="39" t="s">
        <v>28</v>
      </c>
      <c r="E42" s="12">
        <f>SUM('MDA1:NCA9'!E42)</f>
        <v>77057.290000000008</v>
      </c>
      <c r="F42" s="12">
        <f>SUM('MDA1:NCA9'!F42)</f>
        <v>77057.290000000008</v>
      </c>
      <c r="G42" s="12">
        <f>SUM('MDA1:NCA9'!G42)</f>
        <v>107057.29000000001</v>
      </c>
      <c r="H42" s="12">
        <f>SUM('MDA1:NCA9'!H42)</f>
        <v>122057.29000000001</v>
      </c>
      <c r="I42" s="12">
        <f>SUM('MDA1:NCA9'!I42)</f>
        <v>122057.29000000001</v>
      </c>
      <c r="J42" s="12">
        <f>SUM('MDA1:NCA9'!J42)</f>
        <v>128770.29000000001</v>
      </c>
      <c r="K42" s="12">
        <f>SUM('MDA1:NCA9'!K42)</f>
        <v>158062.66</v>
      </c>
      <c r="L42" s="12">
        <f>SUM('MDA1:NCA9'!L42)</f>
        <v>158062.66</v>
      </c>
      <c r="M42" s="12">
        <f>SUM('MDA1:NCA9'!M42)</f>
        <v>173062.66</v>
      </c>
      <c r="N42" s="12">
        <f>SUM('MDA1:NCA9'!N42)</f>
        <v>179775.66</v>
      </c>
      <c r="O42" s="12">
        <f>SUM('MDA1:NCA9'!O42)</f>
        <v>194775.66</v>
      </c>
      <c r="P42" s="12">
        <f>SUM('MDA1:NCA9'!P42)</f>
        <v>194775.66</v>
      </c>
      <c r="Q42" s="12">
        <f>SUM('MDA1:NCA9'!Q42)</f>
        <v>200618.92980000004</v>
      </c>
      <c r="R42" s="12">
        <f>SUM('MDA1:NCA9'!R42)</f>
        <v>200618.92980000004</v>
      </c>
      <c r="S42" s="12">
        <f>SUM('MDA1:NCA9'!S42)</f>
        <v>216068.92980000004</v>
      </c>
      <c r="T42" s="12">
        <f>SUM('MDA1:NCA9'!T42)</f>
        <v>216068.92980000004</v>
      </c>
      <c r="U42" s="12">
        <f>SUM('MDA1:NCA9'!U42)</f>
        <v>216068.92980000004</v>
      </c>
      <c r="V42" s="12">
        <f>SUM('MDA1:NCA9'!V42)</f>
        <v>216068.92980000004</v>
      </c>
      <c r="W42" s="12">
        <f>SUM('MDA1:NCA9'!W42)</f>
        <v>238433.31980000006</v>
      </c>
      <c r="X42" s="12">
        <f>SUM('MDA1:NCA9'!X42)</f>
        <v>268604.46090000006</v>
      </c>
      <c r="Y42" s="12">
        <f>SUM('MDA1:NCA9'!Y42)</f>
        <v>268604.46090000006</v>
      </c>
      <c r="Z42" s="12">
        <f>SUM('MDA1:NCA9'!Z42)</f>
        <v>268604.46090000006</v>
      </c>
      <c r="AA42" s="12">
        <f>SUM('MDA1:NCA9'!AA42)</f>
        <v>284054.46090000006</v>
      </c>
      <c r="AB42" s="12">
        <f>SUM('MDA1:NCA9'!AB42)</f>
        <v>299504.46090000006</v>
      </c>
      <c r="AC42" s="12">
        <f>SUM('MDA1:NCA9'!AC42)</f>
        <v>308489.59472699993</v>
      </c>
      <c r="AD42" s="12">
        <f>SUM('MDA1:NCA9'!AD42)</f>
        <v>308489.59472699993</v>
      </c>
      <c r="AE42" s="12">
        <f>SUM('MDA1:NCA9'!AE42)</f>
        <v>308489.59472699993</v>
      </c>
      <c r="AF42" s="12">
        <f>SUM('MDA1:NCA9'!AF42)</f>
        <v>308489.59472699993</v>
      </c>
      <c r="AG42" s="12">
        <f>SUM('MDA1:NCA9'!AG42)</f>
        <v>308489.59472699993</v>
      </c>
      <c r="AH42" s="12">
        <f>SUM('MDA1:NCA9'!AH42)</f>
        <v>330774.1917599999</v>
      </c>
      <c r="AI42" s="12">
        <f>SUM('MDA1:NCA9'!AI42)</f>
        <v>346687.6917599999</v>
      </c>
      <c r="AJ42" s="12">
        <f>SUM('MDA1:NCA9'!AJ42)</f>
        <v>362601.1917599999</v>
      </c>
      <c r="AK42" s="12">
        <f>SUM('MDA1:NCA9'!AK42)</f>
        <v>378514.6917599999</v>
      </c>
      <c r="AL42" s="12">
        <f>SUM('MDA1:NCA9'!AL42)</f>
        <v>394428.1917599999</v>
      </c>
      <c r="AM42" s="12">
        <f>SUM('MDA1:NCA9'!AM42)</f>
        <v>410341.6917599999</v>
      </c>
      <c r="AN42" s="12">
        <f>SUM('MDA1:NCA9'!AN42)</f>
        <v>410341.6917599999</v>
      </c>
    </row>
    <row r="43" spans="2:40" outlineLevel="1" x14ac:dyDescent="0.25">
      <c r="B43" s="39" t="s">
        <v>31</v>
      </c>
      <c r="E43" s="12">
        <f>SUM('MDA1:NCA9'!E43)</f>
        <v>37222.93</v>
      </c>
      <c r="F43" s="12">
        <f>SUM('MDA1:NCA9'!F43)</f>
        <v>37222.93</v>
      </c>
      <c r="G43" s="12">
        <f>SUM('MDA1:NCA9'!G43)</f>
        <v>54622.93</v>
      </c>
      <c r="H43" s="12">
        <f>SUM('MDA1:NCA9'!H43)</f>
        <v>63322.93</v>
      </c>
      <c r="I43" s="12">
        <f>SUM('MDA1:NCA9'!I43)</f>
        <v>63322.93</v>
      </c>
      <c r="J43" s="12">
        <f>SUM('MDA1:NCA9'!J43)</f>
        <v>68922.929999999993</v>
      </c>
      <c r="K43" s="12">
        <f>SUM('MDA1:NCA9'!K43)</f>
        <v>83322.929999999993</v>
      </c>
      <c r="L43" s="12">
        <f>SUM('MDA1:NCA9'!L43)</f>
        <v>83322.929999999993</v>
      </c>
      <c r="M43" s="12">
        <f>SUM('MDA1:NCA9'!M43)</f>
        <v>92022.93</v>
      </c>
      <c r="N43" s="12">
        <f>SUM('MDA1:NCA9'!N43)</f>
        <v>96622.93</v>
      </c>
      <c r="O43" s="12">
        <f>SUM('MDA1:NCA9'!O43)</f>
        <v>105322.93</v>
      </c>
      <c r="P43" s="12">
        <f>SUM('MDA1:NCA9'!P43)</f>
        <v>105322.93</v>
      </c>
      <c r="Q43" s="12">
        <f>SUM('MDA1:NCA9'!Q43)</f>
        <v>109535.84719999999</v>
      </c>
      <c r="R43" s="12">
        <f>SUM('MDA1:NCA9'!R43)</f>
        <v>109535.84719999999</v>
      </c>
      <c r="S43" s="12">
        <f>SUM('MDA1:NCA9'!S43)</f>
        <v>118583.84719999999</v>
      </c>
      <c r="T43" s="12">
        <f>SUM('MDA1:NCA9'!T43)</f>
        <v>118583.84719999999</v>
      </c>
      <c r="U43" s="12">
        <f>SUM('MDA1:NCA9'!U43)</f>
        <v>118583.84719999999</v>
      </c>
      <c r="V43" s="12">
        <f>SUM('MDA1:NCA9'!V43)</f>
        <v>118583.84719999999</v>
      </c>
      <c r="W43" s="12">
        <f>SUM('MDA1:NCA9'!W43)</f>
        <v>132415.84719999999</v>
      </c>
      <c r="X43" s="12">
        <f>SUM('MDA1:NCA9'!X43)</f>
        <v>147391.84719999999</v>
      </c>
      <c r="Y43" s="12">
        <f>SUM('MDA1:NCA9'!Y43)</f>
        <v>147391.84719999999</v>
      </c>
      <c r="Z43" s="12">
        <f>SUM('MDA1:NCA9'!Z43)</f>
        <v>147391.84719999999</v>
      </c>
      <c r="AA43" s="12">
        <f>SUM('MDA1:NCA9'!AA43)</f>
        <v>156439.84719999999</v>
      </c>
      <c r="AB43" s="12">
        <f>SUM('MDA1:NCA9'!AB43)</f>
        <v>165487.84719999999</v>
      </c>
      <c r="AC43" s="12">
        <f>SUM('MDA1:NCA9'!AC43)</f>
        <v>172107.36108799998</v>
      </c>
      <c r="AD43" s="12">
        <f>SUM('MDA1:NCA9'!AD43)</f>
        <v>172107.36108799998</v>
      </c>
      <c r="AE43" s="12">
        <f>SUM('MDA1:NCA9'!AE43)</f>
        <v>172107.36108799998</v>
      </c>
      <c r="AF43" s="12">
        <f>SUM('MDA1:NCA9'!AF43)</f>
        <v>172107.36108799998</v>
      </c>
      <c r="AG43" s="12">
        <f>SUM('MDA1:NCA9'!AG43)</f>
        <v>172107.36108799998</v>
      </c>
      <c r="AH43" s="12">
        <f>SUM('MDA1:NCA9'!AH43)</f>
        <v>184329.44108799996</v>
      </c>
      <c r="AI43" s="12">
        <f>SUM('MDA1:NCA9'!AI43)</f>
        <v>192657.76108799997</v>
      </c>
      <c r="AJ43" s="12">
        <f>SUM('MDA1:NCA9'!AJ43)</f>
        <v>200986.08108799998</v>
      </c>
      <c r="AK43" s="12">
        <f>SUM('MDA1:NCA9'!AK43)</f>
        <v>209314.40108799998</v>
      </c>
      <c r="AL43" s="12">
        <f>SUM('MDA1:NCA9'!AL43)</f>
        <v>217642.72108799999</v>
      </c>
      <c r="AM43" s="12">
        <f>SUM('MDA1:NCA9'!AM43)</f>
        <v>225971.041088</v>
      </c>
      <c r="AN43" s="12">
        <f>SUM('MDA1:NCA9'!AN43)</f>
        <v>225971.041088</v>
      </c>
    </row>
    <row r="44" spans="2:40" outlineLevel="1" x14ac:dyDescent="0.25">
      <c r="B44" s="39" t="s">
        <v>34</v>
      </c>
      <c r="E44" s="12">
        <f>SUM('MDA1:NCA9'!E44)</f>
        <v>13679.764000000001</v>
      </c>
      <c r="F44" s="12">
        <f>SUM('MDA1:NCA9'!F44)</f>
        <v>14899.486800000001</v>
      </c>
      <c r="G44" s="12">
        <f>SUM('MDA1:NCA9'!G44)</f>
        <v>15667.710000000001</v>
      </c>
      <c r="H44" s="12">
        <f>SUM('MDA1:NCA9'!H44)</f>
        <v>17386.103999999999</v>
      </c>
      <c r="I44" s="12">
        <f>SUM('MDA1:NCA9'!I44)</f>
        <v>19097.7592</v>
      </c>
      <c r="J44" s="12">
        <f>SUM('MDA1:NCA9'!J44)</f>
        <v>20229.877600000003</v>
      </c>
      <c r="K44" s="12">
        <f>SUM('MDA1:NCA9'!K44)</f>
        <v>22460.420399999999</v>
      </c>
      <c r="L44" s="12">
        <f>SUM('MDA1:NCA9'!L44)</f>
        <v>23670.035000000003</v>
      </c>
      <c r="M44" s="12">
        <f>SUM('MDA1:NCA9'!M44)</f>
        <v>24394.456000000002</v>
      </c>
      <c r="N44" s="12">
        <f>SUM('MDA1:NCA9'!N44)</f>
        <v>26085.894800000005</v>
      </c>
      <c r="O44" s="12">
        <f>SUM('MDA1:NCA9'!O44)</f>
        <v>28316.437600000001</v>
      </c>
      <c r="P44" s="12">
        <f>SUM('MDA1:NCA9'!P44)</f>
        <v>29718.108</v>
      </c>
      <c r="Q44" s="12">
        <f>SUM('MDA1:NCA9'!Q44)</f>
        <v>31327.333439999999</v>
      </c>
      <c r="R44" s="12">
        <f>SUM('MDA1:NCA9'!R44)</f>
        <v>32564.307567999997</v>
      </c>
      <c r="S44" s="12">
        <f>SUM('MDA1:NCA9'!S44)</f>
        <v>33913.41532800001</v>
      </c>
      <c r="T44" s="12">
        <f>SUM('MDA1:NCA9'!T44)</f>
        <v>34551.175360000001</v>
      </c>
      <c r="U44" s="12">
        <f>SUM('MDA1:NCA9'!U44)</f>
        <v>34684.334048000004</v>
      </c>
      <c r="V44" s="12">
        <f>SUM('MDA1:NCA9'!V44)</f>
        <v>35343.119136000008</v>
      </c>
      <c r="W44" s="12">
        <f>SUM('MDA1:NCA9'!W44)</f>
        <v>36776.327120000002</v>
      </c>
      <c r="X44" s="12">
        <f>SUM('MDA1:NCA9'!X44)</f>
        <v>38724.648975999997</v>
      </c>
      <c r="Y44" s="12">
        <f>SUM('MDA1:NCA9'!Y44)</f>
        <v>40410.157632000002</v>
      </c>
      <c r="Z44" s="12">
        <f>SUM('MDA1:NCA9'!Z44)</f>
        <v>41040.909312000003</v>
      </c>
      <c r="AA44" s="12">
        <f>SUM('MDA1:NCA9'!AA44)</f>
        <v>42043.103648000018</v>
      </c>
      <c r="AB44" s="12">
        <f>SUM('MDA1:NCA9'!AB44)</f>
        <v>43143.414912000007</v>
      </c>
      <c r="AC44" s="12">
        <f>SUM('MDA1:NCA9'!AC44)</f>
        <v>45977.031792640002</v>
      </c>
      <c r="AD44" s="12">
        <f>SUM('MDA1:NCA9'!AD44)</f>
        <v>46308.667009280005</v>
      </c>
      <c r="AE44" s="12">
        <f>SUM('MDA1:NCA9'!AE44)</f>
        <v>46975.581785600014</v>
      </c>
      <c r="AF44" s="12">
        <f>SUM('MDA1:NCA9'!AF44)</f>
        <v>47642.496561920008</v>
      </c>
      <c r="AG44" s="12">
        <f>SUM('MDA1:NCA9'!AG44)</f>
        <v>48043.374296319998</v>
      </c>
      <c r="AH44" s="12">
        <f>SUM('MDA1:NCA9'!AH44)</f>
        <v>49599.508774399997</v>
      </c>
      <c r="AI44" s="12">
        <f>SUM('MDA1:NCA9'!AI44)</f>
        <v>52033.929925120021</v>
      </c>
      <c r="AJ44" s="12">
        <f>SUM('MDA1:NCA9'!AJ44)</f>
        <v>52977.814772480015</v>
      </c>
      <c r="AK44" s="12">
        <f>SUM('MDA1:NCA9'!AK44)</f>
        <v>54333.510383359986</v>
      </c>
      <c r="AL44" s="12">
        <f>SUM('MDA1:NCA9'!AL44)</f>
        <v>56326.966026240007</v>
      </c>
      <c r="AM44" s="12">
        <f>SUM('MDA1:NCA9'!AM44)</f>
        <v>57653.506892800004</v>
      </c>
      <c r="AN44" s="12">
        <f>SUM('MDA1:NCA9'!AN44)</f>
        <v>58867.073125119998</v>
      </c>
    </row>
    <row r="45" spans="2:40" outlineLevel="1" x14ac:dyDescent="0.25">
      <c r="B45" s="39" t="s">
        <v>36</v>
      </c>
      <c r="E45" s="12">
        <f>SUM('MDA1:NCA9'!E45)</f>
        <v>46000</v>
      </c>
      <c r="F45" s="12">
        <f>SUM('MDA1:NCA9'!F45)</f>
        <v>46000</v>
      </c>
      <c r="G45" s="12">
        <f>SUM('MDA1:NCA9'!G45)</f>
        <v>61000</v>
      </c>
      <c r="H45" s="12">
        <f>SUM('MDA1:NCA9'!H45)</f>
        <v>68500</v>
      </c>
      <c r="I45" s="12">
        <f>SUM('MDA1:NCA9'!I45)</f>
        <v>68500</v>
      </c>
      <c r="J45" s="12">
        <f>SUM('MDA1:NCA9'!J45)</f>
        <v>74500</v>
      </c>
      <c r="K45" s="12">
        <f>SUM('MDA1:NCA9'!K45)</f>
        <v>86250</v>
      </c>
      <c r="L45" s="12">
        <f>SUM('MDA1:NCA9'!L45)</f>
        <v>86250</v>
      </c>
      <c r="M45" s="12">
        <f>SUM('MDA1:NCA9'!M45)</f>
        <v>93750</v>
      </c>
      <c r="N45" s="12">
        <f>SUM('MDA1:NCA9'!N45)</f>
        <v>98250</v>
      </c>
      <c r="O45" s="12">
        <f>SUM('MDA1:NCA9'!O45)</f>
        <v>105750</v>
      </c>
      <c r="P45" s="12">
        <f>SUM('MDA1:NCA9'!P45)</f>
        <v>105750</v>
      </c>
      <c r="Q45" s="12">
        <f>SUM('MDA1:NCA9'!Q45)</f>
        <v>112455</v>
      </c>
      <c r="R45" s="12">
        <f>SUM('MDA1:NCA9'!R45)</f>
        <v>112455</v>
      </c>
      <c r="S45" s="12">
        <f>SUM('MDA1:NCA9'!S45)</f>
        <v>120105</v>
      </c>
      <c r="T45" s="12">
        <f>SUM('MDA1:NCA9'!T45)</f>
        <v>120105</v>
      </c>
      <c r="U45" s="12">
        <f>SUM('MDA1:NCA9'!U45)</f>
        <v>120105</v>
      </c>
      <c r="V45" s="12">
        <f>SUM('MDA1:NCA9'!V45)</f>
        <v>120105</v>
      </c>
      <c r="W45" s="12">
        <f>SUM('MDA1:NCA9'!W45)</f>
        <v>132855</v>
      </c>
      <c r="X45" s="12">
        <f>SUM('MDA1:NCA9'!X45)</f>
        <v>143820</v>
      </c>
      <c r="Y45" s="12">
        <f>SUM('MDA1:NCA9'!Y45)</f>
        <v>143820</v>
      </c>
      <c r="Z45" s="12">
        <f>SUM('MDA1:NCA9'!Z45)</f>
        <v>143820</v>
      </c>
      <c r="AA45" s="12">
        <f>SUM('MDA1:NCA9'!AA45)</f>
        <v>150450</v>
      </c>
      <c r="AB45" s="12">
        <f>SUM('MDA1:NCA9'!AB45)</f>
        <v>157080</v>
      </c>
      <c r="AC45" s="12">
        <f>SUM('MDA1:NCA9'!AC45)</f>
        <v>160221.59999999998</v>
      </c>
      <c r="AD45" s="12">
        <f>SUM('MDA1:NCA9'!AD45)</f>
        <v>160221.59999999998</v>
      </c>
      <c r="AE45" s="12">
        <f>SUM('MDA1:NCA9'!AE45)</f>
        <v>160221.59999999998</v>
      </c>
      <c r="AF45" s="12">
        <f>SUM('MDA1:NCA9'!AF45)</f>
        <v>160221.59999999998</v>
      </c>
      <c r="AG45" s="12">
        <f>SUM('MDA1:NCA9'!AG45)</f>
        <v>160221.59999999998</v>
      </c>
      <c r="AH45" s="12">
        <f>SUM('MDA1:NCA9'!AH45)</f>
        <v>170885.69999999998</v>
      </c>
      <c r="AI45" s="12">
        <f>SUM('MDA1:NCA9'!AI45)</f>
        <v>177648.30000000002</v>
      </c>
      <c r="AJ45" s="12">
        <f>SUM('MDA1:NCA9'!AJ45)</f>
        <v>184410.90000000002</v>
      </c>
      <c r="AK45" s="12">
        <f>SUM('MDA1:NCA9'!AK45)</f>
        <v>191173.50000000003</v>
      </c>
      <c r="AL45" s="12">
        <f>SUM('MDA1:NCA9'!AL45)</f>
        <v>197936.10000000003</v>
      </c>
      <c r="AM45" s="12">
        <f>SUM('MDA1:NCA9'!AM45)</f>
        <v>204698.70000000004</v>
      </c>
      <c r="AN45" s="12">
        <f>SUM('MDA1:NCA9'!AN45)</f>
        <v>204698.70000000004</v>
      </c>
    </row>
    <row r="46" spans="2:40" outlineLevel="1" x14ac:dyDescent="0.25">
      <c r="B46" s="39" t="s">
        <v>38</v>
      </c>
      <c r="E46" s="12">
        <f>SUM('MDA1:NCA9'!E46)</f>
        <v>141826.5</v>
      </c>
      <c r="F46" s="12">
        <f>SUM('MDA1:NCA9'!F46)</f>
        <v>150224.5</v>
      </c>
      <c r="G46" s="12">
        <f>SUM('MDA1:NCA9'!G46)</f>
        <v>164262.5</v>
      </c>
      <c r="H46" s="12">
        <f>SUM('MDA1:NCA9'!H46)</f>
        <v>179705</v>
      </c>
      <c r="I46" s="12">
        <f>SUM('MDA1:NCA9'!I46)</f>
        <v>191582.5</v>
      </c>
      <c r="J46" s="12">
        <f>SUM('MDA1:NCA9'!J46)</f>
        <v>205167</v>
      </c>
      <c r="K46" s="12">
        <f>SUM('MDA1:NCA9'!K46)</f>
        <v>224461</v>
      </c>
      <c r="L46" s="12">
        <f>SUM('MDA1:NCA9'!L46)</f>
        <v>236784.5</v>
      </c>
      <c r="M46" s="12">
        <f>SUM('MDA1:NCA9'!M46)</f>
        <v>252212.5</v>
      </c>
      <c r="N46" s="12">
        <f>SUM('MDA1:NCA9'!N46)</f>
        <v>271094.5</v>
      </c>
      <c r="O46" s="12">
        <f>SUM('MDA1:NCA9'!O46)</f>
        <v>293386</v>
      </c>
      <c r="P46" s="12">
        <f>SUM('MDA1:NCA9'!P46)</f>
        <v>312076</v>
      </c>
      <c r="Q46" s="12">
        <f>SUM('MDA1:NCA9'!Q46)</f>
        <v>337434.87</v>
      </c>
      <c r="R46" s="12">
        <f>SUM('MDA1:NCA9'!R46)</f>
        <v>355008.45000000019</v>
      </c>
      <c r="S46" s="12">
        <f>SUM('MDA1:NCA9'!S46)</f>
        <v>374439.45</v>
      </c>
      <c r="T46" s="12">
        <f>SUM('MDA1:NCA9'!T46)</f>
        <v>391248.54</v>
      </c>
      <c r="U46" s="12">
        <f>SUM('MDA1:NCA9'!U46)</f>
        <v>404276.99999999988</v>
      </c>
      <c r="V46" s="12">
        <f>SUM('MDA1:NCA9'!V46)</f>
        <v>418534.05</v>
      </c>
      <c r="W46" s="12">
        <f>SUM('MDA1:NCA9'!W46)</f>
        <v>438482.19000000006</v>
      </c>
      <c r="X46" s="12">
        <f>SUM('MDA1:NCA9'!X46)</f>
        <v>458908.2</v>
      </c>
      <c r="Y46" s="12">
        <f>SUM('MDA1:NCA9'!Y46)</f>
        <v>472980.11999999994</v>
      </c>
      <c r="Z46" s="12">
        <f>SUM('MDA1:NCA9'!Z46)</f>
        <v>488820.21000000008</v>
      </c>
      <c r="AA46" s="12">
        <f>SUM('MDA1:NCA9'!AA46)</f>
        <v>505592.07000000007</v>
      </c>
      <c r="AB46" s="12">
        <f>SUM('MDA1:NCA9'!AB46)</f>
        <v>521427.06000000006</v>
      </c>
      <c r="AC46" s="12">
        <f>SUM('MDA1:NCA9'!AC46)</f>
        <v>544154.16960000002</v>
      </c>
      <c r="AD46" s="12">
        <f>SUM('MDA1:NCA9'!AD46)</f>
        <v>556197.31979999994</v>
      </c>
      <c r="AE46" s="12">
        <f>SUM('MDA1:NCA9'!AE46)</f>
        <v>569555.01540000003</v>
      </c>
      <c r="AF46" s="12">
        <f>SUM('MDA1:NCA9'!AF46)</f>
        <v>581090.9706</v>
      </c>
      <c r="AG46" s="12">
        <f>SUM('MDA1:NCA9'!AG46)</f>
        <v>591089.21460000018</v>
      </c>
      <c r="AH46" s="12">
        <f>SUM('MDA1:NCA9'!AH46)</f>
        <v>609808.09140000003</v>
      </c>
      <c r="AI46" s="12">
        <f>SUM('MDA1:NCA9'!AI46)</f>
        <v>628185.71700000018</v>
      </c>
      <c r="AJ46" s="12">
        <f>SUM('MDA1:NCA9'!AJ46)</f>
        <v>645252.43860000011</v>
      </c>
      <c r="AK46" s="12">
        <f>SUM('MDA1:NCA9'!AK46)</f>
        <v>663653.47320000001</v>
      </c>
      <c r="AL46" s="12">
        <f>SUM('MDA1:NCA9'!AL46)</f>
        <v>680631.76079999993</v>
      </c>
      <c r="AM46" s="12">
        <f>SUM('MDA1:NCA9'!AM46)</f>
        <v>698224.40460000024</v>
      </c>
      <c r="AN46" s="12">
        <f>SUM('MDA1:NCA9'!AN46)</f>
        <v>714536.83620000014</v>
      </c>
    </row>
    <row r="47" spans="2:40" outlineLevel="1" x14ac:dyDescent="0.25">
      <c r="B47" s="39" t="s">
        <v>40</v>
      </c>
      <c r="E47" s="12">
        <f>SUM('MDA1:NCA9'!E47)</f>
        <v>35550</v>
      </c>
      <c r="F47" s="12">
        <f>SUM('MDA1:NCA9'!F47)</f>
        <v>35550</v>
      </c>
      <c r="G47" s="12">
        <f>SUM('MDA1:NCA9'!G47)</f>
        <v>47550</v>
      </c>
      <c r="H47" s="12">
        <f>SUM('MDA1:NCA9'!H47)</f>
        <v>53550</v>
      </c>
      <c r="I47" s="12">
        <f>SUM('MDA1:NCA9'!I47)</f>
        <v>53550</v>
      </c>
      <c r="J47" s="12">
        <f>SUM('MDA1:NCA9'!J47)</f>
        <v>58300</v>
      </c>
      <c r="K47" s="12">
        <f>SUM('MDA1:NCA9'!K47)</f>
        <v>70050</v>
      </c>
      <c r="L47" s="12">
        <f>SUM('MDA1:NCA9'!L47)</f>
        <v>70050</v>
      </c>
      <c r="M47" s="12">
        <f>SUM('MDA1:NCA9'!M47)</f>
        <v>76050</v>
      </c>
      <c r="N47" s="12">
        <f>SUM('MDA1:NCA9'!N47)</f>
        <v>80000</v>
      </c>
      <c r="O47" s="12">
        <f>SUM('MDA1:NCA9'!O47)</f>
        <v>86000</v>
      </c>
      <c r="P47" s="12">
        <f>SUM('MDA1:NCA9'!P47)</f>
        <v>86000</v>
      </c>
      <c r="Q47" s="12">
        <f>SUM('MDA1:NCA9'!Q47)</f>
        <v>92347.5</v>
      </c>
      <c r="R47" s="12">
        <f>SUM('MDA1:NCA9'!R47)</f>
        <v>92347.5</v>
      </c>
      <c r="S47" s="12">
        <f>SUM('MDA1:NCA9'!S47)</f>
        <v>98647.5</v>
      </c>
      <c r="T47" s="12">
        <f>SUM('MDA1:NCA9'!T47)</f>
        <v>98647.5</v>
      </c>
      <c r="U47" s="12">
        <f>SUM('MDA1:NCA9'!U47)</f>
        <v>98647.5</v>
      </c>
      <c r="V47" s="12">
        <f>SUM('MDA1:NCA9'!V47)</f>
        <v>98647.5</v>
      </c>
      <c r="W47" s="12">
        <f>SUM('MDA1:NCA9'!W47)</f>
        <v>109935</v>
      </c>
      <c r="X47" s="12">
        <f>SUM('MDA1:NCA9'!X47)</f>
        <v>122272.5</v>
      </c>
      <c r="Y47" s="12">
        <f>SUM('MDA1:NCA9'!Y47)</f>
        <v>122272.5</v>
      </c>
      <c r="Z47" s="12">
        <f>SUM('MDA1:NCA9'!Z47)</f>
        <v>122272.5</v>
      </c>
      <c r="AA47" s="12">
        <f>SUM('MDA1:NCA9'!AA47)</f>
        <v>128572.5</v>
      </c>
      <c r="AB47" s="12">
        <f>SUM('MDA1:NCA9'!AB47)</f>
        <v>134872.5</v>
      </c>
      <c r="AC47" s="12">
        <f>SUM('MDA1:NCA9'!AC47)</f>
        <v>141616.125</v>
      </c>
      <c r="AD47" s="12">
        <f>SUM('MDA1:NCA9'!AD47)</f>
        <v>141616.125</v>
      </c>
      <c r="AE47" s="12">
        <f>SUM('MDA1:NCA9'!AE47)</f>
        <v>141616.125</v>
      </c>
      <c r="AF47" s="12">
        <f>SUM('MDA1:NCA9'!AF47)</f>
        <v>141616.125</v>
      </c>
      <c r="AG47" s="12">
        <f>SUM('MDA1:NCA9'!AG47)</f>
        <v>141616.125</v>
      </c>
      <c r="AH47" s="12">
        <f>SUM('MDA1:NCA9'!AH47)</f>
        <v>153192.375</v>
      </c>
      <c r="AI47" s="12">
        <f>SUM('MDA1:NCA9'!AI47)</f>
        <v>159807.375</v>
      </c>
      <c r="AJ47" s="12">
        <f>SUM('MDA1:NCA9'!AJ47)</f>
        <v>166422.375</v>
      </c>
      <c r="AK47" s="12">
        <f>SUM('MDA1:NCA9'!AK47)</f>
        <v>173037.375</v>
      </c>
      <c r="AL47" s="12">
        <f>SUM('MDA1:NCA9'!AL47)</f>
        <v>179652.375</v>
      </c>
      <c r="AM47" s="12">
        <f>SUM('MDA1:NCA9'!AM47)</f>
        <v>186267.375</v>
      </c>
      <c r="AN47" s="12">
        <f>SUM('MDA1:NCA9'!AN47)</f>
        <v>186267.375</v>
      </c>
    </row>
    <row r="48" spans="2:40" outlineLevel="1" x14ac:dyDescent="0.25">
      <c r="B48" s="39" t="s">
        <v>41</v>
      </c>
      <c r="E48" s="12">
        <f>SUM('MDA1:NCA9'!E48)</f>
        <v>280234.46999999997</v>
      </c>
      <c r="F48" s="12">
        <f>SUM('MDA1:NCA9'!F48)</f>
        <v>151234.47</v>
      </c>
      <c r="G48" s="12">
        <f>SUM('MDA1:NCA9'!G48)</f>
        <v>0</v>
      </c>
      <c r="H48" s="12">
        <f>SUM('MDA1:NCA9'!H48)</f>
        <v>104139</v>
      </c>
      <c r="I48" s="12">
        <f>SUM('MDA1:NCA9'!I48)</f>
        <v>278111.58</v>
      </c>
      <c r="J48" s="12">
        <f>SUM('MDA1:NCA9'!J48)</f>
        <v>0</v>
      </c>
      <c r="K48" s="12">
        <f>SUM('MDA1:NCA9'!K48)</f>
        <v>151234.47</v>
      </c>
      <c r="L48" s="12">
        <f>SUM('MDA1:NCA9'!L48)</f>
        <v>103139</v>
      </c>
      <c r="M48" s="12">
        <f>SUM('MDA1:NCA9'!M48)</f>
        <v>151234.47</v>
      </c>
      <c r="N48" s="12">
        <f>SUM('MDA1:NCA9'!N48)</f>
        <v>0</v>
      </c>
      <c r="O48" s="12">
        <f>SUM('MDA1:NCA9'!O48)</f>
        <v>0</v>
      </c>
      <c r="P48" s="12">
        <f>SUM('MDA1:NCA9'!P48)</f>
        <v>0</v>
      </c>
      <c r="Q48" s="12">
        <f>SUM('MDA1:NCA9'!Q48)</f>
        <v>151234.47</v>
      </c>
      <c r="R48" s="12">
        <f>SUM('MDA1:NCA9'!R48)</f>
        <v>0</v>
      </c>
      <c r="S48" s="12">
        <f>SUM('MDA1:NCA9'!S48)</f>
        <v>0</v>
      </c>
      <c r="T48" s="12">
        <f>SUM('MDA1:NCA9'!T48)</f>
        <v>0</v>
      </c>
      <c r="U48" s="12">
        <f>SUM('MDA1:NCA9'!U48)</f>
        <v>255373.47</v>
      </c>
      <c r="V48" s="12">
        <f>SUM('MDA1:NCA9'!V48)</f>
        <v>278111.58</v>
      </c>
      <c r="W48" s="12">
        <f>SUM('MDA1:NCA9'!W48)</f>
        <v>0</v>
      </c>
      <c r="X48" s="12">
        <f>SUM('MDA1:NCA9'!X48)</f>
        <v>0</v>
      </c>
      <c r="Y48" s="12">
        <f>SUM('MDA1:NCA9'!Y48)</f>
        <v>151234.47</v>
      </c>
      <c r="Z48" s="12">
        <f>SUM('MDA1:NCA9'!Z48)</f>
        <v>151234.47</v>
      </c>
      <c r="AA48" s="12">
        <f>SUM('MDA1:NCA9'!AA48)</f>
        <v>0</v>
      </c>
      <c r="AB48" s="12">
        <f>SUM('MDA1:NCA9'!AB48)</f>
        <v>0</v>
      </c>
      <c r="AC48" s="12">
        <f>SUM('MDA1:NCA9'!AC48)</f>
        <v>0</v>
      </c>
      <c r="AD48" s="12">
        <f>SUM('MDA1:NCA9'!AD48)</f>
        <v>0</v>
      </c>
      <c r="AE48" s="12">
        <f>SUM('MDA1:NCA9'!AE48)</f>
        <v>0</v>
      </c>
      <c r="AF48" s="12">
        <f>SUM('MDA1:NCA9'!AF48)</f>
        <v>231016.11</v>
      </c>
      <c r="AG48" s="12">
        <f>SUM('MDA1:NCA9'!AG48)</f>
        <v>151234.47</v>
      </c>
      <c r="AH48" s="12">
        <f>SUM('MDA1:NCA9'!AH48)</f>
        <v>151234.47</v>
      </c>
      <c r="AI48" s="12">
        <f>SUM('MDA1:NCA9'!AI48)</f>
        <v>151234.47</v>
      </c>
      <c r="AJ48" s="12">
        <f>SUM('MDA1:NCA9'!AJ48)</f>
        <v>151234.47</v>
      </c>
      <c r="AK48" s="12">
        <f>SUM('MDA1:NCA9'!AK48)</f>
        <v>151234.47</v>
      </c>
      <c r="AL48" s="12">
        <f>SUM('MDA1:NCA9'!AL48)</f>
        <v>0</v>
      </c>
      <c r="AM48" s="12">
        <f>SUM('MDA1:NCA9'!AM48)</f>
        <v>0</v>
      </c>
      <c r="AN48" s="12">
        <f>SUM('MDA1:NCA9'!AN48)</f>
        <v>0</v>
      </c>
    </row>
    <row r="49" spans="2:40" outlineLevel="1" x14ac:dyDescent="0.25">
      <c r="B49" s="39" t="s">
        <v>42</v>
      </c>
      <c r="E49" s="12">
        <f>SUM('MDA1:NCA9'!E49)</f>
        <v>952841.53113002842</v>
      </c>
      <c r="F49" s="12">
        <f>SUM('MDA1:NCA9'!F49)</f>
        <v>961971.16170517157</v>
      </c>
      <c r="G49" s="12">
        <f>SUM('MDA1:NCA9'!G49)</f>
        <v>974059.19815892656</v>
      </c>
      <c r="H49" s="12">
        <f>SUM('MDA1:NCA9'!H49)</f>
        <v>986666.78323888604</v>
      </c>
      <c r="I49" s="12">
        <f>SUM('MDA1:NCA9'!I49)</f>
        <v>997100.64675333456</v>
      </c>
      <c r="J49" s="12">
        <f>SUM('MDA1:NCA9'!J49)</f>
        <v>1010142.976146396</v>
      </c>
      <c r="K49" s="12">
        <f>SUM('MDA1:NCA9'!K49)</f>
        <v>1027098.0043573757</v>
      </c>
      <c r="L49" s="12">
        <f>SUM('MDA1:NCA9'!L49)</f>
        <v>1040925.0180635392</v>
      </c>
      <c r="M49" s="12">
        <f>SUM('MDA1:NCA9'!M49)</f>
        <v>1056575.8133352131</v>
      </c>
      <c r="N49" s="12">
        <f>SUM('MDA1:NCA9'!N49)</f>
        <v>1073530.841546193</v>
      </c>
      <c r="O49" s="12">
        <f>SUM('MDA1:NCA9'!O49)</f>
        <v>1093094.3356357843</v>
      </c>
      <c r="P49" s="12">
        <f>SUM('MDA1:NCA9'!P49)</f>
        <v>1113962.0626646825</v>
      </c>
      <c r="Q49" s="12">
        <f>SUM('MDA1:NCA9'!Q49)</f>
        <v>1235366.2997663692</v>
      </c>
      <c r="R49" s="12">
        <f>SUM('MDA1:NCA9'!R49)</f>
        <v>1254440.3988459557</v>
      </c>
      <c r="S49" s="12">
        <f>SUM('MDA1:NCA9'!S49)</f>
        <v>1274945.055356513</v>
      </c>
      <c r="T49" s="12">
        <f>SUM('MDA1:NCA9'!T49)</f>
        <v>1295926.564344058</v>
      </c>
      <c r="U49" s="12">
        <f>SUM('MDA1:NCA9'!U49)</f>
        <v>1313093.2535156868</v>
      </c>
      <c r="V49" s="12">
        <f>SUM('MDA1:NCA9'!V49)</f>
        <v>1329306.2377333359</v>
      </c>
      <c r="W49" s="12">
        <f>SUM('MDA1:NCA9'!W49)</f>
        <v>1347903.4843359338</v>
      </c>
      <c r="X49" s="12">
        <f>SUM('MDA1:NCA9'!X49)</f>
        <v>1366977.5834155208</v>
      </c>
      <c r="Y49" s="12">
        <f>SUM('MDA1:NCA9'!Y49)</f>
        <v>1383190.5676331706</v>
      </c>
      <c r="Z49" s="12">
        <f>SUM('MDA1:NCA9'!Z49)</f>
        <v>1401310.9617587775</v>
      </c>
      <c r="AA49" s="12">
        <f>SUM('MDA1:NCA9'!AA49)</f>
        <v>1419431.3558843846</v>
      </c>
      <c r="AB49" s="12">
        <f>SUM('MDA1:NCA9'!AB49)</f>
        <v>1436121.1925790235</v>
      </c>
      <c r="AC49" s="12">
        <f>SUM('MDA1:NCA9'!AC49)</f>
        <v>1582735.3219456479</v>
      </c>
      <c r="AD49" s="12">
        <f>SUM('MDA1:NCA9'!AD49)</f>
        <v>1599475.0597558618</v>
      </c>
      <c r="AE49" s="12">
        <f>SUM('MDA1:NCA9'!AE49)</f>
        <v>1615168.5639529373</v>
      </c>
      <c r="AF49" s="12">
        <f>SUM('MDA1:NCA9'!AF49)</f>
        <v>1629815.8345368737</v>
      </c>
      <c r="AG49" s="12">
        <f>SUM('MDA1:NCA9'!AG49)</f>
        <v>1643416.8715076724</v>
      </c>
      <c r="AH49" s="12">
        <f>SUM('MDA1:NCA9'!AH49)</f>
        <v>1660156.6093178864</v>
      </c>
      <c r="AI49" s="12">
        <f>SUM('MDA1:NCA9'!AI49)</f>
        <v>1680035.0479675143</v>
      </c>
      <c r="AJ49" s="12">
        <f>SUM('MDA1:NCA9'!AJ49)</f>
        <v>1699390.3698105738</v>
      </c>
      <c r="AK49" s="12">
        <f>SUM('MDA1:NCA9'!AK49)</f>
        <v>1718222.5748470637</v>
      </c>
      <c r="AL49" s="12">
        <f>SUM('MDA1:NCA9'!AL49)</f>
        <v>1736008.5462704173</v>
      </c>
      <c r="AM49" s="12">
        <f>SUM('MDA1:NCA9'!AM49)</f>
        <v>1755886.9849200454</v>
      </c>
      <c r="AN49" s="12">
        <f>SUM('MDA1:NCA9'!AN49)</f>
        <v>1774196.073149967</v>
      </c>
    </row>
    <row r="50" spans="2:40" x14ac:dyDescent="0.25">
      <c r="B50" s="1" t="s">
        <v>272</v>
      </c>
      <c r="E50" s="13">
        <f>SUM(E40:E49)</f>
        <v>3248350.9207937405</v>
      </c>
      <c r="F50" s="13">
        <f t="shared" ref="F50:AN50" si="2">SUM(F40:F49)</f>
        <v>3246496.9638461689</v>
      </c>
      <c r="G50" s="13">
        <f t="shared" si="2"/>
        <v>3371452.6796141034</v>
      </c>
      <c r="H50" s="13">
        <f t="shared" si="2"/>
        <v>3733145.3259539772</v>
      </c>
      <c r="I50" s="13">
        <f t="shared" si="2"/>
        <v>4078315.1702558249</v>
      </c>
      <c r="J50" s="13">
        <f t="shared" si="2"/>
        <v>4021244.42834849</v>
      </c>
      <c r="K50" s="13">
        <f t="shared" si="2"/>
        <v>4544105.5728935506</v>
      </c>
      <c r="L50" s="13">
        <f t="shared" si="2"/>
        <v>4694054.243307855</v>
      </c>
      <c r="M50" s="13">
        <f t="shared" si="2"/>
        <v>5012491.6847471381</v>
      </c>
      <c r="N50" s="13">
        <f t="shared" si="2"/>
        <v>5146871.7000144431</v>
      </c>
      <c r="O50" s="13">
        <f t="shared" si="2"/>
        <v>5510952.3211075431</v>
      </c>
      <c r="P50" s="13">
        <f t="shared" si="2"/>
        <v>5804341.8346114848</v>
      </c>
      <c r="Q50" s="13">
        <f t="shared" si="2"/>
        <v>6776413.8350646086</v>
      </c>
      <c r="R50" s="13">
        <f t="shared" si="2"/>
        <v>6887556.8061849596</v>
      </c>
      <c r="S50" s="13">
        <f t="shared" si="2"/>
        <v>7237843.2421215922</v>
      </c>
      <c r="T50" s="13">
        <f t="shared" si="2"/>
        <v>7513816.3931873282</v>
      </c>
      <c r="U50" s="13">
        <f t="shared" si="2"/>
        <v>7977546.7517453106</v>
      </c>
      <c r="V50" s="13">
        <f t="shared" si="2"/>
        <v>8209317.3810447697</v>
      </c>
      <c r="W50" s="13">
        <f t="shared" si="2"/>
        <v>8296693.5229084194</v>
      </c>
      <c r="X50" s="13">
        <f t="shared" si="2"/>
        <v>8693081.5092784315</v>
      </c>
      <c r="Y50" s="13">
        <f t="shared" si="2"/>
        <v>9084926.1104561035</v>
      </c>
      <c r="Z50" s="13">
        <f t="shared" si="2"/>
        <v>9319280.3028787076</v>
      </c>
      <c r="AA50" s="13">
        <f t="shared" si="2"/>
        <v>9465373.0002609249</v>
      </c>
      <c r="AB50" s="13">
        <f t="shared" si="2"/>
        <v>9760114.8082392588</v>
      </c>
      <c r="AC50" s="13">
        <f t="shared" si="2"/>
        <v>10866645.630166911</v>
      </c>
      <c r="AD50" s="13">
        <f t="shared" si="2"/>
        <v>11080039.896314804</v>
      </c>
      <c r="AE50" s="13">
        <f t="shared" si="2"/>
        <v>11297263.398888148</v>
      </c>
      <c r="AF50" s="13">
        <f t="shared" si="2"/>
        <v>11738498.755298782</v>
      </c>
      <c r="AG50" s="13">
        <f t="shared" si="2"/>
        <v>11838560.562925182</v>
      </c>
      <c r="AH50" s="13">
        <f t="shared" si="2"/>
        <v>12192322.474875296</v>
      </c>
      <c r="AI50" s="13">
        <f t="shared" si="2"/>
        <v>12555112.338387616</v>
      </c>
      <c r="AJ50" s="13">
        <f t="shared" si="2"/>
        <v>12899676.484996751</v>
      </c>
      <c r="AK50" s="13">
        <f t="shared" si="2"/>
        <v>13244153.098851224</v>
      </c>
      <c r="AL50" s="13">
        <f t="shared" si="2"/>
        <v>13429336.327592514</v>
      </c>
      <c r="AM50" s="13">
        <f t="shared" si="2"/>
        <v>13777721.765295574</v>
      </c>
      <c r="AN50" s="13">
        <f t="shared" si="2"/>
        <v>14058838.329720523</v>
      </c>
    </row>
    <row r="51" spans="2:40" x14ac:dyDescent="0.25">
      <c r="B51" s="1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</row>
    <row r="52" spans="2:40" x14ac:dyDescent="0.25">
      <c r="B52" s="1" t="s">
        <v>48</v>
      </c>
      <c r="E52" s="74">
        <f>E37-E50</f>
        <v>-250993.49786750088</v>
      </c>
      <c r="F52" s="74">
        <f t="shared" ref="F52:AN52" si="3">F37-F50</f>
        <v>-20288.489947268739</v>
      </c>
      <c r="G52" s="74">
        <f t="shared" si="3"/>
        <v>220240.23110594973</v>
      </c>
      <c r="H52" s="74">
        <f t="shared" si="3"/>
        <v>246619.2387452866</v>
      </c>
      <c r="I52" s="74">
        <f t="shared" si="3"/>
        <v>196521.51845219545</v>
      </c>
      <c r="J52" s="74">
        <f t="shared" si="3"/>
        <v>614408.80223696958</v>
      </c>
      <c r="K52" s="74">
        <f t="shared" si="3"/>
        <v>590934.84329242259</v>
      </c>
      <c r="L52" s="74">
        <f t="shared" si="3"/>
        <v>816896.33528083935</v>
      </c>
      <c r="M52" s="74">
        <f t="shared" si="3"/>
        <v>958938.09097232856</v>
      </c>
      <c r="N52" s="74">
        <f t="shared" si="3"/>
        <v>1297664.752063646</v>
      </c>
      <c r="O52" s="74">
        <f t="shared" si="3"/>
        <v>1505724.616059849</v>
      </c>
      <c r="P52" s="74">
        <f t="shared" si="3"/>
        <v>1778435.3211095473</v>
      </c>
      <c r="Q52" s="74">
        <f t="shared" si="3"/>
        <v>1607394.6093995245</v>
      </c>
      <c r="R52" s="74">
        <f t="shared" si="3"/>
        <v>1964778.2485954938</v>
      </c>
      <c r="S52" s="74">
        <f t="shared" si="3"/>
        <v>2168952.0937474482</v>
      </c>
      <c r="T52" s="74">
        <f t="shared" si="3"/>
        <v>2431877.3749913825</v>
      </c>
      <c r="U52" s="74">
        <f t="shared" si="3"/>
        <v>2384902.912566076</v>
      </c>
      <c r="V52" s="74">
        <f t="shared" si="3"/>
        <v>2529512.1408807822</v>
      </c>
      <c r="W52" s="74">
        <f t="shared" si="3"/>
        <v>2937638.5792478044</v>
      </c>
      <c r="X52" s="74">
        <f t="shared" si="3"/>
        <v>3070180.1042243913</v>
      </c>
      <c r="Y52" s="74">
        <f t="shared" si="3"/>
        <v>3079622.6371415835</v>
      </c>
      <c r="Z52" s="74">
        <f t="shared" si="3"/>
        <v>3280439.9711285122</v>
      </c>
      <c r="AA52" s="74">
        <f t="shared" si="3"/>
        <v>3596620.6214614585</v>
      </c>
      <c r="AB52" s="74">
        <f t="shared" si="3"/>
        <v>3761581.7717639264</v>
      </c>
      <c r="AC52" s="74">
        <f t="shared" si="3"/>
        <v>3019811.18948479</v>
      </c>
      <c r="AD52" s="74">
        <f t="shared" si="3"/>
        <v>3188119.3591427505</v>
      </c>
      <c r="AE52" s="74">
        <f t="shared" si="3"/>
        <v>3341884.0023117084</v>
      </c>
      <c r="AF52" s="74">
        <f t="shared" si="3"/>
        <v>3259860.3959800806</v>
      </c>
      <c r="AG52" s="74">
        <f t="shared" si="3"/>
        <v>3472967.0900830664</v>
      </c>
      <c r="AH52" s="74">
        <f t="shared" si="3"/>
        <v>3532124.2440285496</v>
      </c>
      <c r="AI52" s="74">
        <f t="shared" si="3"/>
        <v>3638233.5267628022</v>
      </c>
      <c r="AJ52" s="74">
        <f t="shared" si="3"/>
        <v>3783198.4805138502</v>
      </c>
      <c r="AK52" s="74">
        <f t="shared" si="3"/>
        <v>3912974.9507393371</v>
      </c>
      <c r="AL52" s="74">
        <f t="shared" si="3"/>
        <v>4182092.4566482306</v>
      </c>
      <c r="AM52" s="74">
        <f t="shared" si="3"/>
        <v>4346830.7820324209</v>
      </c>
      <c r="AN52" s="74">
        <f t="shared" si="3"/>
        <v>4534100.9264819399</v>
      </c>
    </row>
    <row r="53" spans="2:40" x14ac:dyDescent="0.25">
      <c r="B53" s="1"/>
      <c r="E53" s="109">
        <f>IFERROR(E52/E37,"")</f>
        <v>-8.3738260891976862E-2</v>
      </c>
      <c r="F53" s="109">
        <f t="shared" ref="F53:AN53" si="4">IFERROR(F52/F37,"")</f>
        <v>-6.2886481488748707E-3</v>
      </c>
      <c r="G53" s="109">
        <f t="shared" si="4"/>
        <v>6.1319337866721058E-2</v>
      </c>
      <c r="H53" s="109">
        <f t="shared" si="4"/>
        <v>6.1968298560375445E-2</v>
      </c>
      <c r="I53" s="109">
        <f t="shared" si="4"/>
        <v>4.5971702023449683E-2</v>
      </c>
      <c r="J53" s="109">
        <f t="shared" si="4"/>
        <v>0.13253985396991674</v>
      </c>
      <c r="K53" s="109">
        <f t="shared" si="4"/>
        <v>0.11507890793415344</v>
      </c>
      <c r="L53" s="109">
        <f t="shared" si="4"/>
        <v>0.14823147542906095</v>
      </c>
      <c r="M53" s="109">
        <f t="shared" si="4"/>
        <v>0.16058768619727945</v>
      </c>
      <c r="N53" s="109">
        <f t="shared" si="4"/>
        <v>0.20135889706158838</v>
      </c>
      <c r="O53" s="109">
        <f t="shared" si="4"/>
        <v>0.21459226775626708</v>
      </c>
      <c r="P53" s="109">
        <f t="shared" si="4"/>
        <v>0.23453614481704219</v>
      </c>
      <c r="Q53" s="109">
        <f t="shared" si="4"/>
        <v>0.19172606579064846</v>
      </c>
      <c r="R53" s="109">
        <f t="shared" si="4"/>
        <v>0.22195028051208601</v>
      </c>
      <c r="S53" s="109">
        <f t="shared" si="4"/>
        <v>0.23057290142978018</v>
      </c>
      <c r="T53" s="109">
        <f t="shared" si="4"/>
        <v>0.24451560963722654</v>
      </c>
      <c r="U53" s="109">
        <f t="shared" si="4"/>
        <v>0.23014856427045036</v>
      </c>
      <c r="V53" s="109">
        <f t="shared" si="4"/>
        <v>0.23554821647147461</v>
      </c>
      <c r="W53" s="109">
        <f t="shared" si="4"/>
        <v>0.2614876035829472</v>
      </c>
      <c r="X53" s="109">
        <f t="shared" si="4"/>
        <v>0.26099734963814714</v>
      </c>
      <c r="Y53" s="109">
        <f t="shared" si="4"/>
        <v>0.2531637384206103</v>
      </c>
      <c r="Z53" s="109">
        <f t="shared" si="4"/>
        <v>0.26035815873594786</v>
      </c>
      <c r="AA53" s="109">
        <f t="shared" si="4"/>
        <v>0.27535005188489753</v>
      </c>
      <c r="AB53" s="109">
        <f t="shared" si="4"/>
        <v>0.27818859486366615</v>
      </c>
      <c r="AC53" s="109">
        <f t="shared" si="4"/>
        <v>0.21746448562827367</v>
      </c>
      <c r="AD53" s="109">
        <f t="shared" si="4"/>
        <v>0.22344293346202304</v>
      </c>
      <c r="AE53" s="109">
        <f t="shared" si="4"/>
        <v>0.22828405990623471</v>
      </c>
      <c r="AF53" s="109">
        <f t="shared" si="4"/>
        <v>0.21734780205620843</v>
      </c>
      <c r="AG53" s="109">
        <f t="shared" si="4"/>
        <v>0.22682041719075197</v>
      </c>
      <c r="AH53" s="109">
        <f t="shared" si="4"/>
        <v>0.22462629732989262</v>
      </c>
      <c r="AI53" s="109">
        <f t="shared" si="4"/>
        <v>0.22467460134922568</v>
      </c>
      <c r="AJ53" s="109">
        <f t="shared" si="4"/>
        <v>0.22677137413875359</v>
      </c>
      <c r="AK53" s="109">
        <f t="shared" si="4"/>
        <v>0.22806701328039086</v>
      </c>
      <c r="AL53" s="109">
        <f t="shared" si="4"/>
        <v>0.23746468886104785</v>
      </c>
      <c r="AM53" s="109">
        <f t="shared" si="4"/>
        <v>0.23983106731499701</v>
      </c>
      <c r="AN53" s="109">
        <f t="shared" si="4"/>
        <v>0.24386143922722697</v>
      </c>
    </row>
    <row r="54" spans="2:40" x14ac:dyDescent="0.25">
      <c r="B54" s="39" t="s">
        <v>296</v>
      </c>
      <c r="C54" s="12">
        <v>53455.242566182867</v>
      </c>
      <c r="E54" s="67">
        <f>E67*_xlfn.XLOOKUP(YEAR($E$25),Base!$BJ$4:$BL$4,Base!$BJ$276:$BL$276,0,0)/12</f>
        <v>51182.702882980644</v>
      </c>
      <c r="F54" s="67">
        <f>F67*_xlfn.XLOOKUP(YEAR($E$25),Base!$BJ$4:$BL$4,Base!$BJ$276:$BL$276,0,0)/12</f>
        <v>64639.997392435529</v>
      </c>
      <c r="G54" s="67">
        <f>G67*_xlfn.XLOOKUP(YEAR($E$25),Base!$BJ$4:$BL$4,Base!$BJ$276:$BL$276,0,0)/12</f>
        <v>77102.364486712191</v>
      </c>
      <c r="H54" s="67">
        <f>H67*_xlfn.XLOOKUP(YEAR($E$25),Base!$BJ$4:$BL$4,Base!$BJ$276:$BL$276,0,0)/12</f>
        <v>87343.45418126091</v>
      </c>
      <c r="I54" s="67">
        <f>I67*_xlfn.XLOOKUP(YEAR($E$25),Base!$BJ$4:$BL$4,Base!$BJ$276:$BL$276,0,0)/12</f>
        <v>101113.94393581692</v>
      </c>
      <c r="J54" s="67">
        <f>J67*_xlfn.XLOOKUP(YEAR($E$25),Base!$BJ$4:$BL$4,Base!$BJ$276:$BL$276,0,0)/12</f>
        <v>112044.91538036628</v>
      </c>
      <c r="K54" s="67">
        <f>K67*_xlfn.XLOOKUP(YEAR($E$25),Base!$BJ$4:$BL$4,Base!$BJ$276:$BL$276,0,0)/12</f>
        <v>122438.34905980814</v>
      </c>
      <c r="L54" s="67">
        <f>L67*_xlfn.XLOOKUP(YEAR($E$25),Base!$BJ$4:$BL$4,Base!$BJ$276:$BL$276,0,0)/12</f>
        <v>130969.23419732647</v>
      </c>
      <c r="M54" s="67">
        <f>M67*_xlfn.XLOOKUP(YEAR($E$25),Base!$BJ$4:$BL$4,Base!$BJ$276:$BL$276,0,0)/12</f>
        <v>139688.44382661753</v>
      </c>
      <c r="N54" s="67">
        <f>N67*_xlfn.XLOOKUP(YEAR($E$25),Base!$BJ$4:$BL$4,Base!$BJ$276:$BL$276,0,0)/12</f>
        <v>146186.59251776666</v>
      </c>
      <c r="O54" s="67">
        <f>O67*_xlfn.XLOOKUP(YEAR($E$25),Base!$BJ$4:$BL$4,Base!$BJ$276:$BL$276,0,0)/12</f>
        <v>148895.34149266453</v>
      </c>
      <c r="P54" s="67">
        <f>P67*_xlfn.XLOOKUP(YEAR($E$25),Base!$BJ$4:$BL$4,Base!$BJ$276:$BL$276,0,0)/12</f>
        <v>149329.58292622017</v>
      </c>
      <c r="Q54" s="67">
        <f>Q67*_xlfn.XLOOKUP(YEAR($E$25),Base!$BJ$4:$BL$4,Base!$BJ$276:$BL$276,0,0)/12</f>
        <v>176867.76546837404</v>
      </c>
      <c r="R54" s="67">
        <f>R67*_xlfn.XLOOKUP(YEAR($E$25),Base!$BJ$4:$BL$4,Base!$BJ$276:$BL$276,0,0)/12</f>
        <v>176364.30186451806</v>
      </c>
      <c r="S54" s="67">
        <f>S67*_xlfn.XLOOKUP(YEAR($E$25),Base!$BJ$4:$BL$4,Base!$BJ$276:$BL$276,0,0)/12</f>
        <v>172847.68475714541</v>
      </c>
      <c r="T54" s="67">
        <f>T67*_xlfn.XLOOKUP(YEAR($E$25),Base!$BJ$4:$BL$4,Base!$BJ$276:$BL$276,0,0)/12</f>
        <v>166865.07740935319</v>
      </c>
      <c r="U54" s="67">
        <f>U67*_xlfn.XLOOKUP(YEAR($E$25),Base!$BJ$4:$BL$4,Base!$BJ$276:$BL$276,0,0)/12</f>
        <v>164498.33131252631</v>
      </c>
      <c r="V54" s="67">
        <f>V67*_xlfn.XLOOKUP(YEAR($E$25),Base!$BJ$4:$BL$4,Base!$BJ$276:$BL$276,0,0)/12</f>
        <v>164605.85329914777</v>
      </c>
      <c r="W54" s="67">
        <f>W67*_xlfn.XLOOKUP(YEAR($E$25),Base!$BJ$4:$BL$4,Base!$BJ$276:$BL$276,0,0)/12</f>
        <v>160140.52211169698</v>
      </c>
      <c r="X54" s="67">
        <f>X67*_xlfn.XLOOKUP(YEAR($E$25),Base!$BJ$4:$BL$4,Base!$BJ$276:$BL$276,0,0)/12</f>
        <v>154542.69036814672</v>
      </c>
      <c r="Y54" s="67">
        <f>Y67*_xlfn.XLOOKUP(YEAR($E$25),Base!$BJ$4:$BL$4,Base!$BJ$276:$BL$276,0,0)/12</f>
        <v>151169.1406543382</v>
      </c>
      <c r="Z54" s="67">
        <f>Z67*_xlfn.XLOOKUP(YEAR($E$25),Base!$BJ$4:$BL$4,Base!$BJ$276:$BL$276,0,0)/12</f>
        <v>149439.69759141465</v>
      </c>
      <c r="AA54" s="67">
        <f>AA67*_xlfn.XLOOKUP(YEAR($E$25),Base!$BJ$4:$BL$4,Base!$BJ$276:$BL$276,0,0)/12</f>
        <v>144060.21439736182</v>
      </c>
      <c r="AB54" s="67">
        <f>AB67*_xlfn.XLOOKUP(YEAR($E$25),Base!$BJ$4:$BL$4,Base!$BJ$276:$BL$276,0,0)/12</f>
        <v>134551.42921027387</v>
      </c>
      <c r="AC54" s="67">
        <f>AC67*_xlfn.XLOOKUP(YEAR($E$25),Base!$BJ$4:$BL$4,Base!$BJ$276:$BL$276,0,0)/12</f>
        <v>156542.75472856619</v>
      </c>
      <c r="AD54" s="67">
        <f>AD67*_xlfn.XLOOKUP(YEAR($E$25),Base!$BJ$4:$BL$4,Base!$BJ$276:$BL$276,0,0)/12</f>
        <v>152994.58591543938</v>
      </c>
      <c r="AE54" s="67">
        <f>AE67*_xlfn.XLOOKUP(YEAR($E$25),Base!$BJ$4:$BL$4,Base!$BJ$276:$BL$276,0,0)/12</f>
        <v>147614.39711026149</v>
      </c>
      <c r="AF54" s="67">
        <f>AF67*_xlfn.XLOOKUP(YEAR($E$25),Base!$BJ$4:$BL$4,Base!$BJ$276:$BL$276,0,0)/12</f>
        <v>142565.79308191917</v>
      </c>
      <c r="AG54" s="67">
        <f>AG67*_xlfn.XLOOKUP(YEAR($E$25),Base!$BJ$4:$BL$4,Base!$BJ$276:$BL$276,0,0)/12</f>
        <v>137091.72760728752</v>
      </c>
      <c r="AH54" s="67">
        <f>AH67*_xlfn.XLOOKUP(YEAR($E$25),Base!$BJ$4:$BL$4,Base!$BJ$276:$BL$276,0,0)/12</f>
        <v>133285.06876609955</v>
      </c>
      <c r="AI54" s="67">
        <f>AI67*_xlfn.XLOOKUP(YEAR($E$25),Base!$BJ$4:$BL$4,Base!$BJ$276:$BL$276,0,0)/12</f>
        <v>130825.24111286727</v>
      </c>
      <c r="AJ54" s="67">
        <f>AJ67*_xlfn.XLOOKUP(YEAR($E$25),Base!$BJ$4:$BL$4,Base!$BJ$276:$BL$276,0,0)/12</f>
        <v>128758.89386331987</v>
      </c>
      <c r="AK54" s="67">
        <f>AK67*_xlfn.XLOOKUP(YEAR($E$25),Base!$BJ$4:$BL$4,Base!$BJ$276:$BL$276,0,0)/12</f>
        <v>127882.3796706515</v>
      </c>
      <c r="AL54" s="67">
        <f>AL67*_xlfn.XLOOKUP(YEAR($E$25),Base!$BJ$4:$BL$4,Base!$BJ$276:$BL$276,0,0)/12</f>
        <v>124043.20176702122</v>
      </c>
      <c r="AM54" s="67">
        <f>AM67*_xlfn.XLOOKUP(YEAR($E$25),Base!$BJ$4:$BL$4,Base!$BJ$276:$BL$276,0,0)/12</f>
        <v>118258.46578282391</v>
      </c>
      <c r="AN54" s="67">
        <f>AN67*_xlfn.XLOOKUP(YEAR($E$25),Base!$BJ$4:$BL$4,Base!$BJ$276:$BL$276,0,0)/12</f>
        <v>110421.64678750381</v>
      </c>
    </row>
    <row r="55" spans="2:40" x14ac:dyDescent="0.25">
      <c r="B55" s="39"/>
      <c r="C55" s="12"/>
      <c r="E55" s="67"/>
      <c r="F55" s="67"/>
      <c r="G55" s="67"/>
      <c r="H55" s="67"/>
      <c r="I55" s="67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  <c r="AA55" s="67"/>
      <c r="AB55" s="67"/>
      <c r="AC55" s="67"/>
      <c r="AD55" s="67"/>
      <c r="AE55" s="67"/>
      <c r="AF55" s="67"/>
      <c r="AG55" s="67"/>
      <c r="AH55" s="67"/>
      <c r="AI55" s="67"/>
      <c r="AJ55" s="67"/>
      <c r="AK55" s="67"/>
      <c r="AL55" s="67"/>
      <c r="AM55" s="67"/>
      <c r="AN55" s="67"/>
    </row>
    <row r="56" spans="2:40" x14ac:dyDescent="0.25">
      <c r="B56" s="1" t="s">
        <v>274</v>
      </c>
      <c r="E56" s="74">
        <f t="shared" ref="E56:AN56" si="5">E52-E54</f>
        <v>-302176.20075048151</v>
      </c>
      <c r="F56" s="74">
        <f t="shared" si="5"/>
        <v>-84928.487339704268</v>
      </c>
      <c r="G56" s="74">
        <f t="shared" si="5"/>
        <v>143137.86661923752</v>
      </c>
      <c r="H56" s="74">
        <f t="shared" si="5"/>
        <v>159275.7845640257</v>
      </c>
      <c r="I56" s="74">
        <f t="shared" si="5"/>
        <v>95407.574516378532</v>
      </c>
      <c r="J56" s="74">
        <f t="shared" si="5"/>
        <v>502363.88685660332</v>
      </c>
      <c r="K56" s="74">
        <f t="shared" si="5"/>
        <v>468496.49423261447</v>
      </c>
      <c r="L56" s="74">
        <f t="shared" si="5"/>
        <v>685927.10108351288</v>
      </c>
      <c r="M56" s="74">
        <f t="shared" si="5"/>
        <v>819249.647145711</v>
      </c>
      <c r="N56" s="74">
        <f t="shared" si="5"/>
        <v>1151478.1595458793</v>
      </c>
      <c r="O56" s="74">
        <f t="shared" si="5"/>
        <v>1356829.2745671845</v>
      </c>
      <c r="P56" s="74">
        <f t="shared" si="5"/>
        <v>1629105.738183327</v>
      </c>
      <c r="Q56" s="74">
        <f t="shared" si="5"/>
        <v>1430526.8439311504</v>
      </c>
      <c r="R56" s="74">
        <f t="shared" si="5"/>
        <v>1788413.9467309758</v>
      </c>
      <c r="S56" s="74">
        <f t="shared" si="5"/>
        <v>1996104.4089903028</v>
      </c>
      <c r="T56" s="74">
        <f t="shared" si="5"/>
        <v>2265012.2975820294</v>
      </c>
      <c r="U56" s="74">
        <f t="shared" si="5"/>
        <v>2220404.5812535495</v>
      </c>
      <c r="V56" s="74">
        <f t="shared" si="5"/>
        <v>2364906.2875816342</v>
      </c>
      <c r="W56" s="74">
        <f t="shared" si="5"/>
        <v>2777498.0571361072</v>
      </c>
      <c r="X56" s="74">
        <f t="shared" si="5"/>
        <v>2915637.4138562446</v>
      </c>
      <c r="Y56" s="74">
        <f t="shared" si="5"/>
        <v>2928453.4964872454</v>
      </c>
      <c r="Z56" s="74">
        <f t="shared" si="5"/>
        <v>3131000.2735370975</v>
      </c>
      <c r="AA56" s="74">
        <f t="shared" si="5"/>
        <v>3452560.4070640965</v>
      </c>
      <c r="AB56" s="74">
        <f t="shared" si="5"/>
        <v>3627030.3425536524</v>
      </c>
      <c r="AC56" s="74">
        <f t="shared" si="5"/>
        <v>2863268.4347562236</v>
      </c>
      <c r="AD56" s="74">
        <f t="shared" si="5"/>
        <v>3035124.7732273112</v>
      </c>
      <c r="AE56" s="74">
        <f t="shared" si="5"/>
        <v>3194269.6052014469</v>
      </c>
      <c r="AF56" s="74">
        <f t="shared" si="5"/>
        <v>3117294.6028981614</v>
      </c>
      <c r="AG56" s="74">
        <f t="shared" si="5"/>
        <v>3335875.3624757789</v>
      </c>
      <c r="AH56" s="74">
        <f t="shared" si="5"/>
        <v>3398839.1752624502</v>
      </c>
      <c r="AI56" s="74">
        <f t="shared" si="5"/>
        <v>3507408.2856499348</v>
      </c>
      <c r="AJ56" s="74">
        <f t="shared" si="5"/>
        <v>3654439.5866505303</v>
      </c>
      <c r="AK56" s="74">
        <f t="shared" si="5"/>
        <v>3785092.5710686855</v>
      </c>
      <c r="AL56" s="74">
        <f t="shared" si="5"/>
        <v>4058049.2548812092</v>
      </c>
      <c r="AM56" s="74">
        <f t="shared" si="5"/>
        <v>4228572.3162495969</v>
      </c>
      <c r="AN56" s="74">
        <f t="shared" si="5"/>
        <v>4423679.2796944361</v>
      </c>
    </row>
    <row r="57" spans="2:40" x14ac:dyDescent="0.25">
      <c r="B57" s="1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</row>
    <row r="58" spans="2:40" x14ac:dyDescent="0.25">
      <c r="B58" t="s">
        <v>57</v>
      </c>
      <c r="C58" s="12">
        <f>SUM('MDA1:NCA9'!C55)</f>
        <v>33374520</v>
      </c>
      <c r="D58" s="12">
        <f>SUM('MDA1:NCA9'!D55)</f>
        <v>4444740</v>
      </c>
      <c r="E58" s="12">
        <f>SUM('MDA1:NCA9'!E55)</f>
        <v>945666.66666666663</v>
      </c>
      <c r="F58" s="12">
        <f>SUM('MDA1:NCA9'!F55)</f>
        <v>1180833.3333333333</v>
      </c>
      <c r="G58" s="12">
        <f>SUM('MDA1:NCA9'!G55)</f>
        <v>1180833.3333333333</v>
      </c>
      <c r="H58" s="12">
        <f>SUM('MDA1:NCA9'!H55)</f>
        <v>838306.66666666663</v>
      </c>
      <c r="I58" s="12">
        <f>SUM('MDA1:NCA9'!I55)</f>
        <v>1204613.3333333333</v>
      </c>
      <c r="J58" s="12">
        <f>SUM('MDA1:NCA9'!J55)</f>
        <v>1204613.3333333333</v>
      </c>
      <c r="K58" s="12">
        <f>SUM('MDA1:NCA9'!K55)</f>
        <v>967780</v>
      </c>
      <c r="L58" s="12">
        <f>SUM('MDA1:NCA9'!L55)</f>
        <v>883819.99999999988</v>
      </c>
      <c r="M58" s="12">
        <f>SUM('MDA1:NCA9'!M55)</f>
        <v>1118986.6666666667</v>
      </c>
      <c r="N58" s="12">
        <f>SUM('MDA1:NCA9'!N55)</f>
        <v>987846.66666666663</v>
      </c>
      <c r="O58" s="12">
        <f>SUM('MDA1:NCA9'!O55)</f>
        <v>621540</v>
      </c>
      <c r="P58" s="12">
        <f>SUM('MDA1:NCA9'!P55)</f>
        <v>621540</v>
      </c>
      <c r="Q58" s="12">
        <f>SUM('MDA1:NCA9'!Q55)</f>
        <v>621540</v>
      </c>
      <c r="R58" s="12">
        <f>SUM('MDA1:NCA9'!R55)</f>
        <v>470333.33333333331</v>
      </c>
      <c r="S58" s="12">
        <f>SUM('MDA1:NCA9'!S55)</f>
        <v>235166.66666666666</v>
      </c>
      <c r="T58" s="12">
        <f>SUM('MDA1:NCA9'!T55)</f>
        <v>235166.66666666666</v>
      </c>
      <c r="U58" s="12">
        <f>SUM('MDA1:NCA9'!U55)</f>
        <v>601473.33333333326</v>
      </c>
      <c r="V58" s="12">
        <f>SUM('MDA1:NCA9'!V55)</f>
        <v>967780</v>
      </c>
      <c r="W58" s="12">
        <f>SUM('MDA1:NCA9'!W55)</f>
        <v>732613.33333333326</v>
      </c>
      <c r="X58" s="12">
        <f>SUM('MDA1:NCA9'!X55)</f>
        <v>732613.33333333326</v>
      </c>
      <c r="Y58" s="12">
        <f>SUM('MDA1:NCA9'!Y55)</f>
        <v>967780</v>
      </c>
      <c r="Z58" s="12">
        <f>SUM('MDA1:NCA9'!Z55)</f>
        <v>1202946.6666666665</v>
      </c>
      <c r="AA58" s="12">
        <f>SUM('MDA1:NCA9'!AA55)</f>
        <v>836640</v>
      </c>
      <c r="AB58" s="12">
        <f>SUM('MDA1:NCA9'!AB55)</f>
        <v>470333.33333333331</v>
      </c>
      <c r="AC58" s="12">
        <f>SUM('MDA1:NCA9'!AC55)</f>
        <v>470333.33333333331</v>
      </c>
      <c r="AD58" s="12">
        <f>SUM('MDA1:NCA9'!AD55)</f>
        <v>470333.33333333331</v>
      </c>
      <c r="AE58" s="12">
        <f>SUM('MDA1:NCA9'!AE55)</f>
        <v>235166.66666666666</v>
      </c>
      <c r="AF58" s="12">
        <f>SUM('MDA1:NCA9'!AF55)</f>
        <v>262280</v>
      </c>
      <c r="AG58" s="12">
        <f>SUM('MDA1:NCA9'!AG55)</f>
        <v>497446.66666666663</v>
      </c>
      <c r="AH58" s="12">
        <f>SUM('MDA1:NCA9'!AH55)</f>
        <v>732613.33333333326</v>
      </c>
      <c r="AI58" s="12">
        <f>SUM('MDA1:NCA9'!AI55)</f>
        <v>967780</v>
      </c>
      <c r="AJ58" s="12">
        <f>SUM('MDA1:NCA9'!AJ55)</f>
        <v>1202946.6666666665</v>
      </c>
      <c r="AK58" s="12">
        <f>SUM('MDA1:NCA9'!AK55)</f>
        <v>1438113.3333333333</v>
      </c>
      <c r="AL58" s="12">
        <f>SUM('MDA1:NCA9'!AL55)</f>
        <v>1175833.3333333333</v>
      </c>
      <c r="AM58" s="12">
        <f>SUM('MDA1:NCA9'!AM55)</f>
        <v>940666.66666666663</v>
      </c>
      <c r="AN58" s="12">
        <f>SUM('MDA1:NCA9'!AN55)</f>
        <v>705500</v>
      </c>
    </row>
    <row r="59" spans="2:40" x14ac:dyDescent="0.25">
      <c r="B59" t="s">
        <v>469</v>
      </c>
      <c r="E59" s="12">
        <f>SUM('MDA1:NCA9'!E56)</f>
        <v>-557962.8872970693</v>
      </c>
      <c r="F59" s="12">
        <f>SUM('MDA1:NCA9'!F56)</f>
        <v>-542001.40843040263</v>
      </c>
      <c r="G59" s="12">
        <f>SUM('MDA1:NCA9'!G56)</f>
        <v>-636415.84628373594</v>
      </c>
      <c r="H59" s="12">
        <f>SUM('MDA1:NCA9'!H56)</f>
        <v>-696688.83353173581</v>
      </c>
      <c r="I59" s="12">
        <f>SUM('MDA1:NCA9'!I56)</f>
        <v>-740630.03154506919</v>
      </c>
      <c r="J59" s="12">
        <f>SUM('MDA1:NCA9'!J56)</f>
        <v>-766144.3842410692</v>
      </c>
      <c r="K59" s="12">
        <f>SUM('MDA1:NCA9'!K56)</f>
        <v>-896901.08517096832</v>
      </c>
      <c r="L59" s="12">
        <f>SUM('MDA1:NCA9'!L56)</f>
        <v>-948089.33789014095</v>
      </c>
      <c r="M59" s="12">
        <f>SUM('MDA1:NCA9'!M56)</f>
        <v>-871543.47401381307</v>
      </c>
      <c r="N59" s="12">
        <f>SUM('MDA1:NCA9'!N56)</f>
        <v>-1036549.4670569168</v>
      </c>
      <c r="O59" s="12">
        <f>SUM('MDA1:NCA9'!O56)</f>
        <v>-1099164.553528463</v>
      </c>
      <c r="P59" s="12">
        <f>SUM('MDA1:NCA9'!P56)</f>
        <v>-1065898.8374242999</v>
      </c>
      <c r="Q59" s="12">
        <f>SUM('MDA1:NCA9'!Q56)</f>
        <v>-1108282.6987604888</v>
      </c>
      <c r="R59" s="12">
        <f>SUM('MDA1:NCA9'!R56)</f>
        <v>-1250448.6692796517</v>
      </c>
      <c r="S59" s="12">
        <f>SUM('MDA1:NCA9'!S56)</f>
        <v>-1288538.8442332458</v>
      </c>
      <c r="T59" s="12">
        <f>SUM('MDA1:NCA9'!T56)</f>
        <v>-1226182.0438619414</v>
      </c>
      <c r="U59" s="12">
        <f>SUM('MDA1:NCA9'!U56)</f>
        <v>-1300998.3555798025</v>
      </c>
      <c r="V59" s="12">
        <f>SUM('MDA1:NCA9'!V56)</f>
        <v>-1411570.0744511185</v>
      </c>
      <c r="W59" s="12">
        <f>SUM('MDA1:NCA9'!W56)</f>
        <v>-1445041.9009552174</v>
      </c>
      <c r="X59" s="12">
        <f>SUM('MDA1:NCA9'!X56)</f>
        <v>-1431048.6829726612</v>
      </c>
      <c r="Y59" s="12">
        <f>SUM('MDA1:NCA9'!Y56)</f>
        <v>-1507493.3182656388</v>
      </c>
      <c r="Z59" s="12">
        <f>SUM('MDA1:NCA9'!Z56)</f>
        <v>-1695731.7554177016</v>
      </c>
      <c r="AA59" s="12">
        <f>SUM('MDA1:NCA9'!AA56)</f>
        <v>-1893276.4979963324</v>
      </c>
      <c r="AB59" s="12">
        <f>SUM('MDA1:NCA9'!AB56)</f>
        <v>-1879350.1990881674</v>
      </c>
      <c r="AC59" s="12">
        <f>SUM('MDA1:NCA9'!AC56)</f>
        <v>-1947103.162713493</v>
      </c>
      <c r="AD59" s="12">
        <f>SUM('MDA1:NCA9'!AD56)</f>
        <v>-2088154.0959972769</v>
      </c>
      <c r="AE59" s="12">
        <f>SUM('MDA1:NCA9'!AE56)</f>
        <v>-2236364.242372551</v>
      </c>
      <c r="AF59" s="12">
        <f>SUM('MDA1:NCA9'!AF56)</f>
        <v>-2176818.7950908453</v>
      </c>
      <c r="AG59" s="12">
        <f>SUM('MDA1:NCA9'!AG56)</f>
        <v>-2103079.2337169265</v>
      </c>
      <c r="AH59" s="12">
        <f>SUM('MDA1:NCA9'!AH56)</f>
        <v>-2154864.670929532</v>
      </c>
      <c r="AI59" s="12">
        <f>SUM('MDA1:NCA9'!AI56)</f>
        <v>-2209191.4375657379</v>
      </c>
      <c r="AJ59" s="12">
        <f>SUM('MDA1:NCA9'!AJ56)</f>
        <v>-2173913.6061279951</v>
      </c>
      <c r="AK59" s="12">
        <f>SUM('MDA1:NCA9'!AK56)</f>
        <v>-2229234.1645202357</v>
      </c>
      <c r="AL59" s="12">
        <f>SUM('MDA1:NCA9'!AL56)</f>
        <v>-2366486.3564935462</v>
      </c>
      <c r="AM59" s="12">
        <f>SUM('MDA1:NCA9'!AM56)</f>
        <v>-2510822.7823724216</v>
      </c>
      <c r="AN59" s="12">
        <f>SUM('MDA1:NCA9'!AN56)</f>
        <v>-2665433.2613231037</v>
      </c>
    </row>
    <row r="60" spans="2:40" x14ac:dyDescent="0.25"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</row>
    <row r="61" spans="2:40" x14ac:dyDescent="0.25">
      <c r="B61" s="1" t="s">
        <v>468</v>
      </c>
      <c r="E61" s="13">
        <f>E37-E50-E58+E59</f>
        <v>-1754623.0518312366</v>
      </c>
      <c r="F61" s="13">
        <f t="shared" ref="F61:AN61" si="6">F37-F50-F58+F59</f>
        <v>-1743123.2317110046</v>
      </c>
      <c r="G61" s="13">
        <f t="shared" si="6"/>
        <v>-1597008.9485111195</v>
      </c>
      <c r="H61" s="13">
        <f t="shared" si="6"/>
        <v>-1288376.2614531158</v>
      </c>
      <c r="I61" s="13">
        <f t="shared" si="6"/>
        <v>-1748721.8464262071</v>
      </c>
      <c r="J61" s="13">
        <f t="shared" si="6"/>
        <v>-1356348.9153374329</v>
      </c>
      <c r="K61" s="13">
        <f t="shared" si="6"/>
        <v>-1273746.2418785458</v>
      </c>
      <c r="L61" s="13">
        <f t="shared" si="6"/>
        <v>-1015013.0026093015</v>
      </c>
      <c r="M61" s="13">
        <f t="shared" si="6"/>
        <v>-1031592.0497081513</v>
      </c>
      <c r="N61" s="13">
        <f t="shared" si="6"/>
        <v>-726731.38165993744</v>
      </c>
      <c r="O61" s="13">
        <f t="shared" si="6"/>
        <v>-214979.93746861396</v>
      </c>
      <c r="P61" s="13">
        <f t="shared" si="6"/>
        <v>90996.483685247367</v>
      </c>
      <c r="Q61" s="13">
        <f t="shared" si="6"/>
        <v>-122428.08936096425</v>
      </c>
      <c r="R61" s="13">
        <f t="shared" si="6"/>
        <v>243996.24598250887</v>
      </c>
      <c r="S61" s="13">
        <f t="shared" si="6"/>
        <v>645246.58284753561</v>
      </c>
      <c r="T61" s="13">
        <f t="shared" si="6"/>
        <v>970528.66446277453</v>
      </c>
      <c r="U61" s="13">
        <f t="shared" si="6"/>
        <v>482431.22365294024</v>
      </c>
      <c r="V61" s="13">
        <f t="shared" si="6"/>
        <v>150162.06642966368</v>
      </c>
      <c r="W61" s="13">
        <f t="shared" si="6"/>
        <v>759983.34495925391</v>
      </c>
      <c r="X61" s="13">
        <f t="shared" si="6"/>
        <v>906518.08791839704</v>
      </c>
      <c r="Y61" s="13">
        <f t="shared" si="6"/>
        <v>604349.31887594471</v>
      </c>
      <c r="Z61" s="13">
        <f t="shared" si="6"/>
        <v>381761.54904414411</v>
      </c>
      <c r="AA61" s="13">
        <f t="shared" si="6"/>
        <v>866704.12346512615</v>
      </c>
      <c r="AB61" s="13">
        <f t="shared" si="6"/>
        <v>1411898.2393424255</v>
      </c>
      <c r="AC61" s="13">
        <f t="shared" si="6"/>
        <v>602374.69343796349</v>
      </c>
      <c r="AD61" s="13">
        <f t="shared" si="6"/>
        <v>629631.92981214006</v>
      </c>
      <c r="AE61" s="13">
        <f t="shared" si="6"/>
        <v>870353.09327249089</v>
      </c>
      <c r="AF61" s="13">
        <f t="shared" si="6"/>
        <v>820761.60088923527</v>
      </c>
      <c r="AG61" s="13">
        <f t="shared" si="6"/>
        <v>872441.18969947333</v>
      </c>
      <c r="AH61" s="13">
        <f t="shared" si="6"/>
        <v>644646.23976568459</v>
      </c>
      <c r="AI61" s="13">
        <f t="shared" si="6"/>
        <v>461262.08919706428</v>
      </c>
      <c r="AJ61" s="13">
        <f t="shared" si="6"/>
        <v>406338.20771918865</v>
      </c>
      <c r="AK61" s="13">
        <f t="shared" si="6"/>
        <v>245627.45288576838</v>
      </c>
      <c r="AL61" s="13">
        <f t="shared" si="6"/>
        <v>639772.76682135137</v>
      </c>
      <c r="AM61" s="13">
        <f t="shared" si="6"/>
        <v>895341.33299333276</v>
      </c>
      <c r="AN61" s="13">
        <f t="shared" si="6"/>
        <v>1163167.6651588362</v>
      </c>
    </row>
    <row r="62" spans="2:40" x14ac:dyDescent="0.25">
      <c r="B62" t="s">
        <v>277</v>
      </c>
      <c r="E62" s="12" cm="1">
        <f t="array" ref="E62:AN62">_xlfn.SCAN(-D58,E61:AN61,_xlfn.LAMBDA(_xlpm.capex,_xlpm.fcf,_xlpm.capex+_xlpm.fcf))</f>
        <v>-6199363.0518312361</v>
      </c>
      <c r="F62" s="12">
        <v>-7942486.283542241</v>
      </c>
      <c r="G62" s="12">
        <v>-9539495.23205336</v>
      </c>
      <c r="H62" s="12">
        <v>-10827871.493506476</v>
      </c>
      <c r="I62" s="12">
        <v>-12576593.339932684</v>
      </c>
      <c r="J62" s="12">
        <v>-13932942.255270116</v>
      </c>
      <c r="K62" s="12">
        <v>-15206688.497148663</v>
      </c>
      <c r="L62" s="12">
        <v>-16221701.499757964</v>
      </c>
      <c r="M62" s="12">
        <v>-17253293.549466114</v>
      </c>
      <c r="N62" s="12">
        <v>-17980024.931126051</v>
      </c>
      <c r="O62" s="12">
        <v>-18195004.868594665</v>
      </c>
      <c r="P62" s="12">
        <v>-18104008.384909417</v>
      </c>
      <c r="Q62" s="12">
        <v>-18226436.474270381</v>
      </c>
      <c r="R62" s="12">
        <v>-17982440.228287872</v>
      </c>
      <c r="S62" s="12">
        <v>-17337193.645440336</v>
      </c>
      <c r="T62" s="12">
        <v>-16366664.980977561</v>
      </c>
      <c r="U62" s="12">
        <v>-15884233.757324621</v>
      </c>
      <c r="V62" s="12">
        <v>-15734071.690894958</v>
      </c>
      <c r="W62" s="12">
        <v>-14974088.345935704</v>
      </c>
      <c r="X62" s="12">
        <v>-14067570.258017307</v>
      </c>
      <c r="Y62" s="12">
        <v>-13463220.939141363</v>
      </c>
      <c r="Z62" s="12">
        <v>-13081459.390097219</v>
      </c>
      <c r="AA62" s="12">
        <v>-12214755.266632093</v>
      </c>
      <c r="AB62" s="12">
        <v>-10802857.027289668</v>
      </c>
      <c r="AC62" s="12">
        <v>-10200482.333851704</v>
      </c>
      <c r="AD62" s="12">
        <v>-9570850.4040395636</v>
      </c>
      <c r="AE62" s="12">
        <v>-8700497.3107670732</v>
      </c>
      <c r="AF62" s="12">
        <v>-7879735.7098778374</v>
      </c>
      <c r="AG62" s="12">
        <v>-7007294.5201783646</v>
      </c>
      <c r="AH62" s="12">
        <v>-6362648.2804126795</v>
      </c>
      <c r="AI62" s="12">
        <v>-5901386.1912156157</v>
      </c>
      <c r="AJ62" s="12">
        <v>-5495047.9834964275</v>
      </c>
      <c r="AK62" s="12">
        <v>-5249420.5306106592</v>
      </c>
      <c r="AL62" s="12">
        <v>-4609647.7637893073</v>
      </c>
      <c r="AM62" s="12">
        <v>-3714306.4307959746</v>
      </c>
      <c r="AN62" s="12">
        <v>-2551138.7656371384</v>
      </c>
    </row>
    <row r="64" spans="2:40" x14ac:dyDescent="0.25">
      <c r="B64" s="1" t="s">
        <v>219</v>
      </c>
      <c r="C64" s="1" t="s">
        <v>287</v>
      </c>
    </row>
    <row r="65" spans="2:40" x14ac:dyDescent="0.25">
      <c r="B65" s="39" t="s">
        <v>288</v>
      </c>
      <c r="E65" s="67">
        <f>C67+C54</f>
        <v>4869737.3325661831</v>
      </c>
      <c r="F65" s="67">
        <f t="shared" ref="F65:AN65" si="7">E67+E54</f>
        <v>6875543.0872804001</v>
      </c>
      <c r="G65" s="67">
        <f t="shared" si="7"/>
        <v>8683306.3163838387</v>
      </c>
      <c r="H65" s="67">
        <f t="shared" si="7"/>
        <v>10357417.629381672</v>
      </c>
      <c r="I65" s="67">
        <f t="shared" si="7"/>
        <v>11733137.345016049</v>
      </c>
      <c r="J65" s="67">
        <f t="shared" si="7"/>
        <v>13582973.135378074</v>
      </c>
      <c r="K65" s="67">
        <f t="shared" si="7"/>
        <v>15051366.966095872</v>
      </c>
      <c r="L65" s="67">
        <f t="shared" si="7"/>
        <v>16447551.557034228</v>
      </c>
      <c r="M65" s="67">
        <f t="shared" si="7"/>
        <v>17593533.793840855</v>
      </c>
      <c r="N65" s="67">
        <f t="shared" si="7"/>
        <v>18764814.287375621</v>
      </c>
      <c r="O65" s="67">
        <f t="shared" si="7"/>
        <v>19637732.261553325</v>
      </c>
      <c r="P65" s="67">
        <f t="shared" si="7"/>
        <v>20001607.540514603</v>
      </c>
      <c r="Q65" s="67">
        <f t="shared" si="7"/>
        <v>20059940.639755577</v>
      </c>
      <c r="R65" s="67">
        <f t="shared" si="7"/>
        <v>23759236.494584914</v>
      </c>
      <c r="S65" s="67">
        <f t="shared" si="7"/>
        <v>23691604.550466925</v>
      </c>
      <c r="T65" s="67">
        <f t="shared" si="7"/>
        <v>23219205.652376536</v>
      </c>
      <c r="U65" s="67">
        <f t="shared" si="7"/>
        <v>22415542.065323114</v>
      </c>
      <c r="V65" s="67">
        <f t="shared" si="7"/>
        <v>22097609.1729827</v>
      </c>
      <c r="W65" s="67">
        <f t="shared" si="7"/>
        <v>22112052.959852185</v>
      </c>
      <c r="X65" s="67">
        <f t="shared" si="7"/>
        <v>21512210.137004625</v>
      </c>
      <c r="Y65" s="67">
        <f t="shared" si="7"/>
        <v>20760234.739454374</v>
      </c>
      <c r="Z65" s="67">
        <f t="shared" si="7"/>
        <v>20307054.561232764</v>
      </c>
      <c r="AA65" s="67">
        <f t="shared" si="7"/>
        <v>20074732.709780034</v>
      </c>
      <c r="AB65" s="67">
        <f t="shared" si="7"/>
        <v>19352088.800712273</v>
      </c>
      <c r="AC65" s="67">
        <f t="shared" si="7"/>
        <v>18074741.990580123</v>
      </c>
      <c r="AD65" s="67">
        <f t="shared" si="7"/>
        <v>21028910.051870726</v>
      </c>
      <c r="AE65" s="67">
        <f t="shared" si="7"/>
        <v>20552272.707974024</v>
      </c>
      <c r="AF65" s="67">
        <f t="shared" si="7"/>
        <v>19829534.011811793</v>
      </c>
      <c r="AG65" s="67">
        <f t="shared" si="7"/>
        <v>19151338.204004478</v>
      </c>
      <c r="AH65" s="67">
        <f t="shared" si="7"/>
        <v>18415988.74191229</v>
      </c>
      <c r="AI65" s="67">
        <f t="shared" si="7"/>
        <v>17904627.570912704</v>
      </c>
      <c r="AJ65" s="67">
        <f t="shared" si="7"/>
        <v>17574190.722828504</v>
      </c>
      <c r="AK65" s="67">
        <f t="shared" si="7"/>
        <v>17296611.408972636</v>
      </c>
      <c r="AL65" s="67">
        <f t="shared" si="7"/>
        <v>17178866.335757516</v>
      </c>
      <c r="AM65" s="67">
        <f t="shared" si="7"/>
        <v>16663136.770703187</v>
      </c>
      <c r="AN65" s="67">
        <f t="shared" si="7"/>
        <v>15886053.903492678</v>
      </c>
    </row>
    <row r="66" spans="2:40" x14ac:dyDescent="0.25">
      <c r="B66" s="39" t="s">
        <v>289</v>
      </c>
      <c r="C66" s="12"/>
      <c r="E66" s="67">
        <f>_xlfn.LET(_xlpm.fcf,E61,_xlpm.cash,C69,_xlpm.principal,E65,_xlpm.wc,_xlfn.XLOOKUP(YEAR(E$25),Base!$BJ$4:$BL$4,Base!$BJ$284:$BL$284,0,0),
IF(_xlpm.fcf&lt;0,MAX(0,_xlpm.wc-(_xlpm.cash+_xlpm.fcf)),-MIN(_xlpm.fcf,_xlpm.principal)+MAX(_xlpm.wc-_xlpm.cash,0)))</f>
        <v>1954623.0518312366</v>
      </c>
      <c r="F66" s="67">
        <f>_xlfn.LET(_xlpm.fcf,F61,_xlpm.cash,E69,_xlpm.principal,F65,_xlpm.wc,_xlfn.XLOOKUP(YEAR(F$25),Base!$BJ$4:$BL$4,Base!$BJ$284:$BL$284,0,0),
IF(_xlpm.fcf&lt;0,MAX(0,_xlpm.wc-(_xlpm.cash+_xlpm.fcf)),-MIN(_xlpm.fcf,_xlpm.principal)+MAX(_xlpm.wc-_xlpm.cash,0)))</f>
        <v>1743123.2317110046</v>
      </c>
      <c r="G66" s="67">
        <f>_xlfn.LET(_xlpm.fcf,G61,_xlpm.cash,F69,_xlpm.principal,G65,_xlpm.wc,_xlfn.XLOOKUP(YEAR(G$25),Base!$BJ$4:$BL$4,Base!$BJ$284:$BL$284,0,0),
IF(_xlpm.fcf&lt;0,MAX(0,_xlpm.wc-(_xlpm.cash+_xlpm.fcf)),-MIN(_xlpm.fcf,_xlpm.principal)+MAX(_xlpm.wc-_xlpm.cash,0)))</f>
        <v>1597008.9485111195</v>
      </c>
      <c r="H66" s="67">
        <f>_xlfn.LET(_xlpm.fcf,H61,_xlpm.cash,G69,_xlpm.principal,H65,_xlpm.wc,_xlfn.XLOOKUP(YEAR(H$25),Base!$BJ$4:$BL$4,Base!$BJ$284:$BL$284,0,0),
IF(_xlpm.fcf&lt;0,MAX(0,_xlpm.wc-(_xlpm.cash+_xlpm.fcf)),-MIN(_xlpm.fcf,_xlpm.principal)+MAX(_xlpm.wc-_xlpm.cash,0)))</f>
        <v>1288376.2614531158</v>
      </c>
      <c r="I66" s="67">
        <f>_xlfn.LET(_xlpm.fcf,I61,_xlpm.cash,H69,_xlpm.principal,I65,_xlpm.wc,_xlfn.XLOOKUP(YEAR(I$25),Base!$BJ$4:$BL$4,Base!$BJ$284:$BL$284,0,0),
IF(_xlpm.fcf&lt;0,MAX(0,_xlpm.wc-(_xlpm.cash+_xlpm.fcf)),-MIN(_xlpm.fcf,_xlpm.principal)+MAX(_xlpm.wc-_xlpm.cash,0)))</f>
        <v>1748721.8464262071</v>
      </c>
      <c r="J66" s="67">
        <f>_xlfn.LET(_xlpm.fcf,J61,_xlpm.cash,I69,_xlpm.principal,J65,_xlpm.wc,_xlfn.XLOOKUP(YEAR(J$25),Base!$BJ$4:$BL$4,Base!$BJ$284:$BL$284,0,0),
IF(_xlpm.fcf&lt;0,MAX(0,_xlpm.wc-(_xlpm.cash+_xlpm.fcf)),-MIN(_xlpm.fcf,_xlpm.principal)+MAX(_xlpm.wc-_xlpm.cash,0)))</f>
        <v>1356348.9153374329</v>
      </c>
      <c r="K66" s="67">
        <f>_xlfn.LET(_xlpm.fcf,K61,_xlpm.cash,J69,_xlpm.principal,K65,_xlpm.wc,_xlfn.XLOOKUP(YEAR(K$25),Base!$BJ$4:$BL$4,Base!$BJ$284:$BL$284,0,0),
IF(_xlpm.fcf&lt;0,MAX(0,_xlpm.wc-(_xlpm.cash+_xlpm.fcf)),-MIN(_xlpm.fcf,_xlpm.principal)+MAX(_xlpm.wc-_xlpm.cash,0)))</f>
        <v>1273746.2418785458</v>
      </c>
      <c r="L66" s="67">
        <f>_xlfn.LET(_xlpm.fcf,L61,_xlpm.cash,K69,_xlpm.principal,L65,_xlpm.wc,_xlfn.XLOOKUP(YEAR(L$25),Base!$BJ$4:$BL$4,Base!$BJ$284:$BL$284,0,0),
IF(_xlpm.fcf&lt;0,MAX(0,_xlpm.wc-(_xlpm.cash+_xlpm.fcf)),-MIN(_xlpm.fcf,_xlpm.principal)+MAX(_xlpm.wc-_xlpm.cash,0)))</f>
        <v>1015013.0026093014</v>
      </c>
      <c r="M66" s="67">
        <f>_xlfn.LET(_xlpm.fcf,M61,_xlpm.cash,L69,_xlpm.principal,M65,_xlpm.wc,_xlfn.XLOOKUP(YEAR(M$25),Base!$BJ$4:$BL$4,Base!$BJ$284:$BL$284,0,0),
IF(_xlpm.fcf&lt;0,MAX(0,_xlpm.wc-(_xlpm.cash+_xlpm.fcf)),-MIN(_xlpm.fcf,_xlpm.principal)+MAX(_xlpm.wc-_xlpm.cash,0)))</f>
        <v>1031592.0497081513</v>
      </c>
      <c r="N66" s="67">
        <f>_xlfn.LET(_xlpm.fcf,N61,_xlpm.cash,M69,_xlpm.principal,N65,_xlpm.wc,_xlfn.XLOOKUP(YEAR(N$25),Base!$BJ$4:$BL$4,Base!$BJ$284:$BL$284,0,0),
IF(_xlpm.fcf&lt;0,MAX(0,_xlpm.wc-(_xlpm.cash+_xlpm.fcf)),-MIN(_xlpm.fcf,_xlpm.principal)+MAX(_xlpm.wc-_xlpm.cash,0)))</f>
        <v>726731.38165993756</v>
      </c>
      <c r="O66" s="67">
        <f>_xlfn.LET(_xlpm.fcf,O61,_xlpm.cash,N69,_xlpm.principal,O65,_xlpm.wc,_xlfn.XLOOKUP(YEAR(O$25),Base!$BJ$4:$BL$4,Base!$BJ$284:$BL$284,0,0),
IF(_xlpm.fcf&lt;0,MAX(0,_xlpm.wc-(_xlpm.cash+_xlpm.fcf)),-MIN(_xlpm.fcf,_xlpm.principal)+MAX(_xlpm.wc-_xlpm.cash,0)))</f>
        <v>214979.93746861396</v>
      </c>
      <c r="P66" s="67">
        <f>_xlfn.LET(_xlpm.fcf,P61,_xlpm.cash,O69,_xlpm.principal,P65,_xlpm.wc,_xlfn.XLOOKUP(YEAR(P$25),Base!$BJ$4:$BL$4,Base!$BJ$284:$BL$284,0,0),
IF(_xlpm.fcf&lt;0,MAX(0,_xlpm.wc-(_xlpm.cash+_xlpm.fcf)),-MIN(_xlpm.fcf,_xlpm.principal)+MAX(_xlpm.wc-_xlpm.cash,0)))</f>
        <v>-90996.483685247367</v>
      </c>
      <c r="Q66" s="67">
        <f>_xlfn.LET(_xlpm.fcf,Q61,_xlpm.cash,P69,_xlpm.principal,Q65,_xlpm.wc,_xlfn.XLOOKUP(YEAR(Q$25),Base!$BJ$4:$BL$4,Base!$BJ$284:$BL$284,0,0),
IF(_xlpm.fcf&lt;0,MAX(0,_xlpm.wc-(_xlpm.cash+_xlpm.fcf)),-MIN(_xlpm.fcf,_xlpm.principal)+MAX(_xlpm.wc-_xlpm.cash,0)))</f>
        <v>3522428.0893609645</v>
      </c>
      <c r="R66" s="67">
        <f>_xlfn.LET(_xlpm.fcf,R61,_xlpm.cash,Q69,_xlpm.principal,R65,_xlpm.wc,_xlfn.XLOOKUP(YEAR(R$25),Base!$BJ$4:$BL$4,Base!$BJ$284:$BL$284,0,0),
IF(_xlpm.fcf&lt;0,MAX(0,_xlpm.wc-(_xlpm.cash+_xlpm.fcf)),-MIN(_xlpm.fcf,_xlpm.principal)+MAX(_xlpm.wc-_xlpm.cash,0)))</f>
        <v>-243996.24598250887</v>
      </c>
      <c r="S66" s="67">
        <f>_xlfn.LET(_xlpm.fcf,S61,_xlpm.cash,R69,_xlpm.principal,S65,_xlpm.wc,_xlfn.XLOOKUP(YEAR(S$25),Base!$BJ$4:$BL$4,Base!$BJ$284:$BL$284,0,0),
IF(_xlpm.fcf&lt;0,MAX(0,_xlpm.wc-(_xlpm.cash+_xlpm.fcf)),-MIN(_xlpm.fcf,_xlpm.principal)+MAX(_xlpm.wc-_xlpm.cash,0)))</f>
        <v>-645246.58284753561</v>
      </c>
      <c r="T66" s="67">
        <f>_xlfn.LET(_xlpm.fcf,T61,_xlpm.cash,S69,_xlpm.principal,T65,_xlpm.wc,_xlfn.XLOOKUP(YEAR(T$25),Base!$BJ$4:$BL$4,Base!$BJ$284:$BL$284,0,0),
IF(_xlpm.fcf&lt;0,MAX(0,_xlpm.wc-(_xlpm.cash+_xlpm.fcf)),-MIN(_xlpm.fcf,_xlpm.principal)+MAX(_xlpm.wc-_xlpm.cash,0)))</f>
        <v>-970528.66446277453</v>
      </c>
      <c r="U66" s="67">
        <f>_xlfn.LET(_xlpm.fcf,U61,_xlpm.cash,T69,_xlpm.principal,U65,_xlpm.wc,_xlfn.XLOOKUP(YEAR(U$25),Base!$BJ$4:$BL$4,Base!$BJ$284:$BL$284,0,0),
IF(_xlpm.fcf&lt;0,MAX(0,_xlpm.wc-(_xlpm.cash+_xlpm.fcf)),-MIN(_xlpm.fcf,_xlpm.principal)+MAX(_xlpm.wc-_xlpm.cash,0)))</f>
        <v>-482431.22365294024</v>
      </c>
      <c r="V66" s="67">
        <f>_xlfn.LET(_xlpm.fcf,V61,_xlpm.cash,U69,_xlpm.principal,V65,_xlpm.wc,_xlfn.XLOOKUP(YEAR(V$25),Base!$BJ$4:$BL$4,Base!$BJ$284:$BL$284,0,0),
IF(_xlpm.fcf&lt;0,MAX(0,_xlpm.wc-(_xlpm.cash+_xlpm.fcf)),-MIN(_xlpm.fcf,_xlpm.principal)+MAX(_xlpm.wc-_xlpm.cash,0)))</f>
        <v>-150162.06642966368</v>
      </c>
      <c r="W66" s="67">
        <f>_xlfn.LET(_xlpm.fcf,W61,_xlpm.cash,V69,_xlpm.principal,W65,_xlpm.wc,_xlfn.XLOOKUP(YEAR(W$25),Base!$BJ$4:$BL$4,Base!$BJ$284:$BL$284,0,0),
IF(_xlpm.fcf&lt;0,MAX(0,_xlpm.wc-(_xlpm.cash+_xlpm.fcf)),-MIN(_xlpm.fcf,_xlpm.principal)+MAX(_xlpm.wc-_xlpm.cash,0)))</f>
        <v>-759983.34495925391</v>
      </c>
      <c r="X66" s="67">
        <f>_xlfn.LET(_xlpm.fcf,X61,_xlpm.cash,W69,_xlpm.principal,X65,_xlpm.wc,_xlfn.XLOOKUP(YEAR(X$25),Base!$BJ$4:$BL$4,Base!$BJ$284:$BL$284,0,0),
IF(_xlpm.fcf&lt;0,MAX(0,_xlpm.wc-(_xlpm.cash+_xlpm.fcf)),-MIN(_xlpm.fcf,_xlpm.principal)+MAX(_xlpm.wc-_xlpm.cash,0)))</f>
        <v>-906518.08791839704</v>
      </c>
      <c r="Y66" s="67">
        <f>_xlfn.LET(_xlpm.fcf,Y61,_xlpm.cash,X69,_xlpm.principal,Y65,_xlpm.wc,_xlfn.XLOOKUP(YEAR(Y$25),Base!$BJ$4:$BL$4,Base!$BJ$284:$BL$284,0,0),
IF(_xlpm.fcf&lt;0,MAX(0,_xlpm.wc-(_xlpm.cash+_xlpm.fcf)),-MIN(_xlpm.fcf,_xlpm.principal)+MAX(_xlpm.wc-_xlpm.cash,0)))</f>
        <v>-604349.31887594471</v>
      </c>
      <c r="Z66" s="67">
        <f>_xlfn.LET(_xlpm.fcf,Z61,_xlpm.cash,Y69,_xlpm.principal,Z65,_xlpm.wc,_xlfn.XLOOKUP(YEAR(Z$25),Base!$BJ$4:$BL$4,Base!$BJ$284:$BL$284,0,0),
IF(_xlpm.fcf&lt;0,MAX(0,_xlpm.wc-(_xlpm.cash+_xlpm.fcf)),-MIN(_xlpm.fcf,_xlpm.principal)+MAX(_xlpm.wc-_xlpm.cash,0)))</f>
        <v>-381761.54904414411</v>
      </c>
      <c r="AA66" s="67">
        <f>_xlfn.LET(_xlpm.fcf,AA61,_xlpm.cash,Z69,_xlpm.principal,AA65,_xlpm.wc,_xlfn.XLOOKUP(YEAR(AA$25),Base!$BJ$4:$BL$4,Base!$BJ$284:$BL$284,0,0),
IF(_xlpm.fcf&lt;0,MAX(0,_xlpm.wc-(_xlpm.cash+_xlpm.fcf)),-MIN(_xlpm.fcf,_xlpm.principal)+MAX(_xlpm.wc-_xlpm.cash,0)))</f>
        <v>-866704.12346512615</v>
      </c>
      <c r="AB66" s="67">
        <f>_xlfn.LET(_xlpm.fcf,AB61,_xlpm.cash,AA69,_xlpm.principal,AB65,_xlpm.wc,_xlfn.XLOOKUP(YEAR(AB$25),Base!$BJ$4:$BL$4,Base!$BJ$284:$BL$284,0,0),
IF(_xlpm.fcf&lt;0,MAX(0,_xlpm.wc-(_xlpm.cash+_xlpm.fcf)),-MIN(_xlpm.fcf,_xlpm.principal)+MAX(_xlpm.wc-_xlpm.cash,0)))</f>
        <v>-1411898.2393424255</v>
      </c>
      <c r="AC66" s="67">
        <f>_xlfn.LET(_xlpm.fcf,AC61,_xlpm.cash,AB69,_xlpm.principal,AC65,_xlpm.wc,_xlfn.XLOOKUP(YEAR(AC$25),Base!$BJ$4:$BL$4,Base!$BJ$284:$BL$284,0,0),
IF(_xlpm.fcf&lt;0,MAX(0,_xlpm.wc-(_xlpm.cash+_xlpm.fcf)),-MIN(_xlpm.fcf,_xlpm.principal)+MAX(_xlpm.wc-_xlpm.cash,0)))</f>
        <v>2797625.3065620363</v>
      </c>
      <c r="AD66" s="67">
        <f>_xlfn.LET(_xlpm.fcf,AD61,_xlpm.cash,AC69,_xlpm.principal,AD65,_xlpm.wc,_xlfn.XLOOKUP(YEAR(AD$25),Base!$BJ$4:$BL$4,Base!$BJ$284:$BL$284,0,0),
IF(_xlpm.fcf&lt;0,MAX(0,_xlpm.wc-(_xlpm.cash+_xlpm.fcf)),-MIN(_xlpm.fcf,_xlpm.principal)+MAX(_xlpm.wc-_xlpm.cash,0)))</f>
        <v>-629631.92981214006</v>
      </c>
      <c r="AE66" s="67">
        <f>_xlfn.LET(_xlpm.fcf,AE61,_xlpm.cash,AD69,_xlpm.principal,AE65,_xlpm.wc,_xlfn.XLOOKUP(YEAR(AE$25),Base!$BJ$4:$BL$4,Base!$BJ$284:$BL$284,0,0),
IF(_xlpm.fcf&lt;0,MAX(0,_xlpm.wc-(_xlpm.cash+_xlpm.fcf)),-MIN(_xlpm.fcf,_xlpm.principal)+MAX(_xlpm.wc-_xlpm.cash,0)))</f>
        <v>-870353.09327249089</v>
      </c>
      <c r="AF66" s="67">
        <f>_xlfn.LET(_xlpm.fcf,AF61,_xlpm.cash,AE69,_xlpm.principal,AF65,_xlpm.wc,_xlfn.XLOOKUP(YEAR(AF$25),Base!$BJ$4:$BL$4,Base!$BJ$284:$BL$284,0,0),
IF(_xlpm.fcf&lt;0,MAX(0,_xlpm.wc-(_xlpm.cash+_xlpm.fcf)),-MIN(_xlpm.fcf,_xlpm.principal)+MAX(_xlpm.wc-_xlpm.cash,0)))</f>
        <v>-820761.60088923527</v>
      </c>
      <c r="AG66" s="67">
        <f>_xlfn.LET(_xlpm.fcf,AG61,_xlpm.cash,AF69,_xlpm.principal,AG65,_xlpm.wc,_xlfn.XLOOKUP(YEAR(AG$25),Base!$BJ$4:$BL$4,Base!$BJ$284:$BL$284,0,0),
IF(_xlpm.fcf&lt;0,MAX(0,_xlpm.wc-(_xlpm.cash+_xlpm.fcf)),-MIN(_xlpm.fcf,_xlpm.principal)+MAX(_xlpm.wc-_xlpm.cash,0)))</f>
        <v>-872441.18969947333</v>
      </c>
      <c r="AH66" s="67">
        <f>_xlfn.LET(_xlpm.fcf,AH61,_xlpm.cash,AG69,_xlpm.principal,AH65,_xlpm.wc,_xlfn.XLOOKUP(YEAR(AH$25),Base!$BJ$4:$BL$4,Base!$BJ$284:$BL$284,0,0),
IF(_xlpm.fcf&lt;0,MAX(0,_xlpm.wc-(_xlpm.cash+_xlpm.fcf)),-MIN(_xlpm.fcf,_xlpm.principal)+MAX(_xlpm.wc-_xlpm.cash,0)))</f>
        <v>-644646.23976568459</v>
      </c>
      <c r="AI66" s="67">
        <f>_xlfn.LET(_xlpm.fcf,AI61,_xlpm.cash,AH69,_xlpm.principal,AI65,_xlpm.wc,_xlfn.XLOOKUP(YEAR(AI$25),Base!$BJ$4:$BL$4,Base!$BJ$284:$BL$284,0,0),
IF(_xlpm.fcf&lt;0,MAX(0,_xlpm.wc-(_xlpm.cash+_xlpm.fcf)),-MIN(_xlpm.fcf,_xlpm.principal)+MAX(_xlpm.wc-_xlpm.cash,0)))</f>
        <v>-461262.08919706428</v>
      </c>
      <c r="AJ66" s="67">
        <f>_xlfn.LET(_xlpm.fcf,AJ61,_xlpm.cash,AI69,_xlpm.principal,AJ65,_xlpm.wc,_xlfn.XLOOKUP(YEAR(AJ$25),Base!$BJ$4:$BL$4,Base!$BJ$284:$BL$284,0,0),
IF(_xlpm.fcf&lt;0,MAX(0,_xlpm.wc-(_xlpm.cash+_xlpm.fcf)),-MIN(_xlpm.fcf,_xlpm.principal)+MAX(_xlpm.wc-_xlpm.cash,0)))</f>
        <v>-406338.20771918865</v>
      </c>
      <c r="AK66" s="67">
        <f>_xlfn.LET(_xlpm.fcf,AK61,_xlpm.cash,AJ69,_xlpm.principal,AK65,_xlpm.wc,_xlfn.XLOOKUP(YEAR(AK$25),Base!$BJ$4:$BL$4,Base!$BJ$284:$BL$284,0,0),
IF(_xlpm.fcf&lt;0,MAX(0,_xlpm.wc-(_xlpm.cash+_xlpm.fcf)),-MIN(_xlpm.fcf,_xlpm.principal)+MAX(_xlpm.wc-_xlpm.cash,0)))</f>
        <v>-245627.45288576838</v>
      </c>
      <c r="AL66" s="67">
        <f>_xlfn.LET(_xlpm.fcf,AL61,_xlpm.cash,AK69,_xlpm.principal,AL65,_xlpm.wc,_xlfn.XLOOKUP(YEAR(AL$25),Base!$BJ$4:$BL$4,Base!$BJ$284:$BL$284,0,0),
IF(_xlpm.fcf&lt;0,MAX(0,_xlpm.wc-(_xlpm.cash+_xlpm.fcf)),-MIN(_xlpm.fcf,_xlpm.principal)+MAX(_xlpm.wc-_xlpm.cash,0)))</f>
        <v>-639772.76682135137</v>
      </c>
      <c r="AM66" s="67">
        <f>_xlfn.LET(_xlpm.fcf,AM61,_xlpm.cash,AL69,_xlpm.principal,AM65,_xlpm.wc,_xlfn.XLOOKUP(YEAR(AM$25),Base!$BJ$4:$BL$4,Base!$BJ$284:$BL$284,0,0),
IF(_xlpm.fcf&lt;0,MAX(0,_xlpm.wc-(_xlpm.cash+_xlpm.fcf)),-MIN(_xlpm.fcf,_xlpm.principal)+MAX(_xlpm.wc-_xlpm.cash,0)))</f>
        <v>-895341.33299333276</v>
      </c>
      <c r="AN66" s="67">
        <f>_xlfn.LET(_xlpm.fcf,AN61,_xlpm.cash,AM69,_xlpm.principal,AN65,_xlpm.wc,_xlfn.XLOOKUP(YEAR(AN$25),Base!$BJ$4:$BL$4,Base!$BJ$284:$BL$284,0,0),
IF(_xlpm.fcf&lt;0,MAX(0,_xlpm.wc-(_xlpm.cash+_xlpm.fcf)),-MIN(_xlpm.fcf,_xlpm.principal)+MAX(_xlpm.wc-_xlpm.cash,0)))</f>
        <v>-1163167.6651588362</v>
      </c>
    </row>
    <row r="67" spans="2:40" x14ac:dyDescent="0.25">
      <c r="B67" s="39" t="s">
        <v>290</v>
      </c>
      <c r="C67" s="12">
        <f>Base!$BJ$281</f>
        <v>4816282.09</v>
      </c>
      <c r="E67" s="74">
        <f>SUM(E65:E66)</f>
        <v>6824360.3843974192</v>
      </c>
      <c r="F67" s="74">
        <f t="shared" ref="F67:AN67" si="8">SUM(F65:F66)</f>
        <v>8618666.318991404</v>
      </c>
      <c r="G67" s="74">
        <f t="shared" si="8"/>
        <v>10280315.264894959</v>
      </c>
      <c r="H67" s="74">
        <f t="shared" si="8"/>
        <v>11645793.890834788</v>
      </c>
      <c r="I67" s="74">
        <f t="shared" si="8"/>
        <v>13481859.191442257</v>
      </c>
      <c r="J67" s="74">
        <f t="shared" si="8"/>
        <v>14939322.050715506</v>
      </c>
      <c r="K67" s="74">
        <f t="shared" si="8"/>
        <v>16325113.207974419</v>
      </c>
      <c r="L67" s="74">
        <f t="shared" si="8"/>
        <v>17462564.559643529</v>
      </c>
      <c r="M67" s="74">
        <f t="shared" si="8"/>
        <v>18625125.843549006</v>
      </c>
      <c r="N67" s="74">
        <f t="shared" si="8"/>
        <v>19491545.669035558</v>
      </c>
      <c r="O67" s="74">
        <f t="shared" si="8"/>
        <v>19852712.199021939</v>
      </c>
      <c r="P67" s="74">
        <f t="shared" si="8"/>
        <v>19910611.056829356</v>
      </c>
      <c r="Q67" s="74">
        <f t="shared" si="8"/>
        <v>23582368.72911654</v>
      </c>
      <c r="R67" s="74">
        <f t="shared" si="8"/>
        <v>23515240.248602405</v>
      </c>
      <c r="S67" s="74">
        <f t="shared" si="8"/>
        <v>23046357.967619389</v>
      </c>
      <c r="T67" s="74">
        <f t="shared" si="8"/>
        <v>22248676.987913761</v>
      </c>
      <c r="U67" s="74">
        <f t="shared" si="8"/>
        <v>21933110.841670174</v>
      </c>
      <c r="V67" s="74">
        <f t="shared" si="8"/>
        <v>21947447.106553037</v>
      </c>
      <c r="W67" s="74">
        <f t="shared" si="8"/>
        <v>21352069.61489293</v>
      </c>
      <c r="X67" s="74">
        <f t="shared" si="8"/>
        <v>20605692.049086228</v>
      </c>
      <c r="Y67" s="74">
        <f t="shared" si="8"/>
        <v>20155885.420578428</v>
      </c>
      <c r="Z67" s="74">
        <f t="shared" si="8"/>
        <v>19925293.012188621</v>
      </c>
      <c r="AA67" s="74">
        <f t="shared" si="8"/>
        <v>19208028.586314909</v>
      </c>
      <c r="AB67" s="74">
        <f t="shared" si="8"/>
        <v>17940190.561369848</v>
      </c>
      <c r="AC67" s="74">
        <f t="shared" si="8"/>
        <v>20872367.297142159</v>
      </c>
      <c r="AD67" s="74">
        <f t="shared" si="8"/>
        <v>20399278.122058585</v>
      </c>
      <c r="AE67" s="74">
        <f t="shared" si="8"/>
        <v>19681919.614701532</v>
      </c>
      <c r="AF67" s="74">
        <f t="shared" si="8"/>
        <v>19008772.410922557</v>
      </c>
      <c r="AG67" s="74">
        <f t="shared" si="8"/>
        <v>18278897.014305003</v>
      </c>
      <c r="AH67" s="74">
        <f t="shared" si="8"/>
        <v>17771342.502146605</v>
      </c>
      <c r="AI67" s="74">
        <f t="shared" si="8"/>
        <v>17443365.481715638</v>
      </c>
      <c r="AJ67" s="74">
        <f t="shared" si="8"/>
        <v>17167852.515109316</v>
      </c>
      <c r="AK67" s="74">
        <f t="shared" si="8"/>
        <v>17050983.956086867</v>
      </c>
      <c r="AL67" s="74">
        <f t="shared" si="8"/>
        <v>16539093.568936165</v>
      </c>
      <c r="AM67" s="74">
        <f t="shared" si="8"/>
        <v>15767795.437709855</v>
      </c>
      <c r="AN67" s="74">
        <f t="shared" si="8"/>
        <v>14722886.238333842</v>
      </c>
    </row>
    <row r="68" spans="2:40" x14ac:dyDescent="0.25">
      <c r="B68" s="39"/>
      <c r="C68" s="12"/>
      <c r="E68" s="67"/>
      <c r="F68" s="67"/>
      <c r="G68" s="67"/>
      <c r="H68" s="67"/>
      <c r="I68" s="67"/>
      <c r="J68" s="67"/>
      <c r="K68" s="67"/>
      <c r="L68" s="67"/>
      <c r="M68" s="67"/>
      <c r="N68" s="67"/>
      <c r="O68" s="67"/>
      <c r="P68" s="67"/>
      <c r="Q68" s="67"/>
      <c r="R68" s="67"/>
      <c r="S68" s="67"/>
      <c r="T68" s="67"/>
      <c r="U68" s="67"/>
      <c r="V68" s="67"/>
      <c r="W68" s="67"/>
      <c r="X68" s="67"/>
      <c r="Y68" s="67"/>
      <c r="Z68" s="67"/>
      <c r="AA68" s="67"/>
      <c r="AB68" s="67"/>
      <c r="AC68" s="67"/>
      <c r="AD68" s="67"/>
      <c r="AE68" s="67"/>
      <c r="AF68" s="67"/>
      <c r="AG68" s="67"/>
      <c r="AH68" s="67"/>
      <c r="AI68" s="67"/>
      <c r="AJ68" s="67"/>
      <c r="AK68" s="67"/>
      <c r="AL68" s="67"/>
      <c r="AM68" s="67"/>
      <c r="AN68" s="67"/>
    </row>
    <row r="69" spans="2:40" x14ac:dyDescent="0.25">
      <c r="B69" s="39" t="s">
        <v>291</v>
      </c>
      <c r="C69" s="12">
        <f>Base!$BJ$283</f>
        <v>3200000</v>
      </c>
      <c r="D69" s="12"/>
      <c r="E69" s="145">
        <f>C69+E61+E66</f>
        <v>3400000</v>
      </c>
      <c r="F69" s="145">
        <f t="shared" ref="F69:AN69" si="9">E69+F61+F66</f>
        <v>3400000</v>
      </c>
      <c r="G69" s="145">
        <f t="shared" si="9"/>
        <v>3400000</v>
      </c>
      <c r="H69" s="145">
        <f t="shared" si="9"/>
        <v>3400000</v>
      </c>
      <c r="I69" s="145">
        <f t="shared" si="9"/>
        <v>3400000</v>
      </c>
      <c r="J69" s="145">
        <f t="shared" si="9"/>
        <v>3400000</v>
      </c>
      <c r="K69" s="145">
        <f t="shared" si="9"/>
        <v>3400000</v>
      </c>
      <c r="L69" s="145">
        <f t="shared" si="9"/>
        <v>3400000</v>
      </c>
      <c r="M69" s="145">
        <f t="shared" si="9"/>
        <v>3400000</v>
      </c>
      <c r="N69" s="145">
        <f t="shared" si="9"/>
        <v>3400000</v>
      </c>
      <c r="O69" s="145">
        <f t="shared" si="9"/>
        <v>3400000</v>
      </c>
      <c r="P69" s="145">
        <f t="shared" si="9"/>
        <v>3400000</v>
      </c>
      <c r="Q69" s="145">
        <f t="shared" si="9"/>
        <v>6800000</v>
      </c>
      <c r="R69" s="145">
        <f t="shared" si="9"/>
        <v>6800000</v>
      </c>
      <c r="S69" s="145">
        <f t="shared" si="9"/>
        <v>6800000</v>
      </c>
      <c r="T69" s="145">
        <f t="shared" si="9"/>
        <v>6800000</v>
      </c>
      <c r="U69" s="145">
        <f t="shared" si="9"/>
        <v>6800000</v>
      </c>
      <c r="V69" s="145">
        <f t="shared" si="9"/>
        <v>6800000</v>
      </c>
      <c r="W69" s="145">
        <f t="shared" si="9"/>
        <v>6800000</v>
      </c>
      <c r="X69" s="145">
        <f t="shared" si="9"/>
        <v>6800000</v>
      </c>
      <c r="Y69" s="145">
        <f t="shared" si="9"/>
        <v>6800000</v>
      </c>
      <c r="Z69" s="145">
        <f t="shared" si="9"/>
        <v>6800000</v>
      </c>
      <c r="AA69" s="145">
        <f t="shared" si="9"/>
        <v>6800000</v>
      </c>
      <c r="AB69" s="145">
        <f t="shared" si="9"/>
        <v>6800000</v>
      </c>
      <c r="AC69" s="145">
        <f t="shared" si="9"/>
        <v>10200000</v>
      </c>
      <c r="AD69" s="145">
        <f t="shared" si="9"/>
        <v>10200000</v>
      </c>
      <c r="AE69" s="145">
        <f t="shared" si="9"/>
        <v>10200000</v>
      </c>
      <c r="AF69" s="145">
        <f t="shared" si="9"/>
        <v>10200000</v>
      </c>
      <c r="AG69" s="145">
        <f t="shared" si="9"/>
        <v>10200000</v>
      </c>
      <c r="AH69" s="145">
        <f t="shared" si="9"/>
        <v>10200000</v>
      </c>
      <c r="AI69" s="145">
        <f t="shared" si="9"/>
        <v>10200000</v>
      </c>
      <c r="AJ69" s="145">
        <f t="shared" si="9"/>
        <v>10200000</v>
      </c>
      <c r="AK69" s="145">
        <f t="shared" si="9"/>
        <v>10200000</v>
      </c>
      <c r="AL69" s="145">
        <f t="shared" si="9"/>
        <v>10200000</v>
      </c>
      <c r="AM69" s="145">
        <f t="shared" si="9"/>
        <v>10200000</v>
      </c>
      <c r="AN69" s="145">
        <f t="shared" si="9"/>
        <v>10200000</v>
      </c>
    </row>
    <row r="70" spans="2:40" x14ac:dyDescent="0.25">
      <c r="B70" s="39" t="s">
        <v>292</v>
      </c>
      <c r="E70" s="74">
        <f t="shared" ref="E70:AN70" si="10">E61+E66</f>
        <v>200000</v>
      </c>
      <c r="F70" s="74">
        <f t="shared" si="10"/>
        <v>0</v>
      </c>
      <c r="G70" s="74">
        <f t="shared" si="10"/>
        <v>0</v>
      </c>
      <c r="H70" s="74">
        <f t="shared" si="10"/>
        <v>0</v>
      </c>
      <c r="I70" s="74">
        <f t="shared" si="10"/>
        <v>0</v>
      </c>
      <c r="J70" s="74">
        <f t="shared" si="10"/>
        <v>0</v>
      </c>
      <c r="K70" s="74">
        <f t="shared" si="10"/>
        <v>0</v>
      </c>
      <c r="L70" s="74">
        <f t="shared" si="10"/>
        <v>0</v>
      </c>
      <c r="M70" s="74">
        <f t="shared" si="10"/>
        <v>0</v>
      </c>
      <c r="N70" s="74">
        <f t="shared" si="10"/>
        <v>0</v>
      </c>
      <c r="O70" s="74">
        <f t="shared" si="10"/>
        <v>0</v>
      </c>
      <c r="P70" s="74">
        <f t="shared" si="10"/>
        <v>0</v>
      </c>
      <c r="Q70" s="74">
        <f t="shared" si="10"/>
        <v>3400000</v>
      </c>
      <c r="R70" s="74">
        <f t="shared" si="10"/>
        <v>0</v>
      </c>
      <c r="S70" s="74">
        <f t="shared" si="10"/>
        <v>0</v>
      </c>
      <c r="T70" s="74">
        <f t="shared" si="10"/>
        <v>0</v>
      </c>
      <c r="U70" s="74">
        <f t="shared" si="10"/>
        <v>0</v>
      </c>
      <c r="V70" s="74">
        <f t="shared" si="10"/>
        <v>0</v>
      </c>
      <c r="W70" s="74">
        <f t="shared" si="10"/>
        <v>0</v>
      </c>
      <c r="X70" s="74">
        <f t="shared" si="10"/>
        <v>0</v>
      </c>
      <c r="Y70" s="74">
        <f t="shared" si="10"/>
        <v>0</v>
      </c>
      <c r="Z70" s="74">
        <f t="shared" si="10"/>
        <v>0</v>
      </c>
      <c r="AA70" s="74">
        <f t="shared" si="10"/>
        <v>0</v>
      </c>
      <c r="AB70" s="74">
        <f t="shared" si="10"/>
        <v>0</v>
      </c>
      <c r="AC70" s="74">
        <f t="shared" si="10"/>
        <v>3400000</v>
      </c>
      <c r="AD70" s="74">
        <f t="shared" si="10"/>
        <v>0</v>
      </c>
      <c r="AE70" s="74">
        <f t="shared" si="10"/>
        <v>0</v>
      </c>
      <c r="AF70" s="74">
        <f t="shared" si="10"/>
        <v>0</v>
      </c>
      <c r="AG70" s="74">
        <f t="shared" si="10"/>
        <v>0</v>
      </c>
      <c r="AH70" s="74">
        <f t="shared" si="10"/>
        <v>0</v>
      </c>
      <c r="AI70" s="74">
        <f t="shared" si="10"/>
        <v>0</v>
      </c>
      <c r="AJ70" s="74">
        <f t="shared" si="10"/>
        <v>0</v>
      </c>
      <c r="AK70" s="74">
        <f t="shared" si="10"/>
        <v>0</v>
      </c>
      <c r="AL70" s="74">
        <f t="shared" si="10"/>
        <v>0</v>
      </c>
      <c r="AM70" s="74">
        <f t="shared" si="10"/>
        <v>0</v>
      </c>
      <c r="AN70" s="74">
        <f t="shared" si="10"/>
        <v>0</v>
      </c>
    </row>
    <row r="71" spans="2:40" x14ac:dyDescent="0.25">
      <c r="Z71" s="67"/>
      <c r="AN71" s="67"/>
    </row>
    <row r="72" spans="2:40" x14ac:dyDescent="0.25">
      <c r="E72" s="95" t="s">
        <v>293</v>
      </c>
      <c r="AN72" s="67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E91D13-E49D-4BEC-B54C-3B2B3F986BE5}">
  <sheetPr>
    <tabColor theme="9" tint="0.59999389629810485"/>
  </sheetPr>
  <dimension ref="B1:AW67"/>
  <sheetViews>
    <sheetView workbookViewId="0">
      <pane xSplit="4" ySplit="25" topLeftCell="E54" activePane="bottomRight" state="frozen"/>
      <selection pane="topRight" activeCell="E1" sqref="E1"/>
      <selection pane="bottomLeft" activeCell="A26" sqref="A26"/>
      <selection pane="bottomRight" activeCell="C61" sqref="C61"/>
    </sheetView>
  </sheetViews>
  <sheetFormatPr defaultRowHeight="15" outlineLevelRow="1" x14ac:dyDescent="0.25"/>
  <cols>
    <col min="2" max="2" width="24.5703125" bestFit="1" customWidth="1"/>
    <col min="3" max="3" width="12.28515625" bestFit="1" customWidth="1"/>
    <col min="4" max="4" width="10" bestFit="1" customWidth="1"/>
    <col min="5" max="5" width="12.7109375" bestFit="1" customWidth="1"/>
    <col min="6" max="14" width="12.28515625" bestFit="1" customWidth="1"/>
    <col min="15" max="15" width="13.42578125" bestFit="1" customWidth="1"/>
    <col min="16" max="16" width="13.85546875" bestFit="1" customWidth="1"/>
    <col min="17" max="40" width="13.42578125" bestFit="1" customWidth="1"/>
  </cols>
  <sheetData>
    <row r="1" spans="2:40" x14ac:dyDescent="0.25">
      <c r="B1" s="10" t="s">
        <v>408</v>
      </c>
      <c r="C1" s="16" t="s">
        <v>13</v>
      </c>
      <c r="D1" s="55" t="s">
        <v>390</v>
      </c>
      <c r="E1" s="5">
        <f>SUM('MDA1:NCA9'!E1)</f>
        <v>389</v>
      </c>
      <c r="F1" s="5">
        <f>SUM('MDA1:NCA9'!F1)</f>
        <v>410</v>
      </c>
      <c r="G1" s="5">
        <f>SUM('MDA1:NCA9'!G1)</f>
        <v>437</v>
      </c>
      <c r="H1" s="5">
        <f>SUM('MDA1:NCA9'!H1)</f>
        <v>466</v>
      </c>
      <c r="I1" s="5">
        <f>SUM('MDA1:NCA9'!I1)</f>
        <v>490</v>
      </c>
      <c r="J1" s="5">
        <f>SUM('MDA1:NCA9'!J1)</f>
        <v>520</v>
      </c>
      <c r="K1" s="5">
        <f>SUM('MDA1:NCA9'!K1)</f>
        <v>559</v>
      </c>
      <c r="L1" s="5">
        <f>SUM('MDA1:NCA9'!L1)</f>
        <v>590</v>
      </c>
      <c r="M1" s="5">
        <f>SUM('MDA1:NCA9'!M1)</f>
        <v>626</v>
      </c>
      <c r="N1" s="5">
        <f>SUM('MDA1:NCA9'!N1)</f>
        <v>665</v>
      </c>
      <c r="O1" s="5">
        <f>SUM('MDA1:NCA9'!O1)</f>
        <v>710</v>
      </c>
      <c r="P1" s="5">
        <f>SUM('MDA1:NCA9'!P1)</f>
        <v>758</v>
      </c>
      <c r="Q1" s="5">
        <f>SUM('MDA1:NCA9'!Q1)</f>
        <v>804</v>
      </c>
      <c r="R1" s="5">
        <f>SUM('MDA1:NCA9'!R1)</f>
        <v>844</v>
      </c>
      <c r="S1" s="5">
        <f>SUM('MDA1:NCA9'!S1)</f>
        <v>887</v>
      </c>
      <c r="T1" s="5">
        <f>SUM('MDA1:NCA9'!T1)</f>
        <v>931</v>
      </c>
      <c r="U1" s="5">
        <f>SUM('MDA1:NCA9'!U1)</f>
        <v>967</v>
      </c>
      <c r="V1" s="5">
        <f>SUM('MDA1:NCA9'!V1)</f>
        <v>1001</v>
      </c>
      <c r="W1" s="5">
        <f>SUM('MDA1:NCA9'!W1)</f>
        <v>1040</v>
      </c>
      <c r="X1" s="5">
        <f>SUM('MDA1:NCA9'!X1)</f>
        <v>1080</v>
      </c>
      <c r="Y1" s="5">
        <f>SUM('MDA1:NCA9'!Y1)</f>
        <v>1114</v>
      </c>
      <c r="Z1" s="5">
        <f>SUM('MDA1:NCA9'!Z1)</f>
        <v>1152</v>
      </c>
      <c r="AA1" s="5">
        <f>SUM('MDA1:NCA9'!AA1)</f>
        <v>1190</v>
      </c>
      <c r="AB1" s="5">
        <f>SUM('MDA1:NCA9'!AB1)</f>
        <v>1225</v>
      </c>
      <c r="AC1" s="5">
        <f>SUM('MDA1:NCA9'!AC1)</f>
        <v>1255</v>
      </c>
      <c r="AD1" s="5">
        <f>SUM('MDA1:NCA9'!AD1)</f>
        <v>1287</v>
      </c>
      <c r="AE1" s="5">
        <f>SUM('MDA1:NCA9'!AE1)</f>
        <v>1317</v>
      </c>
      <c r="AF1" s="5">
        <f>SUM('MDA1:NCA9'!AF1)</f>
        <v>1345</v>
      </c>
      <c r="AG1" s="5">
        <f>SUM('MDA1:NCA9'!AG1)</f>
        <v>1371</v>
      </c>
      <c r="AH1" s="5">
        <f>SUM('MDA1:NCA9'!AH1)</f>
        <v>1403</v>
      </c>
      <c r="AI1" s="5">
        <f>SUM('MDA1:NCA9'!AI1)</f>
        <v>1441</v>
      </c>
      <c r="AJ1" s="5">
        <f>SUM('MDA1:NCA9'!AJ1)</f>
        <v>1478</v>
      </c>
      <c r="AK1" s="5">
        <f>SUM('MDA1:NCA9'!AK1)</f>
        <v>1514</v>
      </c>
      <c r="AL1" s="5">
        <f>SUM('MDA1:NCA9'!AL1)</f>
        <v>1548</v>
      </c>
      <c r="AM1" s="5">
        <f>SUM('MDA1:NCA9'!AM1)</f>
        <v>1586</v>
      </c>
      <c r="AN1" s="5">
        <f>SUM('MDA1:NCA9'!AN1)</f>
        <v>1621</v>
      </c>
    </row>
    <row r="2" spans="2:40" x14ac:dyDescent="0.25">
      <c r="B2" s="1" t="s">
        <v>107</v>
      </c>
      <c r="C2" s="3"/>
      <c r="D2" s="3"/>
      <c r="E2" s="90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</row>
    <row r="3" spans="2:40" x14ac:dyDescent="0.25">
      <c r="B3" s="39" t="s">
        <v>257</v>
      </c>
      <c r="C3" s="3"/>
      <c r="D3" s="3"/>
      <c r="E3" s="69" cm="1">
        <f t="array" ref="E3:AN3">_xlfn.LET(_xlpm.core,Base!$D$186:$D$254,_xlpm.scale,Base!$D$257:$D$271,
_xlpm.core_count,_xlfn.BYCOL(_xlfn.ANCHORARRAY($E$25),_xlfn.LAMBDA(_xlpm.a,SUM(_xlpm.core*(Base!$A$186:$A$254&lt;=_xlpm.a)))),
_xlpm.scale_count,_xlfn.BYCOL(E1:AN1,_xlfn.LAMBDA(_xlpm.c,SUM(_xlpm.c/_xlpm.scale))),_xlpm.core_count+_xlpm.scale_count)</f>
        <v>74.312816834286025</v>
      </c>
      <c r="F3" s="69">
        <v>75.679318514286038</v>
      </c>
      <c r="G3" s="69">
        <v>78.436249245714649</v>
      </c>
      <c r="H3" s="69">
        <v>80.323322994286102</v>
      </c>
      <c r="I3" s="69">
        <v>81.885039200000392</v>
      </c>
      <c r="J3" s="69">
        <v>83.83718445714328</v>
      </c>
      <c r="K3" s="69">
        <v>86.374973291429029</v>
      </c>
      <c r="L3" s="69">
        <v>89.392190057143338</v>
      </c>
      <c r="M3" s="69">
        <v>91.734764365714796</v>
      </c>
      <c r="N3" s="69">
        <v>94.27255320000053</v>
      </c>
      <c r="O3" s="69">
        <v>97.200771085714848</v>
      </c>
      <c r="P3" s="69">
        <v>100.32420349714346</v>
      </c>
      <c r="Q3" s="69">
        <v>103.31749289142923</v>
      </c>
      <c r="R3" s="69">
        <v>105.9203532342864</v>
      </c>
      <c r="S3" s="69">
        <v>108.71842810285784</v>
      </c>
      <c r="T3" s="69">
        <v>111.58157448000075</v>
      </c>
      <c r="U3" s="69">
        <v>113.92414878857221</v>
      </c>
      <c r="V3" s="69">
        <v>116.13658008000078</v>
      </c>
      <c r="W3" s="69">
        <v>118.67436891428657</v>
      </c>
      <c r="X3" s="69">
        <v>121.27722925714372</v>
      </c>
      <c r="Y3" s="69">
        <v>123.48966054857232</v>
      </c>
      <c r="Z3" s="69">
        <v>125.96237787428663</v>
      </c>
      <c r="AA3" s="69">
        <v>128.43509520000094</v>
      </c>
      <c r="AB3" s="69">
        <v>130.71259800000101</v>
      </c>
      <c r="AC3" s="69">
        <v>133.66474325714387</v>
      </c>
      <c r="AD3" s="69">
        <v>135.74703153142963</v>
      </c>
      <c r="AE3" s="69">
        <v>137.69917678857246</v>
      </c>
      <c r="AF3" s="69">
        <v>139.5211790285725</v>
      </c>
      <c r="AG3" s="69">
        <v>141.21303825142968</v>
      </c>
      <c r="AH3" s="69">
        <v>143.29532652571541</v>
      </c>
      <c r="AI3" s="69">
        <v>145.76804385142975</v>
      </c>
      <c r="AJ3" s="69">
        <v>148.1756896685726</v>
      </c>
      <c r="AK3" s="69">
        <v>150.5182639771441</v>
      </c>
      <c r="AL3" s="69">
        <v>152.73069526857267</v>
      </c>
      <c r="AM3" s="69">
        <v>155.20341259428699</v>
      </c>
      <c r="AN3" s="69">
        <v>157.48091539428702</v>
      </c>
    </row>
    <row r="4" spans="2:40" x14ac:dyDescent="0.25">
      <c r="B4" s="39"/>
      <c r="C4" s="3"/>
      <c r="D4" s="3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</row>
    <row r="5" spans="2:40" x14ac:dyDescent="0.25">
      <c r="B5" s="39" t="s">
        <v>309</v>
      </c>
      <c r="C5" s="3"/>
      <c r="D5" s="3"/>
      <c r="E5" s="69">
        <f>SUM('MDA1:NCA9'!E7)</f>
        <v>236.17000000000002</v>
      </c>
      <c r="F5" s="69">
        <f>SUM('MDA1:NCA9'!F7)</f>
        <v>251.25</v>
      </c>
      <c r="G5" s="69">
        <f>SUM('MDA1:NCA9'!G7)</f>
        <v>271.92</v>
      </c>
      <c r="H5" s="69">
        <f>SUM('MDA1:NCA9'!H7)</f>
        <v>294.15999999999997</v>
      </c>
      <c r="I5" s="69">
        <f>SUM('MDA1:NCA9'!I7)</f>
        <v>312.20999999999998</v>
      </c>
      <c r="J5" s="69">
        <f>SUM('MDA1:NCA9'!J7)</f>
        <v>334.4</v>
      </c>
      <c r="K5" s="69">
        <f>SUM('MDA1:NCA9'!K7)</f>
        <v>366.58999999999992</v>
      </c>
      <c r="L5" s="69">
        <f>SUM('MDA1:NCA9'!L7)</f>
        <v>390.7299999999999</v>
      </c>
      <c r="M5" s="69">
        <f>SUM('MDA1:NCA9'!M7)</f>
        <v>418.57000000000005</v>
      </c>
      <c r="N5" s="69">
        <f>SUM('MDA1:NCA9'!N7)</f>
        <v>449.69999999999987</v>
      </c>
      <c r="O5" s="69">
        <f>SUM('MDA1:NCA9'!O7)</f>
        <v>486.1099999999999</v>
      </c>
      <c r="P5" s="69">
        <f>SUM('MDA1:NCA9'!P7)</f>
        <v>523.77</v>
      </c>
      <c r="Q5" s="69">
        <f>SUM('MDA1:NCA9'!Q7)</f>
        <v>560.52</v>
      </c>
      <c r="R5" s="69">
        <f>SUM('MDA1:NCA9'!R7)</f>
        <v>591.16999999999985</v>
      </c>
      <c r="S5" s="69">
        <f>SUM('MDA1:NCA9'!S7)</f>
        <v>625.12999999999988</v>
      </c>
      <c r="T5" s="69">
        <f>SUM('MDA1:NCA9'!T7)</f>
        <v>659.51999999999987</v>
      </c>
      <c r="U5" s="69">
        <f>SUM('MDA1:NCA9'!U7)</f>
        <v>686.8900000000001</v>
      </c>
      <c r="V5" s="69">
        <f>SUM('MDA1:NCA9'!V7)</f>
        <v>712.37999999999988</v>
      </c>
      <c r="W5" s="69">
        <f>SUM('MDA1:NCA9'!W7)</f>
        <v>743.14</v>
      </c>
      <c r="X5" s="69">
        <f>SUM('MDA1:NCA9'!X7)</f>
        <v>775.27999999999975</v>
      </c>
      <c r="Y5" s="69">
        <f>SUM('MDA1:NCA9'!Y7)</f>
        <v>802.2399999999999</v>
      </c>
      <c r="Z5" s="69">
        <f>SUM('MDA1:NCA9'!Z7)</f>
        <v>831.03999999999974</v>
      </c>
      <c r="AA5" s="69">
        <f>SUM('MDA1:NCA9'!AA7)</f>
        <v>859.81999999999982</v>
      </c>
      <c r="AB5" s="69">
        <f>SUM('MDA1:NCA9'!AB7)</f>
        <v>887.28999999999985</v>
      </c>
      <c r="AC5" s="69">
        <f>SUM('MDA1:NCA9'!AC7)</f>
        <v>910.98999999999978</v>
      </c>
      <c r="AD5" s="69">
        <f>SUM('MDA1:NCA9'!AD7)</f>
        <v>935.59999999999991</v>
      </c>
      <c r="AE5" s="69">
        <f>SUM('MDA1:NCA9'!AE7)</f>
        <v>958.81999999999994</v>
      </c>
      <c r="AF5" s="69">
        <f>SUM('MDA1:NCA9'!AF7)</f>
        <v>981.65999999999985</v>
      </c>
      <c r="AG5" s="69">
        <f>SUM('MDA1:NCA9'!AG7)</f>
        <v>1002.0799999999998</v>
      </c>
      <c r="AH5" s="69">
        <f>SUM('MDA1:NCA9'!AH7)</f>
        <v>1027.6899999999996</v>
      </c>
      <c r="AI5" s="69">
        <f>SUM('MDA1:NCA9'!AI7)</f>
        <v>1057.93</v>
      </c>
      <c r="AJ5" s="69">
        <f>SUM('MDA1:NCA9'!AJ7)</f>
        <v>1089.25</v>
      </c>
      <c r="AK5" s="69">
        <f>SUM('MDA1:NCA9'!AK7)</f>
        <v>1118.6099999999997</v>
      </c>
      <c r="AL5" s="69">
        <f>SUM('MDA1:NCA9'!AL7)</f>
        <v>1145.5899999999997</v>
      </c>
      <c r="AM5" s="69">
        <f>SUM('MDA1:NCA9'!AM7)</f>
        <v>1175.8399999999999</v>
      </c>
      <c r="AN5" s="69">
        <f>SUM('MDA1:NCA9'!AN7)</f>
        <v>1204.79</v>
      </c>
    </row>
    <row r="6" spans="2:40" x14ac:dyDescent="0.25">
      <c r="B6" s="39" t="s">
        <v>310</v>
      </c>
      <c r="C6" s="3"/>
      <c r="D6" s="3"/>
      <c r="E6" s="69">
        <f>SUM('MDA1:NCA9'!E8)</f>
        <v>43.33</v>
      </c>
      <c r="F6" s="69">
        <f>SUM('MDA1:NCA9'!F8)</f>
        <v>45.97</v>
      </c>
      <c r="G6" s="69">
        <f>SUM('MDA1:NCA9'!G8)</f>
        <v>49.51</v>
      </c>
      <c r="H6" s="69">
        <f>SUM('MDA1:NCA9'!H8)</f>
        <v>53.26</v>
      </c>
      <c r="I6" s="69">
        <f>SUM('MDA1:NCA9'!I8)</f>
        <v>56.339999999999989</v>
      </c>
      <c r="J6" s="69">
        <f>SUM('MDA1:NCA9'!J8)</f>
        <v>60.139999999999993</v>
      </c>
      <c r="K6" s="69">
        <f>SUM('MDA1:NCA9'!K8)</f>
        <v>65.36999999999999</v>
      </c>
      <c r="L6" s="69">
        <f>SUM('MDA1:NCA9'!L8)</f>
        <v>69.39</v>
      </c>
      <c r="M6" s="69">
        <f>SUM('MDA1:NCA9'!M8)</f>
        <v>74.040000000000006</v>
      </c>
      <c r="N6" s="69">
        <f>SUM('MDA1:NCA9'!N8)</f>
        <v>79.179999999999993</v>
      </c>
      <c r="O6" s="69">
        <f>SUM('MDA1:NCA9'!O8)</f>
        <v>85.11</v>
      </c>
      <c r="P6" s="69">
        <f>SUM('MDA1:NCA9'!P8)</f>
        <v>91.329999999999984</v>
      </c>
      <c r="Q6" s="69">
        <f>SUM('MDA1:NCA9'!Q8)</f>
        <v>97.219999999999985</v>
      </c>
      <c r="R6" s="69">
        <f>SUM('MDA1:NCA9'!R8)</f>
        <v>102.22000000000001</v>
      </c>
      <c r="S6" s="69">
        <f>SUM('MDA1:NCA9'!S8)</f>
        <v>107.68000000000002</v>
      </c>
      <c r="T6" s="69">
        <f>SUM('MDA1:NCA9'!T8)</f>
        <v>113.21999999999998</v>
      </c>
      <c r="U6" s="69">
        <f>SUM('MDA1:NCA9'!U8)</f>
        <v>117.69000000000001</v>
      </c>
      <c r="V6" s="69">
        <f>SUM('MDA1:NCA9'!V8)</f>
        <v>121.89999999999999</v>
      </c>
      <c r="W6" s="69">
        <f>SUM('MDA1:NCA9'!W8)</f>
        <v>126.84</v>
      </c>
      <c r="X6" s="69">
        <f>SUM('MDA1:NCA9'!X8)</f>
        <v>131.99</v>
      </c>
      <c r="Y6" s="69">
        <f>SUM('MDA1:NCA9'!Y8)</f>
        <v>136.32</v>
      </c>
      <c r="Z6" s="69">
        <f>SUM('MDA1:NCA9'!Z8)</f>
        <v>141.03</v>
      </c>
      <c r="AA6" s="69">
        <f>SUM('MDA1:NCA9'!AA8)</f>
        <v>145.73999999999998</v>
      </c>
      <c r="AB6" s="69">
        <f>SUM('MDA1:NCA9'!AB8)</f>
        <v>150.16999999999999</v>
      </c>
      <c r="AC6" s="69">
        <f>SUM('MDA1:NCA9'!AC8)</f>
        <v>153.97</v>
      </c>
      <c r="AD6" s="69">
        <f>SUM('MDA1:NCA9'!AD8)</f>
        <v>157.98000000000002</v>
      </c>
      <c r="AE6" s="69">
        <f>SUM('MDA1:NCA9'!AE8)</f>
        <v>161.77000000000001</v>
      </c>
      <c r="AF6" s="69">
        <f>SUM('MDA1:NCA9'!AF8)</f>
        <v>165.41</v>
      </c>
      <c r="AG6" s="69">
        <f>SUM('MDA1:NCA9'!AG8)</f>
        <v>168.69</v>
      </c>
      <c r="AH6" s="69">
        <f>SUM('MDA1:NCA9'!AH8)</f>
        <v>172.81</v>
      </c>
      <c r="AI6" s="69">
        <f>SUM('MDA1:NCA9'!AI8)</f>
        <v>177.68</v>
      </c>
      <c r="AJ6" s="69">
        <f>SUM('MDA1:NCA9'!AJ8)</f>
        <v>182.59</v>
      </c>
      <c r="AK6" s="69">
        <f>SUM('MDA1:NCA9'!AK8)</f>
        <v>187.28</v>
      </c>
      <c r="AL6" s="69">
        <f>SUM('MDA1:NCA9'!AL8)</f>
        <v>191.61999999999998</v>
      </c>
      <c r="AM6" s="69">
        <f>SUM('MDA1:NCA9'!AM8)</f>
        <v>196.49000000000004</v>
      </c>
      <c r="AN6" s="69">
        <f>SUM('MDA1:NCA9'!AN8)</f>
        <v>201.08000000000004</v>
      </c>
    </row>
    <row r="7" spans="2:40" x14ac:dyDescent="0.25">
      <c r="B7" s="143"/>
      <c r="C7" s="3"/>
      <c r="D7" s="3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</row>
    <row r="8" spans="2:40" x14ac:dyDescent="0.25">
      <c r="B8" s="55" t="s">
        <v>391</v>
      </c>
      <c r="C8" s="3"/>
      <c r="D8" s="3"/>
      <c r="E8" s="69">
        <f>SUM('MDA1:NCA9'!E2)</f>
        <v>38.353858784893276</v>
      </c>
      <c r="F8" s="69">
        <f>SUM('MDA1:NCA9'!F2)</f>
        <v>43.806239737274211</v>
      </c>
      <c r="G8" s="69">
        <f>SUM('MDA1:NCA9'!G2)</f>
        <v>42.711001642036116</v>
      </c>
      <c r="H8" s="69">
        <f>SUM('MDA1:NCA9'!H2)</f>
        <v>44.877668308702795</v>
      </c>
      <c r="I8" s="69">
        <f>SUM('MDA1:NCA9'!I2)</f>
        <v>51.591954022988503</v>
      </c>
      <c r="J8" s="69">
        <f>SUM('MDA1:NCA9'!J2)</f>
        <v>55.306239737274218</v>
      </c>
      <c r="K8" s="69">
        <f>SUM('MDA1:NCA9'!K2)</f>
        <v>63.472906403940883</v>
      </c>
      <c r="L8" s="69">
        <f>SUM('MDA1:NCA9'!L2)</f>
        <v>71.83004926108373</v>
      </c>
      <c r="M8" s="69">
        <f>SUM('MDA1:NCA9'!M2)</f>
        <v>74.163382594417072</v>
      </c>
      <c r="N8" s="69">
        <f>SUM('MDA1:NCA9'!N2)</f>
        <v>79.663382594417087</v>
      </c>
      <c r="O8" s="69">
        <f>SUM('MDA1:NCA9'!O2)</f>
        <v>87.06814449917897</v>
      </c>
      <c r="P8" s="69">
        <f>SUM('MDA1:NCA9'!P2)</f>
        <v>92.615763546798021</v>
      </c>
      <c r="Q8" s="69">
        <f>SUM('MDA1:NCA9'!Q2)</f>
        <v>89.782430213464721</v>
      </c>
      <c r="R8" s="69">
        <f>SUM('MDA1:NCA9'!R2)</f>
        <v>92.711001642036123</v>
      </c>
      <c r="S8" s="69">
        <f>SUM('MDA1:NCA9'!S2)</f>
        <v>97.425287356321846</v>
      </c>
      <c r="T8" s="69">
        <f>SUM('MDA1:NCA9'!T2)</f>
        <v>97.591954022988531</v>
      </c>
      <c r="U8" s="69">
        <f>SUM('MDA1:NCA9'!U2)</f>
        <v>95.877668308702781</v>
      </c>
      <c r="V8" s="69">
        <f>SUM('MDA1:NCA9'!V2)</f>
        <v>96.830049261083744</v>
      </c>
      <c r="W8" s="69">
        <f>SUM('MDA1:NCA9'!W2)</f>
        <v>98.377668308702809</v>
      </c>
      <c r="X8" s="69">
        <f>SUM('MDA1:NCA9'!X2)</f>
        <v>101.6871921182266</v>
      </c>
      <c r="Y8" s="69">
        <f>SUM('MDA1:NCA9'!Y2)</f>
        <v>111.04433497536944</v>
      </c>
      <c r="Z8" s="69">
        <f>SUM('MDA1:NCA9'!Z2)</f>
        <v>111.54433497536947</v>
      </c>
      <c r="AA8" s="69">
        <f>SUM('MDA1:NCA9'!AA2)</f>
        <v>112.18719211822662</v>
      </c>
      <c r="AB8" s="69">
        <f>SUM('MDA1:NCA9'!AB2)</f>
        <v>113.97290640394087</v>
      </c>
      <c r="AC8" s="69">
        <f>SUM('MDA1:NCA9'!AC2)</f>
        <v>120.30623973727421</v>
      </c>
      <c r="AD8" s="69">
        <f>SUM('MDA1:NCA9'!AD2)</f>
        <v>121.59195402298852</v>
      </c>
      <c r="AE8" s="69">
        <f>SUM('MDA1:NCA9'!AE2)</f>
        <v>122.71100164203611</v>
      </c>
      <c r="AF8" s="69">
        <f>SUM('MDA1:NCA9'!AF2)</f>
        <v>124.0919540229885</v>
      </c>
      <c r="AG8" s="69">
        <f>SUM('MDA1:NCA9'!AG2)</f>
        <v>126.59195402298853</v>
      </c>
      <c r="AH8" s="69">
        <f>SUM('MDA1:NCA9'!AH2)</f>
        <v>129.09195402298849</v>
      </c>
      <c r="AI8" s="69">
        <f>SUM('MDA1:NCA9'!AI2)</f>
        <v>137.61576354679801</v>
      </c>
      <c r="AJ8" s="69">
        <f>SUM('MDA1:NCA9'!AJ2)</f>
        <v>137.28243021346472</v>
      </c>
      <c r="AK8" s="69">
        <f>SUM('MDA1:NCA9'!AK2)</f>
        <v>137.25862068965517</v>
      </c>
      <c r="AL8" s="69">
        <f>SUM('MDA1:NCA9'!AL2)</f>
        <v>144.97290640394087</v>
      </c>
      <c r="AM8" s="69">
        <f>SUM('MDA1:NCA9'!AM2)</f>
        <v>149.09195402298852</v>
      </c>
      <c r="AN8" s="69">
        <f>SUM('MDA1:NCA9'!AN2)</f>
        <v>151.92528735632183</v>
      </c>
    </row>
    <row r="9" spans="2:40" x14ac:dyDescent="0.25">
      <c r="B9" s="55" t="s">
        <v>392</v>
      </c>
      <c r="C9" s="3"/>
      <c r="D9" s="3"/>
      <c r="E9" s="69">
        <f>SUM('MDA1:NCA9'!E3)</f>
        <v>21.666666666666668</v>
      </c>
      <c r="F9" s="69">
        <f>SUM('MDA1:NCA9'!F3)</f>
        <v>23</v>
      </c>
      <c r="G9" s="69">
        <f>SUM('MDA1:NCA9'!G3)</f>
        <v>24.333333333333332</v>
      </c>
      <c r="H9" s="69">
        <f>SUM('MDA1:NCA9'!H3)</f>
        <v>26.000000000000004</v>
      </c>
      <c r="I9" s="69">
        <f>SUM('MDA1:NCA9'!I3)</f>
        <v>28</v>
      </c>
      <c r="J9" s="69">
        <f>SUM('MDA1:NCA9'!J3)</f>
        <v>29.999999999999996</v>
      </c>
      <c r="K9" s="69">
        <f>SUM('MDA1:NCA9'!K3)</f>
        <v>35.166666666666664</v>
      </c>
      <c r="L9" s="69">
        <f>SUM('MDA1:NCA9'!L3)</f>
        <v>37.666666666666664</v>
      </c>
      <c r="M9" s="69">
        <f>SUM('MDA1:NCA9'!M3)</f>
        <v>40.000000000000007</v>
      </c>
      <c r="N9" s="69">
        <f>SUM('MDA1:NCA9'!N3)</f>
        <v>42.5</v>
      </c>
      <c r="O9" s="69">
        <f>SUM('MDA1:NCA9'!O3)</f>
        <v>45.333333333333321</v>
      </c>
      <c r="P9" s="69">
        <f>SUM('MDA1:NCA9'!P3)</f>
        <v>48.500000000000007</v>
      </c>
      <c r="Q9" s="69">
        <f>SUM('MDA1:NCA9'!Q3)</f>
        <v>51.666666666666671</v>
      </c>
      <c r="R9" s="69">
        <f>SUM('MDA1:NCA9'!R3)</f>
        <v>54.666666666666657</v>
      </c>
      <c r="S9" s="69">
        <f>SUM('MDA1:NCA9'!S3)</f>
        <v>57.666666666666671</v>
      </c>
      <c r="T9" s="69">
        <f>SUM('MDA1:NCA9'!T3)</f>
        <v>60.833333333333336</v>
      </c>
      <c r="U9" s="69">
        <f>SUM('MDA1:NCA9'!U3)</f>
        <v>63.833333333333329</v>
      </c>
      <c r="V9" s="69">
        <f>SUM('MDA1:NCA9'!V3)</f>
        <v>66.5</v>
      </c>
      <c r="W9" s="69">
        <f>SUM('MDA1:NCA9'!W3)</f>
        <v>69.333333333333329</v>
      </c>
      <c r="X9" s="69">
        <f>SUM('MDA1:NCA9'!X3)</f>
        <v>72.500000000000014</v>
      </c>
      <c r="Y9" s="69">
        <f>SUM('MDA1:NCA9'!Y3)</f>
        <v>75.999999999999986</v>
      </c>
      <c r="Z9" s="69">
        <f>SUM('MDA1:NCA9'!Z3)</f>
        <v>79.5</v>
      </c>
      <c r="AA9" s="69">
        <f>SUM('MDA1:NCA9'!AA3)</f>
        <v>83.000000000000028</v>
      </c>
      <c r="AB9" s="69">
        <f>SUM('MDA1:NCA9'!AB3)</f>
        <v>86.499999999999986</v>
      </c>
      <c r="AC9" s="69">
        <f>SUM('MDA1:NCA9'!AC3)</f>
        <v>89.833333333333329</v>
      </c>
      <c r="AD9" s="69">
        <f>SUM('MDA1:NCA9'!AD3)</f>
        <v>92.833333333333343</v>
      </c>
      <c r="AE9" s="69">
        <f>SUM('MDA1:NCA9'!AE3)</f>
        <v>95.666666666666657</v>
      </c>
      <c r="AF9" s="69">
        <f>SUM('MDA1:NCA9'!AF3)</f>
        <v>98.333333333333343</v>
      </c>
      <c r="AG9" s="69">
        <f>SUM('MDA1:NCA9'!AG3)</f>
        <v>100.83333333333333</v>
      </c>
      <c r="AH9" s="69">
        <f>SUM('MDA1:NCA9'!AH3)</f>
        <v>103.33333333333333</v>
      </c>
      <c r="AI9" s="69">
        <f>SUM('MDA1:NCA9'!AI3)</f>
        <v>106.00000000000001</v>
      </c>
      <c r="AJ9" s="69">
        <f>SUM('MDA1:NCA9'!AJ3)</f>
        <v>108.66666666666667</v>
      </c>
      <c r="AK9" s="69">
        <f>SUM('MDA1:NCA9'!AK3)</f>
        <v>111.49999999999999</v>
      </c>
      <c r="AL9" s="69">
        <f>SUM('MDA1:NCA9'!AL3)</f>
        <v>114.50000000000003</v>
      </c>
      <c r="AM9" s="69">
        <f>SUM('MDA1:NCA9'!AM3)</f>
        <v>117.33333333333331</v>
      </c>
      <c r="AN9" s="69">
        <f>SUM('MDA1:NCA9'!AN3)</f>
        <v>120.16666666666667</v>
      </c>
    </row>
    <row r="10" spans="2:40" x14ac:dyDescent="0.25">
      <c r="B10" s="55" t="s">
        <v>393</v>
      </c>
      <c r="C10" s="3"/>
      <c r="D10" s="3"/>
      <c r="E10" s="69">
        <f>SUM('MDA1:NCA9'!E4)</f>
        <v>427.3538587848933</v>
      </c>
      <c r="F10" s="69">
        <f>SUM('MDA1:NCA9'!F4)</f>
        <v>453.80623973727421</v>
      </c>
      <c r="G10" s="69">
        <f>SUM('MDA1:NCA9'!G4)</f>
        <v>479.71100164203614</v>
      </c>
      <c r="H10" s="69">
        <f>SUM('MDA1:NCA9'!H4)</f>
        <v>510.87766830870282</v>
      </c>
      <c r="I10" s="69">
        <f>SUM('MDA1:NCA9'!I4)</f>
        <v>541.59195402298849</v>
      </c>
      <c r="J10" s="69">
        <f>SUM('MDA1:NCA9'!J4)</f>
        <v>575.30623973727415</v>
      </c>
      <c r="K10" s="69">
        <f>SUM('MDA1:NCA9'!K4)</f>
        <v>622.4729064039409</v>
      </c>
      <c r="L10" s="69">
        <f>SUM('MDA1:NCA9'!L4)</f>
        <v>661.83004926108367</v>
      </c>
      <c r="M10" s="69">
        <f>SUM('MDA1:NCA9'!M4)</f>
        <v>700.16338259441704</v>
      </c>
      <c r="N10" s="69">
        <f>SUM('MDA1:NCA9'!N4)</f>
        <v>744.66338259441716</v>
      </c>
      <c r="O10" s="69">
        <f>SUM('MDA1:NCA9'!O4)</f>
        <v>797.06814449917897</v>
      </c>
      <c r="P10" s="69">
        <f>SUM('MDA1:NCA9'!P4)</f>
        <v>850.61576354679801</v>
      </c>
      <c r="Q10" s="69">
        <f>SUM('MDA1:NCA9'!Q4)</f>
        <v>893.78243021346464</v>
      </c>
      <c r="R10" s="69">
        <f>SUM('MDA1:NCA9'!R4)</f>
        <v>936.71100164203608</v>
      </c>
      <c r="S10" s="69">
        <f>SUM('MDA1:NCA9'!S4)</f>
        <v>984.42528735632186</v>
      </c>
      <c r="T10" s="69">
        <f>SUM('MDA1:NCA9'!T4)</f>
        <v>1028.5919540229884</v>
      </c>
      <c r="U10" s="69">
        <f>SUM('MDA1:NCA9'!U4)</f>
        <v>1062.8776683087026</v>
      </c>
      <c r="V10" s="69">
        <f>SUM('MDA1:NCA9'!V4)</f>
        <v>1097.8300492610838</v>
      </c>
      <c r="W10" s="69">
        <f>SUM('MDA1:NCA9'!W4)</f>
        <v>1138.3776683087028</v>
      </c>
      <c r="X10" s="69">
        <f>SUM('MDA1:NCA9'!X4)</f>
        <v>1181.6871921182264</v>
      </c>
      <c r="Y10" s="69">
        <f>SUM('MDA1:NCA9'!Y4)</f>
        <v>1225.0443349753693</v>
      </c>
      <c r="Z10" s="69">
        <f>SUM('MDA1:NCA9'!Z4)</f>
        <v>1263.5443349753696</v>
      </c>
      <c r="AA10" s="69">
        <f>SUM('MDA1:NCA9'!AA4)</f>
        <v>1302.1871921182264</v>
      </c>
      <c r="AB10" s="69">
        <f>SUM('MDA1:NCA9'!AB4)</f>
        <v>1338.9729064039409</v>
      </c>
      <c r="AC10" s="69">
        <f>SUM('MDA1:NCA9'!AC4)</f>
        <v>1375.3062397372742</v>
      </c>
      <c r="AD10" s="69">
        <f>SUM('MDA1:NCA9'!AD4)</f>
        <v>1408.5919540229884</v>
      </c>
      <c r="AE10" s="69">
        <f>SUM('MDA1:NCA9'!AE4)</f>
        <v>1439.7110016420361</v>
      </c>
      <c r="AF10" s="69">
        <f>SUM('MDA1:NCA9'!AF4)</f>
        <v>1469.0919540229884</v>
      </c>
      <c r="AG10" s="69">
        <f>SUM('MDA1:NCA9'!AG4)</f>
        <v>1497.5919540229884</v>
      </c>
      <c r="AH10" s="69">
        <f>SUM('MDA1:NCA9'!AH4)</f>
        <v>1532.0919540229886</v>
      </c>
      <c r="AI10" s="69">
        <f>SUM('MDA1:NCA9'!AI4)</f>
        <v>1578.615763546798</v>
      </c>
      <c r="AJ10" s="69">
        <f>SUM('MDA1:NCA9'!AJ4)</f>
        <v>1615.2824302134647</v>
      </c>
      <c r="AK10" s="69">
        <f>SUM('MDA1:NCA9'!AK4)</f>
        <v>1651.2586206896553</v>
      </c>
      <c r="AL10" s="69">
        <f>SUM('MDA1:NCA9'!AL4)</f>
        <v>1692.9729064039407</v>
      </c>
      <c r="AM10" s="69">
        <f>SUM('MDA1:NCA9'!AM4)</f>
        <v>1735.0919540229884</v>
      </c>
      <c r="AN10" s="69">
        <f>SUM('MDA1:NCA9'!AN4)</f>
        <v>1772.9252873563221</v>
      </c>
    </row>
    <row r="11" spans="2:40" x14ac:dyDescent="0.25">
      <c r="B11" s="3"/>
      <c r="C11" s="3"/>
      <c r="D11" s="3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</row>
    <row r="12" spans="2:40" hidden="1" outlineLevel="1" x14ac:dyDescent="0.25"/>
    <row r="13" spans="2:40" hidden="1" outlineLevel="1" x14ac:dyDescent="0.25"/>
    <row r="14" spans="2:40" hidden="1" outlineLevel="1" x14ac:dyDescent="0.25"/>
    <row r="15" spans="2:40" hidden="1" outlineLevel="1" x14ac:dyDescent="0.25"/>
    <row r="16" spans="2:40" hidden="1" outlineLevel="1" x14ac:dyDescent="0.25"/>
    <row r="17" spans="2:49" hidden="1" outlineLevel="1" x14ac:dyDescent="0.25"/>
    <row r="18" spans="2:49" hidden="1" outlineLevel="1" x14ac:dyDescent="0.25"/>
    <row r="19" spans="2:49" hidden="1" outlineLevel="1" x14ac:dyDescent="0.25"/>
    <row r="20" spans="2:49" hidden="1" outlineLevel="1" x14ac:dyDescent="0.25"/>
    <row r="21" spans="2:49" hidden="1" outlineLevel="1" x14ac:dyDescent="0.25"/>
    <row r="22" spans="2:49" hidden="1" outlineLevel="1" x14ac:dyDescent="0.25"/>
    <row r="23" spans="2:49" hidden="1" outlineLevel="1" x14ac:dyDescent="0.25"/>
    <row r="24" spans="2:49" hidden="1" outlineLevel="1" x14ac:dyDescent="0.25"/>
    <row r="25" spans="2:49" collapsed="1" x14ac:dyDescent="0.25">
      <c r="B25" s="1" t="s">
        <v>21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</row>
    <row r="26" spans="2:49" hidden="1" outlineLevel="1" x14ac:dyDescent="0.25"/>
    <row r="27" spans="2:49" hidden="1" outlineLevel="1" x14ac:dyDescent="0.25"/>
    <row r="28" spans="2:49" hidden="1" outlineLevel="1" x14ac:dyDescent="0.25"/>
    <row r="29" spans="2:49" hidden="1" outlineLevel="1" x14ac:dyDescent="0.25"/>
    <row r="30" spans="2:49" hidden="1" outlineLevel="1" x14ac:dyDescent="0.25"/>
    <row r="31" spans="2:49" hidden="1" outlineLevel="1" x14ac:dyDescent="0.25"/>
    <row r="32" spans="2:49" hidden="1" outlineLevel="1" x14ac:dyDescent="0.25"/>
    <row r="33" spans="2:40" hidden="1" outlineLevel="1" x14ac:dyDescent="0.25"/>
    <row r="34" spans="2:40" hidden="1" outlineLevel="1" x14ac:dyDescent="0.25"/>
    <row r="35" spans="2:40" hidden="1" outlineLevel="1" x14ac:dyDescent="0.25"/>
    <row r="36" spans="2:40" collapsed="1" x14ac:dyDescent="0.25">
      <c r="B36" s="39" t="s">
        <v>261</v>
      </c>
      <c r="C36" s="4"/>
      <c r="E36" s="12" cm="1">
        <f t="array" ref="E36:AN36">_xlfn.ANCHORARRAY(E25)*0</f>
        <v>0</v>
      </c>
      <c r="F36" s="12">
        <v>0</v>
      </c>
      <c r="G36" s="12">
        <v>0</v>
      </c>
      <c r="H36" s="12">
        <v>0</v>
      </c>
      <c r="I36" s="12">
        <v>0</v>
      </c>
      <c r="J36" s="12">
        <v>0</v>
      </c>
      <c r="K36" s="12">
        <v>0</v>
      </c>
      <c r="L36" s="12">
        <v>0</v>
      </c>
      <c r="M36" s="12">
        <v>0</v>
      </c>
      <c r="N36" s="12">
        <v>0</v>
      </c>
      <c r="O36" s="12">
        <v>0</v>
      </c>
      <c r="P36" s="12">
        <v>0</v>
      </c>
      <c r="Q36" s="12">
        <v>0</v>
      </c>
      <c r="R36" s="12">
        <v>0</v>
      </c>
      <c r="S36" s="12">
        <v>0</v>
      </c>
      <c r="T36" s="12">
        <v>0</v>
      </c>
      <c r="U36" s="12">
        <v>0</v>
      </c>
      <c r="V36" s="12">
        <v>0</v>
      </c>
      <c r="W36" s="12">
        <v>0</v>
      </c>
      <c r="X36" s="12">
        <v>0</v>
      </c>
      <c r="Y36" s="12">
        <v>0</v>
      </c>
      <c r="Z36" s="12">
        <v>0</v>
      </c>
      <c r="AA36" s="12">
        <v>0</v>
      </c>
      <c r="AB36" s="12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271</v>
      </c>
      <c r="C37" s="15"/>
      <c r="E37" s="13" cm="1">
        <f t="array" ref="E37:AN37">_xlfn.BYCOL(_xlfn.ANCHORARRAY(E36),_xlfn.LAMBDA(_xlpm.rev,SUM(_xlpm.rev)))</f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0</v>
      </c>
      <c r="S37" s="13">
        <v>0</v>
      </c>
      <c r="T37" s="13">
        <v>0</v>
      </c>
      <c r="U37" s="13">
        <v>0</v>
      </c>
      <c r="V37" s="13">
        <v>0</v>
      </c>
      <c r="W37" s="13">
        <v>0</v>
      </c>
      <c r="X37" s="13">
        <v>0</v>
      </c>
      <c r="Y37" s="13">
        <v>0</v>
      </c>
      <c r="Z37" s="13">
        <v>0</v>
      </c>
      <c r="AA37" s="13">
        <v>0</v>
      </c>
      <c r="AB37" s="13">
        <v>0</v>
      </c>
      <c r="AC37" s="13">
        <v>0</v>
      </c>
      <c r="AD37" s="13">
        <v>0</v>
      </c>
      <c r="AE37" s="13">
        <v>0</v>
      </c>
      <c r="AF37" s="13">
        <v>0</v>
      </c>
      <c r="AG37" s="13">
        <v>0</v>
      </c>
      <c r="AH37" s="13">
        <v>0</v>
      </c>
      <c r="AI37" s="13">
        <v>0</v>
      </c>
      <c r="AJ37" s="13">
        <v>0</v>
      </c>
      <c r="AK37" s="13">
        <v>0</v>
      </c>
      <c r="AL37" s="13">
        <v>0</v>
      </c>
      <c r="AM37" s="13">
        <v>0</v>
      </c>
      <c r="AN37" s="13">
        <v>0</v>
      </c>
    </row>
    <row r="39" spans="2:40" x14ac:dyDescent="0.25">
      <c r="B39" s="1" t="s">
        <v>118</v>
      </c>
      <c r="E39" s="90"/>
    </row>
    <row r="40" spans="2:40" x14ac:dyDescent="0.25">
      <c r="B40" s="39" t="s">
        <v>23</v>
      </c>
      <c r="E40" s="90" cm="1">
        <f t="array" ref="E40:AN40">_xlfn.LET(_xlpm.site,$B$1&amp;"-"&amp;$C$1,_xlpm.locations,Base!$D$4:$BD$4,_xlpm.headcount,Base!$D$186:$D$254,_xlpm.benefits,1+_xlfn.XLOOKUP(_xlpm.site,_xlpm.locations,Base!$D$124:$BD$124,0,0),
_xlpm.core_comp,Base!$C$186:$C$254*Base!$D$186:$D$254*_xlfn.XLOOKUP(YEAR(_xlfn.ANCHORARRAY($E$25)),Base!$BJ$4:$BL$4,Base!$BJ$186:$BL$254,0,0),
_xlpm.scale_comp,($E$1:$AN$1/Base!$D$257:$D$271)*Base!$C$257:$C$271*_xlfn.XLOOKUP(YEAR(_xlfn.ANCHORARRAY($E$25)),Base!$BJ$4:$BL$4,Base!$BJ$257:$BL$271,0,0),
_xlfn.BYCOL(_xlfn.VSTACK(_xlpm.core_comp,_xlpm.scale_comp),_xlfn.LAMBDA(_xlpm.a,SUM(_xlpm.a)*_xlpm.benefits)))</f>
        <v>755240.90400703845</v>
      </c>
      <c r="F40" s="12">
        <v>763892.34098428243</v>
      </c>
      <c r="G40" s="12">
        <v>775015.61709788116</v>
      </c>
      <c r="H40" s="12">
        <v>786962.83959026542</v>
      </c>
      <c r="I40" s="12">
        <v>796850.19613568659</v>
      </c>
      <c r="J40" s="12">
        <v>809209.39181746345</v>
      </c>
      <c r="K40" s="12">
        <v>825276.34620377328</v>
      </c>
      <c r="L40" s="12">
        <v>838047.51507494273</v>
      </c>
      <c r="M40" s="12">
        <v>852878.54989307444</v>
      </c>
      <c r="N40" s="12">
        <v>868945.50427938451</v>
      </c>
      <c r="O40" s="12">
        <v>887484.29780204967</v>
      </c>
      <c r="P40" s="12">
        <v>907259.01089289202</v>
      </c>
      <c r="Q40" s="12">
        <v>1018830.7553654452</v>
      </c>
      <c r="R40" s="12">
        <v>1036957.5756987176</v>
      </c>
      <c r="S40" s="12">
        <v>1056443.9075569857</v>
      </c>
      <c r="T40" s="12">
        <v>1076383.4099235856</v>
      </c>
      <c r="U40" s="12">
        <v>1092697.5482235306</v>
      </c>
      <c r="V40" s="12">
        <v>1108105.3455068122</v>
      </c>
      <c r="W40" s="12">
        <v>1125778.995331753</v>
      </c>
      <c r="X40" s="12">
        <v>1143905.8156650257</v>
      </c>
      <c r="Y40" s="12">
        <v>1159313.6129483078</v>
      </c>
      <c r="Z40" s="12">
        <v>1176534.0922649163</v>
      </c>
      <c r="AA40" s="12">
        <v>1193754.5715815253</v>
      </c>
      <c r="AB40" s="12">
        <v>1209615.5393731389</v>
      </c>
      <c r="AC40" s="12">
        <v>1345531.7200854018</v>
      </c>
      <c r="AD40" s="12">
        <v>1361483.321978682</v>
      </c>
      <c r="AE40" s="12">
        <v>1376437.9487536319</v>
      </c>
      <c r="AF40" s="12">
        <v>1390395.6004102519</v>
      </c>
      <c r="AG40" s="12">
        <v>1403356.2769485414</v>
      </c>
      <c r="AH40" s="12">
        <v>1419307.8788418213</v>
      </c>
      <c r="AI40" s="12">
        <v>1438250.4060900907</v>
      </c>
      <c r="AJ40" s="12">
        <v>1456694.4457791962</v>
      </c>
      <c r="AK40" s="12">
        <v>1474639.9979091359</v>
      </c>
      <c r="AL40" s="12">
        <v>1491588.5749207458</v>
      </c>
      <c r="AM40" s="12">
        <v>1510531.1021690159</v>
      </c>
      <c r="AN40" s="12">
        <v>1527978.1667397907</v>
      </c>
    </row>
    <row r="41" spans="2:40" x14ac:dyDescent="0.25">
      <c r="B41" s="39" t="s">
        <v>388</v>
      </c>
      <c r="E41" s="12" cm="1">
        <f t="array" ref="E41:AN41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28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_xlfn.BYCOL(_xlpm.site_rent,_xlfn.LAMBDA(_xlpm.a,SUM(_xlpm.a)))*_xlpm.annual_increase)</f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0</v>
      </c>
      <c r="AJ42" s="12">
        <v>0</v>
      </c>
      <c r="AK42" s="12">
        <v>0</v>
      </c>
      <c r="AL42" s="12">
        <v>0</v>
      </c>
      <c r="AM42" s="12">
        <v>0</v>
      </c>
      <c r="AN42" s="12">
        <v>0</v>
      </c>
    </row>
    <row r="43" spans="2:40" x14ac:dyDescent="0.25">
      <c r="B43" s="39" t="s">
        <v>31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_xlfn.BYCOL(_xlpm.site_opex,_xlfn.LAMBDA(_xlpm.a,SUM(_xlpm.a)))*_xlpm.ann_incr)</f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0</v>
      </c>
      <c r="X43" s="12">
        <v>0</v>
      </c>
      <c r="Y43" s="12">
        <v>0</v>
      </c>
      <c r="Z43" s="12">
        <v>0</v>
      </c>
      <c r="AA43" s="12">
        <v>0</v>
      </c>
      <c r="AB43" s="12">
        <v>0</v>
      </c>
      <c r="AC43" s="12">
        <v>0</v>
      </c>
      <c r="AD43" s="12">
        <v>0</v>
      </c>
      <c r="AE43" s="12">
        <v>0</v>
      </c>
      <c r="AF43" s="12">
        <v>0</v>
      </c>
      <c r="AG43" s="12">
        <v>0</v>
      </c>
      <c r="AH43" s="12">
        <v>0</v>
      </c>
      <c r="AI43" s="12">
        <v>0</v>
      </c>
      <c r="AJ43" s="12">
        <v>0</v>
      </c>
      <c r="AK43" s="12">
        <v>0</v>
      </c>
      <c r="AL43" s="12">
        <v>0</v>
      </c>
      <c r="AM43" s="12">
        <v>0</v>
      </c>
      <c r="AN43" s="12">
        <v>0</v>
      </c>
    </row>
    <row r="44" spans="2:40" x14ac:dyDescent="0.25">
      <c r="B44" s="39" t="s">
        <v>34</v>
      </c>
      <c r="E44" s="12" cm="1">
        <f t="array" ref="E44:AN44">_xlfn.LET(_xlpm.site,$B$1&amp;"-"&amp;$C$1,_xlpm.locations,Base!$D$4:$BD$4,_xlpm.opex,_xlfn.VSTACK(Base!$D$160:$BD$160,Base!$D$166:$BD$166,Base!$D$174:$BD$174),
_xlpm.site_opex,_xlfn.XLOOKUP(_xlpm.site,_xlpm.locations,_xlpm.opex,0,0)*_xlfn.ANCHORARRAY($E$3),_xlpm.YoY_incr,Base!$BJ$129:$BL$133,_xlpm.fixed,SUM(Base!$D$161,Base!$D$167,(Base!$D$168*Base!$D$169),(Base!$D$170*Base!$D$171)),
_xlpm.ann_incr,_xlfn.XLOOKUP(YEAR(_xlfn.ANCHORARRAY($E$25)),Base!$BJ$4:$BL$4,_xlpm.YoY_incr,0,0),
_xlfn.BYCOL(_xlpm.site_opex,_xlfn.LAMBDA(_xlpm.a,SUM(_xlpm.a)+_xlpm.fixed))*_xlpm.ann_incr)</f>
        <v>42100.627122990052</v>
      </c>
      <c r="F44" s="12">
        <v>42578.820720889256</v>
      </c>
      <c r="G44" s="12">
        <v>43543.581061045385</v>
      </c>
      <c r="H44" s="12">
        <v>44203.94364862048</v>
      </c>
      <c r="I44" s="12">
        <v>44750.450617648137</v>
      </c>
      <c r="J44" s="12">
        <v>45433.584328932717</v>
      </c>
      <c r="K44" s="12">
        <v>46321.658153602672</v>
      </c>
      <c r="L44" s="12">
        <v>47377.502988596738</v>
      </c>
      <c r="M44" s="12">
        <v>48197.263442138232</v>
      </c>
      <c r="N44" s="12">
        <v>49085.337266808187</v>
      </c>
      <c r="O44" s="12">
        <v>50110.037833735048</v>
      </c>
      <c r="P44" s="12">
        <v>51203.051771790379</v>
      </c>
      <c r="Q44" s="12">
        <v>54340.544400923813</v>
      </c>
      <c r="R44" s="12">
        <v>55287.823147238429</v>
      </c>
      <c r="S44" s="12">
        <v>56306.14779952664</v>
      </c>
      <c r="T44" s="12">
        <v>57348.154420472718</v>
      </c>
      <c r="U44" s="12">
        <v>58200.705292155879</v>
      </c>
      <c r="V44" s="12">
        <v>59005.892226523298</v>
      </c>
      <c r="W44" s="12">
        <v>59929.489004180061</v>
      </c>
      <c r="X44" s="12">
        <v>60876.767750494677</v>
      </c>
      <c r="Y44" s="12">
        <v>61681.954684862088</v>
      </c>
      <c r="Z44" s="12">
        <v>62581.869493860984</v>
      </c>
      <c r="AA44" s="12">
        <v>63481.784302859873</v>
      </c>
      <c r="AB44" s="12">
        <v>64310.653205885166</v>
      </c>
      <c r="AC44" s="12">
        <v>68000.451860245972</v>
      </c>
      <c r="AD44" s="12">
        <v>68788.587777179739</v>
      </c>
      <c r="AE44" s="12">
        <v>69527.465199305123</v>
      </c>
      <c r="AF44" s="12">
        <v>70217.084126622183</v>
      </c>
      <c r="AG44" s="12">
        <v>70857.444559130861</v>
      </c>
      <c r="AH44" s="12">
        <v>71645.580476064628</v>
      </c>
      <c r="AI44" s="12">
        <v>72581.491877423483</v>
      </c>
      <c r="AJ44" s="12">
        <v>73492.774031378125</v>
      </c>
      <c r="AK44" s="12">
        <v>74379.426937928627</v>
      </c>
      <c r="AL44" s="12">
        <v>75216.821349670732</v>
      </c>
      <c r="AM44" s="12">
        <v>76152.732751029587</v>
      </c>
      <c r="AN44" s="12">
        <v>77014.756410175891</v>
      </c>
    </row>
    <row r="45" spans="2:40" x14ac:dyDescent="0.25">
      <c r="B45" s="39" t="s">
        <v>36</v>
      </c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_xlfn.BYCOL(_xlpm.site_opex,_xlfn.LAMBDA(_xlpm.a,SUM(_xlpm.a)))*_xlpm.ann_incr)</f>
        <v>36000</v>
      </c>
      <c r="F45" s="12">
        <v>36000</v>
      </c>
      <c r="G45" s="12">
        <v>36000</v>
      </c>
      <c r="H45" s="12">
        <v>36000</v>
      </c>
      <c r="I45" s="12">
        <v>36000</v>
      </c>
      <c r="J45" s="12">
        <v>36000</v>
      </c>
      <c r="K45" s="12">
        <v>36000</v>
      </c>
      <c r="L45" s="12">
        <v>36000</v>
      </c>
      <c r="M45" s="12">
        <v>36000</v>
      </c>
      <c r="N45" s="12">
        <v>36000</v>
      </c>
      <c r="O45" s="12">
        <v>36000</v>
      </c>
      <c r="P45" s="12">
        <v>36000</v>
      </c>
      <c r="Q45" s="12">
        <v>36720</v>
      </c>
      <c r="R45" s="12">
        <v>36720</v>
      </c>
      <c r="S45" s="12">
        <v>36720</v>
      </c>
      <c r="T45" s="12">
        <v>36720</v>
      </c>
      <c r="U45" s="12">
        <v>36720</v>
      </c>
      <c r="V45" s="12">
        <v>36720</v>
      </c>
      <c r="W45" s="12">
        <v>36720</v>
      </c>
      <c r="X45" s="12">
        <v>36720</v>
      </c>
      <c r="Y45" s="12">
        <v>36720</v>
      </c>
      <c r="Z45" s="12">
        <v>36720</v>
      </c>
      <c r="AA45" s="12">
        <v>36720</v>
      </c>
      <c r="AB45" s="12">
        <v>36720</v>
      </c>
      <c r="AC45" s="12">
        <v>37454.400000000001</v>
      </c>
      <c r="AD45" s="12">
        <v>37454.400000000001</v>
      </c>
      <c r="AE45" s="12">
        <v>37454.400000000001</v>
      </c>
      <c r="AF45" s="12">
        <v>37454.400000000001</v>
      </c>
      <c r="AG45" s="12">
        <v>37454.400000000001</v>
      </c>
      <c r="AH45" s="12">
        <v>37454.400000000001</v>
      </c>
      <c r="AI45" s="12">
        <v>37454.400000000001</v>
      </c>
      <c r="AJ45" s="12">
        <v>37454.400000000001</v>
      </c>
      <c r="AK45" s="12">
        <v>37454.400000000001</v>
      </c>
      <c r="AL45" s="12">
        <v>37454.400000000001</v>
      </c>
      <c r="AM45" s="12">
        <v>37454.400000000001</v>
      </c>
      <c r="AN45" s="12">
        <v>37454.400000000001</v>
      </c>
    </row>
    <row r="46" spans="2:40" x14ac:dyDescent="0.25">
      <c r="B46" s="39" t="s">
        <v>38</v>
      </c>
      <c r="E46" s="12" cm="1">
        <f t="array" ref="E46:AN46">_xlfn.LET(_xlpm.site,$B$1&amp;"-"&amp;$C$1,_xlpm.locations,Base!$D$4:$BD$4,_xlpm.opex,Base!$D$141:$BD$141,_xlpm.site_opex,_xlfn.XLOOKUP(_xlpm.site,_xlpm.locations,_xlpm.opex,0,0),
_xlpm.YoY_incr,Base!$BJ$167:$BL$167,_xlpm.ann_incr,_xlfn.XLOOKUP(YEAR(_xlfn.ANCHORARRAY($E$25)),Base!$BJ$4:$BL$4,_xlpm.YoY_incr,0,0),_xlpm.fte,_xlfn.ANCHORARRAY(E3),
_xlfn.BYCOL(_xlpm.site_opex,_xlfn.LAMBDA(_xlpm.a,SUM(_xlpm.a)))*_xlpm.ann_incr*_xlpm.fte)</f>
        <v>0</v>
      </c>
      <c r="F46" s="12">
        <v>0</v>
      </c>
      <c r="G46" s="12">
        <v>0</v>
      </c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0</v>
      </c>
      <c r="N46" s="12">
        <v>0</v>
      </c>
      <c r="O46" s="12">
        <v>0</v>
      </c>
      <c r="P46" s="12">
        <v>0</v>
      </c>
      <c r="Q46" s="12">
        <v>0</v>
      </c>
      <c r="R46" s="12">
        <v>0</v>
      </c>
      <c r="S46" s="12">
        <v>0</v>
      </c>
      <c r="T46" s="12">
        <v>0</v>
      </c>
      <c r="U46" s="12">
        <v>0</v>
      </c>
      <c r="V46" s="12">
        <v>0</v>
      </c>
      <c r="W46" s="12">
        <v>0</v>
      </c>
      <c r="X46" s="12">
        <v>0</v>
      </c>
      <c r="Y46" s="12">
        <v>0</v>
      </c>
      <c r="Z46" s="12">
        <v>0</v>
      </c>
      <c r="AA46" s="12">
        <v>0</v>
      </c>
      <c r="AB46" s="12">
        <v>0</v>
      </c>
      <c r="AC46" s="12">
        <v>0</v>
      </c>
      <c r="AD46" s="12">
        <v>0</v>
      </c>
      <c r="AE46" s="12">
        <v>0</v>
      </c>
      <c r="AF46" s="12">
        <v>0</v>
      </c>
      <c r="AG46" s="12">
        <v>0</v>
      </c>
      <c r="AH46" s="12">
        <v>0</v>
      </c>
      <c r="AI46" s="12">
        <v>0</v>
      </c>
      <c r="AJ46" s="12">
        <v>0</v>
      </c>
      <c r="AK46" s="12">
        <v>0</v>
      </c>
      <c r="AL46" s="12">
        <v>0</v>
      </c>
      <c r="AM46" s="12">
        <v>0</v>
      </c>
      <c r="AN46" s="12">
        <v>0</v>
      </c>
    </row>
    <row r="47" spans="2:40" x14ac:dyDescent="0.25">
      <c r="B47" s="39" t="s">
        <v>40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_xlfn.BYCOL(_xlpm.site_opex,_xlfn.LAMBDA(_xlpm.a,SUM(_xlpm.a)))*_xlpm.ann_incr)</f>
        <v>119500</v>
      </c>
      <c r="F47" s="12">
        <v>119500</v>
      </c>
      <c r="G47" s="12">
        <v>119500</v>
      </c>
      <c r="H47" s="12">
        <v>119500</v>
      </c>
      <c r="I47" s="12">
        <v>119500</v>
      </c>
      <c r="J47" s="12">
        <v>119500</v>
      </c>
      <c r="K47" s="12">
        <v>119500</v>
      </c>
      <c r="L47" s="12">
        <v>119500</v>
      </c>
      <c r="M47" s="12">
        <v>119500</v>
      </c>
      <c r="N47" s="12">
        <v>119500</v>
      </c>
      <c r="O47" s="12">
        <v>119500</v>
      </c>
      <c r="P47" s="12">
        <v>119500</v>
      </c>
      <c r="Q47" s="12">
        <v>125475</v>
      </c>
      <c r="R47" s="12">
        <v>125475</v>
      </c>
      <c r="S47" s="12">
        <v>125475</v>
      </c>
      <c r="T47" s="12">
        <v>125475</v>
      </c>
      <c r="U47" s="12">
        <v>125475</v>
      </c>
      <c r="V47" s="12">
        <v>125475</v>
      </c>
      <c r="W47" s="12">
        <v>125475</v>
      </c>
      <c r="X47" s="12">
        <v>125475</v>
      </c>
      <c r="Y47" s="12">
        <v>125475</v>
      </c>
      <c r="Z47" s="12">
        <v>125475</v>
      </c>
      <c r="AA47" s="12">
        <v>125475</v>
      </c>
      <c r="AB47" s="12">
        <v>125475</v>
      </c>
      <c r="AC47" s="12">
        <v>131748.75</v>
      </c>
      <c r="AD47" s="12">
        <v>131748.75</v>
      </c>
      <c r="AE47" s="12">
        <v>131748.75</v>
      </c>
      <c r="AF47" s="12">
        <v>131748.75</v>
      </c>
      <c r="AG47" s="12">
        <v>131748.75</v>
      </c>
      <c r="AH47" s="12">
        <v>131748.75</v>
      </c>
      <c r="AI47" s="12">
        <v>131748.75</v>
      </c>
      <c r="AJ47" s="12">
        <v>131748.75</v>
      </c>
      <c r="AK47" s="12">
        <v>131748.75</v>
      </c>
      <c r="AL47" s="12">
        <v>131748.75</v>
      </c>
      <c r="AM47" s="12">
        <v>131748.75</v>
      </c>
      <c r="AN47" s="12">
        <v>131748.75</v>
      </c>
    </row>
    <row r="48" spans="2:40" x14ac:dyDescent="0.25">
      <c r="B48" s="39" t="s">
        <v>41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42</v>
      </c>
      <c r="E49" s="183" cm="1">
        <f t="array" ref="E49:AN49">_xlfn.BYCOL(_xlfn.ANCHORARRAY($E$25),_xlfn.LAMBDA(_xlpm.a,0))</f>
        <v>0</v>
      </c>
      <c r="F49" s="12">
        <v>0</v>
      </c>
      <c r="G49" s="12">
        <v>0</v>
      </c>
      <c r="H49" s="12">
        <v>0</v>
      </c>
      <c r="I49" s="12">
        <v>0</v>
      </c>
      <c r="J49" s="12">
        <v>0</v>
      </c>
      <c r="K49" s="12">
        <v>0</v>
      </c>
      <c r="L49" s="12">
        <v>0</v>
      </c>
      <c r="M49" s="12">
        <v>0</v>
      </c>
      <c r="N49" s="12">
        <v>0</v>
      </c>
      <c r="O49" s="12">
        <v>0</v>
      </c>
      <c r="P49" s="12">
        <v>0</v>
      </c>
      <c r="Q49" s="12">
        <v>0</v>
      </c>
      <c r="R49" s="12">
        <v>0</v>
      </c>
      <c r="S49" s="12">
        <v>0</v>
      </c>
      <c r="T49" s="12">
        <v>0</v>
      </c>
      <c r="U49" s="12">
        <v>0</v>
      </c>
      <c r="V49" s="12">
        <v>0</v>
      </c>
      <c r="W49" s="12">
        <v>0</v>
      </c>
      <c r="X49" s="12">
        <v>0</v>
      </c>
      <c r="Y49" s="12">
        <v>0</v>
      </c>
      <c r="Z49" s="12">
        <v>0</v>
      </c>
      <c r="AA49" s="12">
        <v>0</v>
      </c>
      <c r="AB49" s="12">
        <v>0</v>
      </c>
      <c r="AC49" s="12">
        <v>0</v>
      </c>
      <c r="AD49" s="12">
        <v>0</v>
      </c>
      <c r="AE49" s="12">
        <v>0</v>
      </c>
      <c r="AF49" s="12">
        <v>0</v>
      </c>
      <c r="AG49" s="12">
        <v>0</v>
      </c>
      <c r="AH49" s="12">
        <v>0</v>
      </c>
      <c r="AI49" s="12">
        <v>0</v>
      </c>
      <c r="AJ49" s="12">
        <v>0</v>
      </c>
      <c r="AK49" s="12">
        <v>0</v>
      </c>
      <c r="AL49" s="12">
        <v>0</v>
      </c>
      <c r="AM49" s="12">
        <v>0</v>
      </c>
      <c r="AN49" s="12">
        <v>0</v>
      </c>
    </row>
    <row r="50" spans="2:40" x14ac:dyDescent="0.25">
      <c r="B50" s="1" t="s">
        <v>272</v>
      </c>
      <c r="E50" s="13" cm="1">
        <f t="array" ref="E50:AN50">_xlfn.BYCOL(_xlfn.VSTACK(_xlfn.ANCHORARRAY(E40),_xlfn.ANCHORARRAY(E41),_xlfn.ANCHORARRAY(E42),_xlfn.ANCHORARRAY(E43),_xlfn.ANCHORARRAY(E44),_xlfn.ANCHORARRAY(E45),_xlfn.ANCHORARRAY(E46),_xlfn.ANCHORARRAY(E47),_xlfn.ANCHORARRAY(E48),_xlfn.ANCHORARRAY(E49)),_xlfn.LAMBDA(_xlpm.a,SUM(_xlpm.a)))</f>
        <v>952841.53113002854</v>
      </c>
      <c r="F50" s="13">
        <v>961971.16170517169</v>
      </c>
      <c r="G50" s="13">
        <v>974059.19815892656</v>
      </c>
      <c r="H50" s="13">
        <v>986666.78323888592</v>
      </c>
      <c r="I50" s="13">
        <v>997100.64675333467</v>
      </c>
      <c r="J50" s="13">
        <v>1010142.9761463961</v>
      </c>
      <c r="K50" s="13">
        <v>1027098.0043573759</v>
      </c>
      <c r="L50" s="13">
        <v>1040925.0180635394</v>
      </c>
      <c r="M50" s="13">
        <v>1056575.8133352126</v>
      </c>
      <c r="N50" s="13">
        <v>1073530.8415461928</v>
      </c>
      <c r="O50" s="13">
        <v>1093094.3356357845</v>
      </c>
      <c r="P50" s="13">
        <v>1113962.0626646825</v>
      </c>
      <c r="Q50" s="13">
        <v>1235366.2997663689</v>
      </c>
      <c r="R50" s="13">
        <v>1254440.398845956</v>
      </c>
      <c r="S50" s="13">
        <v>1274945.0553565123</v>
      </c>
      <c r="T50" s="13">
        <v>1295926.5643440583</v>
      </c>
      <c r="U50" s="13">
        <v>1313093.2535156866</v>
      </c>
      <c r="V50" s="13">
        <v>1329306.2377333355</v>
      </c>
      <c r="W50" s="13">
        <v>1347903.4843359331</v>
      </c>
      <c r="X50" s="13">
        <v>1366977.5834155204</v>
      </c>
      <c r="Y50" s="13">
        <v>1383190.5676331699</v>
      </c>
      <c r="Z50" s="13">
        <v>1401310.9617587773</v>
      </c>
      <c r="AA50" s="13">
        <v>1419431.3558843851</v>
      </c>
      <c r="AB50" s="13">
        <v>1436121.192579024</v>
      </c>
      <c r="AC50" s="13">
        <v>1582735.3219456477</v>
      </c>
      <c r="AD50" s="13">
        <v>1599475.0597558615</v>
      </c>
      <c r="AE50" s="13">
        <v>1615168.563952937</v>
      </c>
      <c r="AF50" s="13">
        <v>1629815.834536874</v>
      </c>
      <c r="AG50" s="13">
        <v>1643416.8715076721</v>
      </c>
      <c r="AH50" s="13">
        <v>1660156.6093178859</v>
      </c>
      <c r="AI50" s="13">
        <v>1680035.047967514</v>
      </c>
      <c r="AJ50" s="13">
        <v>1699390.3698105742</v>
      </c>
      <c r="AK50" s="13">
        <v>1718222.5748470644</v>
      </c>
      <c r="AL50" s="13">
        <v>1736008.5462704164</v>
      </c>
      <c r="AM50" s="13">
        <v>1755886.9849200454</v>
      </c>
      <c r="AN50" s="13">
        <v>1774196.0731499665</v>
      </c>
    </row>
    <row r="51" spans="2:40" x14ac:dyDescent="0.25">
      <c r="C51" s="6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</row>
    <row r="52" spans="2:40" x14ac:dyDescent="0.25">
      <c r="B52" s="1" t="s">
        <v>48</v>
      </c>
      <c r="E52" s="74">
        <f>E37-E50</f>
        <v>-952841.53113002854</v>
      </c>
      <c r="F52" s="74">
        <f t="shared" ref="F52:AN52" si="0">F37-F50</f>
        <v>-961971.16170517169</v>
      </c>
      <c r="G52" s="74">
        <f t="shared" si="0"/>
        <v>-974059.19815892656</v>
      </c>
      <c r="H52" s="74">
        <f t="shared" si="0"/>
        <v>-986666.78323888592</v>
      </c>
      <c r="I52" s="74">
        <f t="shared" si="0"/>
        <v>-997100.64675333467</v>
      </c>
      <c r="J52" s="74">
        <f t="shared" si="0"/>
        <v>-1010142.9761463961</v>
      </c>
      <c r="K52" s="74">
        <f t="shared" si="0"/>
        <v>-1027098.0043573759</v>
      </c>
      <c r="L52" s="74">
        <f t="shared" si="0"/>
        <v>-1040925.0180635394</v>
      </c>
      <c r="M52" s="74">
        <f t="shared" si="0"/>
        <v>-1056575.8133352126</v>
      </c>
      <c r="N52" s="74">
        <f t="shared" si="0"/>
        <v>-1073530.8415461928</v>
      </c>
      <c r="O52" s="74">
        <f t="shared" si="0"/>
        <v>-1093094.3356357845</v>
      </c>
      <c r="P52" s="74">
        <f t="shared" si="0"/>
        <v>-1113962.0626646825</v>
      </c>
      <c r="Q52" s="74">
        <f t="shared" si="0"/>
        <v>-1235366.2997663689</v>
      </c>
      <c r="R52" s="74">
        <f t="shared" si="0"/>
        <v>-1254440.398845956</v>
      </c>
      <c r="S52" s="74">
        <f t="shared" si="0"/>
        <v>-1274945.0553565123</v>
      </c>
      <c r="T52" s="74">
        <f t="shared" si="0"/>
        <v>-1295926.5643440583</v>
      </c>
      <c r="U52" s="74">
        <f t="shared" si="0"/>
        <v>-1313093.2535156866</v>
      </c>
      <c r="V52" s="74">
        <f t="shared" si="0"/>
        <v>-1329306.2377333355</v>
      </c>
      <c r="W52" s="74">
        <f t="shared" si="0"/>
        <v>-1347903.4843359331</v>
      </c>
      <c r="X52" s="74">
        <f t="shared" si="0"/>
        <v>-1366977.5834155204</v>
      </c>
      <c r="Y52" s="74">
        <f t="shared" si="0"/>
        <v>-1383190.5676331699</v>
      </c>
      <c r="Z52" s="74">
        <f t="shared" si="0"/>
        <v>-1401310.9617587773</v>
      </c>
      <c r="AA52" s="74">
        <f t="shared" si="0"/>
        <v>-1419431.3558843851</v>
      </c>
      <c r="AB52" s="74">
        <f t="shared" si="0"/>
        <v>-1436121.192579024</v>
      </c>
      <c r="AC52" s="74">
        <f t="shared" si="0"/>
        <v>-1582735.3219456477</v>
      </c>
      <c r="AD52" s="74">
        <f t="shared" si="0"/>
        <v>-1599475.0597558615</v>
      </c>
      <c r="AE52" s="74">
        <f t="shared" si="0"/>
        <v>-1615168.563952937</v>
      </c>
      <c r="AF52" s="74">
        <f t="shared" si="0"/>
        <v>-1629815.834536874</v>
      </c>
      <c r="AG52" s="74">
        <f t="shared" si="0"/>
        <v>-1643416.8715076721</v>
      </c>
      <c r="AH52" s="74">
        <f t="shared" si="0"/>
        <v>-1660156.6093178859</v>
      </c>
      <c r="AI52" s="74">
        <f t="shared" si="0"/>
        <v>-1680035.047967514</v>
      </c>
      <c r="AJ52" s="74">
        <f t="shared" si="0"/>
        <v>-1699390.3698105742</v>
      </c>
      <c r="AK52" s="74">
        <f t="shared" si="0"/>
        <v>-1718222.5748470644</v>
      </c>
      <c r="AL52" s="74">
        <f t="shared" si="0"/>
        <v>-1736008.5462704164</v>
      </c>
      <c r="AM52" s="74">
        <f t="shared" si="0"/>
        <v>-1755886.9849200454</v>
      </c>
      <c r="AN52" s="74">
        <f t="shared" si="0"/>
        <v>-1774196.0731499665</v>
      </c>
    </row>
    <row r="53" spans="2:40" x14ac:dyDescent="0.25">
      <c r="B53" s="1"/>
      <c r="E53" s="109" t="str">
        <f>IFERROR(E52/E37,"")</f>
        <v/>
      </c>
      <c r="F53" s="109" t="str">
        <f t="shared" ref="F53:AN53" si="1">IFERROR(F52/F37,"")</f>
        <v/>
      </c>
      <c r="G53" s="109" t="str">
        <f t="shared" si="1"/>
        <v/>
      </c>
      <c r="H53" s="109" t="str">
        <f t="shared" si="1"/>
        <v/>
      </c>
      <c r="I53" s="109" t="str">
        <f t="shared" si="1"/>
        <v/>
      </c>
      <c r="J53" s="109" t="str">
        <f t="shared" si="1"/>
        <v/>
      </c>
      <c r="K53" s="109" t="str">
        <f t="shared" si="1"/>
        <v/>
      </c>
      <c r="L53" s="109" t="str">
        <f t="shared" si="1"/>
        <v/>
      </c>
      <c r="M53" s="109" t="str">
        <f t="shared" si="1"/>
        <v/>
      </c>
      <c r="N53" s="109" t="str">
        <f t="shared" si="1"/>
        <v/>
      </c>
      <c r="O53" s="109" t="str">
        <f t="shared" si="1"/>
        <v/>
      </c>
      <c r="P53" s="109" t="str">
        <f t="shared" si="1"/>
        <v/>
      </c>
      <c r="Q53" s="109" t="str">
        <f t="shared" si="1"/>
        <v/>
      </c>
      <c r="R53" s="109" t="str">
        <f t="shared" si="1"/>
        <v/>
      </c>
      <c r="S53" s="109" t="str">
        <f t="shared" si="1"/>
        <v/>
      </c>
      <c r="T53" s="109" t="str">
        <f t="shared" si="1"/>
        <v/>
      </c>
      <c r="U53" s="109" t="str">
        <f t="shared" si="1"/>
        <v/>
      </c>
      <c r="V53" s="109" t="str">
        <f t="shared" si="1"/>
        <v/>
      </c>
      <c r="W53" s="109" t="str">
        <f t="shared" si="1"/>
        <v/>
      </c>
      <c r="X53" s="109" t="str">
        <f t="shared" si="1"/>
        <v/>
      </c>
      <c r="Y53" s="109" t="str">
        <f t="shared" si="1"/>
        <v/>
      </c>
      <c r="Z53" s="109" t="str">
        <f t="shared" si="1"/>
        <v/>
      </c>
      <c r="AA53" s="109" t="str">
        <f t="shared" si="1"/>
        <v/>
      </c>
      <c r="AB53" s="109" t="str">
        <f t="shared" si="1"/>
        <v/>
      </c>
      <c r="AC53" s="109" t="str">
        <f t="shared" si="1"/>
        <v/>
      </c>
      <c r="AD53" s="109" t="str">
        <f t="shared" si="1"/>
        <v/>
      </c>
      <c r="AE53" s="109" t="str">
        <f t="shared" si="1"/>
        <v/>
      </c>
      <c r="AF53" s="109" t="str">
        <f t="shared" si="1"/>
        <v/>
      </c>
      <c r="AG53" s="109" t="str">
        <f t="shared" si="1"/>
        <v/>
      </c>
      <c r="AH53" s="109" t="str">
        <f t="shared" si="1"/>
        <v/>
      </c>
      <c r="AI53" s="109" t="str">
        <f t="shared" si="1"/>
        <v/>
      </c>
      <c r="AJ53" s="109" t="str">
        <f t="shared" si="1"/>
        <v/>
      </c>
      <c r="AK53" s="109" t="str">
        <f t="shared" si="1"/>
        <v/>
      </c>
      <c r="AL53" s="109" t="str">
        <f t="shared" si="1"/>
        <v/>
      </c>
      <c r="AM53" s="109" t="str">
        <f t="shared" si="1"/>
        <v/>
      </c>
      <c r="AN53" s="109" t="str">
        <f t="shared" si="1"/>
        <v/>
      </c>
    </row>
    <row r="54" spans="2:40" x14ac:dyDescent="0.25">
      <c r="B54" s="1" t="s">
        <v>274</v>
      </c>
      <c r="E54" s="74">
        <f t="shared" ref="E54:J54" si="2">E52-E80</f>
        <v>-952841.53113002854</v>
      </c>
      <c r="F54" s="74">
        <f t="shared" si="2"/>
        <v>-961971.16170517169</v>
      </c>
      <c r="G54" s="74">
        <f t="shared" si="2"/>
        <v>-974059.19815892656</v>
      </c>
      <c r="H54" s="74">
        <f t="shared" si="2"/>
        <v>-986666.78323888592</v>
      </c>
      <c r="I54" s="74">
        <f t="shared" si="2"/>
        <v>-997100.64675333467</v>
      </c>
      <c r="J54" s="74">
        <f t="shared" si="2"/>
        <v>-1010142.9761463961</v>
      </c>
      <c r="K54" s="74">
        <f t="shared" ref="K54:AN54" si="3">K52-K67</f>
        <v>-1027098.0043573759</v>
      </c>
      <c r="L54" s="74">
        <f t="shared" si="3"/>
        <v>-1040925.0180635394</v>
      </c>
      <c r="M54" s="74">
        <f t="shared" si="3"/>
        <v>-1056575.8133352126</v>
      </c>
      <c r="N54" s="74">
        <f t="shared" si="3"/>
        <v>-1073530.8415461928</v>
      </c>
      <c r="O54" s="74">
        <f t="shared" si="3"/>
        <v>-1093094.3356357845</v>
      </c>
      <c r="P54" s="74">
        <f t="shared" si="3"/>
        <v>-1113962.0626646825</v>
      </c>
      <c r="Q54" s="74">
        <f t="shared" si="3"/>
        <v>-1235366.2997663689</v>
      </c>
      <c r="R54" s="74">
        <f t="shared" si="3"/>
        <v>-1254440.398845956</v>
      </c>
      <c r="S54" s="74">
        <f t="shared" si="3"/>
        <v>-1274945.0553565123</v>
      </c>
      <c r="T54" s="74">
        <f t="shared" si="3"/>
        <v>-1295926.5643440583</v>
      </c>
      <c r="U54" s="74">
        <f t="shared" si="3"/>
        <v>-1313093.2535156866</v>
      </c>
      <c r="V54" s="74">
        <f t="shared" si="3"/>
        <v>-1329306.2377333355</v>
      </c>
      <c r="W54" s="74">
        <f t="shared" si="3"/>
        <v>-1347903.4843359331</v>
      </c>
      <c r="X54" s="74">
        <f t="shared" si="3"/>
        <v>-1366977.5834155204</v>
      </c>
      <c r="Y54" s="74">
        <f t="shared" si="3"/>
        <v>-1383190.5676331699</v>
      </c>
      <c r="Z54" s="74">
        <f t="shared" si="3"/>
        <v>-1401310.9617587773</v>
      </c>
      <c r="AA54" s="74">
        <f t="shared" si="3"/>
        <v>-1419431.3558843851</v>
      </c>
      <c r="AB54" s="74">
        <f t="shared" si="3"/>
        <v>-1436121.192579024</v>
      </c>
      <c r="AC54" s="74">
        <f t="shared" si="3"/>
        <v>-1582735.3219456477</v>
      </c>
      <c r="AD54" s="74">
        <f t="shared" si="3"/>
        <v>-1599475.0597558615</v>
      </c>
      <c r="AE54" s="74">
        <f t="shared" si="3"/>
        <v>-1615168.563952937</v>
      </c>
      <c r="AF54" s="74">
        <f t="shared" si="3"/>
        <v>-1629815.834536874</v>
      </c>
      <c r="AG54" s="74">
        <f t="shared" si="3"/>
        <v>-1643416.8715076721</v>
      </c>
      <c r="AH54" s="74">
        <f t="shared" si="3"/>
        <v>-1660156.6093178859</v>
      </c>
      <c r="AI54" s="74">
        <f t="shared" si="3"/>
        <v>-1680035.047967514</v>
      </c>
      <c r="AJ54" s="74">
        <f t="shared" si="3"/>
        <v>-1699390.3698105742</v>
      </c>
      <c r="AK54" s="74">
        <f t="shared" si="3"/>
        <v>-1718222.5748470644</v>
      </c>
      <c r="AL54" s="74">
        <f t="shared" si="3"/>
        <v>-1736008.5462704164</v>
      </c>
      <c r="AM54" s="74">
        <f t="shared" si="3"/>
        <v>-1755886.9849200454</v>
      </c>
      <c r="AN54" s="74">
        <f t="shared" si="3"/>
        <v>-1774196.0731499665</v>
      </c>
    </row>
    <row r="55" spans="2:40" x14ac:dyDescent="0.25">
      <c r="C55" s="6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</row>
    <row r="56" spans="2:40" x14ac:dyDescent="0.25">
      <c r="B56" t="s">
        <v>57</v>
      </c>
      <c r="C56" s="12" cm="1">
        <f t="array" ref="C56">_xlfn.LET(_xlpm.site,$B$1&amp;"-"&amp;$C$1,_xlpm.locations,_xlfn.DROP(CAPEX!$D$2:$BD$2,0,3),_xlpm.capex,_xlfn.DROP(CAPEX!$D27:$BD$27,0,3),_xlpm.site_dates,_xlfn.DROP(CAPEX!$D$3:$BD$3,0,3),
_xlpm.site_capex,_xlfn.XLOOKUP(_xlpm.site,_xlpm.locations,_xlpm.capex,0,0),_xlpm.site_capex)</f>
        <v>0</v>
      </c>
      <c r="D56" s="12">
        <f>C56-SUM(_xlfn.ANCHORARRAY(E56))</f>
        <v>0</v>
      </c>
      <c r="E56" s="12" cm="1">
        <f t="array" ref="E56:AN56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_xlfn.BYCOL(_xlfn.ANCHORARRAY($E$25),_xlfn.LAMBDA(_xlpm.a,IF(SUM(--(_xlpm.a=_xlpm.capex_months)),$C$56/_xlpm.site_months,0))))</f>
        <v>0</v>
      </c>
      <c r="F56" s="13">
        <v>0</v>
      </c>
      <c r="G56" s="13">
        <v>0</v>
      </c>
      <c r="H56" s="13">
        <v>0</v>
      </c>
      <c r="I56" s="13">
        <v>0</v>
      </c>
      <c r="J56" s="13">
        <v>0</v>
      </c>
      <c r="K56" s="13">
        <v>0</v>
      </c>
      <c r="L56" s="13">
        <v>0</v>
      </c>
      <c r="M56" s="13">
        <v>0</v>
      </c>
      <c r="N56" s="13">
        <v>0</v>
      </c>
      <c r="O56" s="13">
        <v>0</v>
      </c>
      <c r="P56" s="13">
        <v>0</v>
      </c>
      <c r="Q56" s="13">
        <v>0</v>
      </c>
      <c r="R56" s="13">
        <v>0</v>
      </c>
      <c r="S56" s="13">
        <v>0</v>
      </c>
      <c r="T56" s="13">
        <v>0</v>
      </c>
      <c r="U56" s="13">
        <v>0</v>
      </c>
      <c r="V56" s="13">
        <v>0</v>
      </c>
      <c r="W56" s="13">
        <v>0</v>
      </c>
      <c r="X56" s="13">
        <v>0</v>
      </c>
      <c r="Y56" s="13">
        <v>0</v>
      </c>
      <c r="Z56" s="13">
        <v>0</v>
      </c>
      <c r="AA56" s="13">
        <v>0</v>
      </c>
      <c r="AB56" s="13">
        <v>0</v>
      </c>
      <c r="AC56" s="13">
        <v>0</v>
      </c>
      <c r="AD56" s="13">
        <v>0</v>
      </c>
      <c r="AE56" s="13">
        <v>0</v>
      </c>
      <c r="AF56" s="13">
        <v>0</v>
      </c>
      <c r="AG56" s="13">
        <v>0</v>
      </c>
      <c r="AH56" s="13">
        <v>0</v>
      </c>
      <c r="AI56" s="13">
        <v>0</v>
      </c>
      <c r="AJ56" s="13">
        <v>0</v>
      </c>
      <c r="AK56" s="13">
        <v>0</v>
      </c>
      <c r="AL56" s="13">
        <v>0</v>
      </c>
      <c r="AM56" s="13">
        <v>0</v>
      </c>
      <c r="AN56" s="13">
        <v>0</v>
      </c>
    </row>
    <row r="57" spans="2:40" x14ac:dyDescent="0.25">
      <c r="B57" t="s">
        <v>469</v>
      </c>
      <c r="E57" s="12" cm="1">
        <f t="array" ref="E57">_xlfn.LET(_xlpm.site,$B$1&amp;"-"&amp;$C$1,_xlpm.locations,Base!$D$4:$BD$4,_xlpm.ar_col,Base!$D$13:$BD$18,_xlpm.site_col,_xlfn.XLOOKUP(_xlpm.site,_xlpm.locations,_xlpm.ar_col,0,0),
_xlpm.rev_1,E$37,_xlpm.rev_1*_xlfn.CHOOSEROWS(_xlpm.site_col,1))</f>
        <v>0</v>
      </c>
      <c r="F57" s="12" cm="1">
        <f t="array" ref="F57">_xlfn.LET(_xlpm.site,$B$1&amp;"-"&amp;$C$1,_xlpm.locations,Base!$D$4:$BD$4,_xlpm.ar_col,Base!$D$13:$BD$18,_xlpm.site_col,_xlfn.XLOOKUP(_xlpm.site,_xlpm.locations,_xlpm.ar_col,0,0),
_xlpm.rev_1,F$37,_xlpm.rev_1*_xlfn.CHOOSEROWS(_xlpm.site_col,1))</f>
        <v>0</v>
      </c>
      <c r="G57" s="12" cm="1">
        <f t="array" ref="G57">_xlfn.LET(_xlpm.site,$B$1&amp;"-"&amp;$C$1,_xlpm.locations,Base!$D$4:$BD$4,_xlpm.ar_col,Base!$D$13:$BD$18,_xlpm.site_col,_xlfn.XLOOKUP(_xlpm.site,_xlpm.locations,_xlpm.ar_col,0,0),
_xlpm.rev_1,G$37,_xlpm.rev_1*_xlfn.CHOOSEROWS(_xlpm.site_col,1))</f>
        <v>0</v>
      </c>
      <c r="H57" s="12" cm="1">
        <f t="array" ref="H57">_xlfn.LET(_xlpm.site,$B$1&amp;"-"&amp;$C$1,_xlpm.locations,Base!$D$4:$BD$4,_xlpm.ar_col,Base!$D$13:$BD$18,_xlpm.site_col,_xlfn.XLOOKUP(_xlpm.site,_xlpm.locations,_xlpm.ar_col,0,0),
_xlpm.rev_1,H$37,_xlpm.rev_1*_xlfn.CHOOSEROWS(_xlpm.site_col,1))</f>
        <v>0</v>
      </c>
      <c r="I57" s="12" cm="1">
        <f t="array" ref="I57">_xlfn.LET(_xlpm.site,$B$1&amp;"-"&amp;$C$1,_xlpm.locations,Base!$D$4:$BD$4,_xlpm.ar_col,Base!$D$13:$BD$18,_xlpm.site_col,_xlfn.XLOOKUP(_xlpm.site,_xlpm.locations,_xlpm.ar_col,0,0),
_xlpm.rev_1,I$37,_xlpm.rev_1*_xlfn.CHOOSEROWS(_xlpm.site_col,1))</f>
        <v>0</v>
      </c>
      <c r="J57" s="12" cm="1">
        <f t="array" ref="J57">_xlfn.LET(_xlpm.site,$B$1&amp;"-"&amp;$C$1,_xlpm.locations,Base!$D$4:$BD$4,_xlpm.ar_col,Base!$D$13:$BD$18,_xlpm.site_col,_xlfn.XLOOKUP(_xlpm.site,_xlpm.locations,_xlpm.ar_col,0,0),
_xlpm.rev_1,J$37,_xlpm.rev_1*_xlfn.CHOOSEROWS(_xlpm.site_col,1))</f>
        <v>0</v>
      </c>
      <c r="K57" s="12" cm="1">
        <f t="array" ref="K57">_xlfn.LET(_xlpm.site,$B$1&amp;"-"&amp;$C$1,_xlpm.locations,Base!$D$4:$BD$4,_xlpm.ar_col,Base!$D$13:$BD$18,_xlpm.site_col,_xlfn.XLOOKUP(_xlpm.site,_xlpm.locations,_xlpm.ar_col,0,0),
_xlpm.rev_1,K$37,_xlpm.rev_1*_xlfn.CHOOSEROWS(_xlpm.site_col,1))</f>
        <v>0</v>
      </c>
      <c r="L57" s="12" cm="1">
        <f t="array" ref="L57">_xlfn.LET(_xlpm.site,$B$1&amp;"-"&amp;$C$1,_xlpm.locations,Base!$D$4:$BD$4,_xlpm.ar_col,Base!$D$13:$BD$18,_xlpm.site_col,_xlfn.XLOOKUP(_xlpm.site,_xlpm.locations,_xlpm.ar_col,0,0),
_xlpm.rev_1,L$37,_xlpm.rev_1*_xlfn.CHOOSEROWS(_xlpm.site_col,1))</f>
        <v>0</v>
      </c>
      <c r="M57" s="12" cm="1">
        <f t="array" ref="M57">_xlfn.LET(_xlpm.site,$B$1&amp;"-"&amp;$C$1,_xlpm.locations,Base!$D$4:$BD$4,_xlpm.ar_col,Base!$D$13:$BD$18,_xlpm.site_col,_xlfn.XLOOKUP(_xlpm.site,_xlpm.locations,_xlpm.ar_col,0,0),
_xlpm.rev_1,M$37,_xlpm.rev_1*_xlfn.CHOOSEROWS(_xlpm.site_col,1))</f>
        <v>0</v>
      </c>
      <c r="N57" s="12" cm="1">
        <f t="array" ref="N57">_xlfn.LET(_xlpm.site,$B$1&amp;"-"&amp;$C$1,_xlpm.locations,Base!$D$4:$BD$4,_xlpm.ar_col,Base!$D$13:$BD$18,_xlpm.site_col,_xlfn.XLOOKUP(_xlpm.site,_xlpm.locations,_xlpm.ar_col,0,0),
_xlpm.rev_1,N$37,_xlpm.rev_1*_xlfn.CHOOSEROWS(_xlpm.site_col,1))</f>
        <v>0</v>
      </c>
      <c r="O57" s="12" cm="1">
        <f t="array" ref="O57">_xlfn.LET(_xlpm.site,$B$1&amp;"-"&amp;$C$1,_xlpm.locations,Base!$D$4:$BD$4,_xlpm.ar_col,Base!$D$13:$BD$18,_xlpm.site_col,_xlfn.XLOOKUP(_xlpm.site,_xlpm.locations,_xlpm.ar_col,0,0),
_xlpm.rev_1,O$37,_xlpm.rev_1*_xlfn.CHOOSEROWS(_xlpm.site_col,1))</f>
        <v>0</v>
      </c>
      <c r="P57" s="12" cm="1">
        <f t="array" ref="P57">_xlfn.LET(_xlpm.site,$B$1&amp;"-"&amp;$C$1,_xlpm.locations,Base!$D$4:$BD$4,_xlpm.ar_col,Base!$D$13:$BD$18,_xlpm.site_col,_xlfn.XLOOKUP(_xlpm.site,_xlpm.locations,_xlpm.ar_col,0,0),
_xlpm.rev_1,P$37,_xlpm.rev_1*_xlfn.CHOOSEROWS(_xlpm.site_col,1))</f>
        <v>0</v>
      </c>
      <c r="Q57" s="12" cm="1">
        <f t="array" ref="Q57">_xlfn.LET(_xlpm.site,$B$1&amp;"-"&amp;$C$1,_xlpm.locations,Base!$D$4:$BD$4,_xlpm.ar_col,Base!$D$13:$BD$18,_xlpm.site_col,_xlfn.XLOOKUP(_xlpm.site,_xlpm.locations,_xlpm.ar_col,0,0),
_xlpm.rev_1,Q$37,_xlpm.rev_1*_xlfn.CHOOSEROWS(_xlpm.site_col,1))</f>
        <v>0</v>
      </c>
      <c r="R57" s="12" cm="1">
        <f t="array" ref="R57">_xlfn.LET(_xlpm.site,$B$1&amp;"-"&amp;$C$1,_xlpm.locations,Base!$D$4:$BD$4,_xlpm.ar_col,Base!$D$13:$BD$18,_xlpm.site_col,_xlfn.XLOOKUP(_xlpm.site,_xlpm.locations,_xlpm.ar_col,0,0),
_xlpm.rev_1,R$37,_xlpm.rev_1*_xlfn.CHOOSEROWS(_xlpm.site_col,1))</f>
        <v>0</v>
      </c>
      <c r="S57" s="12" cm="1">
        <f t="array" ref="S57">_xlfn.LET(_xlpm.site,$B$1&amp;"-"&amp;$C$1,_xlpm.locations,Base!$D$4:$BD$4,_xlpm.ar_col,Base!$D$13:$BD$18,_xlpm.site_col,_xlfn.XLOOKUP(_xlpm.site,_xlpm.locations,_xlpm.ar_col,0,0),
_xlpm.rev_1,S$37,_xlpm.rev_1*_xlfn.CHOOSEROWS(_xlpm.site_col,1))</f>
        <v>0</v>
      </c>
      <c r="T57" s="12" cm="1">
        <f t="array" ref="T57">_xlfn.LET(_xlpm.site,$B$1&amp;"-"&amp;$C$1,_xlpm.locations,Base!$D$4:$BD$4,_xlpm.ar_col,Base!$D$13:$BD$18,_xlpm.site_col,_xlfn.XLOOKUP(_xlpm.site,_xlpm.locations,_xlpm.ar_col,0,0),
_xlpm.rev_1,T$37,_xlpm.rev_1*_xlfn.CHOOSEROWS(_xlpm.site_col,1))</f>
        <v>0</v>
      </c>
      <c r="U57" s="12" cm="1">
        <f t="array" ref="U57">_xlfn.LET(_xlpm.site,$B$1&amp;"-"&amp;$C$1,_xlpm.locations,Base!$D$4:$BD$4,_xlpm.ar_col,Base!$D$13:$BD$18,_xlpm.site_col,_xlfn.XLOOKUP(_xlpm.site,_xlpm.locations,_xlpm.ar_col,0,0),
_xlpm.rev_1,U$37,_xlpm.rev_1*_xlfn.CHOOSEROWS(_xlpm.site_col,1))</f>
        <v>0</v>
      </c>
      <c r="V57" s="12" cm="1">
        <f t="array" ref="V57">_xlfn.LET(_xlpm.site,$B$1&amp;"-"&amp;$C$1,_xlpm.locations,Base!$D$4:$BD$4,_xlpm.ar_col,Base!$D$13:$BD$18,_xlpm.site_col,_xlfn.XLOOKUP(_xlpm.site,_xlpm.locations,_xlpm.ar_col,0,0),
_xlpm.rev_1,V$37,_xlpm.rev_1*_xlfn.CHOOSEROWS(_xlpm.site_col,1))</f>
        <v>0</v>
      </c>
      <c r="W57" s="12" cm="1">
        <f t="array" ref="W57">_xlfn.LET(_xlpm.site,$B$1&amp;"-"&amp;$C$1,_xlpm.locations,Base!$D$4:$BD$4,_xlpm.ar_col,Base!$D$13:$BD$18,_xlpm.site_col,_xlfn.XLOOKUP(_xlpm.site,_xlpm.locations,_xlpm.ar_col,0,0),
_xlpm.rev_1,W$37,_xlpm.rev_1*_xlfn.CHOOSEROWS(_xlpm.site_col,1))</f>
        <v>0</v>
      </c>
      <c r="X57" s="12" cm="1">
        <f t="array" ref="X57">_xlfn.LET(_xlpm.site,$B$1&amp;"-"&amp;$C$1,_xlpm.locations,Base!$D$4:$BD$4,_xlpm.ar_col,Base!$D$13:$BD$18,_xlpm.site_col,_xlfn.XLOOKUP(_xlpm.site,_xlpm.locations,_xlpm.ar_col,0,0),
_xlpm.rev_1,X$37,_xlpm.rev_1*_xlfn.CHOOSEROWS(_xlpm.site_col,1))</f>
        <v>0</v>
      </c>
      <c r="Y57" s="12" cm="1">
        <f t="array" ref="Y57">_xlfn.LET(_xlpm.site,$B$1&amp;"-"&amp;$C$1,_xlpm.locations,Base!$D$4:$BD$4,_xlpm.ar_col,Base!$D$13:$BD$18,_xlpm.site_col,_xlfn.XLOOKUP(_xlpm.site,_xlpm.locations,_xlpm.ar_col,0,0),
_xlpm.rev_1,Y$37,_xlpm.rev_1*_xlfn.CHOOSEROWS(_xlpm.site_col,1))</f>
        <v>0</v>
      </c>
      <c r="Z57" s="12" cm="1">
        <f t="array" ref="Z57">_xlfn.LET(_xlpm.site,$B$1&amp;"-"&amp;$C$1,_xlpm.locations,Base!$D$4:$BD$4,_xlpm.ar_col,Base!$D$13:$BD$18,_xlpm.site_col,_xlfn.XLOOKUP(_xlpm.site,_xlpm.locations,_xlpm.ar_col,0,0),
_xlpm.rev_1,Z$37,_xlpm.rev_1*_xlfn.CHOOSEROWS(_xlpm.site_col,1))</f>
        <v>0</v>
      </c>
      <c r="AA57" s="12" cm="1">
        <f t="array" ref="AA57">_xlfn.LET(_xlpm.site,$B$1&amp;"-"&amp;$C$1,_xlpm.locations,Base!$D$4:$BD$4,_xlpm.ar_col,Base!$D$13:$BD$18,_xlpm.site_col,_xlfn.XLOOKUP(_xlpm.site,_xlpm.locations,_xlpm.ar_col,0,0),
_xlpm.rev_1,AA$37,_xlpm.rev_1*_xlfn.CHOOSEROWS(_xlpm.site_col,1))</f>
        <v>0</v>
      </c>
      <c r="AB57" s="12" cm="1">
        <f t="array" ref="AB57">_xlfn.LET(_xlpm.site,$B$1&amp;"-"&amp;$C$1,_xlpm.locations,Base!$D$4:$BD$4,_xlpm.ar_col,Base!$D$13:$BD$18,_xlpm.site_col,_xlfn.XLOOKUP(_xlpm.site,_xlpm.locations,_xlpm.ar_col,0,0),
_xlpm.rev_1,AB$37,_xlpm.rev_1*_xlfn.CHOOSEROWS(_xlpm.site_col,1))</f>
        <v>0</v>
      </c>
      <c r="AC57" s="12" cm="1">
        <f t="array" ref="AC57">_xlfn.LET(_xlpm.site,$B$1&amp;"-"&amp;$C$1,_xlpm.locations,Base!$D$4:$BD$4,_xlpm.ar_col,Base!$D$13:$BD$18,_xlpm.site_col,_xlfn.XLOOKUP(_xlpm.site,_xlpm.locations,_xlpm.ar_col,0,0),
_xlpm.rev_1,AC$37,_xlpm.rev_1*_xlfn.CHOOSEROWS(_xlpm.site_col,1))</f>
        <v>0</v>
      </c>
      <c r="AD57" s="12" cm="1">
        <f t="array" ref="AD57">_xlfn.LET(_xlpm.site,$B$1&amp;"-"&amp;$C$1,_xlpm.locations,Base!$D$4:$BD$4,_xlpm.ar_col,Base!$D$13:$BD$18,_xlpm.site_col,_xlfn.XLOOKUP(_xlpm.site,_xlpm.locations,_xlpm.ar_col,0,0),
_xlpm.rev_1,AD$37,_xlpm.rev_1*_xlfn.CHOOSEROWS(_xlpm.site_col,1))</f>
        <v>0</v>
      </c>
      <c r="AE57" s="12" cm="1">
        <f t="array" ref="AE57">_xlfn.LET(_xlpm.site,$B$1&amp;"-"&amp;$C$1,_xlpm.locations,Base!$D$4:$BD$4,_xlpm.ar_col,Base!$D$13:$BD$18,_xlpm.site_col,_xlfn.XLOOKUP(_xlpm.site,_xlpm.locations,_xlpm.ar_col,0,0),
_xlpm.rev_1,AE$37,_xlpm.rev_1*_xlfn.CHOOSEROWS(_xlpm.site_col,1))</f>
        <v>0</v>
      </c>
      <c r="AF57" s="12" cm="1">
        <f t="array" ref="AF57">_xlfn.LET(_xlpm.site,$B$1&amp;"-"&amp;$C$1,_xlpm.locations,Base!$D$4:$BD$4,_xlpm.ar_col,Base!$D$13:$BD$18,_xlpm.site_col,_xlfn.XLOOKUP(_xlpm.site,_xlpm.locations,_xlpm.ar_col,0,0),
_xlpm.rev_1,AF$37,_xlpm.rev_1*_xlfn.CHOOSEROWS(_xlpm.site_col,1))</f>
        <v>0</v>
      </c>
      <c r="AG57" s="12" cm="1">
        <f t="array" ref="AG57">_xlfn.LET(_xlpm.site,$B$1&amp;"-"&amp;$C$1,_xlpm.locations,Base!$D$4:$BD$4,_xlpm.ar_col,Base!$D$13:$BD$18,_xlpm.site_col,_xlfn.XLOOKUP(_xlpm.site,_xlpm.locations,_xlpm.ar_col,0,0),
_xlpm.rev_1,AG$37,_xlpm.rev_1*_xlfn.CHOOSEROWS(_xlpm.site_col,1))</f>
        <v>0</v>
      </c>
      <c r="AH57" s="12" cm="1">
        <f t="array" ref="AH57">_xlfn.LET(_xlpm.site,$B$1&amp;"-"&amp;$C$1,_xlpm.locations,Base!$D$4:$BD$4,_xlpm.ar_col,Base!$D$13:$BD$18,_xlpm.site_col,_xlfn.XLOOKUP(_xlpm.site,_xlpm.locations,_xlpm.ar_col,0,0),
_xlpm.rev_1,AH$37,_xlpm.rev_1*_xlfn.CHOOSEROWS(_xlpm.site_col,1))</f>
        <v>0</v>
      </c>
      <c r="AI57" s="12" cm="1">
        <f t="array" ref="AI57">_xlfn.LET(_xlpm.site,$B$1&amp;"-"&amp;$C$1,_xlpm.locations,Base!$D$4:$BD$4,_xlpm.ar_col,Base!$D$13:$BD$18,_xlpm.site_col,_xlfn.XLOOKUP(_xlpm.site,_xlpm.locations,_xlpm.ar_col,0,0),
_xlpm.rev_1,AI$37,_xlpm.rev_1*_xlfn.CHOOSEROWS(_xlpm.site_col,1))</f>
        <v>0</v>
      </c>
      <c r="AJ57" s="12" cm="1">
        <f t="array" ref="AJ57">_xlfn.LET(_xlpm.site,$B$1&amp;"-"&amp;$C$1,_xlpm.locations,Base!$D$4:$BD$4,_xlpm.ar_col,Base!$D$13:$BD$18,_xlpm.site_col,_xlfn.XLOOKUP(_xlpm.site,_xlpm.locations,_xlpm.ar_col,0,0),
_xlpm.rev_1,AJ$37,_xlpm.rev_1*_xlfn.CHOOSEROWS(_xlpm.site_col,1))</f>
        <v>0</v>
      </c>
      <c r="AK57" s="12" cm="1">
        <f t="array" ref="AK57">_xlfn.LET(_xlpm.site,$B$1&amp;"-"&amp;$C$1,_xlpm.locations,Base!$D$4:$BD$4,_xlpm.ar_col,Base!$D$13:$BD$18,_xlpm.site_col,_xlfn.XLOOKUP(_xlpm.site,_xlpm.locations,_xlpm.ar_col,0,0),
_xlpm.rev_1,AK$37,_xlpm.rev_1*_xlfn.CHOOSEROWS(_xlpm.site_col,1))</f>
        <v>0</v>
      </c>
      <c r="AL57" s="12" cm="1">
        <f t="array" ref="AL57">_xlfn.LET(_xlpm.site,$B$1&amp;"-"&amp;$C$1,_xlpm.locations,Base!$D$4:$BD$4,_xlpm.ar_col,Base!$D$13:$BD$18,_xlpm.site_col,_xlfn.XLOOKUP(_xlpm.site,_xlpm.locations,_xlpm.ar_col,0,0),
_xlpm.rev_1,AL$37,_xlpm.rev_1*_xlfn.CHOOSEROWS(_xlpm.site_col,1))</f>
        <v>0</v>
      </c>
      <c r="AM57" s="12" cm="1">
        <f t="array" ref="AM57">_xlfn.LET(_xlpm.site,$B$1&amp;"-"&amp;$C$1,_xlpm.locations,Base!$D$4:$BD$4,_xlpm.ar_col,Base!$D$13:$BD$18,_xlpm.site_col,_xlfn.XLOOKUP(_xlpm.site,_xlpm.locations,_xlpm.ar_col,0,0),
_xlpm.rev_1,AM$37,_xlpm.rev_1*_xlfn.CHOOSEROWS(_xlpm.site_col,1))</f>
        <v>0</v>
      </c>
      <c r="AN57" s="12" cm="1">
        <f t="array" ref="AN57">_xlfn.LET(_xlpm.site,$B$1&amp;"-"&amp;$C$1,_xlpm.locations,Base!$D$4:$BD$4,_xlpm.ar_col,Base!$D$13:$BD$18,_xlpm.site_col,_xlfn.XLOOKUP(_xlpm.site,_xlpm.locations,_xlpm.ar_col,0,0),
_xlpm.rev_1,AN$37,_xlpm.rev_1*_xlfn.CHOOSEROWS(_xlpm.site_col,1))</f>
        <v>0</v>
      </c>
    </row>
    <row r="58" spans="2:40" x14ac:dyDescent="0.25"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</row>
    <row r="59" spans="2:40" x14ac:dyDescent="0.25">
      <c r="B59" s="1" t="s">
        <v>276</v>
      </c>
      <c r="E59" s="13">
        <f>E37-E50-E56+E57</f>
        <v>-952841.53113002854</v>
      </c>
      <c r="F59" s="13">
        <f t="shared" ref="F59:AN59" si="4">F37-F50-F56+F57</f>
        <v>-961971.16170517169</v>
      </c>
      <c r="G59" s="13">
        <f t="shared" si="4"/>
        <v>-974059.19815892656</v>
      </c>
      <c r="H59" s="13">
        <f t="shared" si="4"/>
        <v>-986666.78323888592</v>
      </c>
      <c r="I59" s="13">
        <f t="shared" si="4"/>
        <v>-997100.64675333467</v>
      </c>
      <c r="J59" s="13">
        <f t="shared" si="4"/>
        <v>-1010142.9761463961</v>
      </c>
      <c r="K59" s="13">
        <f t="shared" si="4"/>
        <v>-1027098.0043573759</v>
      </c>
      <c r="L59" s="13">
        <f t="shared" si="4"/>
        <v>-1040925.0180635394</v>
      </c>
      <c r="M59" s="13">
        <f t="shared" si="4"/>
        <v>-1056575.8133352126</v>
      </c>
      <c r="N59" s="13">
        <f t="shared" si="4"/>
        <v>-1073530.8415461928</v>
      </c>
      <c r="O59" s="13">
        <f t="shared" si="4"/>
        <v>-1093094.3356357845</v>
      </c>
      <c r="P59" s="13">
        <f t="shared" si="4"/>
        <v>-1113962.0626646825</v>
      </c>
      <c r="Q59" s="13">
        <f t="shared" si="4"/>
        <v>-1235366.2997663689</v>
      </c>
      <c r="R59" s="13">
        <f t="shared" si="4"/>
        <v>-1254440.398845956</v>
      </c>
      <c r="S59" s="13">
        <f t="shared" si="4"/>
        <v>-1274945.0553565123</v>
      </c>
      <c r="T59" s="13">
        <f t="shared" si="4"/>
        <v>-1295926.5643440583</v>
      </c>
      <c r="U59" s="13">
        <f t="shared" si="4"/>
        <v>-1313093.2535156866</v>
      </c>
      <c r="V59" s="13">
        <f t="shared" si="4"/>
        <v>-1329306.2377333355</v>
      </c>
      <c r="W59" s="13">
        <f t="shared" si="4"/>
        <v>-1347903.4843359331</v>
      </c>
      <c r="X59" s="13">
        <f t="shared" si="4"/>
        <v>-1366977.5834155204</v>
      </c>
      <c r="Y59" s="13">
        <f t="shared" si="4"/>
        <v>-1383190.5676331699</v>
      </c>
      <c r="Z59" s="13">
        <f t="shared" si="4"/>
        <v>-1401310.9617587773</v>
      </c>
      <c r="AA59" s="13">
        <f t="shared" si="4"/>
        <v>-1419431.3558843851</v>
      </c>
      <c r="AB59" s="13">
        <f t="shared" si="4"/>
        <v>-1436121.192579024</v>
      </c>
      <c r="AC59" s="13">
        <f t="shared" si="4"/>
        <v>-1582735.3219456477</v>
      </c>
      <c r="AD59" s="13">
        <f t="shared" si="4"/>
        <v>-1599475.0597558615</v>
      </c>
      <c r="AE59" s="13">
        <f t="shared" si="4"/>
        <v>-1615168.563952937</v>
      </c>
      <c r="AF59" s="13">
        <f t="shared" si="4"/>
        <v>-1629815.834536874</v>
      </c>
      <c r="AG59" s="13">
        <f t="shared" si="4"/>
        <v>-1643416.8715076721</v>
      </c>
      <c r="AH59" s="13">
        <f t="shared" si="4"/>
        <v>-1660156.6093178859</v>
      </c>
      <c r="AI59" s="13">
        <f t="shared" si="4"/>
        <v>-1680035.047967514</v>
      </c>
      <c r="AJ59" s="13">
        <f t="shared" si="4"/>
        <v>-1699390.3698105742</v>
      </c>
      <c r="AK59" s="13">
        <f t="shared" si="4"/>
        <v>-1718222.5748470644</v>
      </c>
      <c r="AL59" s="13">
        <f t="shared" si="4"/>
        <v>-1736008.5462704164</v>
      </c>
      <c r="AM59" s="13">
        <f t="shared" si="4"/>
        <v>-1755886.9849200454</v>
      </c>
      <c r="AN59" s="13">
        <f t="shared" si="4"/>
        <v>-1774196.0731499665</v>
      </c>
    </row>
    <row r="60" spans="2:40" x14ac:dyDescent="0.25">
      <c r="B60" t="s">
        <v>277</v>
      </c>
      <c r="E60" s="12" cm="1">
        <f t="array" ref="E60:AN60">_xlfn.SCAN(-D56,E59:AN59,_xlfn.LAMBDA(_xlpm.capex,_xlpm.fcf,_xlpm.capex+_xlpm.fcf))</f>
        <v>-952841.53113002854</v>
      </c>
      <c r="F60" s="12">
        <v>-1914812.6928352001</v>
      </c>
      <c r="G60" s="12">
        <v>-2888871.8909941269</v>
      </c>
      <c r="H60" s="12">
        <v>-3875538.6742330128</v>
      </c>
      <c r="I60" s="12">
        <v>-4872639.3209863473</v>
      </c>
      <c r="J60" s="12">
        <v>-5882782.2971327435</v>
      </c>
      <c r="K60" s="12">
        <v>-6909880.3014901197</v>
      </c>
      <c r="L60" s="12">
        <v>-7950805.3195536593</v>
      </c>
      <c r="M60" s="12">
        <v>-9007381.1328888722</v>
      </c>
      <c r="N60" s="12">
        <v>-10080911.974435065</v>
      </c>
      <c r="O60" s="12">
        <v>-11174006.31007085</v>
      </c>
      <c r="P60" s="12">
        <v>-12287968.372735532</v>
      </c>
      <c r="Q60" s="12">
        <v>-13523334.672501901</v>
      </c>
      <c r="R60" s="12">
        <v>-14777775.071347857</v>
      </c>
      <c r="S60" s="12">
        <v>-16052720.126704369</v>
      </c>
      <c r="T60" s="12">
        <v>-17348646.691048428</v>
      </c>
      <c r="U60" s="12">
        <v>-18661739.944564115</v>
      </c>
      <c r="V60" s="12">
        <v>-19991046.18229745</v>
      </c>
      <c r="W60" s="12">
        <v>-21338949.666633382</v>
      </c>
      <c r="X60" s="12">
        <v>-22705927.250048902</v>
      </c>
      <c r="Y60" s="12">
        <v>-24089117.817682073</v>
      </c>
      <c r="Z60" s="12">
        <v>-25490428.77944085</v>
      </c>
      <c r="AA60" s="12">
        <v>-26909860.135325234</v>
      </c>
      <c r="AB60" s="12">
        <v>-28345981.327904258</v>
      </c>
      <c r="AC60" s="12">
        <v>-29928716.649849907</v>
      </c>
      <c r="AD60" s="12">
        <v>-31528191.709605768</v>
      </c>
      <c r="AE60" s="12">
        <v>-33143360.273558706</v>
      </c>
      <c r="AF60" s="12">
        <v>-34773176.108095579</v>
      </c>
      <c r="AG60" s="12">
        <v>-36416592.979603253</v>
      </c>
      <c r="AH60" s="12">
        <v>-38076749.588921137</v>
      </c>
      <c r="AI60" s="12">
        <v>-39756784.636888653</v>
      </c>
      <c r="AJ60" s="12">
        <v>-41456175.006699227</v>
      </c>
      <c r="AK60" s="12">
        <v>-43174397.581546292</v>
      </c>
      <c r="AL60" s="12">
        <v>-44910406.127816707</v>
      </c>
      <c r="AM60" s="12">
        <v>-46666293.112736754</v>
      </c>
      <c r="AN60" s="12">
        <v>-48440489.185886718</v>
      </c>
    </row>
    <row r="62" spans="2:40" x14ac:dyDescent="0.25">
      <c r="B62" s="1"/>
    </row>
    <row r="63" spans="2:40" x14ac:dyDescent="0.25">
      <c r="B63" s="39"/>
      <c r="C63" s="12"/>
      <c r="K63" s="67"/>
      <c r="L63" s="67"/>
      <c r="M63" s="67"/>
      <c r="N63" s="67"/>
      <c r="O63" s="67"/>
      <c r="P63" s="67"/>
      <c r="Q63" s="67"/>
      <c r="R63" s="67"/>
      <c r="S63" s="67"/>
      <c r="T63" s="67"/>
      <c r="U63" s="67"/>
      <c r="V63" s="67"/>
      <c r="W63" s="67"/>
      <c r="X63" s="67"/>
      <c r="Y63" s="67"/>
      <c r="Z63" s="67"/>
      <c r="AA63" s="67"/>
      <c r="AB63" s="67"/>
      <c r="AC63" s="67"/>
      <c r="AD63" s="67"/>
      <c r="AE63" s="67"/>
      <c r="AF63" s="67"/>
      <c r="AG63" s="67"/>
      <c r="AH63" s="67"/>
      <c r="AI63" s="67"/>
      <c r="AJ63" s="67"/>
      <c r="AK63" s="67"/>
      <c r="AL63" s="67"/>
      <c r="AM63" s="67"/>
      <c r="AN63" s="67"/>
    </row>
    <row r="64" spans="2:40" x14ac:dyDescent="0.25">
      <c r="B64" s="39"/>
      <c r="C64" s="12"/>
      <c r="K64" s="67"/>
      <c r="L64" s="67"/>
      <c r="M64" s="67"/>
      <c r="N64" s="67"/>
      <c r="O64" s="67"/>
      <c r="P64" s="67"/>
      <c r="Q64" s="67"/>
      <c r="R64" s="67"/>
      <c r="S64" s="67"/>
      <c r="T64" s="67"/>
      <c r="U64" s="67"/>
      <c r="V64" s="67"/>
      <c r="W64" s="67"/>
      <c r="X64" s="67"/>
      <c r="Y64" s="67"/>
      <c r="Z64" s="67"/>
      <c r="AA64" s="67"/>
      <c r="AB64" s="67"/>
      <c r="AC64" s="67"/>
      <c r="AD64" s="67"/>
      <c r="AE64" s="67"/>
      <c r="AF64" s="67"/>
      <c r="AG64" s="67"/>
      <c r="AH64" s="67"/>
      <c r="AI64" s="67"/>
      <c r="AJ64" s="67"/>
      <c r="AK64" s="67"/>
      <c r="AL64" s="67"/>
      <c r="AM64" s="67"/>
      <c r="AN64" s="67"/>
    </row>
    <row r="65" spans="2:40" x14ac:dyDescent="0.25">
      <c r="B65" s="39"/>
      <c r="C65" s="12"/>
      <c r="K65" s="67"/>
      <c r="L65" s="67"/>
      <c r="M65" s="67"/>
      <c r="N65" s="67"/>
      <c r="O65" s="67"/>
      <c r="P65" s="67"/>
      <c r="Q65" s="67"/>
      <c r="R65" s="67"/>
      <c r="S65" s="67"/>
      <c r="T65" s="67"/>
      <c r="U65" s="67"/>
      <c r="V65" s="67"/>
      <c r="W65" s="67"/>
      <c r="X65" s="67"/>
      <c r="Y65" s="67"/>
      <c r="Z65" s="67"/>
      <c r="AA65" s="67"/>
      <c r="AB65" s="67"/>
      <c r="AC65" s="67"/>
      <c r="AD65" s="67"/>
      <c r="AE65" s="67"/>
      <c r="AF65" s="67"/>
      <c r="AG65" s="67"/>
      <c r="AH65" s="67"/>
      <c r="AI65" s="67"/>
      <c r="AJ65" s="67"/>
      <c r="AK65" s="67"/>
      <c r="AL65" s="67"/>
      <c r="AM65" s="67"/>
      <c r="AN65" s="67"/>
    </row>
    <row r="66" spans="2:40" x14ac:dyDescent="0.25">
      <c r="B66" s="39"/>
      <c r="C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39"/>
      <c r="K67" s="67"/>
      <c r="L67" s="67"/>
      <c r="M67" s="67"/>
      <c r="N67" s="67"/>
      <c r="O67" s="67"/>
      <c r="P67" s="67"/>
      <c r="Q67" s="67"/>
      <c r="R67" s="67"/>
      <c r="S67" s="67"/>
      <c r="T67" s="67"/>
      <c r="U67" s="67"/>
      <c r="V67" s="67"/>
      <c r="W67" s="67"/>
      <c r="X67" s="67"/>
      <c r="Y67" s="67"/>
      <c r="Z67" s="67"/>
      <c r="AA67" s="67"/>
      <c r="AB67" s="67"/>
      <c r="AC67" s="67"/>
      <c r="AD67" s="67"/>
      <c r="AE67" s="67"/>
      <c r="AF67" s="67"/>
      <c r="AG67" s="67"/>
      <c r="AH67" s="67"/>
      <c r="AI67" s="67"/>
      <c r="AJ67" s="67"/>
      <c r="AK67" s="67"/>
      <c r="AL67" s="67"/>
      <c r="AM67" s="67"/>
      <c r="AN67" s="67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2599A-7CC7-4535-BE2E-6A4EF5E33ACE}">
  <sheetPr>
    <tabColor theme="9" tint="-0.249977111117893"/>
  </sheetPr>
  <dimension ref="A1:FC70"/>
  <sheetViews>
    <sheetView workbookViewId="0">
      <pane xSplit="4" ySplit="3" topLeftCell="EQ4" activePane="bottomRight" state="frozen"/>
      <selection pane="topRight" activeCell="I1" sqref="I1"/>
      <selection pane="bottomLeft" activeCell="A4" sqref="A4"/>
      <selection pane="bottomRight" activeCell="D14" sqref="D14"/>
    </sheetView>
  </sheetViews>
  <sheetFormatPr defaultRowHeight="15" outlineLevelCol="1" x14ac:dyDescent="0.25"/>
  <cols>
    <col min="2" max="2" width="9.42578125" customWidth="1"/>
    <col min="3" max="3" width="7.5703125" bestFit="1" customWidth="1"/>
    <col min="4" max="4" width="13.85546875" bestFit="1" customWidth="1"/>
    <col min="5" max="5" width="13.7109375" customWidth="1" outlineLevel="1"/>
    <col min="6" max="8" width="11.5703125" bestFit="1" customWidth="1" outlineLevel="1"/>
    <col min="9" max="9" width="4.7109375" customWidth="1"/>
    <col min="10" max="13" width="12" bestFit="1" customWidth="1" outlineLevel="1"/>
    <col min="14" max="14" width="4.7109375" customWidth="1"/>
    <col min="15" max="18" width="11.5703125" customWidth="1" outlineLevel="1"/>
    <col min="19" max="19" width="4.7109375" customWidth="1"/>
    <col min="20" max="23" width="11.5703125" customWidth="1" outlineLevel="1"/>
    <col min="24" max="24" width="4.7109375" customWidth="1"/>
    <col min="25" max="28" width="11.5703125" customWidth="1" outlineLevel="1"/>
    <col min="29" max="29" width="4.7109375" customWidth="1"/>
    <col min="30" max="33" width="11.5703125" customWidth="1" outlineLevel="1"/>
    <col min="34" max="34" width="4.7109375" customWidth="1"/>
    <col min="35" max="38" width="11.5703125" customWidth="1" outlineLevel="1"/>
    <col min="39" max="39" width="4.7109375" customWidth="1"/>
    <col min="40" max="43" width="11.5703125" customWidth="1" outlineLevel="1"/>
    <col min="44" max="44" width="4.7109375" customWidth="1"/>
    <col min="45" max="48" width="11.5703125" customWidth="1" outlineLevel="1"/>
    <col min="49" max="49" width="4.7109375" customWidth="1"/>
    <col min="50" max="53" width="11.5703125" customWidth="1" outlineLevel="1"/>
    <col min="54" max="54" width="4.7109375" customWidth="1"/>
    <col min="55" max="58" width="11.5703125" customWidth="1" outlineLevel="1"/>
    <col min="59" max="59" width="4.7109375" customWidth="1"/>
    <col min="60" max="63" width="11.5703125" customWidth="1" outlineLevel="1"/>
    <col min="64" max="64" width="4.7109375" customWidth="1"/>
    <col min="65" max="68" width="11.5703125" customWidth="1" outlineLevel="1"/>
    <col min="69" max="69" width="4.7109375" customWidth="1"/>
    <col min="70" max="72" width="11.5703125" customWidth="1" outlineLevel="1"/>
    <col min="73" max="73" width="4.7109375" customWidth="1"/>
    <col min="74" max="77" width="11.5703125" customWidth="1" outlineLevel="1"/>
    <col min="78" max="78" width="4.7109375" customWidth="1"/>
    <col min="79" max="81" width="11.5703125" customWidth="1" outlineLevel="1"/>
    <col min="82" max="82" width="4.7109375" customWidth="1"/>
    <col min="83" max="85" width="11.5703125" customWidth="1" outlineLevel="1"/>
    <col min="86" max="86" width="4.7109375" customWidth="1"/>
    <col min="87" max="89" width="11.5703125" customWidth="1" outlineLevel="1"/>
    <col min="90" max="90" width="4.7109375" customWidth="1"/>
    <col min="91" max="93" width="11.5703125" customWidth="1" outlineLevel="1"/>
    <col min="94" max="94" width="4.7109375" customWidth="1"/>
    <col min="95" max="97" width="11.5703125" customWidth="1" outlineLevel="1"/>
    <col min="98" max="98" width="4.7109375" customWidth="1"/>
    <col min="99" max="101" width="11.5703125" customWidth="1" outlineLevel="1"/>
    <col min="102" max="102" width="4.7109375" customWidth="1"/>
    <col min="103" max="105" width="11.5703125" customWidth="1" outlineLevel="1"/>
    <col min="106" max="106" width="4.7109375" customWidth="1"/>
    <col min="107" max="109" width="11.5703125" customWidth="1" outlineLevel="1"/>
    <col min="110" max="110" width="4.7109375" customWidth="1"/>
    <col min="111" max="114" width="11.5703125" customWidth="1" outlineLevel="1"/>
    <col min="115" max="115" width="4.7109375" customWidth="1"/>
    <col min="116" max="116" width="12.28515625" bestFit="1" customWidth="1" outlineLevel="1"/>
    <col min="117" max="119" width="11.5703125" customWidth="1" outlineLevel="1"/>
    <col min="120" max="120" width="4.7109375" customWidth="1"/>
    <col min="121" max="121" width="12.28515625" bestFit="1" customWidth="1" outlineLevel="1"/>
    <col min="122" max="124" width="11.5703125" customWidth="1" outlineLevel="1"/>
    <col min="125" max="125" width="4.7109375" customWidth="1"/>
    <col min="126" max="129" width="8.7109375" customWidth="1" outlineLevel="1"/>
    <col min="130" max="130" width="4.7109375" customWidth="1"/>
    <col min="131" max="134" width="8.7109375" customWidth="1" outlineLevel="1"/>
    <col min="135" max="135" width="4.7109375" customWidth="1"/>
    <col min="136" max="139" width="8" customWidth="1" outlineLevel="1"/>
    <col min="140" max="140" width="4.7109375" customWidth="1"/>
    <col min="141" max="144" width="8" customWidth="1" outlineLevel="1"/>
    <col min="145" max="145" width="4.7109375" customWidth="1"/>
    <col min="146" max="149" width="8" customWidth="1" outlineLevel="1"/>
    <col min="150" max="150" width="4.7109375" customWidth="1"/>
    <col min="151" max="154" width="9" bestFit="1" customWidth="1" outlineLevel="1"/>
    <col min="155" max="155" width="4.7109375" customWidth="1"/>
    <col min="156" max="159" width="9" bestFit="1" customWidth="1" outlineLevel="1"/>
    <col min="16211" max="16211" width="9.140625" bestFit="1" customWidth="1"/>
    <col min="16212" max="16216" width="9.140625" customWidth="1"/>
  </cols>
  <sheetData>
    <row r="1" spans="1:159" x14ac:dyDescent="0.25">
      <c r="B1" s="85" t="s">
        <v>58</v>
      </c>
      <c r="C1" s="85" t="s">
        <v>60</v>
      </c>
      <c r="D1" s="85" t="s">
        <v>59</v>
      </c>
      <c r="E1" s="116" t="s">
        <v>53</v>
      </c>
      <c r="F1" s="116"/>
      <c r="G1" s="116"/>
      <c r="H1" s="116"/>
      <c r="J1" s="116" t="s">
        <v>510</v>
      </c>
      <c r="K1" s="116"/>
      <c r="L1" s="116"/>
      <c r="M1" s="116"/>
      <c r="O1" s="116" t="s">
        <v>297</v>
      </c>
      <c r="P1" s="116"/>
      <c r="Q1" s="116"/>
      <c r="R1" s="116"/>
      <c r="T1" s="116" t="s">
        <v>298</v>
      </c>
      <c r="U1" s="116"/>
      <c r="V1" s="116"/>
      <c r="W1" s="116"/>
      <c r="Y1" s="116" t="s">
        <v>379</v>
      </c>
      <c r="Z1" s="116"/>
      <c r="AA1" s="116"/>
      <c r="AB1" s="116"/>
      <c r="AD1" s="116" t="s">
        <v>380</v>
      </c>
      <c r="AE1" s="116"/>
      <c r="AF1" s="116"/>
      <c r="AG1" s="116"/>
      <c r="AI1" s="116" t="s">
        <v>381</v>
      </c>
      <c r="AJ1" s="116"/>
      <c r="AK1" s="116"/>
      <c r="AL1" s="116"/>
      <c r="AN1" s="116" t="s">
        <v>383</v>
      </c>
      <c r="AO1" s="116"/>
      <c r="AP1" s="116"/>
      <c r="AQ1" s="116"/>
      <c r="AS1" s="116" t="s">
        <v>382</v>
      </c>
      <c r="AT1" s="116"/>
      <c r="AU1" s="116"/>
      <c r="AV1" s="116"/>
      <c r="AX1" s="116" t="s">
        <v>403</v>
      </c>
      <c r="AY1" s="116"/>
      <c r="AZ1" s="116"/>
      <c r="BA1" s="116"/>
      <c r="BC1" s="116" t="s">
        <v>404</v>
      </c>
      <c r="BD1" s="116"/>
      <c r="BE1" s="116"/>
      <c r="BF1" s="116"/>
      <c r="BH1" s="116" t="s">
        <v>405</v>
      </c>
      <c r="BI1" s="116"/>
      <c r="BJ1" s="116"/>
      <c r="BK1" s="116"/>
      <c r="BM1" s="116" t="s">
        <v>406</v>
      </c>
      <c r="BN1" s="116"/>
      <c r="BO1" s="116"/>
      <c r="BP1" s="116"/>
      <c r="BR1" s="116" t="s">
        <v>261</v>
      </c>
      <c r="BS1" s="116"/>
      <c r="BT1" s="116"/>
      <c r="BV1" s="116" t="s">
        <v>299</v>
      </c>
      <c r="BW1" s="116"/>
      <c r="BX1" s="116"/>
      <c r="BY1" s="116"/>
      <c r="CA1" s="116" t="s">
        <v>28</v>
      </c>
      <c r="CB1" s="116"/>
      <c r="CC1" s="116"/>
      <c r="CE1" s="116" t="s">
        <v>31</v>
      </c>
      <c r="CF1" s="116"/>
      <c r="CG1" s="116"/>
      <c r="CI1" s="116" t="s">
        <v>34</v>
      </c>
      <c r="CJ1" s="116"/>
      <c r="CK1" s="116"/>
      <c r="CM1" s="116" t="s">
        <v>36</v>
      </c>
      <c r="CN1" s="116"/>
      <c r="CO1" s="116"/>
      <c r="CQ1" s="116" t="s">
        <v>38</v>
      </c>
      <c r="CR1" s="116"/>
      <c r="CS1" s="116"/>
      <c r="CU1" s="116" t="s">
        <v>40</v>
      </c>
      <c r="CV1" s="116"/>
      <c r="CW1" s="116"/>
      <c r="CY1" s="116" t="s">
        <v>300</v>
      </c>
      <c r="CZ1" s="116"/>
      <c r="DA1" s="116"/>
      <c r="DC1" s="116" t="s">
        <v>42</v>
      </c>
      <c r="DD1" s="116"/>
      <c r="DE1" s="116"/>
      <c r="DG1" s="116" t="s">
        <v>388</v>
      </c>
      <c r="DH1" s="116"/>
      <c r="DI1" s="116"/>
      <c r="DJ1" s="116"/>
      <c r="DL1" s="116" t="s">
        <v>285</v>
      </c>
      <c r="DM1" s="116"/>
      <c r="DN1" s="116"/>
      <c r="DO1" s="116"/>
      <c r="DQ1" s="116" t="s">
        <v>282</v>
      </c>
      <c r="DR1" s="116"/>
      <c r="DS1" s="116"/>
      <c r="DT1" s="116"/>
      <c r="DV1" s="116" t="s">
        <v>512</v>
      </c>
      <c r="DW1" s="116"/>
      <c r="DX1" s="116"/>
      <c r="DY1" s="116"/>
      <c r="EA1" s="116" t="s">
        <v>513</v>
      </c>
      <c r="EB1" s="116"/>
      <c r="EC1" s="116"/>
      <c r="ED1" s="116"/>
      <c r="EF1" s="116" t="s">
        <v>514</v>
      </c>
      <c r="EG1" s="116"/>
      <c r="EH1" s="116"/>
      <c r="EI1" s="116"/>
      <c r="EK1" s="116" t="s">
        <v>515</v>
      </c>
      <c r="EL1" s="116"/>
      <c r="EM1" s="116"/>
      <c r="EN1" s="116"/>
      <c r="EP1" s="116" t="s">
        <v>515</v>
      </c>
      <c r="EQ1" s="116"/>
      <c r="ER1" s="116"/>
      <c r="ES1" s="116"/>
      <c r="EU1" s="116" t="s">
        <v>57</v>
      </c>
      <c r="EV1" s="116"/>
      <c r="EW1" s="116"/>
      <c r="EX1" s="116"/>
      <c r="EZ1" s="116" t="s">
        <v>307</v>
      </c>
      <c r="FA1" s="116"/>
      <c r="FB1" s="116"/>
      <c r="FC1" s="116"/>
    </row>
    <row r="2" spans="1:159" x14ac:dyDescent="0.25">
      <c r="B2" s="85" t="s">
        <v>58</v>
      </c>
      <c r="C2" s="85" t="s">
        <v>60</v>
      </c>
      <c r="D2" s="85" t="s">
        <v>59</v>
      </c>
      <c r="E2" cm="1">
        <f t="array" ref="E2:H2">{1,4,7,10}</f>
        <v>1</v>
      </c>
      <c r="F2" s="1">
        <v>4</v>
      </c>
      <c r="G2" s="1">
        <v>7</v>
      </c>
      <c r="H2" s="1">
        <v>10</v>
      </c>
      <c r="J2" cm="1">
        <f t="array" ref="J2:M2">{1,4,7,10}</f>
        <v>1</v>
      </c>
      <c r="K2" s="1">
        <v>4</v>
      </c>
      <c r="L2" s="1">
        <v>7</v>
      </c>
      <c r="M2" s="1">
        <v>10</v>
      </c>
      <c r="O2" cm="1">
        <f t="array" ref="O2:R2">{1,4,7,10}</f>
        <v>1</v>
      </c>
      <c r="P2" s="1">
        <v>4</v>
      </c>
      <c r="Q2" s="1">
        <v>7</v>
      </c>
      <c r="R2" s="1">
        <v>10</v>
      </c>
      <c r="T2" cm="1">
        <f t="array" ref="T2:W2">{1,4,7,10}</f>
        <v>1</v>
      </c>
      <c r="U2" s="1">
        <v>4</v>
      </c>
      <c r="V2" s="1">
        <v>7</v>
      </c>
      <c r="W2" s="1">
        <v>10</v>
      </c>
      <c r="Y2" cm="1">
        <f t="array" ref="Y2:AB2">{1,4,7,10}</f>
        <v>1</v>
      </c>
      <c r="Z2" s="1">
        <v>4</v>
      </c>
      <c r="AA2" s="1">
        <v>7</v>
      </c>
      <c r="AB2" s="1">
        <v>10</v>
      </c>
      <c r="AD2" cm="1">
        <f t="array" ref="AD2:AG2">{1,4,7,10}</f>
        <v>1</v>
      </c>
      <c r="AE2" s="1">
        <v>4</v>
      </c>
      <c r="AF2" s="1">
        <v>7</v>
      </c>
      <c r="AG2" s="1">
        <v>10</v>
      </c>
      <c r="AI2" cm="1">
        <f t="array" ref="AI2:AL2">{1,4,7,10}</f>
        <v>1</v>
      </c>
      <c r="AJ2" s="1">
        <v>4</v>
      </c>
      <c r="AK2" s="1">
        <v>7</v>
      </c>
      <c r="AL2" s="1">
        <v>10</v>
      </c>
      <c r="AN2" cm="1">
        <f t="array" ref="AN2:AQ2">{1,4,7,10}</f>
        <v>1</v>
      </c>
      <c r="AO2" s="1">
        <v>4</v>
      </c>
      <c r="AP2" s="1">
        <v>7</v>
      </c>
      <c r="AQ2" s="1">
        <v>10</v>
      </c>
      <c r="AS2" cm="1">
        <f t="array" ref="AS2:AV2">{1,4,7,10}</f>
        <v>1</v>
      </c>
      <c r="AT2" s="1">
        <v>4</v>
      </c>
      <c r="AU2" s="1">
        <v>7</v>
      </c>
      <c r="AV2" s="1">
        <v>10</v>
      </c>
      <c r="AX2" cm="1">
        <f t="array" ref="AX2:BA2">{1,4,7,10}</f>
        <v>1</v>
      </c>
      <c r="AY2" s="1">
        <v>4</v>
      </c>
      <c r="AZ2" s="1">
        <v>7</v>
      </c>
      <c r="BA2" s="1">
        <v>10</v>
      </c>
      <c r="BC2" cm="1">
        <f t="array" ref="BC2:BF2">{1,4,7,10}</f>
        <v>1</v>
      </c>
      <c r="BD2" s="1">
        <v>4</v>
      </c>
      <c r="BE2" s="1">
        <v>7</v>
      </c>
      <c r="BF2" s="1">
        <v>10</v>
      </c>
      <c r="BH2" cm="1">
        <f t="array" ref="BH2:BK2">{1,4,7,10}</f>
        <v>1</v>
      </c>
      <c r="BI2" s="1">
        <v>4</v>
      </c>
      <c r="BJ2" s="1">
        <v>7</v>
      </c>
      <c r="BK2" s="1">
        <v>10</v>
      </c>
      <c r="BM2" cm="1">
        <f t="array" ref="BM2:BP2">{1,4,7,10}</f>
        <v>1</v>
      </c>
      <c r="BN2" s="1">
        <v>4</v>
      </c>
      <c r="BO2" s="1">
        <v>7</v>
      </c>
      <c r="BP2" s="1">
        <v>10</v>
      </c>
      <c r="BR2" cm="1">
        <f t="array" ref="BR2:BU2">_xlfn.ANCHORARRAY($E2)</f>
        <v>1</v>
      </c>
      <c r="BS2" s="1">
        <v>4</v>
      </c>
      <c r="BT2" s="1">
        <v>7</v>
      </c>
      <c r="BU2">
        <v>10</v>
      </c>
      <c r="BV2" cm="1">
        <f t="array" ref="BV2:BY2">{1,4,7,10}</f>
        <v>1</v>
      </c>
      <c r="BW2" s="1">
        <v>4</v>
      </c>
      <c r="BX2" s="1">
        <v>7</v>
      </c>
      <c r="BY2" s="1">
        <v>10</v>
      </c>
      <c r="CA2" cm="1">
        <f t="array" ref="CA2:CD2">_xlfn.ANCHORARRAY($E2)</f>
        <v>1</v>
      </c>
      <c r="CB2" s="1">
        <v>4</v>
      </c>
      <c r="CC2" s="1">
        <v>7</v>
      </c>
      <c r="CD2">
        <v>10</v>
      </c>
      <c r="CE2" cm="1">
        <f t="array" ref="CE2:CH2">_xlfn.ANCHORARRAY($E2)</f>
        <v>1</v>
      </c>
      <c r="CF2" s="1">
        <v>4</v>
      </c>
      <c r="CG2" s="1">
        <v>7</v>
      </c>
      <c r="CH2">
        <v>10</v>
      </c>
      <c r="CI2" cm="1">
        <f t="array" ref="CI2:CL2">_xlfn.ANCHORARRAY($E2)</f>
        <v>1</v>
      </c>
      <c r="CJ2" s="1">
        <v>4</v>
      </c>
      <c r="CK2" s="1">
        <v>7</v>
      </c>
      <c r="CL2">
        <v>10</v>
      </c>
      <c r="CM2" cm="1">
        <f t="array" ref="CM2:CP2">_xlfn.ANCHORARRAY($E2)</f>
        <v>1</v>
      </c>
      <c r="CN2" s="1">
        <v>4</v>
      </c>
      <c r="CO2" s="1">
        <v>7</v>
      </c>
      <c r="CP2">
        <v>10</v>
      </c>
      <c r="CQ2" cm="1">
        <f t="array" ref="CQ2:CT2">_xlfn.ANCHORARRAY($E2)</f>
        <v>1</v>
      </c>
      <c r="CR2" s="1">
        <v>4</v>
      </c>
      <c r="CS2" s="1">
        <v>7</v>
      </c>
      <c r="CT2">
        <v>10</v>
      </c>
      <c r="CU2" cm="1">
        <f t="array" ref="CU2:CX2">_xlfn.ANCHORARRAY($E2)</f>
        <v>1</v>
      </c>
      <c r="CV2" s="1">
        <v>4</v>
      </c>
      <c r="CW2" s="1">
        <v>7</v>
      </c>
      <c r="CX2">
        <v>10</v>
      </c>
      <c r="CY2" cm="1">
        <f t="array" ref="CY2:DB2">_xlfn.ANCHORARRAY($E2)</f>
        <v>1</v>
      </c>
      <c r="CZ2" s="1">
        <v>4</v>
      </c>
      <c r="DA2" s="1">
        <v>7</v>
      </c>
      <c r="DB2">
        <v>10</v>
      </c>
      <c r="DC2" cm="1">
        <f t="array" ref="DC2:DF2">_xlfn.ANCHORARRAY($E2)</f>
        <v>1</v>
      </c>
      <c r="DD2" s="1">
        <v>4</v>
      </c>
      <c r="DE2" s="1">
        <v>7</v>
      </c>
      <c r="DF2">
        <v>10</v>
      </c>
      <c r="DG2" cm="1">
        <f t="array" ref="DG2:DJ2">{1,4,7,10}</f>
        <v>1</v>
      </c>
      <c r="DH2" s="1">
        <v>4</v>
      </c>
      <c r="DI2" s="1">
        <v>7</v>
      </c>
      <c r="DJ2" s="1">
        <v>10</v>
      </c>
      <c r="DL2" cm="1">
        <f t="array" ref="DL2:DO2">_xlfn.ANCHORARRAY($E2)</f>
        <v>1</v>
      </c>
      <c r="DM2" s="1">
        <v>4</v>
      </c>
      <c r="DN2" s="1">
        <v>7</v>
      </c>
      <c r="DO2" s="1">
        <v>10</v>
      </c>
      <c r="DQ2" cm="1">
        <f t="array" ref="DQ2:DT2">_xlfn.ANCHORARRAY($E2)</f>
        <v>1</v>
      </c>
      <c r="DR2" s="1">
        <v>4</v>
      </c>
      <c r="DS2" s="1">
        <v>7</v>
      </c>
      <c r="DT2" s="1">
        <v>10</v>
      </c>
      <c r="DV2" cm="1">
        <f t="array" ref="DV2:DY2">_xlfn.ANCHORARRAY($E2)</f>
        <v>1</v>
      </c>
      <c r="DW2" s="1">
        <v>4</v>
      </c>
      <c r="DX2" s="1">
        <v>7</v>
      </c>
      <c r="DY2" s="1">
        <v>10</v>
      </c>
      <c r="EA2" cm="1">
        <f t="array" ref="EA2:ED2">_xlfn.ANCHORARRAY($E2)</f>
        <v>1</v>
      </c>
      <c r="EB2" s="1">
        <v>4</v>
      </c>
      <c r="EC2" s="1">
        <v>7</v>
      </c>
      <c r="ED2" s="1">
        <v>10</v>
      </c>
      <c r="EF2" cm="1">
        <f t="array" ref="EF2:EI2">_xlfn.ANCHORARRAY($J2)</f>
        <v>1</v>
      </c>
      <c r="EG2" s="1">
        <v>4</v>
      </c>
      <c r="EH2" s="1">
        <v>7</v>
      </c>
      <c r="EI2" s="1">
        <v>10</v>
      </c>
      <c r="EK2" cm="1">
        <f t="array" ref="EK2:EN2">_xlfn.ANCHORARRAY($J2)</f>
        <v>1</v>
      </c>
      <c r="EL2" s="1">
        <v>4</v>
      </c>
      <c r="EM2" s="1">
        <v>7</v>
      </c>
      <c r="EN2" s="1">
        <v>10</v>
      </c>
      <c r="EP2" cm="1">
        <f t="array" ref="EP2:ES2">_xlfn.ANCHORARRAY($J2)</f>
        <v>1</v>
      </c>
      <c r="EQ2" s="1">
        <v>4</v>
      </c>
      <c r="ER2" s="1">
        <v>7</v>
      </c>
      <c r="ES2" s="1">
        <v>10</v>
      </c>
      <c r="EU2" cm="1">
        <f t="array" ref="EU2:EX2">_xlfn.ANCHORARRAY($J2)</f>
        <v>1</v>
      </c>
      <c r="EV2" s="1">
        <v>4</v>
      </c>
      <c r="EW2" s="1">
        <v>7</v>
      </c>
      <c r="EX2" s="1">
        <v>10</v>
      </c>
      <c r="EZ2" cm="1">
        <f t="array" ref="EZ2:FC2">_xlfn.ANCHORARRAY($J2)</f>
        <v>1</v>
      </c>
      <c r="FA2" s="1">
        <v>4</v>
      </c>
      <c r="FB2" s="1">
        <v>7</v>
      </c>
      <c r="FC2" s="1">
        <v>10</v>
      </c>
    </row>
    <row r="3" spans="1:159" x14ac:dyDescent="0.25">
      <c r="B3" s="85" t="s">
        <v>58</v>
      </c>
      <c r="C3" s="85" t="s">
        <v>60</v>
      </c>
      <c r="D3" s="85" t="s">
        <v>59</v>
      </c>
      <c r="E3" s="85" cm="1">
        <f t="array" ref="E3:G3">_xlfn.SEQUENCE(1,3,2026)</f>
        <v>2026</v>
      </c>
      <c r="F3" s="85">
        <v>2027</v>
      </c>
      <c r="G3" s="85">
        <v>2028</v>
      </c>
      <c r="H3" s="85"/>
      <c r="J3" s="85" cm="1">
        <f t="array" ref="J3:L3">_xlfn.ANCHORARRAY($E3)</f>
        <v>2026</v>
      </c>
      <c r="K3" s="85">
        <v>2027</v>
      </c>
      <c r="L3" s="85">
        <v>2028</v>
      </c>
      <c r="M3" s="85"/>
      <c r="O3" s="85" cm="1">
        <f t="array" ref="O3:Q3">_xlfn.ANCHORARRAY($E3)</f>
        <v>2026</v>
      </c>
      <c r="P3" s="85">
        <v>2027</v>
      </c>
      <c r="Q3" s="85">
        <v>2028</v>
      </c>
      <c r="R3" s="85"/>
      <c r="T3" s="85" cm="1">
        <f t="array" ref="T3:V3">_xlfn.ANCHORARRAY($E3)</f>
        <v>2026</v>
      </c>
      <c r="U3" s="85">
        <v>2027</v>
      </c>
      <c r="V3" s="85">
        <v>2028</v>
      </c>
      <c r="W3" s="85"/>
      <c r="Y3" s="85" cm="1">
        <f t="array" ref="Y3:AA3">_xlfn.ANCHORARRAY($E3)</f>
        <v>2026</v>
      </c>
      <c r="Z3" s="85">
        <v>2027</v>
      </c>
      <c r="AA3" s="85">
        <v>2028</v>
      </c>
      <c r="AB3" s="85"/>
      <c r="AD3" s="85" cm="1">
        <f t="array" ref="AD3:AF3">_xlfn.ANCHORARRAY($E3)</f>
        <v>2026</v>
      </c>
      <c r="AE3" s="85">
        <v>2027</v>
      </c>
      <c r="AF3" s="85">
        <v>2028</v>
      </c>
      <c r="AG3" s="85"/>
      <c r="AI3" s="85" cm="1">
        <f t="array" ref="AI3:AK3">_xlfn.ANCHORARRAY($E3)</f>
        <v>2026</v>
      </c>
      <c r="AJ3" s="85">
        <v>2027</v>
      </c>
      <c r="AK3" s="85">
        <v>2028</v>
      </c>
      <c r="AL3" s="85"/>
      <c r="AN3" s="85" cm="1">
        <f t="array" ref="AN3:AP3">_xlfn.ANCHORARRAY($E3)</f>
        <v>2026</v>
      </c>
      <c r="AO3" s="85">
        <v>2027</v>
      </c>
      <c r="AP3" s="85">
        <v>2028</v>
      </c>
      <c r="AQ3" s="85"/>
      <c r="AS3" s="85" cm="1">
        <f t="array" ref="AS3:AU3">_xlfn.ANCHORARRAY($E3)</f>
        <v>2026</v>
      </c>
      <c r="AT3" s="85">
        <v>2027</v>
      </c>
      <c r="AU3" s="85">
        <v>2028</v>
      </c>
      <c r="AV3" s="85"/>
      <c r="AX3" s="85" cm="1">
        <f t="array" ref="AX3:AZ3">_xlfn.ANCHORARRAY($E3)</f>
        <v>2026</v>
      </c>
      <c r="AY3" s="85">
        <v>2027</v>
      </c>
      <c r="AZ3" s="85">
        <v>2028</v>
      </c>
      <c r="BA3" s="85"/>
      <c r="BC3" s="85" cm="1">
        <f t="array" ref="BC3:BE3">_xlfn.ANCHORARRAY($E3)</f>
        <v>2026</v>
      </c>
      <c r="BD3" s="85">
        <v>2027</v>
      </c>
      <c r="BE3" s="85">
        <v>2028</v>
      </c>
      <c r="BF3" s="85"/>
      <c r="BH3" s="85" cm="1">
        <f t="array" ref="BH3:BJ3">_xlfn.ANCHORARRAY($E3)</f>
        <v>2026</v>
      </c>
      <c r="BI3" s="85">
        <v>2027</v>
      </c>
      <c r="BJ3" s="85">
        <v>2028</v>
      </c>
      <c r="BK3" s="85"/>
      <c r="BM3" s="85" cm="1">
        <f t="array" ref="BM3:BO3">_xlfn.ANCHORARRAY($E3)</f>
        <v>2026</v>
      </c>
      <c r="BN3" s="85">
        <v>2027</v>
      </c>
      <c r="BO3" s="85">
        <v>2028</v>
      </c>
      <c r="BP3" s="85"/>
      <c r="BR3" s="85" cm="1">
        <f t="array" ref="BR3:BT3">_xlfn.ANCHORARRAY($E3)</f>
        <v>2026</v>
      </c>
      <c r="BS3" s="85">
        <v>2027</v>
      </c>
      <c r="BT3" s="85">
        <v>2028</v>
      </c>
      <c r="BV3" s="85" cm="1">
        <f t="array" ref="BV3:BX3">_xlfn.ANCHORARRAY($E3)</f>
        <v>2026</v>
      </c>
      <c r="BW3" s="85">
        <v>2027</v>
      </c>
      <c r="BX3" s="85">
        <v>2028</v>
      </c>
      <c r="BY3" s="85"/>
      <c r="CA3" s="85" cm="1">
        <f t="array" ref="CA3:CC3">_xlfn.ANCHORARRAY($E3)</f>
        <v>2026</v>
      </c>
      <c r="CB3" s="85">
        <v>2027</v>
      </c>
      <c r="CC3" s="85">
        <v>2028</v>
      </c>
      <c r="CE3" s="85" cm="1">
        <f t="array" ref="CE3:CG3">_xlfn.ANCHORARRAY($E3)</f>
        <v>2026</v>
      </c>
      <c r="CF3" s="85">
        <v>2027</v>
      </c>
      <c r="CG3" s="85">
        <v>2028</v>
      </c>
      <c r="CI3" s="85" cm="1">
        <f t="array" ref="CI3:CK3">_xlfn.ANCHORARRAY($E3)</f>
        <v>2026</v>
      </c>
      <c r="CJ3" s="85">
        <v>2027</v>
      </c>
      <c r="CK3" s="85">
        <v>2028</v>
      </c>
      <c r="CM3" s="85" cm="1">
        <f t="array" ref="CM3:CO3">_xlfn.ANCHORARRAY($E3)</f>
        <v>2026</v>
      </c>
      <c r="CN3" s="85">
        <v>2027</v>
      </c>
      <c r="CO3" s="85">
        <v>2028</v>
      </c>
      <c r="CQ3" s="85" cm="1">
        <f t="array" ref="CQ3:CS3">_xlfn.ANCHORARRAY($E3)</f>
        <v>2026</v>
      </c>
      <c r="CR3" s="85">
        <v>2027</v>
      </c>
      <c r="CS3" s="85">
        <v>2028</v>
      </c>
      <c r="CU3" s="85" cm="1">
        <f t="array" ref="CU3:CW3">_xlfn.ANCHORARRAY($E3)</f>
        <v>2026</v>
      </c>
      <c r="CV3" s="85">
        <v>2027</v>
      </c>
      <c r="CW3" s="85">
        <v>2028</v>
      </c>
      <c r="CY3" s="85" cm="1">
        <f t="array" ref="CY3:DA3">_xlfn.ANCHORARRAY($E3)</f>
        <v>2026</v>
      </c>
      <c r="CZ3" s="85">
        <v>2027</v>
      </c>
      <c r="DA3" s="85">
        <v>2028</v>
      </c>
      <c r="DC3" s="85" cm="1">
        <f t="array" ref="DC3:DE3">_xlfn.ANCHORARRAY($E3)</f>
        <v>2026</v>
      </c>
      <c r="DD3" s="85">
        <v>2027</v>
      </c>
      <c r="DE3" s="85">
        <v>2028</v>
      </c>
      <c r="DG3" s="85" cm="1">
        <f t="array" ref="DG3:DI3">_xlfn.ANCHORARRAY($E3)</f>
        <v>2026</v>
      </c>
      <c r="DH3" s="85">
        <v>2027</v>
      </c>
      <c r="DI3" s="85">
        <v>2028</v>
      </c>
      <c r="DJ3" s="85"/>
      <c r="DL3" s="85" cm="1">
        <f t="array" ref="DL3:DN3">_xlfn.ANCHORARRAY($E3)</f>
        <v>2026</v>
      </c>
      <c r="DM3" s="85">
        <v>2027</v>
      </c>
      <c r="DN3" s="85">
        <v>2028</v>
      </c>
      <c r="DO3" s="85"/>
      <c r="DQ3" s="85" cm="1">
        <f t="array" ref="DQ3:DS3">_xlfn.ANCHORARRAY($E3)</f>
        <v>2026</v>
      </c>
      <c r="DR3" s="85">
        <v>2027</v>
      </c>
      <c r="DS3" s="85">
        <v>2028</v>
      </c>
      <c r="DT3" s="85"/>
      <c r="DV3" s="85" cm="1">
        <f t="array" ref="DV3:DX3">_xlfn.ANCHORARRAY($E3)</f>
        <v>2026</v>
      </c>
      <c r="DW3" s="85">
        <v>2027</v>
      </c>
      <c r="DX3" s="85">
        <v>2028</v>
      </c>
      <c r="DY3" s="85"/>
      <c r="EA3" s="85" cm="1">
        <f t="array" ref="EA3:EC3">_xlfn.ANCHORARRAY($E3)</f>
        <v>2026</v>
      </c>
      <c r="EB3" s="85">
        <v>2027</v>
      </c>
      <c r="EC3" s="85">
        <v>2028</v>
      </c>
      <c r="ED3" s="85"/>
      <c r="EF3" s="85" cm="1">
        <f t="array" ref="EF3:EH3">_xlfn.ANCHORARRAY($J3)</f>
        <v>2026</v>
      </c>
      <c r="EG3" s="85">
        <v>2027</v>
      </c>
      <c r="EH3" s="85">
        <v>2028</v>
      </c>
      <c r="EI3" s="85"/>
      <c r="EK3" s="85" cm="1">
        <f t="array" ref="EK3:EM3">_xlfn.ANCHORARRAY($J3)</f>
        <v>2026</v>
      </c>
      <c r="EL3" s="85">
        <v>2027</v>
      </c>
      <c r="EM3" s="85">
        <v>2028</v>
      </c>
      <c r="EN3" s="85"/>
      <c r="EP3" s="85" cm="1">
        <f t="array" ref="EP3:ER3">_xlfn.ANCHORARRAY($J3)</f>
        <v>2026</v>
      </c>
      <c r="EQ3" s="85">
        <v>2027</v>
      </c>
      <c r="ER3" s="85">
        <v>2028</v>
      </c>
      <c r="ES3" s="85"/>
      <c r="EU3" s="85" cm="1">
        <f t="array" ref="EU3:EW3">_xlfn.ANCHORARRAY($J3)</f>
        <v>2026</v>
      </c>
      <c r="EV3" s="85">
        <v>2027</v>
      </c>
      <c r="EW3" s="85">
        <v>2028</v>
      </c>
      <c r="EX3" s="85"/>
      <c r="EZ3" s="85" cm="1">
        <f t="array" ref="EZ3:FB3">_xlfn.ANCHORARRAY($J3)</f>
        <v>2026</v>
      </c>
      <c r="FA3" s="85">
        <v>2027</v>
      </c>
      <c r="FB3" s="85">
        <v>2028</v>
      </c>
      <c r="FC3" s="85"/>
    </row>
    <row r="4" spans="1:159" x14ac:dyDescent="0.25">
      <c r="A4" s="114"/>
      <c r="B4" t="str" cm="1">
        <f t="array" ref="B4:B55">_xlfn.XLOOKUP(_xlfn.ANCHORARRAY(D4),{"M&amp;A","New Jersey","Arizona","Maryland","North Carolina"},{"JV1","JV1","JV2","JV2","JV2"},0,0)</f>
        <v>JV1</v>
      </c>
      <c r="C4" t="str" cm="1">
        <f t="array" ref="C4:C55">_xlfn.VSTACK('MS:NCA9'!$C$1)</f>
        <v>M&amp;A</v>
      </c>
      <c r="D4" t="str" cm="1">
        <f t="array" ref="D4:D55">_xlfn.VSTACK('MS:NCA9'!$B$2)</f>
        <v>M&amp;A</v>
      </c>
      <c r="E4" s="53" cm="1">
        <f t="array" ref="E4:H55">_xlfn.LET(_xlpm.bill_hours,_xlfn.VSTACK('MS:NCA9'!$E$23:$AN$23),_xlfn.HSTACK(
_xlfn.BYROW(_xlpm.bill_hours,_xlfn.LAMBDA(_xlpm.row,SUM(_xlfn.CHOOSECOLS(_xlpm.row,_xlfn.SEQUENCE(3,1,E$2))))),
_xlfn.BYROW(_xlpm.bill_hours,_xlfn.LAMBDA(_xlpm.row,SUM(_xlfn.CHOOSECOLS(_xlpm.row,_xlfn.SEQUENCE(3,1,F$2))))),
_xlfn.BYROW(_xlpm.bill_hours,_xlfn.LAMBDA(_xlpm.row,SUM(_xlfn.CHOOSECOLS(_xlpm.row,_xlfn.SEQUENCE(3,1,G$2))))),
_xlfn.BYROW(_xlpm.bill_hours,_xlfn.LAMBDA(_xlpm.row,SUM(_xlfn.CHOOSECOLS(_xlpm.row,_xlfn.SEQUENCE(3,1,H$2)))))))</f>
        <v>21889.706666666665</v>
      </c>
      <c r="F4" s="53">
        <v>54724.266666666663</v>
      </c>
      <c r="G4" s="53">
        <v>66908.160000000003</v>
      </c>
      <c r="H4" s="53">
        <v>68766.720000000001</v>
      </c>
      <c r="J4" s="53" cm="1">
        <f t="array" ref="J4:M55">_xlfn.ANCHORARRAY(Y4)+_xlfn.ANCHORARRAY(AD4)+_xlfn.ANCHORARRAY(AI4)+_xlfn.ANCHORARRAY(AN4)+_xlfn.ANCHORARRAY(AS4)</f>
        <v>3962649.586666666</v>
      </c>
      <c r="K4" s="53">
        <v>9906623.9666666649</v>
      </c>
      <c r="L4" s="53">
        <v>12112249.679999998</v>
      </c>
      <c r="M4" s="53">
        <v>12448701.059999997</v>
      </c>
      <c r="O4" s="53" cm="1">
        <f t="array" ref="O4:R55">_xlfn.LET(_xlpm.bill_hours,_xlfn.VSTACK('MS:NCA9'!$E$37:$AN$37),_xlfn.HSTACK(
_xlfn.BYROW(_xlpm.bill_hours,_xlfn.LAMBDA(_xlpm.row,SUM(_xlfn.CHOOSECOLS(_xlpm.row,_xlfn.SEQUENCE(3,1,O$2))))),
_xlfn.BYROW(_xlpm.bill_hours,_xlfn.LAMBDA(_xlpm.row,SUM(_xlfn.CHOOSECOLS(_xlpm.row,_xlfn.SEQUENCE(3,1,P$2))))),
_xlfn.BYROW(_xlpm.bill_hours,_xlfn.LAMBDA(_xlpm.row,SUM(_xlfn.CHOOSECOLS(_xlpm.row,_xlfn.SEQUENCE(3,1,Q$2))))),
_xlfn.BYROW(_xlpm.bill_hours,_xlfn.LAMBDA(_xlpm.row,SUM(_xlfn.CHOOSECOLS(_xlpm.row,_xlfn.SEQUENCE(3,1,R$2)))))))</f>
        <v>3487131.6362666665</v>
      </c>
      <c r="P4" s="53">
        <v>8717829.0906666666</v>
      </c>
      <c r="Q4" s="53">
        <v>10658779.718399998</v>
      </c>
      <c r="R4" s="53">
        <v>10954856.932799999</v>
      </c>
      <c r="T4" s="53" cm="1">
        <f t="array" ref="T4:W55">_xlfn.LET(_xlpm.bill_hours,_xlfn.VSTACK('MS:NCA9'!$E$35:$AN$35),_xlfn.HSTACK(
_xlfn.BYROW(_xlpm.bill_hours,_xlfn.LAMBDA(_xlpm.row,SUM(_xlfn.CHOOSECOLS(_xlpm.row,_xlfn.SEQUENCE(3,1,T$2))))),
_xlfn.BYROW(_xlpm.bill_hours,_xlfn.LAMBDA(_xlpm.row,SUM(_xlfn.CHOOSECOLS(_xlpm.row,_xlfn.SEQUENCE(3,1,U$2))))),
_xlfn.BYROW(_xlpm.bill_hours,_xlfn.LAMBDA(_xlpm.row,SUM(_xlfn.CHOOSECOLS(_xlpm.row,_xlfn.SEQUENCE(3,1,V$2))))),
_xlfn.BYROW(_xlpm.bill_hours,_xlfn.LAMBDA(_xlpm.row,SUM(_xlfn.CHOOSECOLS(_xlpm.row,_xlfn.SEQUENCE(3,1,W$2)))))))</f>
        <v>-475517.95039999997</v>
      </c>
      <c r="U4" s="53">
        <v>-1188794.8759999997</v>
      </c>
      <c r="V4" s="53">
        <v>-1453469.9615999996</v>
      </c>
      <c r="W4" s="53">
        <v>-1493844.1272</v>
      </c>
      <c r="Y4" s="53" cm="1">
        <f t="array" ref="Y4:AB55">_xlfn.LET(_xlpm.bill_hours,_xlfn.VSTACK('MS:NCA9'!$E$26:$AN$26),_xlfn.HSTACK(
_xlfn.BYROW(_xlpm.bill_hours,_xlfn.LAMBDA(_xlpm.row,SUM(_xlfn.CHOOSECOLS(_xlpm.row,_xlfn.SEQUENCE(3,1,Y$2))))),
_xlfn.BYROW(_xlpm.bill_hours,_xlfn.LAMBDA(_xlpm.row,SUM(_xlfn.CHOOSECOLS(_xlpm.row,_xlfn.SEQUENCE(3,1,Z$2))))),
_xlfn.BYROW(_xlpm.bill_hours,_xlfn.LAMBDA(_xlpm.row,SUM(_xlfn.CHOOSECOLS(_xlpm.row,_xlfn.SEQUENCE(3,1,AA$2))))),
_xlfn.BYROW(_xlpm.bill_hours,_xlfn.LAMBDA(_xlpm.row,SUM(_xlfn.CHOOSECOLS(_xlpm.row,_xlfn.SEQUENCE(3,1,AB$2)))))))</f>
        <v>3356605.8933333326</v>
      </c>
      <c r="Z4" s="53">
        <v>8391514.7333333325</v>
      </c>
      <c r="AA4" s="53">
        <v>10259814.239999998</v>
      </c>
      <c r="AB4" s="53">
        <v>10544809.079999998</v>
      </c>
      <c r="AD4" s="53" cm="1">
        <f t="array" ref="AD4:AG55">_xlfn.LET(_xlpm.bill_hours,_xlfn.VSTACK('MS:NCA9'!$E$27:$AN$27),_xlfn.HSTACK(
_xlfn.BYROW(_xlpm.bill_hours,_xlfn.LAMBDA(_xlpm.row,SUM(_xlfn.CHOOSECOLS(_xlpm.row,_xlfn.SEQUENCE(3,1,AD$2))))),
_xlfn.BYROW(_xlpm.bill_hours,_xlfn.LAMBDA(_xlpm.row,SUM(_xlfn.CHOOSECOLS(_xlpm.row,_xlfn.SEQUENCE(3,1,AE$2))))),
_xlfn.BYROW(_xlpm.bill_hours,_xlfn.LAMBDA(_xlpm.row,SUM(_xlfn.CHOOSECOLS(_xlpm.row,_xlfn.SEQUENCE(3,1,AF$2))))),
_xlfn.BYROW(_xlpm.bill_hours,_xlfn.LAMBDA(_xlpm.row,SUM(_xlfn.CHOOSECOLS(_xlpm.row,_xlfn.SEQUENCE(3,1,AG$2)))))))</f>
        <v>0</v>
      </c>
      <c r="AE4" s="53">
        <v>0</v>
      </c>
      <c r="AF4" s="53">
        <v>0</v>
      </c>
      <c r="AG4" s="53">
        <v>0</v>
      </c>
      <c r="AI4" s="53" cm="1">
        <f t="array" ref="AI4:AL55">_xlfn.LET(_xlpm.bill_hours,_xlfn.VSTACK('MS:NCA9'!$E$28:$AN$28),_xlfn.HSTACK(
_xlfn.BYROW(_xlpm.bill_hours,_xlfn.LAMBDA(_xlpm.row,SUM(_xlfn.CHOOSECOLS(_xlpm.row,_xlfn.SEQUENCE(3,1,AI$2))))),
_xlfn.BYROW(_xlpm.bill_hours,_xlfn.LAMBDA(_xlpm.row,SUM(_xlfn.CHOOSECOLS(_xlpm.row,_xlfn.SEQUENCE(3,1,AJ$2))))),
_xlfn.BYROW(_xlpm.bill_hours,_xlfn.LAMBDA(_xlpm.row,SUM(_xlfn.CHOOSECOLS(_xlpm.row,_xlfn.SEQUENCE(3,1,AK$2))))),
_xlfn.BYROW(_xlpm.bill_hours,_xlfn.LAMBDA(_xlpm.row,SUM(_xlfn.CHOOSECOLS(_xlpm.row,_xlfn.SEQUENCE(3,1,AL$2)))))))</f>
        <v>447403.52799999993</v>
      </c>
      <c r="AJ4" s="53">
        <v>1118508.8199999996</v>
      </c>
      <c r="AK4" s="53">
        <v>1367535.3119999995</v>
      </c>
      <c r="AL4" s="53">
        <v>1405522.4039999996</v>
      </c>
      <c r="AN4" s="53" cm="1">
        <f t="array" ref="AN4:AQ55">_xlfn.LET(_xlpm.bill_hours,_xlfn.VSTACK('MS:NCA9'!$E$29:$AN$29),_xlfn.HSTACK(
_xlfn.BYROW(_xlpm.bill_hours,_xlfn.LAMBDA(_xlpm.row,SUM(_xlfn.CHOOSECOLS(_xlpm.row,_xlfn.SEQUENCE(3,1,AN$2))))),
_xlfn.BYROW(_xlpm.bill_hours,_xlfn.LAMBDA(_xlpm.row,SUM(_xlfn.CHOOSECOLS(_xlpm.row,_xlfn.SEQUENCE(3,1,AO$2))))),
_xlfn.BYROW(_xlpm.bill_hours,_xlfn.LAMBDA(_xlpm.row,SUM(_xlfn.CHOOSECOLS(_xlpm.row,_xlfn.SEQUENCE(3,1,AP$2))))),
_xlfn.BYROW(_xlpm.bill_hours,_xlfn.LAMBDA(_xlpm.row,SUM(_xlfn.CHOOSECOLS(_xlpm.row,_xlfn.SEQUENCE(3,1,AQ$2)))))))</f>
        <v>68831.312000000005</v>
      </c>
      <c r="AO4" s="53">
        <v>172078.27999999997</v>
      </c>
      <c r="AP4" s="53">
        <v>210390.04799999998</v>
      </c>
      <c r="AQ4" s="53">
        <v>216234.21600000001</v>
      </c>
      <c r="AS4" s="53" cm="1">
        <f t="array" ref="AS4:AV55">_xlfn.LET(_xlpm.bill_hours,_xlfn.VSTACK('MS:NCA9'!$E$30:$AN$30),_xlfn.HSTACK(
_xlfn.BYROW(_xlpm.bill_hours,_xlfn.LAMBDA(_xlpm.row,SUM(_xlfn.CHOOSECOLS(_xlpm.row,_xlfn.SEQUENCE(3,1,AS$2))))),
_xlfn.BYROW(_xlpm.bill_hours,_xlfn.LAMBDA(_xlpm.row,SUM(_xlfn.CHOOSECOLS(_xlpm.row,_xlfn.SEQUENCE(3,1,AT$2))))),
_xlfn.BYROW(_xlpm.bill_hours,_xlfn.LAMBDA(_xlpm.row,SUM(_xlfn.CHOOSECOLS(_xlpm.row,_xlfn.SEQUENCE(3,1,AU$2))))),
_xlfn.BYROW(_xlpm.bill_hours,_xlfn.LAMBDA(_xlpm.row,SUM(_xlfn.CHOOSECOLS(_xlpm.row,_xlfn.SEQUENCE(3,1,AV$2)))))))</f>
        <v>89808.853333333333</v>
      </c>
      <c r="AT4" s="53">
        <v>224522.1333333333</v>
      </c>
      <c r="AU4" s="53">
        <v>274510.07999999996</v>
      </c>
      <c r="AV4" s="53">
        <v>282135.36</v>
      </c>
      <c r="AX4" s="53" cm="1">
        <f t="array" ref="AX4:BA55">_xlfn.LET(_xlpm.bill_hours,_xlfn.VSTACK('MS:NCA9'!$E$31:$AN$31),_xlfn.HSTACK(
_xlfn.BYROW(_xlpm.bill_hours,_xlfn.LAMBDA(_xlpm.row,SUM(_xlfn.CHOOSECOLS(_xlpm.row,_xlfn.SEQUENCE(3,1,AX$2))))),
_xlfn.BYROW(_xlpm.bill_hours,_xlfn.LAMBDA(_xlpm.row,SUM(_xlfn.CHOOSECOLS(_xlpm.row,_xlfn.SEQUENCE(3,1,AY$2))))),
_xlfn.BYROW(_xlpm.bill_hours,_xlfn.LAMBDA(_xlpm.row,SUM(_xlfn.CHOOSECOLS(_xlpm.row,_xlfn.SEQUENCE(3,1,AZ$2))))),
_xlfn.BYROW(_xlpm.bill_hours,_xlfn.LAMBDA(_xlpm.row,SUM(_xlfn.CHOOSECOLS(_xlpm.row,_xlfn.SEQUENCE(3,1,BA$2)))))))</f>
        <v>0</v>
      </c>
      <c r="AY4" s="53">
        <v>0</v>
      </c>
      <c r="AZ4" s="53">
        <v>0</v>
      </c>
      <c r="BA4" s="53">
        <v>0</v>
      </c>
      <c r="BC4" s="53" cm="1">
        <f t="array" ref="BC4:BF55">_xlfn.LET(_xlpm.bill_hours,_xlfn.VSTACK('MS:NCA9'!$E$63:$AN$63)+_xlfn.VSTACK('MS:NCA9'!$E$64:$AN$64),_xlfn.HSTACK(
_xlfn.BYROW(_xlpm.bill_hours,_xlfn.LAMBDA(_xlpm.row,SUM(_xlfn.CHOOSECOLS(_xlpm.row,_xlfn.SEQUENCE(3,1,BC$2))))),
_xlfn.BYROW(_xlpm.bill_hours,_xlfn.LAMBDA(_xlpm.row,SUM(_xlfn.CHOOSECOLS(_xlpm.row,_xlfn.SEQUENCE(3,1,BD$2))))),
_xlfn.BYROW(_xlpm.bill_hours,_xlfn.LAMBDA(_xlpm.row,SUM(_xlfn.CHOOSECOLS(_xlpm.row,_xlfn.SEQUENCE(3,1,BE$2))))),
_xlfn.BYROW(_xlpm.bill_hours,_xlfn.LAMBDA(_xlpm.row,SUM(_xlfn.CHOOSECOLS(_xlpm.row,_xlfn.SEQUENCE(3,1,BF$2)))))))</f>
        <v>0</v>
      </c>
      <c r="BD4" s="53">
        <v>0</v>
      </c>
      <c r="BE4" s="53">
        <v>0</v>
      </c>
      <c r="BF4" s="53">
        <v>0</v>
      </c>
      <c r="BH4" s="53" cm="1">
        <f t="array" ref="BH4:BK55">_xlfn.LET(_xlpm.bill_hours,_xlfn.VSTACK('MS:NCA9'!$E$33:$AN$33),_xlfn.HSTACK(
_xlfn.BYROW(_xlpm.bill_hours,_xlfn.LAMBDA(_xlpm.row,SUM(_xlfn.CHOOSECOLS(_xlpm.row,_xlfn.SEQUENCE(3,1,BH$2))))),
_xlfn.BYROW(_xlpm.bill_hours,_xlfn.LAMBDA(_xlpm.row,SUM(_xlfn.CHOOSECOLS(_xlpm.row,_xlfn.SEQUENCE(3,1,BI$2))))),
_xlfn.BYROW(_xlpm.bill_hours,_xlfn.LAMBDA(_xlpm.row,SUM(_xlfn.CHOOSECOLS(_xlpm.row,_xlfn.SEQUENCE(3,1,BJ$2))))),
_xlfn.BYROW(_xlpm.bill_hours,_xlfn.LAMBDA(_xlpm.row,SUM(_xlfn.CHOOSECOLS(_xlpm.row,_xlfn.SEQUENCE(3,1,BK$2)))))))</f>
        <v>0</v>
      </c>
      <c r="BI4" s="53">
        <v>0</v>
      </c>
      <c r="BJ4" s="53">
        <v>0</v>
      </c>
      <c r="BK4" s="53">
        <v>0</v>
      </c>
      <c r="BM4" s="53" cm="1">
        <f t="array" ref="BM4:BP55">_xlfn.LET(_xlpm.bill_hours,_xlfn.VSTACK('MS:NCA9'!$E$65:$AN$65),_xlfn.HSTACK(
_xlfn.BYROW(_xlpm.bill_hours,_xlfn.LAMBDA(_xlpm.row,SUM(_xlfn.CHOOSECOLS(_xlpm.row,_xlfn.SEQUENCE(3,1,BM$2))))),
_xlfn.BYROW(_xlpm.bill_hours,_xlfn.LAMBDA(_xlpm.row,SUM(_xlfn.CHOOSECOLS(_xlpm.row,_xlfn.SEQUENCE(3,1,BN$2))))),
_xlfn.BYROW(_xlpm.bill_hours,_xlfn.LAMBDA(_xlpm.row,SUM(_xlfn.CHOOSECOLS(_xlpm.row,_xlfn.SEQUENCE(3,1,BO$2))))),
_xlfn.BYROW(_xlpm.bill_hours,_xlfn.LAMBDA(_xlpm.row,SUM(_xlfn.CHOOSECOLS(_xlpm.row,_xlfn.SEQUENCE(3,1,BP$2)))))))</f>
        <v>0</v>
      </c>
      <c r="BN4" s="53">
        <v>0</v>
      </c>
      <c r="BO4" s="53">
        <v>0</v>
      </c>
      <c r="BP4" s="53">
        <v>0</v>
      </c>
      <c r="BR4" s="53" cm="1">
        <f t="array" ref="BR4:BT55">_xlfn.LET(_xlpm.bill_hours,_xlfn.VSTACK('MS:NCA9'!$E$36:$AN$36),_xlfn.HSTACK(
_xlfn.BYROW(_xlpm.bill_hours,_xlfn.LAMBDA(_xlpm.row,SUM(_xlfn.CHOOSECOLS(_xlpm.row,_xlfn.SEQUENCE(12,1,BR$2))))),
_xlfn.BYROW(_xlpm.bill_hours,_xlfn.LAMBDA(_xlpm.row,SUM(_xlfn.CHOOSECOLS(_xlpm.row,_xlfn.SEQUENCE(12,1,BS$2))))),
_xlfn.BYROW(_xlpm.bill_hours,_xlfn.LAMBDA(_xlpm.row,SUM(_xlfn.CHOOSECOLS(_xlpm.row,_xlfn.SEQUENCE(12,1,BT$2)))))))</f>
        <v>0</v>
      </c>
      <c r="BS4" s="53">
        <v>0</v>
      </c>
      <c r="BT4" s="53">
        <v>0</v>
      </c>
      <c r="BV4" s="53" cm="1">
        <f t="array" ref="BV4:BY55">_xlfn.LET(_xlpm.bill_hours,_xlfn.VSTACK('MS:NCA9'!$E$40:$AN$40),_xlfn.HSTACK(
_xlfn.BYROW(_xlpm.bill_hours,_xlfn.LAMBDA(_xlpm.row,SUM(_xlfn.CHOOSECOLS(_xlpm.row,_xlfn.SEQUENCE(3,1,BV$2))))),
_xlfn.BYROW(_xlpm.bill_hours,_xlfn.LAMBDA(_xlpm.row,SUM(_xlfn.CHOOSECOLS(_xlpm.row,_xlfn.SEQUENCE(3,1,BW$2))))),
_xlfn.BYROW(_xlpm.bill_hours,_xlfn.LAMBDA(_xlpm.row,SUM(_xlfn.CHOOSECOLS(_xlpm.row,_xlfn.SEQUENCE(3,1,BX$2))))),
_xlfn.BYROW(_xlpm.bill_hours,_xlfn.LAMBDA(_xlpm.row,SUM(_xlfn.CHOOSECOLS(_xlpm.row,_xlfn.SEQUENCE(3,1,BY$2)))))))</f>
        <v>29000</v>
      </c>
      <c r="BW4" s="53">
        <v>29000</v>
      </c>
      <c r="BX4" s="53">
        <v>29000</v>
      </c>
      <c r="BY4" s="53">
        <v>29000</v>
      </c>
      <c r="CA4" s="53" cm="1">
        <f t="array" ref="CA4:CC55">_xlfn.LET(_xlpm.bill_hours,_xlfn.VSTACK('MS:NCA9'!$E$42:$AN$42),_xlfn.HSTACK(
_xlfn.BYROW(_xlpm.bill_hours,_xlfn.LAMBDA(_xlpm.row,SUM(_xlfn.CHOOSECOLS(_xlpm.row,_xlfn.SEQUENCE(12,1,CA$2))))),
_xlfn.BYROW(_xlpm.bill_hours,_xlfn.LAMBDA(_xlpm.row,SUM(_xlfn.CHOOSECOLS(_xlpm.row,_xlfn.SEQUENCE(12,1,CB$2))))),
_xlfn.BYROW(_xlpm.bill_hours,_xlfn.LAMBDA(_xlpm.row,SUM(_xlfn.CHOOSECOLS(_xlpm.row,_xlfn.SEQUENCE(12,1,CC$2)))))))</f>
        <v>0</v>
      </c>
      <c r="CB4" s="53">
        <v>0</v>
      </c>
      <c r="CC4" s="53">
        <v>0</v>
      </c>
      <c r="CE4" s="53" cm="1">
        <f t="array" ref="CE4:CG55">_xlfn.LET(_xlpm.bill_hours,_xlfn.VSTACK('MS:NCA9'!$E$43:$AN$43),_xlfn.HSTACK(
_xlfn.BYROW(_xlpm.bill_hours,_xlfn.LAMBDA(_xlpm.row,SUM(_xlfn.CHOOSECOLS(_xlpm.row,_xlfn.SEQUENCE(12,1,CE$2))))),
_xlfn.BYROW(_xlpm.bill_hours,_xlfn.LAMBDA(_xlpm.row,SUM(_xlfn.CHOOSECOLS(_xlpm.row,_xlfn.SEQUENCE(12,1,CF$2))))),
_xlfn.BYROW(_xlpm.bill_hours,_xlfn.LAMBDA(_xlpm.row,SUM(_xlfn.CHOOSECOLS(_xlpm.row,_xlfn.SEQUENCE(12,1,CG$2)))))))</f>
        <v>0</v>
      </c>
      <c r="CF4" s="53">
        <v>0</v>
      </c>
      <c r="CG4" s="53">
        <v>0</v>
      </c>
      <c r="CI4" s="53" cm="1">
        <f t="array" ref="CI4:CK55">_xlfn.LET(_xlpm.bill_hours,_xlfn.VSTACK('MS:NCA9'!$E$44:$AN$44),_xlfn.HSTACK(
_xlfn.BYROW(_xlpm.bill_hours,_xlfn.LAMBDA(_xlpm.row,SUM(_xlfn.CHOOSECOLS(_xlpm.row,_xlfn.SEQUENCE(12,1,CI$2))))),
_xlfn.BYROW(_xlpm.bill_hours,_xlfn.LAMBDA(_xlpm.row,SUM(_xlfn.CHOOSECOLS(_xlpm.row,_xlfn.SEQUENCE(12,1,CJ$2))))),
_xlfn.BYROW(_xlpm.bill_hours,_xlfn.LAMBDA(_xlpm.row,SUM(_xlfn.CHOOSECOLS(_xlpm.row,_xlfn.SEQUENCE(12,1,CK$2)))))))</f>
        <v>0</v>
      </c>
      <c r="CJ4" s="53">
        <v>0</v>
      </c>
      <c r="CK4" s="53">
        <v>0</v>
      </c>
      <c r="CM4" s="53" cm="1">
        <f t="array" ref="CM4:CO55">_xlfn.LET(_xlpm.bill_hours,_xlfn.VSTACK('MS:NCA9'!$E$45:$AN$45),_xlfn.HSTACK(
_xlfn.BYROW(_xlpm.bill_hours,_xlfn.LAMBDA(_xlpm.row,SUM(_xlfn.CHOOSECOLS(_xlpm.row,_xlfn.SEQUENCE(12,1,CM$2))))),
_xlfn.BYROW(_xlpm.bill_hours,_xlfn.LAMBDA(_xlpm.row,SUM(_xlfn.CHOOSECOLS(_xlpm.row,_xlfn.SEQUENCE(12,1,CN$2))))),
_xlfn.BYROW(_xlpm.bill_hours,_xlfn.LAMBDA(_xlpm.row,SUM(_xlfn.CHOOSECOLS(_xlpm.row,_xlfn.SEQUENCE(12,1,CO$2)))))))</f>
        <v>0</v>
      </c>
      <c r="CN4" s="53">
        <v>0</v>
      </c>
      <c r="CO4" s="53">
        <v>0</v>
      </c>
      <c r="CQ4" s="53" cm="1">
        <f t="array" ref="CQ4:CS55">_xlfn.LET(_xlpm.bill_hours,_xlfn.VSTACK('MS:NCA9'!$E$46:$AN$46),_xlfn.HSTACK(
_xlfn.BYROW(_xlpm.bill_hours,_xlfn.LAMBDA(_xlpm.row,SUM(_xlfn.CHOOSECOLS(_xlpm.row,_xlfn.SEQUENCE(12,1,CQ$2))))),
_xlfn.BYROW(_xlpm.bill_hours,_xlfn.LAMBDA(_xlpm.row,SUM(_xlfn.CHOOSECOLS(_xlpm.row,_xlfn.SEQUENCE(12,1,CR$2))))),
_xlfn.BYROW(_xlpm.bill_hours,_xlfn.LAMBDA(_xlpm.row,SUM(_xlfn.CHOOSECOLS(_xlpm.row,_xlfn.SEQUENCE(12,1,CS$2)))))))</f>
        <v>0</v>
      </c>
      <c r="CR4" s="53">
        <v>0</v>
      </c>
      <c r="CS4" s="53">
        <v>0</v>
      </c>
      <c r="CU4" s="53" cm="1">
        <f t="array" ref="CU4:CW55">_xlfn.LET(_xlpm.bill_hours,_xlfn.VSTACK('MS:NCA9'!$E$47:$AN$47),_xlfn.HSTACK(
_xlfn.BYROW(_xlpm.bill_hours,_xlfn.LAMBDA(_xlpm.row,SUM(_xlfn.CHOOSECOLS(_xlpm.row,_xlfn.SEQUENCE(12,1,CU$2))))),
_xlfn.BYROW(_xlpm.bill_hours,_xlfn.LAMBDA(_xlpm.row,SUM(_xlfn.CHOOSECOLS(_xlpm.row,_xlfn.SEQUENCE(12,1,CV$2))))),
_xlfn.BYROW(_xlpm.bill_hours,_xlfn.LAMBDA(_xlpm.row,SUM(_xlfn.CHOOSECOLS(_xlpm.row,_xlfn.SEQUENCE(12,1,CW$2)))))))</f>
        <v>0</v>
      </c>
      <c r="CV4" s="53">
        <v>0</v>
      </c>
      <c r="CW4" s="53">
        <v>0</v>
      </c>
      <c r="CY4" s="53" cm="1">
        <f t="array" ref="CY4:DA55">_xlfn.LET(_xlpm.bill_hours,_xlfn.VSTACK('MS:NCA9'!$E$48:$AN$48),_xlfn.HSTACK(
_xlfn.BYROW(_xlpm.bill_hours,_xlfn.LAMBDA(_xlpm.row,SUM(_xlfn.CHOOSECOLS(_xlpm.row,_xlfn.SEQUENCE(12,1,CY$2))))),
_xlfn.BYROW(_xlpm.bill_hours,_xlfn.LAMBDA(_xlpm.row,SUM(_xlfn.CHOOSECOLS(_xlpm.row,_xlfn.SEQUENCE(12,1,CZ$2))))),
_xlfn.BYROW(_xlpm.bill_hours,_xlfn.LAMBDA(_xlpm.row,SUM(_xlfn.CHOOSECOLS(_xlpm.row,_xlfn.SEQUENCE(12,1,DA$2)))))))</f>
        <v>0</v>
      </c>
      <c r="CZ4" s="53">
        <v>0</v>
      </c>
      <c r="DA4" s="53">
        <v>0</v>
      </c>
      <c r="DC4" s="53" cm="1">
        <f t="array" ref="DC4:DE55">_xlfn.LET(_xlpm.bill_hours,_xlfn.VSTACK('MS:NCA9'!$E$49:$AN$49),_xlfn.HSTACK(
_xlfn.BYROW(_xlpm.bill_hours,_xlfn.LAMBDA(_xlpm.row,SUM(_xlfn.CHOOSECOLS(_xlpm.row,_xlfn.SEQUENCE(12,1,DC$2))))),
_xlfn.BYROW(_xlpm.bill_hours,_xlfn.LAMBDA(_xlpm.row,SUM(_xlfn.CHOOSECOLS(_xlpm.row,_xlfn.SEQUENCE(12,1,DD$2))))),
_xlfn.BYROW(_xlpm.bill_hours,_xlfn.LAMBDA(_xlpm.row,SUM(_xlfn.CHOOSECOLS(_xlpm.row,_xlfn.SEQUENCE(12,1,DE$2)))))))</f>
        <v>0</v>
      </c>
      <c r="DD4" s="53">
        <v>0</v>
      </c>
      <c r="DE4" s="53">
        <v>0</v>
      </c>
      <c r="DG4" s="53" cm="1">
        <f t="array" ref="DG4:DJ55">_xlfn.LET(_xlpm.bill_hours,_xlfn.VSTACK('MS:NCA9'!$E$41:$AN$41),_xlfn.HSTACK(
_xlfn.BYROW(_xlpm.bill_hours,_xlfn.LAMBDA(_xlpm.row,SUM(_xlfn.CHOOSECOLS(_xlpm.row,_xlfn.SEQUENCE(3,1,DG$2))))),
_xlfn.BYROW(_xlpm.bill_hours,_xlfn.LAMBDA(_xlpm.row,SUM(_xlfn.CHOOSECOLS(_xlpm.row,_xlfn.SEQUENCE(3,1,DH$2))))),
_xlfn.BYROW(_xlpm.bill_hours,_xlfn.LAMBDA(_xlpm.row,SUM(_xlfn.CHOOSECOLS(_xlpm.row,_xlfn.SEQUENCE(3,1,DI$2))))),
_xlfn.BYROW(_xlpm.bill_hours,_xlfn.LAMBDA(_xlpm.row,SUM(_xlfn.CHOOSECOLS(_xlpm.row,_xlfn.SEQUENCE(3,1,DJ$2)))))))</f>
        <v>1970073.6000000001</v>
      </c>
      <c r="DH4" s="53">
        <v>4925183.9999999991</v>
      </c>
      <c r="DI4" s="53">
        <v>6021734.3999999994</v>
      </c>
      <c r="DJ4" s="53">
        <v>6189004.7999999998</v>
      </c>
      <c r="DL4" s="53" cm="1">
        <f t="array" ref="DL4:DO55">_xlfn.LET(_xlpm.bill_hours,_xlfn.VSTACK('MS:NCA9'!$E$56:$AN$56),_xlfn.HSTACK(
_xlfn.BYROW(_xlpm.bill_hours,_xlfn.LAMBDA(_xlpm.row,SUM(_xlfn.CHOOSECOLS(_xlpm.row,_xlfn.SEQUENCE(3,1,DL$2))))),
_xlfn.BYROW(_xlpm.bill_hours,_xlfn.LAMBDA(_xlpm.row,SUM(_xlfn.CHOOSECOLS(_xlpm.row,_xlfn.SEQUENCE(3,1,DM$2))))),
_xlfn.BYROW(_xlpm.bill_hours,_xlfn.LAMBDA(_xlpm.row,SUM(_xlfn.CHOOSECOLS(_xlpm.row,_xlfn.SEQUENCE(3,1,DN$2))))),
_xlfn.BYROW(_xlpm.bill_hours,_xlfn.LAMBDA(_xlpm.row,SUM(_xlfn.CHOOSECOLS(_xlpm.row,_xlfn.SEQUENCE(3,1,DO$2)))))))</f>
        <v>-2545606.0944746663</v>
      </c>
      <c r="DM4" s="53">
        <v>-6364015.2361866646</v>
      </c>
      <c r="DN4" s="53">
        <v>-7780909.1944319978</v>
      </c>
      <c r="DO4" s="53">
        <v>-7997045.5609440003</v>
      </c>
      <c r="DQ4" s="53" cm="1">
        <f t="array" ref="DQ4:DT55">_xlfn.LET(_xlpm.bill_hours,_xlfn.VSTACK(All!$E$54:$AN$54),_xlpm.result,_xlfn.HSTACK(
_xlfn.BYROW(_xlpm.bill_hours,_xlfn.LAMBDA(_xlpm.row,SUM(_xlfn.CHOOSECOLS(_xlpm.row,_xlfn.SEQUENCE(3,1,DQ$2))))),
_xlfn.BYROW(_xlpm.bill_hours,_xlfn.LAMBDA(_xlpm.row,SUM(_xlfn.CHOOSECOLS(_xlpm.row,_xlfn.SEQUENCE(3,1,DR$2))))),
_xlfn.BYROW(_xlpm.bill_hours,_xlfn.LAMBDA(_xlpm.row,SUM(_xlfn.CHOOSECOLS(_xlpm.row,_xlfn.SEQUENCE(3,1,DS$2))))),
_xlfn.BYROW(_xlpm.bill_hours,_xlfn.LAMBDA(_xlpm.row,SUM(_xlfn.CHOOSECOLS(_xlpm.row,_xlfn.SEQUENCE(3,1,DT$2)))))),
_xlpm.result*_xlfn.ANCHORARRAY(E4)/_xlfn.VSTACK(_xlfn.BYCOL(_xlfn.ANCHORARRAY(E4),_xlfn.LAMBDA(_xlpm.cols,(SUM(_xlpm.cols))))))</f>
        <v>40572.712940471283</v>
      </c>
      <c r="DR4" s="53">
        <v>121351.70009058958</v>
      </c>
      <c r="DS4" s="53">
        <v>174146.90132658329</v>
      </c>
      <c r="DT4" s="53">
        <v>188126.89608941154</v>
      </c>
      <c r="DV4" s="53" cm="1">
        <f t="array" ref="DV4:DY55">_xlfn.LET(_xlpm.bill_hours,_xlfn.VSTACK('MS:NCA9'!$E$69:$AN$69),_xlfn.HSTACK(
_xlfn.BYROW(_xlpm.bill_hours,_xlfn.LAMBDA(_xlpm.row,MAX(_xlfn.CHOOSECOLS(_xlpm.row,_xlfn.SEQUENCE(12,1,DV$2))))),
_xlfn.BYROW(_xlpm.bill_hours,_xlfn.LAMBDA(_xlpm.row,MAX(_xlfn.CHOOSECOLS(_xlpm.row,_xlfn.SEQUENCE(12,1,DW$2))))),
_xlfn.BYROW(_xlpm.bill_hours,_xlfn.LAMBDA(_xlpm.row,MAX(_xlfn.CHOOSECOLS(_xlpm.row,_xlfn.SEQUENCE(12,1,DX$2))))),
_xlfn.BYROW(_xlpm.bill_hours,_xlfn.LAMBDA(_xlpm.row,MAX(_xlfn.CHOOSECOLS(_xlpm.row,_xlfn.SEQUENCE(12,1,DY$2)))))))</f>
        <v>0</v>
      </c>
      <c r="DW4" s="53">
        <v>0</v>
      </c>
      <c r="DX4" s="53">
        <v>0</v>
      </c>
      <c r="DY4" s="53">
        <v>0</v>
      </c>
      <c r="EA4" s="53" cm="1">
        <f t="array" ref="EA4:ED55">_xlfn.LET(_xlpm.bill_hours,_xlfn.VSTACK('MS:NCA9'!$E$70:$AN$70),_xlfn.HSTACK(
_xlfn.BYROW(_xlpm.bill_hours,_xlfn.LAMBDA(_xlpm.row,MAX(_xlfn.CHOOSECOLS(_xlpm.row,_xlfn.SEQUENCE(12,1,EA$2))))),
_xlfn.BYROW(_xlpm.bill_hours,_xlfn.LAMBDA(_xlpm.row,MAX(_xlfn.CHOOSECOLS(_xlpm.row,_xlfn.SEQUENCE(12,1,EB$2))))),
_xlfn.BYROW(_xlpm.bill_hours,_xlfn.LAMBDA(_xlpm.row,MAX(_xlfn.CHOOSECOLS(_xlpm.row,_xlfn.SEQUENCE(12,1,EC$2))))),
_xlfn.BYROW(_xlpm.bill_hours,_xlfn.LAMBDA(_xlpm.row,MAX(_xlfn.CHOOSECOLS(_xlpm.row,_xlfn.SEQUENCE(12,1,ED$2)))))))</f>
        <v>0</v>
      </c>
      <c r="EB4" s="53">
        <v>0</v>
      </c>
      <c r="EC4" s="53">
        <v>0</v>
      </c>
      <c r="ED4" s="53">
        <v>0</v>
      </c>
      <c r="EF4" s="53" cm="1">
        <f t="array" ref="EF4:EI55">_xlfn.LET(_xlpm.bill_hours,_xlfn.VSTACK('MS:NCA9'!$E$7:$AN$7),_xlfn.HSTACK(
_xlfn.BYROW(_xlpm.bill_hours,_xlfn.LAMBDA(_xlpm.row,MAX(_xlfn.CHOOSECOLS(_xlpm.row,_xlfn.SEQUENCE(3,1,EF$2))))),
_xlfn.BYROW(_xlpm.bill_hours,_xlfn.LAMBDA(_xlpm.row,MAX(_xlfn.CHOOSECOLS(_xlpm.row,_xlfn.SEQUENCE(3,1,EG$2))))),
_xlfn.BYROW(_xlpm.bill_hours,_xlfn.LAMBDA(_xlpm.row,MAX(_xlfn.CHOOSECOLS(_xlpm.row,_xlfn.SEQUENCE(3,1,EH$2))))),
_xlfn.BYROW(_xlpm.bill_hours,_xlfn.LAMBDA(_xlpm.row,MAX(_xlfn.CHOOSECOLS(_xlpm.row,_xlfn.SEQUENCE(3,1,EI$2)))))))</f>
        <v>0</v>
      </c>
      <c r="EG4" s="53">
        <v>0</v>
      </c>
      <c r="EH4" s="53">
        <v>0</v>
      </c>
      <c r="EI4" s="53">
        <v>0</v>
      </c>
      <c r="EK4" s="53" cm="1">
        <f t="array" ref="EK4:EN55">_xlfn.LET(_xlpm.bill_hours,_xlfn.VSTACK('MS:NCA9'!$E$8:$AN$8),_xlfn.HSTACK(
_xlfn.BYROW(_xlpm.bill_hours,_xlfn.LAMBDA(_xlpm.row,MAX(_xlfn.CHOOSECOLS(_xlpm.row,_xlfn.SEQUENCE(3,1,EK$2))))),
_xlfn.BYROW(_xlpm.bill_hours,_xlfn.LAMBDA(_xlpm.row,MAX(_xlfn.CHOOSECOLS(_xlpm.row,_xlfn.SEQUENCE(3,1,EL$2))))),
_xlfn.BYROW(_xlpm.bill_hours,_xlfn.LAMBDA(_xlpm.row,MAX(_xlfn.CHOOSECOLS(_xlpm.row,_xlfn.SEQUENCE(3,1,EM$2))))),
_xlfn.BYROW(_xlpm.bill_hours,_xlfn.LAMBDA(_xlpm.row,MAX(_xlfn.CHOOSECOLS(_xlpm.row,_xlfn.SEQUENCE(3,1,EN$2)))))))</f>
        <v>0</v>
      </c>
      <c r="EL4" s="53">
        <v>0</v>
      </c>
      <c r="EM4" s="53">
        <v>0</v>
      </c>
      <c r="EN4" s="53">
        <v>0</v>
      </c>
      <c r="EP4" s="53" cm="1">
        <f t="array" ref="EP4:ES55">_xlfn.LET(_xlpm.bill_hours,_xlfn.VSTACK('MS:NCA9'!$E$8:$AN$8),_xlfn.HSTACK(
_xlfn.BYROW(_xlpm.bill_hours,_xlfn.LAMBDA(_xlpm.row,MAX(_xlfn.CHOOSECOLS(_xlpm.row,_xlfn.SEQUENCE(3,1,EP$2))))),
_xlfn.BYROW(_xlpm.bill_hours,_xlfn.LAMBDA(_xlpm.row,MAX(_xlfn.CHOOSECOLS(_xlpm.row,_xlfn.SEQUENCE(3,1,EQ$2))))),
_xlfn.BYROW(_xlpm.bill_hours,_xlfn.LAMBDA(_xlpm.row,MAX(_xlfn.CHOOSECOLS(_xlpm.row,_xlfn.SEQUENCE(3,1,ER$2))))),
_xlfn.BYROW(_xlpm.bill_hours,_xlfn.LAMBDA(_xlpm.row,MAX(_xlfn.CHOOSECOLS(_xlpm.row,_xlfn.SEQUENCE(3,1,ES$2)))))))</f>
        <v>0</v>
      </c>
      <c r="EQ4" s="53">
        <v>0</v>
      </c>
      <c r="ER4" s="53">
        <v>0</v>
      </c>
      <c r="ES4" s="53">
        <v>0</v>
      </c>
      <c r="EU4" s="53" cm="1">
        <f t="array" ref="EU4:EX55">_xlfn.LET(_xlpm.bill_hours,_xlfn.VSTACK('MS:NCA9'!$E$55:$AN$55),_xlfn.HSTACK(
_xlfn.BYROW(_xlpm.bill_hours,_xlfn.LAMBDA(_xlpm.row,SUM(_xlfn.CHOOSECOLS(_xlpm.row,_xlfn.SEQUENCE(3,1,EU$2))))),
_xlfn.BYROW(_xlpm.bill_hours,_xlfn.LAMBDA(_xlpm.row,SUM(_xlfn.CHOOSECOLS(_xlpm.row,_xlfn.SEQUENCE(3,1,EV$2))))),
_xlfn.BYROW(_xlpm.bill_hours,_xlfn.LAMBDA(_xlpm.row,SUM(_xlfn.CHOOSECOLS(_xlpm.row,_xlfn.SEQUENCE(3,1,EW$2))))),
_xlfn.BYROW(_xlpm.bill_hours,_xlfn.LAMBDA(_xlpm.row,SUM(_xlfn.CHOOSECOLS(_xlpm.row,_xlfn.SEQUENCE(3,1,EX$2)))))))</f>
        <v>300000</v>
      </c>
      <c r="EV4" s="53">
        <v>100000</v>
      </c>
      <c r="EW4" s="53">
        <v>0</v>
      </c>
      <c r="EX4" s="53">
        <v>0</v>
      </c>
      <c r="EZ4" s="53" cm="1">
        <f t="array" ref="EZ4:FC55">_xlfn.LET(_xlpm.bill_hours,_xlfn.VSTACK('MS:NCA9'!$E$1:$AN$1),_xlfn.HSTACK(
_xlfn.BYROW(_xlpm.bill_hours,_xlfn.LAMBDA(_xlpm.row,MAX(_xlfn.CHOOSECOLS(_xlpm.row,_xlfn.SEQUENCE(3,1,EZ$2))))),
_xlfn.BYROW(_xlpm.bill_hours,_xlfn.LAMBDA(_xlpm.row,MAX(_xlfn.CHOOSECOLS(_xlpm.row,_xlfn.SEQUENCE(3,1,FA$2))))),
_xlfn.BYROW(_xlpm.bill_hours,_xlfn.LAMBDA(_xlpm.row,MAX(_xlfn.CHOOSECOLS(_xlpm.row,_xlfn.SEQUENCE(3,1,FB$2))))),
_xlfn.BYROW(_xlpm.bill_hours,_xlfn.LAMBDA(_xlpm.row,MAX(_xlfn.CHOOSECOLS(_xlpm.row,_xlfn.SEQUENCE(3,1,FC$2)))))))</f>
        <v>212</v>
      </c>
      <c r="FA4" s="53">
        <v>424</v>
      </c>
      <c r="FB4" s="53">
        <v>436</v>
      </c>
      <c r="FC4" s="53">
        <v>448</v>
      </c>
    </row>
    <row r="5" spans="1:159" x14ac:dyDescent="0.25">
      <c r="A5" s="114"/>
      <c r="B5" t="str">
        <v>JV1</v>
      </c>
      <c r="C5" t="str">
        <v>M&amp;A</v>
      </c>
      <c r="D5" t="str">
        <v>M&amp;A</v>
      </c>
      <c r="E5" s="53">
        <v>0</v>
      </c>
      <c r="F5" s="53">
        <v>0</v>
      </c>
      <c r="G5" s="53">
        <v>0</v>
      </c>
      <c r="H5" s="53">
        <v>6917.9733333333324</v>
      </c>
      <c r="J5" s="53">
        <v>0</v>
      </c>
      <c r="K5" s="53">
        <v>0</v>
      </c>
      <c r="L5" s="53">
        <v>0</v>
      </c>
      <c r="M5" s="53">
        <v>1252346.803333333</v>
      </c>
      <c r="O5" s="53">
        <v>0</v>
      </c>
      <c r="P5" s="53">
        <v>0</v>
      </c>
      <c r="Q5" s="53">
        <v>0</v>
      </c>
      <c r="R5" s="53">
        <v>1102065.1869333331</v>
      </c>
      <c r="T5" s="53">
        <v>0</v>
      </c>
      <c r="U5" s="53">
        <v>0</v>
      </c>
      <c r="V5" s="53">
        <v>0</v>
      </c>
      <c r="W5" s="53">
        <v>-150281.61639999994</v>
      </c>
      <c r="Y5" s="53">
        <v>0</v>
      </c>
      <c r="Z5" s="53">
        <v>0</v>
      </c>
      <c r="AA5" s="53">
        <v>0</v>
      </c>
      <c r="AB5" s="53">
        <v>1060814.1266666665</v>
      </c>
      <c r="AD5" s="53">
        <v>0</v>
      </c>
      <c r="AE5" s="53">
        <v>0</v>
      </c>
      <c r="AF5" s="53">
        <v>0</v>
      </c>
      <c r="AG5" s="53">
        <v>0</v>
      </c>
      <c r="AI5" s="53">
        <v>0</v>
      </c>
      <c r="AJ5" s="53">
        <v>0</v>
      </c>
      <c r="AK5" s="53">
        <v>0</v>
      </c>
      <c r="AL5" s="53">
        <v>141396.39799999996</v>
      </c>
      <c r="AN5" s="53">
        <v>0</v>
      </c>
      <c r="AO5" s="53">
        <v>0</v>
      </c>
      <c r="AP5" s="53">
        <v>0</v>
      </c>
      <c r="AQ5" s="53">
        <v>21753.292000000001</v>
      </c>
      <c r="AS5" s="53">
        <v>0</v>
      </c>
      <c r="AT5" s="53">
        <v>0</v>
      </c>
      <c r="AU5" s="53">
        <v>0</v>
      </c>
      <c r="AV5" s="53">
        <v>28382.986666666664</v>
      </c>
      <c r="AX5" s="53">
        <v>0</v>
      </c>
      <c r="AY5" s="53">
        <v>0</v>
      </c>
      <c r="AZ5" s="53">
        <v>0</v>
      </c>
      <c r="BA5" s="53">
        <v>0</v>
      </c>
      <c r="BC5" s="53">
        <v>0</v>
      </c>
      <c r="BD5" s="53">
        <v>0</v>
      </c>
      <c r="BE5" s="53">
        <v>0</v>
      </c>
      <c r="BF5" s="53">
        <v>0</v>
      </c>
      <c r="BH5" s="53">
        <v>0</v>
      </c>
      <c r="BI5" s="53">
        <v>0</v>
      </c>
      <c r="BJ5" s="53">
        <v>0</v>
      </c>
      <c r="BK5" s="53">
        <v>0</v>
      </c>
      <c r="BM5" s="53">
        <v>0</v>
      </c>
      <c r="BN5" s="53">
        <v>0</v>
      </c>
      <c r="BO5" s="53">
        <v>0</v>
      </c>
      <c r="BP5" s="53">
        <v>0</v>
      </c>
      <c r="BR5" s="53">
        <v>0</v>
      </c>
      <c r="BS5" s="53">
        <v>0</v>
      </c>
      <c r="BT5" s="53">
        <v>0</v>
      </c>
      <c r="BV5" s="53">
        <v>0</v>
      </c>
      <c r="BW5" s="53">
        <v>0</v>
      </c>
      <c r="BX5" s="53">
        <v>0</v>
      </c>
      <c r="BY5" s="53">
        <v>0</v>
      </c>
      <c r="CA5" s="53">
        <v>0</v>
      </c>
      <c r="CB5" s="53">
        <v>0</v>
      </c>
      <c r="CC5" s="53">
        <v>0</v>
      </c>
      <c r="CE5" s="53">
        <v>0</v>
      </c>
      <c r="CF5" s="53">
        <v>0</v>
      </c>
      <c r="CG5" s="53">
        <v>0</v>
      </c>
      <c r="CI5" s="53">
        <v>0</v>
      </c>
      <c r="CJ5" s="53">
        <v>0</v>
      </c>
      <c r="CK5" s="53">
        <v>0</v>
      </c>
      <c r="CM5" s="53">
        <v>0</v>
      </c>
      <c r="CN5" s="53">
        <v>0</v>
      </c>
      <c r="CO5" s="53">
        <v>0</v>
      </c>
      <c r="CQ5" s="53">
        <v>0</v>
      </c>
      <c r="CR5" s="53">
        <v>0</v>
      </c>
      <c r="CS5" s="53">
        <v>0</v>
      </c>
      <c r="CU5" s="53">
        <v>0</v>
      </c>
      <c r="CV5" s="53">
        <v>0</v>
      </c>
      <c r="CW5" s="53">
        <v>0</v>
      </c>
      <c r="CY5" s="53">
        <v>0</v>
      </c>
      <c r="CZ5" s="53">
        <v>0</v>
      </c>
      <c r="DA5" s="53">
        <v>0</v>
      </c>
      <c r="DC5" s="53">
        <v>0</v>
      </c>
      <c r="DD5" s="53">
        <v>0</v>
      </c>
      <c r="DE5" s="53">
        <v>0</v>
      </c>
      <c r="DG5" s="53">
        <v>0</v>
      </c>
      <c r="DH5" s="53">
        <v>0</v>
      </c>
      <c r="DI5" s="53">
        <v>0</v>
      </c>
      <c r="DJ5" s="53">
        <v>622617.59999999986</v>
      </c>
      <c r="DL5" s="53">
        <v>0</v>
      </c>
      <c r="DM5" s="53">
        <v>0</v>
      </c>
      <c r="DN5" s="53">
        <v>0</v>
      </c>
      <c r="DO5" s="53">
        <v>-804507.58646133309</v>
      </c>
      <c r="DQ5" s="53">
        <v>0</v>
      </c>
      <c r="DR5" s="53">
        <v>0</v>
      </c>
      <c r="DS5" s="53">
        <v>0</v>
      </c>
      <c r="DT5" s="53">
        <v>18925.678735721576</v>
      </c>
      <c r="DV5" s="53">
        <v>0</v>
      </c>
      <c r="DW5" s="53">
        <v>0</v>
      </c>
      <c r="DX5" s="53">
        <v>0</v>
      </c>
      <c r="DY5" s="53">
        <v>0</v>
      </c>
      <c r="EA5" s="53">
        <v>0</v>
      </c>
      <c r="EB5" s="53">
        <v>0</v>
      </c>
      <c r="EC5" s="53">
        <v>0</v>
      </c>
      <c r="ED5" s="53">
        <v>0</v>
      </c>
      <c r="EF5" s="53">
        <v>0</v>
      </c>
      <c r="EG5" s="53">
        <v>0</v>
      </c>
      <c r="EH5" s="53">
        <v>0</v>
      </c>
      <c r="EI5" s="53">
        <v>0</v>
      </c>
      <c r="EK5" s="53">
        <v>0</v>
      </c>
      <c r="EL5" s="53">
        <v>0</v>
      </c>
      <c r="EM5" s="53">
        <v>0</v>
      </c>
      <c r="EN5" s="53">
        <v>0</v>
      </c>
      <c r="EP5" s="53">
        <v>0</v>
      </c>
      <c r="EQ5" s="53">
        <v>0</v>
      </c>
      <c r="ER5" s="53">
        <v>0</v>
      </c>
      <c r="ES5" s="53">
        <v>0</v>
      </c>
      <c r="EU5" s="53">
        <v>0</v>
      </c>
      <c r="EV5" s="53">
        <v>0</v>
      </c>
      <c r="EW5" s="53">
        <v>100000</v>
      </c>
      <c r="EX5" s="53">
        <v>300000</v>
      </c>
      <c r="EZ5" s="53">
        <v>0</v>
      </c>
      <c r="FA5" s="53">
        <v>0</v>
      </c>
      <c r="FB5" s="53">
        <v>0</v>
      </c>
      <c r="FC5" s="53">
        <v>67</v>
      </c>
    </row>
    <row r="6" spans="1:159" x14ac:dyDescent="0.25">
      <c r="A6" s="114"/>
      <c r="B6" t="str">
        <v>JV1</v>
      </c>
      <c r="C6" t="str">
        <v>M&amp;A</v>
      </c>
      <c r="D6" t="str">
        <v>M&amp;A</v>
      </c>
      <c r="E6" s="53">
        <v>0</v>
      </c>
      <c r="F6" s="53">
        <v>0</v>
      </c>
      <c r="G6" s="53">
        <v>0</v>
      </c>
      <c r="H6" s="53">
        <v>0</v>
      </c>
      <c r="J6" s="53">
        <v>0</v>
      </c>
      <c r="K6" s="53">
        <v>0</v>
      </c>
      <c r="L6" s="53">
        <v>0</v>
      </c>
      <c r="M6" s="53">
        <v>0</v>
      </c>
      <c r="O6" s="53">
        <v>0</v>
      </c>
      <c r="P6" s="53">
        <v>0</v>
      </c>
      <c r="Q6" s="53">
        <v>0</v>
      </c>
      <c r="R6" s="53">
        <v>0</v>
      </c>
      <c r="T6" s="53">
        <v>0</v>
      </c>
      <c r="U6" s="53">
        <v>0</v>
      </c>
      <c r="V6" s="53">
        <v>0</v>
      </c>
      <c r="W6" s="53">
        <v>0</v>
      </c>
      <c r="Y6" s="53">
        <v>0</v>
      </c>
      <c r="Z6" s="53">
        <v>0</v>
      </c>
      <c r="AA6" s="53">
        <v>0</v>
      </c>
      <c r="AB6" s="53">
        <v>0</v>
      </c>
      <c r="AD6" s="53">
        <v>0</v>
      </c>
      <c r="AE6" s="53">
        <v>0</v>
      </c>
      <c r="AF6" s="53">
        <v>0</v>
      </c>
      <c r="AG6" s="53">
        <v>0</v>
      </c>
      <c r="AI6" s="53">
        <v>0</v>
      </c>
      <c r="AJ6" s="53">
        <v>0</v>
      </c>
      <c r="AK6" s="53">
        <v>0</v>
      </c>
      <c r="AL6" s="53">
        <v>0</v>
      </c>
      <c r="AN6" s="53">
        <v>0</v>
      </c>
      <c r="AO6" s="53">
        <v>0</v>
      </c>
      <c r="AP6" s="53">
        <v>0</v>
      </c>
      <c r="AQ6" s="53">
        <v>0</v>
      </c>
      <c r="AS6" s="53">
        <v>0</v>
      </c>
      <c r="AT6" s="53">
        <v>0</v>
      </c>
      <c r="AU6" s="53">
        <v>0</v>
      </c>
      <c r="AV6" s="53">
        <v>0</v>
      </c>
      <c r="AX6" s="53">
        <v>0</v>
      </c>
      <c r="AY6" s="53">
        <v>0</v>
      </c>
      <c r="AZ6" s="53">
        <v>0</v>
      </c>
      <c r="BA6" s="53">
        <v>0</v>
      </c>
      <c r="BC6" s="53">
        <v>0</v>
      </c>
      <c r="BD6" s="53">
        <v>0</v>
      </c>
      <c r="BE6" s="53">
        <v>0</v>
      </c>
      <c r="BF6" s="53">
        <v>0</v>
      </c>
      <c r="BH6" s="53">
        <v>0</v>
      </c>
      <c r="BI6" s="53">
        <v>0</v>
      </c>
      <c r="BJ6" s="53">
        <v>0</v>
      </c>
      <c r="BK6" s="53">
        <v>0</v>
      </c>
      <c r="BM6" s="53">
        <v>0</v>
      </c>
      <c r="BN6" s="53">
        <v>0</v>
      </c>
      <c r="BO6" s="53">
        <v>0</v>
      </c>
      <c r="BP6" s="53">
        <v>0</v>
      </c>
      <c r="BR6" s="53">
        <v>0</v>
      </c>
      <c r="BS6" s="53">
        <v>0</v>
      </c>
      <c r="BT6" s="53">
        <v>0</v>
      </c>
      <c r="BV6" s="53">
        <v>0</v>
      </c>
      <c r="BW6" s="53">
        <v>0</v>
      </c>
      <c r="BX6" s="53">
        <v>0</v>
      </c>
      <c r="BY6" s="53">
        <v>0</v>
      </c>
      <c r="CA6" s="53">
        <v>0</v>
      </c>
      <c r="CB6" s="53">
        <v>0</v>
      </c>
      <c r="CC6" s="53">
        <v>0</v>
      </c>
      <c r="CE6" s="53">
        <v>0</v>
      </c>
      <c r="CF6" s="53">
        <v>0</v>
      </c>
      <c r="CG6" s="53">
        <v>0</v>
      </c>
      <c r="CI6" s="53">
        <v>0</v>
      </c>
      <c r="CJ6" s="53">
        <v>0</v>
      </c>
      <c r="CK6" s="53">
        <v>0</v>
      </c>
      <c r="CM6" s="53">
        <v>0</v>
      </c>
      <c r="CN6" s="53">
        <v>0</v>
      </c>
      <c r="CO6" s="53">
        <v>0</v>
      </c>
      <c r="CQ6" s="53">
        <v>0</v>
      </c>
      <c r="CR6" s="53">
        <v>0</v>
      </c>
      <c r="CS6" s="53">
        <v>0</v>
      </c>
      <c r="CU6" s="53">
        <v>0</v>
      </c>
      <c r="CV6" s="53">
        <v>0</v>
      </c>
      <c r="CW6" s="53">
        <v>0</v>
      </c>
      <c r="CY6" s="53">
        <v>0</v>
      </c>
      <c r="CZ6" s="53">
        <v>0</v>
      </c>
      <c r="DA6" s="53">
        <v>0</v>
      </c>
      <c r="DC6" s="53">
        <v>0</v>
      </c>
      <c r="DD6" s="53">
        <v>0</v>
      </c>
      <c r="DE6" s="53">
        <v>0</v>
      </c>
      <c r="DG6" s="53">
        <v>0</v>
      </c>
      <c r="DH6" s="53">
        <v>0</v>
      </c>
      <c r="DI6" s="53">
        <v>0</v>
      </c>
      <c r="DJ6" s="53">
        <v>0</v>
      </c>
      <c r="DL6" s="53">
        <v>0</v>
      </c>
      <c r="DM6" s="53">
        <v>0</v>
      </c>
      <c r="DN6" s="53">
        <v>0</v>
      </c>
      <c r="DO6" s="53">
        <v>0</v>
      </c>
      <c r="DQ6" s="53">
        <v>0</v>
      </c>
      <c r="DR6" s="53">
        <v>0</v>
      </c>
      <c r="DS6" s="53">
        <v>0</v>
      </c>
      <c r="DT6" s="53">
        <v>0</v>
      </c>
      <c r="DV6" s="53">
        <v>0</v>
      </c>
      <c r="DW6" s="53">
        <v>0</v>
      </c>
      <c r="DX6" s="53">
        <v>0</v>
      </c>
      <c r="DY6" s="53">
        <v>0</v>
      </c>
      <c r="EA6" s="53">
        <v>0</v>
      </c>
      <c r="EB6" s="53">
        <v>0</v>
      </c>
      <c r="EC6" s="53">
        <v>0</v>
      </c>
      <c r="ED6" s="53">
        <v>0</v>
      </c>
      <c r="EF6" s="53">
        <v>0</v>
      </c>
      <c r="EG6" s="53">
        <v>0</v>
      </c>
      <c r="EH6" s="53">
        <v>0</v>
      </c>
      <c r="EI6" s="53">
        <v>0</v>
      </c>
      <c r="EK6" s="53">
        <v>0</v>
      </c>
      <c r="EL6" s="53">
        <v>0</v>
      </c>
      <c r="EM6" s="53">
        <v>0</v>
      </c>
      <c r="EN6" s="53">
        <v>0</v>
      </c>
      <c r="EP6" s="53">
        <v>0</v>
      </c>
      <c r="EQ6" s="53">
        <v>0</v>
      </c>
      <c r="ER6" s="53">
        <v>0</v>
      </c>
      <c r="ES6" s="53">
        <v>0</v>
      </c>
      <c r="EU6" s="53">
        <v>0</v>
      </c>
      <c r="EV6" s="53">
        <v>0</v>
      </c>
      <c r="EW6" s="53">
        <v>0</v>
      </c>
      <c r="EX6" s="53">
        <v>100000</v>
      </c>
      <c r="EZ6" s="53">
        <v>0</v>
      </c>
      <c r="FA6" s="53">
        <v>0</v>
      </c>
      <c r="FB6" s="53">
        <v>0</v>
      </c>
      <c r="FC6" s="53">
        <v>0</v>
      </c>
    </row>
    <row r="7" spans="1:159" x14ac:dyDescent="0.25">
      <c r="A7" s="114"/>
      <c r="B7" t="str">
        <v>JV1</v>
      </c>
      <c r="C7" t="str">
        <v>M&amp;A</v>
      </c>
      <c r="D7" t="str">
        <v>M&amp;A</v>
      </c>
      <c r="E7" s="53">
        <v>0</v>
      </c>
      <c r="F7" s="53">
        <v>0</v>
      </c>
      <c r="G7" s="53">
        <v>0</v>
      </c>
      <c r="H7" s="53">
        <v>0</v>
      </c>
      <c r="J7" s="53">
        <v>0</v>
      </c>
      <c r="K7" s="53">
        <v>0</v>
      </c>
      <c r="L7" s="53">
        <v>0</v>
      </c>
      <c r="M7" s="53">
        <v>0</v>
      </c>
      <c r="O7" s="53">
        <v>0</v>
      </c>
      <c r="P7" s="53">
        <v>0</v>
      </c>
      <c r="Q7" s="53">
        <v>0</v>
      </c>
      <c r="R7" s="53">
        <v>0</v>
      </c>
      <c r="T7" s="53">
        <v>0</v>
      </c>
      <c r="U7" s="53">
        <v>0</v>
      </c>
      <c r="V7" s="53">
        <v>0</v>
      </c>
      <c r="W7" s="53">
        <v>0</v>
      </c>
      <c r="Y7" s="53">
        <v>0</v>
      </c>
      <c r="Z7" s="53">
        <v>0</v>
      </c>
      <c r="AA7" s="53">
        <v>0</v>
      </c>
      <c r="AB7" s="53">
        <v>0</v>
      </c>
      <c r="AD7" s="53">
        <v>0</v>
      </c>
      <c r="AE7" s="53">
        <v>0</v>
      </c>
      <c r="AF7" s="53">
        <v>0</v>
      </c>
      <c r="AG7" s="53">
        <v>0</v>
      </c>
      <c r="AI7" s="53">
        <v>0</v>
      </c>
      <c r="AJ7" s="53">
        <v>0</v>
      </c>
      <c r="AK7" s="53">
        <v>0</v>
      </c>
      <c r="AL7" s="53">
        <v>0</v>
      </c>
      <c r="AN7" s="53">
        <v>0</v>
      </c>
      <c r="AO7" s="53">
        <v>0</v>
      </c>
      <c r="AP7" s="53">
        <v>0</v>
      </c>
      <c r="AQ7" s="53">
        <v>0</v>
      </c>
      <c r="AS7" s="53">
        <v>0</v>
      </c>
      <c r="AT7" s="53">
        <v>0</v>
      </c>
      <c r="AU7" s="53">
        <v>0</v>
      </c>
      <c r="AV7" s="53">
        <v>0</v>
      </c>
      <c r="AX7" s="53">
        <v>0</v>
      </c>
      <c r="AY7" s="53">
        <v>0</v>
      </c>
      <c r="AZ7" s="53">
        <v>0</v>
      </c>
      <c r="BA7" s="53">
        <v>0</v>
      </c>
      <c r="BC7" s="53">
        <v>0</v>
      </c>
      <c r="BD7" s="53">
        <v>0</v>
      </c>
      <c r="BE7" s="53">
        <v>0</v>
      </c>
      <c r="BF7" s="53">
        <v>0</v>
      </c>
      <c r="BH7" s="53">
        <v>0</v>
      </c>
      <c r="BI7" s="53">
        <v>0</v>
      </c>
      <c r="BJ7" s="53">
        <v>0</v>
      </c>
      <c r="BK7" s="53">
        <v>0</v>
      </c>
      <c r="BM7" s="53">
        <v>0</v>
      </c>
      <c r="BN7" s="53">
        <v>0</v>
      </c>
      <c r="BO7" s="53">
        <v>0</v>
      </c>
      <c r="BP7" s="53">
        <v>0</v>
      </c>
      <c r="BR7" s="53">
        <v>0</v>
      </c>
      <c r="BS7" s="53">
        <v>0</v>
      </c>
      <c r="BT7" s="53">
        <v>0</v>
      </c>
      <c r="BV7" s="53">
        <v>0</v>
      </c>
      <c r="BW7" s="53">
        <v>0</v>
      </c>
      <c r="BX7" s="53">
        <v>0</v>
      </c>
      <c r="BY7" s="53">
        <v>0</v>
      </c>
      <c r="CA7" s="53">
        <v>0</v>
      </c>
      <c r="CB7" s="53">
        <v>0</v>
      </c>
      <c r="CC7" s="53">
        <v>0</v>
      </c>
      <c r="CE7" s="53">
        <v>0</v>
      </c>
      <c r="CF7" s="53">
        <v>0</v>
      </c>
      <c r="CG7" s="53">
        <v>0</v>
      </c>
      <c r="CI7" s="53">
        <v>0</v>
      </c>
      <c r="CJ7" s="53">
        <v>0</v>
      </c>
      <c r="CK7" s="53">
        <v>0</v>
      </c>
      <c r="CM7" s="53">
        <v>0</v>
      </c>
      <c r="CN7" s="53">
        <v>0</v>
      </c>
      <c r="CO7" s="53">
        <v>0</v>
      </c>
      <c r="CQ7" s="53">
        <v>0</v>
      </c>
      <c r="CR7" s="53">
        <v>0</v>
      </c>
      <c r="CS7" s="53">
        <v>0</v>
      </c>
      <c r="CU7" s="53">
        <v>0</v>
      </c>
      <c r="CV7" s="53">
        <v>0</v>
      </c>
      <c r="CW7" s="53">
        <v>0</v>
      </c>
      <c r="CY7" s="53">
        <v>0</v>
      </c>
      <c r="CZ7" s="53">
        <v>0</v>
      </c>
      <c r="DA7" s="53">
        <v>0</v>
      </c>
      <c r="DC7" s="53">
        <v>0</v>
      </c>
      <c r="DD7" s="53">
        <v>0</v>
      </c>
      <c r="DE7" s="53">
        <v>0</v>
      </c>
      <c r="DG7" s="53">
        <v>0</v>
      </c>
      <c r="DH7" s="53">
        <v>0</v>
      </c>
      <c r="DI7" s="53">
        <v>0</v>
      </c>
      <c r="DJ7" s="53">
        <v>0</v>
      </c>
      <c r="DL7" s="53">
        <v>0</v>
      </c>
      <c r="DM7" s="53">
        <v>0</v>
      </c>
      <c r="DN7" s="53">
        <v>0</v>
      </c>
      <c r="DO7" s="53">
        <v>0</v>
      </c>
      <c r="DQ7" s="53">
        <v>0</v>
      </c>
      <c r="DR7" s="53">
        <v>0</v>
      </c>
      <c r="DS7" s="53">
        <v>0</v>
      </c>
      <c r="DT7" s="53">
        <v>0</v>
      </c>
      <c r="DV7" s="53">
        <v>0</v>
      </c>
      <c r="DW7" s="53">
        <v>0</v>
      </c>
      <c r="DX7" s="53">
        <v>0</v>
      </c>
      <c r="DY7" s="53">
        <v>0</v>
      </c>
      <c r="EA7" s="53">
        <v>0</v>
      </c>
      <c r="EB7" s="53">
        <v>0</v>
      </c>
      <c r="EC7" s="53">
        <v>0</v>
      </c>
      <c r="ED7" s="53">
        <v>0</v>
      </c>
      <c r="EF7" s="53">
        <v>0</v>
      </c>
      <c r="EG7" s="53">
        <v>0</v>
      </c>
      <c r="EH7" s="53">
        <v>0</v>
      </c>
      <c r="EI7" s="53">
        <v>0</v>
      </c>
      <c r="EK7" s="53">
        <v>0</v>
      </c>
      <c r="EL7" s="53">
        <v>0</v>
      </c>
      <c r="EM7" s="53">
        <v>0</v>
      </c>
      <c r="EN7" s="53">
        <v>0</v>
      </c>
      <c r="EP7" s="53">
        <v>0</v>
      </c>
      <c r="EQ7" s="53">
        <v>0</v>
      </c>
      <c r="ER7" s="53">
        <v>0</v>
      </c>
      <c r="ES7" s="53">
        <v>0</v>
      </c>
      <c r="EU7" s="53">
        <v>0</v>
      </c>
      <c r="EV7" s="53">
        <v>0</v>
      </c>
      <c r="EW7" s="53">
        <v>0</v>
      </c>
      <c r="EX7" s="53">
        <v>0</v>
      </c>
      <c r="EZ7" s="53">
        <v>0</v>
      </c>
      <c r="FA7" s="53">
        <v>0</v>
      </c>
      <c r="FB7" s="53">
        <v>0</v>
      </c>
      <c r="FC7" s="53">
        <v>0</v>
      </c>
    </row>
    <row r="8" spans="1:159" x14ac:dyDescent="0.25">
      <c r="A8" s="114"/>
      <c r="B8" t="str">
        <v>JV2</v>
      </c>
      <c r="C8" t="str">
        <v>Center</v>
      </c>
      <c r="D8" t="str">
        <v>Maryland</v>
      </c>
      <c r="E8" s="53">
        <v>16382.080000000002</v>
      </c>
      <c r="F8" s="53">
        <v>16382.080000000002</v>
      </c>
      <c r="G8" s="53">
        <v>16382.080000000002</v>
      </c>
      <c r="H8" s="53">
        <v>16382.080000000002</v>
      </c>
      <c r="J8" s="53">
        <v>1630647.9153120001</v>
      </c>
      <c r="K8" s="53">
        <v>1630647.9153120001</v>
      </c>
      <c r="L8" s="53">
        <v>1630647.9153120001</v>
      </c>
      <c r="M8" s="53">
        <v>1630647.9153120001</v>
      </c>
      <c r="O8" s="53">
        <v>1423002.3569465601</v>
      </c>
      <c r="P8" s="53">
        <v>1423002.3569465601</v>
      </c>
      <c r="Q8" s="53">
        <v>1423002.3569465601</v>
      </c>
      <c r="R8" s="53">
        <v>1423002.3569465601</v>
      </c>
      <c r="T8" s="53">
        <v>-204708.41293344001</v>
      </c>
      <c r="U8" s="53">
        <v>-204708.41293344001</v>
      </c>
      <c r="V8" s="53">
        <v>-204708.41293344001</v>
      </c>
      <c r="W8" s="53">
        <v>-204708.41293344001</v>
      </c>
      <c r="Y8" s="53">
        <v>1184517.8579519999</v>
      </c>
      <c r="Z8" s="53">
        <v>1184517.8579519999</v>
      </c>
      <c r="AA8" s="53">
        <v>1184517.8579519999</v>
      </c>
      <c r="AB8" s="53">
        <v>1184517.8579519999</v>
      </c>
      <c r="AD8" s="53">
        <v>78192.671231999993</v>
      </c>
      <c r="AE8" s="53">
        <v>78192.671231999993</v>
      </c>
      <c r="AF8" s="53">
        <v>78192.671231999993</v>
      </c>
      <c r="AG8" s="53">
        <v>78192.671231999993</v>
      </c>
      <c r="AI8" s="53">
        <v>323050.32489599998</v>
      </c>
      <c r="AJ8" s="53">
        <v>323050.32489599998</v>
      </c>
      <c r="AK8" s="53">
        <v>323050.32489599998</v>
      </c>
      <c r="AL8" s="53">
        <v>323050.32489599998</v>
      </c>
      <c r="AN8" s="53">
        <v>13552.791407999997</v>
      </c>
      <c r="AO8" s="53">
        <v>13552.791407999997</v>
      </c>
      <c r="AP8" s="53">
        <v>13552.791407999997</v>
      </c>
      <c r="AQ8" s="53">
        <v>13552.791407999997</v>
      </c>
      <c r="AS8" s="53">
        <v>31334.269823999995</v>
      </c>
      <c r="AT8" s="53">
        <v>31334.269823999995</v>
      </c>
      <c r="AU8" s="53">
        <v>31334.269823999995</v>
      </c>
      <c r="AV8" s="53">
        <v>31334.269823999995</v>
      </c>
      <c r="AX8" s="53">
        <v>0</v>
      </c>
      <c r="AY8" s="53">
        <v>0</v>
      </c>
      <c r="AZ8" s="53">
        <v>0</v>
      </c>
      <c r="BA8" s="53">
        <v>0</v>
      </c>
      <c r="BC8" s="53">
        <v>88821.219142655988</v>
      </c>
      <c r="BD8" s="53">
        <v>88821.219142655988</v>
      </c>
      <c r="BE8" s="53">
        <v>88821.219142655988</v>
      </c>
      <c r="BF8" s="53">
        <v>88821.219142655988</v>
      </c>
      <c r="BH8" s="53">
        <v>75255.525799999989</v>
      </c>
      <c r="BI8" s="53">
        <v>75255.525799999989</v>
      </c>
      <c r="BJ8" s="53">
        <v>75255.525799999989</v>
      </c>
      <c r="BK8" s="53">
        <v>75255.525799999989</v>
      </c>
      <c r="BM8" s="53">
        <v>66319.244040191988</v>
      </c>
      <c r="BN8" s="53">
        <v>66319.244040191988</v>
      </c>
      <c r="BO8" s="53">
        <v>66319.244040191988</v>
      </c>
      <c r="BP8" s="53">
        <v>66319.244040191988</v>
      </c>
      <c r="BR8" s="53">
        <v>0</v>
      </c>
      <c r="BS8" s="53">
        <v>0</v>
      </c>
      <c r="BT8" s="53">
        <v>0</v>
      </c>
      <c r="BV8" s="53">
        <v>899121.93791483762</v>
      </c>
      <c r="BW8" s="53">
        <v>899121.93791483762</v>
      </c>
      <c r="BX8" s="53">
        <v>899121.93791483762</v>
      </c>
      <c r="BY8" s="53">
        <v>899121.93791483762</v>
      </c>
      <c r="CA8" s="53">
        <v>171508.43999999997</v>
      </c>
      <c r="CB8" s="53">
        <v>172794.75330000001</v>
      </c>
      <c r="CC8" s="53">
        <v>174081.06660000005</v>
      </c>
      <c r="CE8" s="53">
        <v>50400</v>
      </c>
      <c r="CF8" s="53">
        <v>50904</v>
      </c>
      <c r="CG8" s="53">
        <v>51408</v>
      </c>
      <c r="CI8" s="53">
        <v>16617.880799999995</v>
      </c>
      <c r="CJ8" s="53">
        <v>16784.059607999996</v>
      </c>
      <c r="CK8" s="53">
        <v>16950.238415999997</v>
      </c>
      <c r="CM8" s="53">
        <v>51000</v>
      </c>
      <c r="CN8" s="53">
        <v>51255</v>
      </c>
      <c r="CO8" s="53">
        <v>51510</v>
      </c>
      <c r="CQ8" s="53">
        <v>205680</v>
      </c>
      <c r="CR8" s="53">
        <v>206708.39999999997</v>
      </c>
      <c r="CS8" s="53">
        <v>207736.8</v>
      </c>
      <c r="CU8" s="53">
        <v>53400</v>
      </c>
      <c r="CV8" s="53">
        <v>54067.5</v>
      </c>
      <c r="CW8" s="53">
        <v>54735</v>
      </c>
      <c r="CY8" s="53">
        <v>0</v>
      </c>
      <c r="CZ8" s="53">
        <v>0</v>
      </c>
      <c r="DA8" s="53">
        <v>0</v>
      </c>
      <c r="DC8" s="53">
        <v>1299675.6891867034</v>
      </c>
      <c r="DD8" s="53">
        <v>1078426.7163773875</v>
      </c>
      <c r="DE8" s="53">
        <v>927642.57490200864</v>
      </c>
      <c r="DG8" s="53">
        <v>0</v>
      </c>
      <c r="DH8" s="53">
        <v>0</v>
      </c>
      <c r="DI8" s="53">
        <v>0</v>
      </c>
      <c r="DJ8" s="53">
        <v>0</v>
      </c>
      <c r="DL8" s="53">
        <v>-213450.35354198399</v>
      </c>
      <c r="DM8" s="53">
        <v>-213450.35354198399</v>
      </c>
      <c r="DN8" s="53">
        <v>-213450.35354198399</v>
      </c>
      <c r="DO8" s="53">
        <v>-213450.35354198399</v>
      </c>
      <c r="DQ8" s="53">
        <v>30364.291277597564</v>
      </c>
      <c r="DR8" s="53">
        <v>36327.453616312436</v>
      </c>
      <c r="DS8" s="53">
        <v>42638.871989368621</v>
      </c>
      <c r="DT8" s="53">
        <v>44816.880343986551</v>
      </c>
      <c r="DV8" s="53">
        <v>1</v>
      </c>
      <c r="DW8" s="53">
        <v>1</v>
      </c>
      <c r="DX8" s="53">
        <v>1</v>
      </c>
      <c r="DY8" s="53">
        <v>1</v>
      </c>
      <c r="EA8" s="53">
        <v>1</v>
      </c>
      <c r="EB8" s="53">
        <v>1</v>
      </c>
      <c r="EC8" s="53">
        <v>1</v>
      </c>
      <c r="ED8" s="53">
        <v>1</v>
      </c>
      <c r="EF8" s="53">
        <v>44.58</v>
      </c>
      <c r="EG8" s="53">
        <v>44.58</v>
      </c>
      <c r="EH8" s="53">
        <v>44.58</v>
      </c>
      <c r="EI8" s="53">
        <v>44.58</v>
      </c>
      <c r="EK8" s="53">
        <v>7.43</v>
      </c>
      <c r="EL8" s="53">
        <v>7.43</v>
      </c>
      <c r="EM8" s="53">
        <v>7.43</v>
      </c>
      <c r="EN8" s="53">
        <v>7.43</v>
      </c>
      <c r="EP8" s="53">
        <v>7.43</v>
      </c>
      <c r="EQ8" s="53">
        <v>7.43</v>
      </c>
      <c r="ER8" s="53">
        <v>7.43</v>
      </c>
      <c r="ES8" s="53">
        <v>7.43</v>
      </c>
      <c r="EU8" s="53">
        <v>0</v>
      </c>
      <c r="EV8" s="53">
        <v>0</v>
      </c>
      <c r="EW8" s="53">
        <v>0</v>
      </c>
      <c r="EX8" s="53">
        <v>0</v>
      </c>
      <c r="EZ8" s="53">
        <v>52</v>
      </c>
      <c r="FA8" s="53">
        <v>52</v>
      </c>
      <c r="FB8" s="53">
        <v>52</v>
      </c>
      <c r="FC8" s="53">
        <v>52</v>
      </c>
    </row>
    <row r="9" spans="1:159" x14ac:dyDescent="0.25">
      <c r="A9" s="114"/>
      <c r="B9" t="str">
        <v>JV2</v>
      </c>
      <c r="C9" t="str">
        <v>Remote</v>
      </c>
      <c r="D9" t="str">
        <v>Maryland</v>
      </c>
      <c r="E9" s="53">
        <v>5575.6799999999994</v>
      </c>
      <c r="F9" s="53">
        <v>5575.6799999999994</v>
      </c>
      <c r="G9" s="53">
        <v>5575.6799999999994</v>
      </c>
      <c r="H9" s="53">
        <v>5575.6799999999994</v>
      </c>
      <c r="J9" s="53">
        <v>571563.70135199989</v>
      </c>
      <c r="K9" s="53">
        <v>571563.70135199989</v>
      </c>
      <c r="L9" s="53">
        <v>571563.70135199989</v>
      </c>
      <c r="M9" s="53">
        <v>571563.70135199989</v>
      </c>
      <c r="O9" s="53">
        <v>502976.05718975997</v>
      </c>
      <c r="P9" s="53">
        <v>502976.05718975997</v>
      </c>
      <c r="Q9" s="53">
        <v>502976.05718975997</v>
      </c>
      <c r="R9" s="53">
        <v>502976.05718975997</v>
      </c>
      <c r="T9" s="53">
        <v>-68587.644162240002</v>
      </c>
      <c r="U9" s="53">
        <v>-68587.644162240002</v>
      </c>
      <c r="V9" s="53">
        <v>-68587.644162240002</v>
      </c>
      <c r="W9" s="53">
        <v>-68587.644162240002</v>
      </c>
      <c r="Y9" s="53">
        <v>428662.93111199996</v>
      </c>
      <c r="Z9" s="53">
        <v>428662.93111199996</v>
      </c>
      <c r="AA9" s="53">
        <v>428662.93111199996</v>
      </c>
      <c r="AB9" s="53">
        <v>428662.93111199996</v>
      </c>
      <c r="AD9" s="53">
        <v>0</v>
      </c>
      <c r="AE9" s="53">
        <v>0</v>
      </c>
      <c r="AF9" s="53">
        <v>0</v>
      </c>
      <c r="AG9" s="53">
        <v>0</v>
      </c>
      <c r="AI9" s="53">
        <v>111825.11246399998</v>
      </c>
      <c r="AJ9" s="53">
        <v>111825.11246399998</v>
      </c>
      <c r="AK9" s="53">
        <v>111825.11246399998</v>
      </c>
      <c r="AL9" s="53">
        <v>111825.11246399998</v>
      </c>
      <c r="AN9" s="53">
        <v>9382.701744</v>
      </c>
      <c r="AO9" s="53">
        <v>9382.701744</v>
      </c>
      <c r="AP9" s="53">
        <v>9382.701744</v>
      </c>
      <c r="AQ9" s="53">
        <v>9382.701744</v>
      </c>
      <c r="AS9" s="53">
        <v>21692.956031999998</v>
      </c>
      <c r="AT9" s="53">
        <v>21692.956031999998</v>
      </c>
      <c r="AU9" s="53">
        <v>21692.956031999998</v>
      </c>
      <c r="AV9" s="53">
        <v>21692.956031999998</v>
      </c>
      <c r="AX9" s="53">
        <v>0</v>
      </c>
      <c r="AY9" s="53">
        <v>0</v>
      </c>
      <c r="AZ9" s="53">
        <v>0</v>
      </c>
      <c r="BA9" s="53">
        <v>0</v>
      </c>
      <c r="BC9" s="53">
        <v>0</v>
      </c>
      <c r="BD9" s="53">
        <v>0</v>
      </c>
      <c r="BE9" s="53">
        <v>0</v>
      </c>
      <c r="BF9" s="53">
        <v>0</v>
      </c>
      <c r="BH9" s="53">
        <v>0</v>
      </c>
      <c r="BI9" s="53">
        <v>0</v>
      </c>
      <c r="BJ9" s="53">
        <v>0</v>
      </c>
      <c r="BK9" s="53">
        <v>0</v>
      </c>
      <c r="BM9" s="53">
        <v>0</v>
      </c>
      <c r="BN9" s="53">
        <v>0</v>
      </c>
      <c r="BO9" s="53">
        <v>0</v>
      </c>
      <c r="BP9" s="53">
        <v>0</v>
      </c>
      <c r="BR9" s="53">
        <v>0</v>
      </c>
      <c r="BS9" s="53">
        <v>0</v>
      </c>
      <c r="BT9" s="53">
        <v>0</v>
      </c>
      <c r="BV9" s="53">
        <v>219399.40592525393</v>
      </c>
      <c r="BW9" s="53">
        <v>219399.40592525393</v>
      </c>
      <c r="BX9" s="53">
        <v>219399.40592525393</v>
      </c>
      <c r="BY9" s="53">
        <v>219399.40592525393</v>
      </c>
      <c r="CA9" s="53">
        <v>0</v>
      </c>
      <c r="CB9" s="53">
        <v>0</v>
      </c>
      <c r="CC9" s="53">
        <v>0</v>
      </c>
      <c r="CE9" s="53">
        <v>0</v>
      </c>
      <c r="CF9" s="53">
        <v>0</v>
      </c>
      <c r="CG9" s="53">
        <v>0</v>
      </c>
      <c r="CI9" s="53">
        <v>12776.764800000003</v>
      </c>
      <c r="CJ9" s="53">
        <v>12904.532448000002</v>
      </c>
      <c r="CK9" s="53">
        <v>13032.300096000003</v>
      </c>
      <c r="CM9" s="53">
        <v>0</v>
      </c>
      <c r="CN9" s="53">
        <v>0</v>
      </c>
      <c r="CO9" s="53">
        <v>0</v>
      </c>
      <c r="CQ9" s="53">
        <v>79169.999999999985</v>
      </c>
      <c r="CR9" s="53">
        <v>79565.849999999991</v>
      </c>
      <c r="CS9" s="53">
        <v>79961.699999999983</v>
      </c>
      <c r="CU9" s="53">
        <v>0</v>
      </c>
      <c r="CV9" s="53">
        <v>0</v>
      </c>
      <c r="CW9" s="53">
        <v>0</v>
      </c>
      <c r="CY9" s="53">
        <v>0</v>
      </c>
      <c r="CZ9" s="53">
        <v>0</v>
      </c>
      <c r="DA9" s="53">
        <v>0</v>
      </c>
      <c r="DC9" s="53">
        <v>459384.87071463186</v>
      </c>
      <c r="DD9" s="53">
        <v>381181.95315959567</v>
      </c>
      <c r="DE9" s="53">
        <v>327885.61630126042</v>
      </c>
      <c r="DG9" s="53">
        <v>0</v>
      </c>
      <c r="DH9" s="53">
        <v>0</v>
      </c>
      <c r="DI9" s="53">
        <v>0</v>
      </c>
      <c r="DJ9" s="53">
        <v>0</v>
      </c>
      <c r="DL9" s="53">
        <v>-75446.40857846399</v>
      </c>
      <c r="DM9" s="53">
        <v>-75446.40857846399</v>
      </c>
      <c r="DN9" s="53">
        <v>-75446.40857846399</v>
      </c>
      <c r="DO9" s="53">
        <v>-75446.40857846399</v>
      </c>
      <c r="DQ9" s="53">
        <v>10334.558956535138</v>
      </c>
      <c r="DR9" s="53">
        <v>12364.135480927995</v>
      </c>
      <c r="DS9" s="53">
        <v>14512.241777215271</v>
      </c>
      <c r="DT9" s="53">
        <v>15253.53211535769</v>
      </c>
      <c r="DV9" s="53">
        <v>0</v>
      </c>
      <c r="DW9" s="53">
        <v>0</v>
      </c>
      <c r="DX9" s="53">
        <v>0</v>
      </c>
      <c r="DY9" s="53">
        <v>0</v>
      </c>
      <c r="EA9" s="53">
        <v>0</v>
      </c>
      <c r="EB9" s="53">
        <v>0</v>
      </c>
      <c r="EC9" s="53">
        <v>0</v>
      </c>
      <c r="ED9" s="53">
        <v>0</v>
      </c>
      <c r="EF9" s="53">
        <v>14.79</v>
      </c>
      <c r="EG9" s="53">
        <v>14.79</v>
      </c>
      <c r="EH9" s="53">
        <v>14.79</v>
      </c>
      <c r="EI9" s="53">
        <v>14.79</v>
      </c>
      <c r="EK9" s="53">
        <v>3</v>
      </c>
      <c r="EL9" s="53">
        <v>3</v>
      </c>
      <c r="EM9" s="53">
        <v>3</v>
      </c>
      <c r="EN9" s="53">
        <v>3</v>
      </c>
      <c r="EP9" s="53">
        <v>3</v>
      </c>
      <c r="EQ9" s="53">
        <v>3</v>
      </c>
      <c r="ER9" s="53">
        <v>3</v>
      </c>
      <c r="ES9" s="53">
        <v>3</v>
      </c>
      <c r="EU9" s="53">
        <v>0</v>
      </c>
      <c r="EV9" s="53">
        <v>0</v>
      </c>
      <c r="EW9" s="53">
        <v>0</v>
      </c>
      <c r="EX9" s="53">
        <v>0</v>
      </c>
      <c r="EZ9" s="53">
        <v>36</v>
      </c>
      <c r="FA9" s="53">
        <v>36</v>
      </c>
      <c r="FB9" s="53">
        <v>36</v>
      </c>
      <c r="FC9" s="53">
        <v>36</v>
      </c>
    </row>
    <row r="10" spans="1:159" x14ac:dyDescent="0.25">
      <c r="A10" s="114"/>
      <c r="B10" t="str">
        <v>JV2</v>
      </c>
      <c r="C10" t="str">
        <v>Center</v>
      </c>
      <c r="D10" t="str">
        <v>Maryland</v>
      </c>
      <c r="E10" s="53">
        <v>11656.48</v>
      </c>
      <c r="F10" s="53">
        <v>11656.48</v>
      </c>
      <c r="G10" s="53">
        <v>11656.48</v>
      </c>
      <c r="H10" s="53">
        <v>11656.48</v>
      </c>
      <c r="J10" s="53">
        <v>1160268.7089720003</v>
      </c>
      <c r="K10" s="53">
        <v>1160268.7089720003</v>
      </c>
      <c r="L10" s="53">
        <v>1160268.7089720003</v>
      </c>
      <c r="M10" s="53">
        <v>1160268.7089720003</v>
      </c>
      <c r="O10" s="53">
        <v>1031624.23360736</v>
      </c>
      <c r="P10" s="53">
        <v>1031624.23360736</v>
      </c>
      <c r="Q10" s="53">
        <v>1031624.23360736</v>
      </c>
      <c r="R10" s="53">
        <v>1031624.23360736</v>
      </c>
      <c r="T10" s="53">
        <v>-148262.90817264002</v>
      </c>
      <c r="U10" s="53">
        <v>-148262.90817264002</v>
      </c>
      <c r="V10" s="53">
        <v>-148262.90817264002</v>
      </c>
      <c r="W10" s="53">
        <v>-148262.90817264002</v>
      </c>
      <c r="Y10" s="53">
        <v>842830.01431200001</v>
      </c>
      <c r="Z10" s="53">
        <v>842830.01431200001</v>
      </c>
      <c r="AA10" s="53">
        <v>842830.01431200001</v>
      </c>
      <c r="AB10" s="53">
        <v>842830.01431200001</v>
      </c>
      <c r="AD10" s="53">
        <v>55637.092991999998</v>
      </c>
      <c r="AE10" s="53">
        <v>55637.092991999998</v>
      </c>
      <c r="AF10" s="53">
        <v>55637.092991999998</v>
      </c>
      <c r="AG10" s="53">
        <v>55637.092991999998</v>
      </c>
      <c r="AI10" s="53">
        <v>229862.73117600003</v>
      </c>
      <c r="AJ10" s="53">
        <v>229862.73117600003</v>
      </c>
      <c r="AK10" s="53">
        <v>229862.73117600003</v>
      </c>
      <c r="AL10" s="53">
        <v>229862.73117600003</v>
      </c>
      <c r="AN10" s="53">
        <v>9643.3323479999999</v>
      </c>
      <c r="AO10" s="53">
        <v>9643.3323479999999</v>
      </c>
      <c r="AP10" s="53">
        <v>9643.3323479999999</v>
      </c>
      <c r="AQ10" s="53">
        <v>9643.3323479999999</v>
      </c>
      <c r="AS10" s="53">
        <v>22295.538144000002</v>
      </c>
      <c r="AT10" s="53">
        <v>22295.538144000002</v>
      </c>
      <c r="AU10" s="53">
        <v>22295.538144000002</v>
      </c>
      <c r="AV10" s="53">
        <v>22295.538144000002</v>
      </c>
      <c r="AX10" s="53">
        <v>0</v>
      </c>
      <c r="AY10" s="53">
        <v>0</v>
      </c>
      <c r="AZ10" s="53">
        <v>0</v>
      </c>
      <c r="BA10" s="53">
        <v>0</v>
      </c>
      <c r="BC10" s="53">
        <v>63199.713620735987</v>
      </c>
      <c r="BD10" s="53">
        <v>63199.713620735987</v>
      </c>
      <c r="BE10" s="53">
        <v>63199.713620735987</v>
      </c>
      <c r="BF10" s="53">
        <v>63199.713620735987</v>
      </c>
      <c r="BH10" s="53">
        <v>75255.525799999989</v>
      </c>
      <c r="BI10" s="53">
        <v>75255.525799999989</v>
      </c>
      <c r="BJ10" s="53">
        <v>75255.525799999989</v>
      </c>
      <c r="BK10" s="53">
        <v>75255.525799999989</v>
      </c>
      <c r="BM10" s="53">
        <v>47188.692874751992</v>
      </c>
      <c r="BN10" s="53">
        <v>47188.692874751992</v>
      </c>
      <c r="BO10" s="53">
        <v>47188.692874751992</v>
      </c>
      <c r="BP10" s="53">
        <v>47188.692874751992</v>
      </c>
      <c r="BR10" s="53">
        <v>0</v>
      </c>
      <c r="BS10" s="53">
        <v>0</v>
      </c>
      <c r="BT10" s="53">
        <v>0</v>
      </c>
      <c r="BV10" s="53">
        <v>666081.74665478827</v>
      </c>
      <c r="BW10" s="53">
        <v>668288.16332145501</v>
      </c>
      <c r="BX10" s="53">
        <v>670293.99665478827</v>
      </c>
      <c r="BY10" s="53">
        <v>670547.74665478827</v>
      </c>
      <c r="CA10" s="53">
        <v>58685.16</v>
      </c>
      <c r="CB10" s="53">
        <v>59125.298699999999</v>
      </c>
      <c r="CC10" s="53">
        <v>59565.437399999995</v>
      </c>
      <c r="CE10" s="53">
        <v>64335.120000000017</v>
      </c>
      <c r="CF10" s="53">
        <v>64978.471200000022</v>
      </c>
      <c r="CG10" s="53">
        <v>65621.822400000019</v>
      </c>
      <c r="CI10" s="53">
        <v>14323.319399999997</v>
      </c>
      <c r="CJ10" s="53">
        <v>14695.840263999997</v>
      </c>
      <c r="CK10" s="53">
        <v>14957.170928</v>
      </c>
      <c r="CM10" s="53">
        <v>51000</v>
      </c>
      <c r="CN10" s="53">
        <v>51255</v>
      </c>
      <c r="CO10" s="53">
        <v>51510</v>
      </c>
      <c r="CQ10" s="53">
        <v>208780.5</v>
      </c>
      <c r="CR10" s="53">
        <v>210060.74000000005</v>
      </c>
      <c r="CS10" s="53">
        <v>211225.48000000004</v>
      </c>
      <c r="CU10" s="53">
        <v>53400</v>
      </c>
      <c r="CV10" s="53">
        <v>54067.5</v>
      </c>
      <c r="CW10" s="53">
        <v>54735</v>
      </c>
      <c r="CY10" s="53">
        <v>0</v>
      </c>
      <c r="CZ10" s="53">
        <v>0</v>
      </c>
      <c r="DA10" s="53">
        <v>0</v>
      </c>
      <c r="DC10" s="53">
        <v>942216.94732280925</v>
      </c>
      <c r="DD10" s="53">
        <v>781819.60089775512</v>
      </c>
      <c r="DE10" s="53">
        <v>672506.65870174777</v>
      </c>
      <c r="DG10" s="53">
        <v>0</v>
      </c>
      <c r="DH10" s="53">
        <v>0</v>
      </c>
      <c r="DI10" s="53">
        <v>0</v>
      </c>
      <c r="DJ10" s="53">
        <v>0</v>
      </c>
      <c r="DL10" s="53">
        <v>-154743.63504110402</v>
      </c>
      <c r="DM10" s="53">
        <v>-154743.63504110402</v>
      </c>
      <c r="DN10" s="53">
        <v>-154743.63504110402</v>
      </c>
      <c r="DO10" s="53">
        <v>-154743.63504110402</v>
      </c>
      <c r="DQ10" s="53">
        <v>21605.361101367493</v>
      </c>
      <c r="DR10" s="53">
        <v>25848.38045776077</v>
      </c>
      <c r="DS10" s="53">
        <v>30339.197377050739</v>
      </c>
      <c r="DT10" s="53">
        <v>31888.934090913506</v>
      </c>
      <c r="DV10" s="53">
        <v>1</v>
      </c>
      <c r="DW10" s="53">
        <v>1</v>
      </c>
      <c r="DX10" s="53">
        <v>1</v>
      </c>
      <c r="DY10" s="53">
        <v>1</v>
      </c>
      <c r="EA10" s="53">
        <v>1</v>
      </c>
      <c r="EB10" s="53">
        <v>1</v>
      </c>
      <c r="EC10" s="53">
        <v>1</v>
      </c>
      <c r="ED10" s="53">
        <v>1</v>
      </c>
      <c r="EF10" s="53">
        <v>31.720000000000002</v>
      </c>
      <c r="EG10" s="53">
        <v>31.720000000000002</v>
      </c>
      <c r="EH10" s="53">
        <v>31.720000000000002</v>
      </c>
      <c r="EI10" s="53">
        <v>31.720000000000002</v>
      </c>
      <c r="EK10" s="53">
        <v>5.29</v>
      </c>
      <c r="EL10" s="53">
        <v>5.29</v>
      </c>
      <c r="EM10" s="53">
        <v>5.29</v>
      </c>
      <c r="EN10" s="53">
        <v>5.29</v>
      </c>
      <c r="EP10" s="53">
        <v>5.29</v>
      </c>
      <c r="EQ10" s="53">
        <v>5.29</v>
      </c>
      <c r="ER10" s="53">
        <v>5.29</v>
      </c>
      <c r="ES10" s="53">
        <v>5.29</v>
      </c>
      <c r="EU10" s="53">
        <v>0</v>
      </c>
      <c r="EV10" s="53">
        <v>0</v>
      </c>
      <c r="EW10" s="53">
        <v>0</v>
      </c>
      <c r="EX10" s="53">
        <v>0</v>
      </c>
      <c r="EZ10" s="53">
        <v>37</v>
      </c>
      <c r="FA10" s="53">
        <v>37</v>
      </c>
      <c r="FB10" s="53">
        <v>37</v>
      </c>
      <c r="FC10" s="53">
        <v>37</v>
      </c>
    </row>
    <row r="11" spans="1:159" x14ac:dyDescent="0.25">
      <c r="A11" s="114"/>
      <c r="B11" t="str">
        <v>JV2</v>
      </c>
      <c r="C11" t="str">
        <v>Remote</v>
      </c>
      <c r="D11" t="str">
        <v>Maryland</v>
      </c>
      <c r="E11" s="53">
        <v>5575.6799999999994</v>
      </c>
      <c r="F11" s="53">
        <v>5575.6799999999994</v>
      </c>
      <c r="G11" s="53">
        <v>5575.6799999999994</v>
      </c>
      <c r="H11" s="53">
        <v>5575.6799999999994</v>
      </c>
      <c r="J11" s="53">
        <v>571563.70135199989</v>
      </c>
      <c r="K11" s="53">
        <v>571563.70135199989</v>
      </c>
      <c r="L11" s="53">
        <v>571563.70135199989</v>
      </c>
      <c r="M11" s="53">
        <v>571563.70135199989</v>
      </c>
      <c r="O11" s="53">
        <v>502976.05718975997</v>
      </c>
      <c r="P11" s="53">
        <v>502976.05718975997</v>
      </c>
      <c r="Q11" s="53">
        <v>502976.05718975997</v>
      </c>
      <c r="R11" s="53">
        <v>502976.05718975997</v>
      </c>
      <c r="T11" s="53">
        <v>-68587.644162240002</v>
      </c>
      <c r="U11" s="53">
        <v>-68587.644162240002</v>
      </c>
      <c r="V11" s="53">
        <v>-68587.644162240002</v>
      </c>
      <c r="W11" s="53">
        <v>-68587.644162240002</v>
      </c>
      <c r="Y11" s="53">
        <v>428662.93111199996</v>
      </c>
      <c r="Z11" s="53">
        <v>428662.93111199996</v>
      </c>
      <c r="AA11" s="53">
        <v>428662.93111199996</v>
      </c>
      <c r="AB11" s="53">
        <v>428662.93111199996</v>
      </c>
      <c r="AD11" s="53">
        <v>0</v>
      </c>
      <c r="AE11" s="53">
        <v>0</v>
      </c>
      <c r="AF11" s="53">
        <v>0</v>
      </c>
      <c r="AG11" s="53">
        <v>0</v>
      </c>
      <c r="AI11" s="53">
        <v>111825.11246399998</v>
      </c>
      <c r="AJ11" s="53">
        <v>111825.11246399998</v>
      </c>
      <c r="AK11" s="53">
        <v>111825.11246399998</v>
      </c>
      <c r="AL11" s="53">
        <v>111825.11246399998</v>
      </c>
      <c r="AN11" s="53">
        <v>9382.701744</v>
      </c>
      <c r="AO11" s="53">
        <v>9382.701744</v>
      </c>
      <c r="AP11" s="53">
        <v>9382.701744</v>
      </c>
      <c r="AQ11" s="53">
        <v>9382.701744</v>
      </c>
      <c r="AS11" s="53">
        <v>21692.956031999998</v>
      </c>
      <c r="AT11" s="53">
        <v>21692.956031999998</v>
      </c>
      <c r="AU11" s="53">
        <v>21692.956031999998</v>
      </c>
      <c r="AV11" s="53">
        <v>21692.956031999998</v>
      </c>
      <c r="AX11" s="53">
        <v>0</v>
      </c>
      <c r="AY11" s="53">
        <v>0</v>
      </c>
      <c r="AZ11" s="53">
        <v>0</v>
      </c>
      <c r="BA11" s="53">
        <v>0</v>
      </c>
      <c r="BC11" s="53">
        <v>0</v>
      </c>
      <c r="BD11" s="53">
        <v>0</v>
      </c>
      <c r="BE11" s="53">
        <v>0</v>
      </c>
      <c r="BF11" s="53">
        <v>0</v>
      </c>
      <c r="BH11" s="53">
        <v>0</v>
      </c>
      <c r="BI11" s="53">
        <v>0</v>
      </c>
      <c r="BJ11" s="53">
        <v>0</v>
      </c>
      <c r="BK11" s="53">
        <v>0</v>
      </c>
      <c r="BM11" s="53">
        <v>0</v>
      </c>
      <c r="BN11" s="53">
        <v>0</v>
      </c>
      <c r="BO11" s="53">
        <v>0</v>
      </c>
      <c r="BP11" s="53">
        <v>0</v>
      </c>
      <c r="BR11" s="53">
        <v>0</v>
      </c>
      <c r="BS11" s="53">
        <v>0</v>
      </c>
      <c r="BT11" s="53">
        <v>0</v>
      </c>
      <c r="BV11" s="53">
        <v>219399.40592525393</v>
      </c>
      <c r="BW11" s="53">
        <v>219399.40592525393</v>
      </c>
      <c r="BX11" s="53">
        <v>219399.40592525393</v>
      </c>
      <c r="BY11" s="53">
        <v>219399.40592525393</v>
      </c>
      <c r="CA11" s="53">
        <v>0</v>
      </c>
      <c r="CB11" s="53">
        <v>0</v>
      </c>
      <c r="CC11" s="53">
        <v>0</v>
      </c>
      <c r="CE11" s="53">
        <v>0</v>
      </c>
      <c r="CF11" s="53">
        <v>0</v>
      </c>
      <c r="CG11" s="53">
        <v>0</v>
      </c>
      <c r="CI11" s="53">
        <v>12776.764800000003</v>
      </c>
      <c r="CJ11" s="53">
        <v>12904.532448000002</v>
      </c>
      <c r="CK11" s="53">
        <v>13032.300096000003</v>
      </c>
      <c r="CM11" s="53">
        <v>0</v>
      </c>
      <c r="CN11" s="53">
        <v>0</v>
      </c>
      <c r="CO11" s="53">
        <v>0</v>
      </c>
      <c r="CQ11" s="53">
        <v>79169.999999999985</v>
      </c>
      <c r="CR11" s="53">
        <v>79565.849999999991</v>
      </c>
      <c r="CS11" s="53">
        <v>79961.699999999983</v>
      </c>
      <c r="CU11" s="53">
        <v>0</v>
      </c>
      <c r="CV11" s="53">
        <v>0</v>
      </c>
      <c r="CW11" s="53">
        <v>0</v>
      </c>
      <c r="CY11" s="53">
        <v>0</v>
      </c>
      <c r="CZ11" s="53">
        <v>0</v>
      </c>
      <c r="DA11" s="53">
        <v>0</v>
      </c>
      <c r="DC11" s="53">
        <v>459384.87071463186</v>
      </c>
      <c r="DD11" s="53">
        <v>381181.95315959567</v>
      </c>
      <c r="DE11" s="53">
        <v>327885.61630126042</v>
      </c>
      <c r="DG11" s="53">
        <v>0</v>
      </c>
      <c r="DH11" s="53">
        <v>0</v>
      </c>
      <c r="DI11" s="53">
        <v>0</v>
      </c>
      <c r="DJ11" s="53">
        <v>0</v>
      </c>
      <c r="DL11" s="53">
        <v>-75446.40857846399</v>
      </c>
      <c r="DM11" s="53">
        <v>-75446.40857846399</v>
      </c>
      <c r="DN11" s="53">
        <v>-75446.40857846399</v>
      </c>
      <c r="DO11" s="53">
        <v>-75446.40857846399</v>
      </c>
      <c r="DQ11" s="53">
        <v>10334.558956535138</v>
      </c>
      <c r="DR11" s="53">
        <v>12364.135480927995</v>
      </c>
      <c r="DS11" s="53">
        <v>14512.241777215271</v>
      </c>
      <c r="DT11" s="53">
        <v>15253.53211535769</v>
      </c>
      <c r="DV11" s="53">
        <v>0</v>
      </c>
      <c r="DW11" s="53">
        <v>0</v>
      </c>
      <c r="DX11" s="53">
        <v>0</v>
      </c>
      <c r="DY11" s="53">
        <v>0</v>
      </c>
      <c r="EA11" s="53">
        <v>0</v>
      </c>
      <c r="EB11" s="53">
        <v>0</v>
      </c>
      <c r="EC11" s="53">
        <v>0</v>
      </c>
      <c r="ED11" s="53">
        <v>0</v>
      </c>
      <c r="EF11" s="53">
        <v>14.79</v>
      </c>
      <c r="EG11" s="53">
        <v>14.79</v>
      </c>
      <c r="EH11" s="53">
        <v>14.79</v>
      </c>
      <c r="EI11" s="53">
        <v>14.79</v>
      </c>
      <c r="EK11" s="53">
        <v>3</v>
      </c>
      <c r="EL11" s="53">
        <v>3</v>
      </c>
      <c r="EM11" s="53">
        <v>3</v>
      </c>
      <c r="EN11" s="53">
        <v>3</v>
      </c>
      <c r="EP11" s="53">
        <v>3</v>
      </c>
      <c r="EQ11" s="53">
        <v>3</v>
      </c>
      <c r="ER11" s="53">
        <v>3</v>
      </c>
      <c r="ES11" s="53">
        <v>3</v>
      </c>
      <c r="EU11" s="53">
        <v>0</v>
      </c>
      <c r="EV11" s="53">
        <v>0</v>
      </c>
      <c r="EW11" s="53">
        <v>0</v>
      </c>
      <c r="EX11" s="53">
        <v>0</v>
      </c>
      <c r="EZ11" s="53">
        <v>36</v>
      </c>
      <c r="FA11" s="53">
        <v>36</v>
      </c>
      <c r="FB11" s="53">
        <v>36</v>
      </c>
      <c r="FC11" s="53">
        <v>36</v>
      </c>
    </row>
    <row r="12" spans="1:159" x14ac:dyDescent="0.25">
      <c r="A12" s="114"/>
      <c r="B12" t="str">
        <v>JV2</v>
      </c>
      <c r="C12" t="str">
        <v>Center</v>
      </c>
      <c r="D12" t="str">
        <v>North Carolina</v>
      </c>
      <c r="E12" s="53">
        <v>9871.2533333333322</v>
      </c>
      <c r="F12" s="53">
        <v>10711.359999999999</v>
      </c>
      <c r="G12" s="53">
        <v>10711.359999999999</v>
      </c>
      <c r="H12" s="53">
        <v>10711.359999999999</v>
      </c>
      <c r="J12" s="53">
        <v>969860.5687562665</v>
      </c>
      <c r="K12" s="53">
        <v>1052401.8937567999</v>
      </c>
      <c r="L12" s="53">
        <v>1052401.8937567999</v>
      </c>
      <c r="M12" s="53">
        <v>1052401.8937567999</v>
      </c>
      <c r="O12" s="53">
        <v>786743.99455884786</v>
      </c>
      <c r="P12" s="53">
        <v>848362.15682598401</v>
      </c>
      <c r="Q12" s="53">
        <v>848362.15682598401</v>
      </c>
      <c r="R12" s="53">
        <v>848362.15682598401</v>
      </c>
      <c r="T12" s="53">
        <v>-124937.43933075199</v>
      </c>
      <c r="U12" s="53">
        <v>-134842.39833081601</v>
      </c>
      <c r="V12" s="53">
        <v>-134842.39833081601</v>
      </c>
      <c r="W12" s="53">
        <v>-134842.39833081601</v>
      </c>
      <c r="Y12" s="53">
        <v>675241.06203839998</v>
      </c>
      <c r="Z12" s="53">
        <v>732708.38646719989</v>
      </c>
      <c r="AA12" s="53">
        <v>732708.38646719989</v>
      </c>
      <c r="AB12" s="53">
        <v>732708.38646719989</v>
      </c>
      <c r="AD12" s="53">
        <v>129463.89386666665</v>
      </c>
      <c r="AE12" s="53">
        <v>140482.09759999998</v>
      </c>
      <c r="AF12" s="53">
        <v>140482.09759999998</v>
      </c>
      <c r="AG12" s="53">
        <v>140482.09759999998</v>
      </c>
      <c r="AI12" s="53">
        <v>142564.32889919999</v>
      </c>
      <c r="AJ12" s="53">
        <v>154697.46327360001</v>
      </c>
      <c r="AK12" s="53">
        <v>154697.46327360001</v>
      </c>
      <c r="AL12" s="53">
        <v>154697.46327360001</v>
      </c>
      <c r="AN12" s="53">
        <v>8066.5964639999993</v>
      </c>
      <c r="AO12" s="53">
        <v>8753.1153119999981</v>
      </c>
      <c r="AP12" s="53">
        <v>8753.1153119999981</v>
      </c>
      <c r="AQ12" s="53">
        <v>8753.1153119999981</v>
      </c>
      <c r="AS12" s="53">
        <v>14524.687487999998</v>
      </c>
      <c r="AT12" s="53">
        <v>15760.831103999999</v>
      </c>
      <c r="AU12" s="53">
        <v>15760.831103999999</v>
      </c>
      <c r="AV12" s="53">
        <v>15760.831103999999</v>
      </c>
      <c r="AX12" s="53">
        <v>0</v>
      </c>
      <c r="AY12" s="53">
        <v>0</v>
      </c>
      <c r="AZ12" s="53">
        <v>0</v>
      </c>
      <c r="BA12" s="53">
        <v>0</v>
      </c>
      <c r="BC12" s="53">
        <v>52053.978732800009</v>
      </c>
      <c r="BD12" s="53">
        <v>56484.104582400003</v>
      </c>
      <c r="BE12" s="53">
        <v>56484.104582400003</v>
      </c>
      <c r="BF12" s="53">
        <v>56484.104582400003</v>
      </c>
      <c r="BH12" s="53">
        <v>71284.758999999991</v>
      </c>
      <c r="BI12" s="53">
        <v>71284.758999999991</v>
      </c>
      <c r="BJ12" s="53">
        <v>71284.758999999991</v>
      </c>
      <c r="BK12" s="53">
        <v>71284.758999999991</v>
      </c>
      <c r="BM12" s="53">
        <v>30538.964538368004</v>
      </c>
      <c r="BN12" s="53">
        <v>33138.025350144002</v>
      </c>
      <c r="BO12" s="53">
        <v>33138.025350144002</v>
      </c>
      <c r="BP12" s="53">
        <v>33138.025350144002</v>
      </c>
      <c r="BR12" s="53">
        <v>0</v>
      </c>
      <c r="BS12" s="53">
        <v>0</v>
      </c>
      <c r="BT12" s="53">
        <v>0</v>
      </c>
      <c r="BV12" s="53">
        <v>598699.22064099193</v>
      </c>
      <c r="BW12" s="53">
        <v>633236.24381611194</v>
      </c>
      <c r="BX12" s="53">
        <v>635454.74381611182</v>
      </c>
      <c r="BY12" s="53">
        <v>637740.91048277856</v>
      </c>
      <c r="CA12" s="53">
        <v>80556</v>
      </c>
      <c r="CB12" s="53">
        <v>81160.17</v>
      </c>
      <c r="CC12" s="53">
        <v>81764.34</v>
      </c>
      <c r="CE12" s="53">
        <v>67200</v>
      </c>
      <c r="CF12" s="53">
        <v>67872</v>
      </c>
      <c r="CG12" s="53">
        <v>68544</v>
      </c>
      <c r="CI12" s="53">
        <v>13646.070000000002</v>
      </c>
      <c r="CJ12" s="53">
        <v>13907.939768</v>
      </c>
      <c r="CK12" s="53">
        <v>14385.855463999998</v>
      </c>
      <c r="CM12" s="53">
        <v>72000</v>
      </c>
      <c r="CN12" s="53">
        <v>72360</v>
      </c>
      <c r="CO12" s="53">
        <v>72720</v>
      </c>
      <c r="CQ12" s="53">
        <v>191137</v>
      </c>
      <c r="CR12" s="53">
        <v>195314.47000000003</v>
      </c>
      <c r="CS12" s="53">
        <v>196636.15000000002</v>
      </c>
      <c r="CU12" s="53">
        <v>57000</v>
      </c>
      <c r="CV12" s="53">
        <v>57712.5</v>
      </c>
      <c r="CW12" s="53">
        <v>58425</v>
      </c>
      <c r="CY12" s="53">
        <v>0</v>
      </c>
      <c r="CZ12" s="53">
        <v>0</v>
      </c>
      <c r="DA12" s="53">
        <v>0</v>
      </c>
      <c r="DC12" s="53">
        <v>754883.05621386576</v>
      </c>
      <c r="DD12" s="53">
        <v>642933.87190717249</v>
      </c>
      <c r="DE12" s="53">
        <v>553039.74147741485</v>
      </c>
      <c r="DG12" s="53">
        <v>0</v>
      </c>
      <c r="DH12" s="53">
        <v>0</v>
      </c>
      <c r="DI12" s="53">
        <v>0</v>
      </c>
      <c r="DJ12" s="53">
        <v>0</v>
      </c>
      <c r="DL12" s="53">
        <v>-109924.21538626557</v>
      </c>
      <c r="DM12" s="53">
        <v>-109924.21538626557</v>
      </c>
      <c r="DN12" s="53">
        <v>-123788.30189637118</v>
      </c>
      <c r="DO12" s="53">
        <v>-127254.32352389759</v>
      </c>
      <c r="DQ12" s="53">
        <v>18296.431923680579</v>
      </c>
      <c r="DR12" s="53">
        <v>23752.565826050435</v>
      </c>
      <c r="DS12" s="53">
        <v>27879.262454587166</v>
      </c>
      <c r="DT12" s="53">
        <v>29303.344840298898</v>
      </c>
      <c r="DV12" s="53">
        <v>1</v>
      </c>
      <c r="DW12" s="53">
        <v>1</v>
      </c>
      <c r="DX12" s="53">
        <v>1</v>
      </c>
      <c r="DY12" s="53">
        <v>1</v>
      </c>
      <c r="EA12" s="53">
        <v>1</v>
      </c>
      <c r="EB12" s="53">
        <v>1</v>
      </c>
      <c r="EC12" s="53">
        <v>1</v>
      </c>
      <c r="ED12" s="53">
        <v>1</v>
      </c>
      <c r="EF12" s="53">
        <v>29.150000000000002</v>
      </c>
      <c r="EG12" s="53">
        <v>29.150000000000002</v>
      </c>
      <c r="EH12" s="53">
        <v>29.150000000000002</v>
      </c>
      <c r="EI12" s="53">
        <v>29.150000000000002</v>
      </c>
      <c r="EK12" s="53">
        <v>4.8599999999999994</v>
      </c>
      <c r="EL12" s="53">
        <v>4.8599999999999994</v>
      </c>
      <c r="EM12" s="53">
        <v>4.8599999999999994</v>
      </c>
      <c r="EN12" s="53">
        <v>4.8599999999999994</v>
      </c>
      <c r="EP12" s="53">
        <v>4.8599999999999994</v>
      </c>
      <c r="EQ12" s="53">
        <v>4.8599999999999994</v>
      </c>
      <c r="ER12" s="53">
        <v>4.8599999999999994</v>
      </c>
      <c r="ES12" s="53">
        <v>4.8599999999999994</v>
      </c>
      <c r="EU12" s="53">
        <v>0</v>
      </c>
      <c r="EV12" s="53">
        <v>0</v>
      </c>
      <c r="EW12" s="53">
        <v>0</v>
      </c>
      <c r="EX12" s="53">
        <v>0</v>
      </c>
      <c r="EZ12" s="53">
        <v>34</v>
      </c>
      <c r="FA12" s="53">
        <v>34</v>
      </c>
      <c r="FB12" s="53">
        <v>34</v>
      </c>
      <c r="FC12" s="53">
        <v>34</v>
      </c>
    </row>
    <row r="13" spans="1:159" x14ac:dyDescent="0.25">
      <c r="A13" s="114"/>
      <c r="B13" t="str">
        <v>JV2</v>
      </c>
      <c r="C13" t="str">
        <v>Remote</v>
      </c>
      <c r="D13" t="str">
        <v>North Carolina</v>
      </c>
      <c r="E13" s="53">
        <v>15746.133333333331</v>
      </c>
      <c r="F13" s="53">
        <v>17036.8</v>
      </c>
      <c r="G13" s="53">
        <v>18275.839999999997</v>
      </c>
      <c r="H13" s="53">
        <v>19566.506666666664</v>
      </c>
      <c r="J13" s="53">
        <v>1449854.3829180002</v>
      </c>
      <c r="K13" s="53">
        <v>1568694.9061079999</v>
      </c>
      <c r="L13" s="53">
        <v>1682781.8083704</v>
      </c>
      <c r="M13" s="53">
        <v>1801622.3315603998</v>
      </c>
      <c r="O13" s="53">
        <v>1275871.8569678399</v>
      </c>
      <c r="P13" s="53">
        <v>1380451.5173750399</v>
      </c>
      <c r="Q13" s="53">
        <v>1480847.9913659522</v>
      </c>
      <c r="R13" s="53">
        <v>1585427.6517731519</v>
      </c>
      <c r="T13" s="53">
        <v>-173982.52595015999</v>
      </c>
      <c r="U13" s="53">
        <v>-188243.38873295998</v>
      </c>
      <c r="V13" s="53">
        <v>-201933.81700444801</v>
      </c>
      <c r="W13" s="53">
        <v>-216194.67978724799</v>
      </c>
      <c r="Y13" s="53">
        <v>1145265.0024660002</v>
      </c>
      <c r="Z13" s="53">
        <v>1239139.1829959999</v>
      </c>
      <c r="AA13" s="53">
        <v>1329258.3963047999</v>
      </c>
      <c r="AB13" s="53">
        <v>1423132.5768347997</v>
      </c>
      <c r="AD13" s="53">
        <v>0</v>
      </c>
      <c r="AE13" s="53">
        <v>0</v>
      </c>
      <c r="AF13" s="53">
        <v>0</v>
      </c>
      <c r="AG13" s="53">
        <v>0</v>
      </c>
      <c r="AI13" s="53">
        <v>231287.87401200001</v>
      </c>
      <c r="AJ13" s="53">
        <v>250245.89647199999</v>
      </c>
      <c r="AK13" s="53">
        <v>268445.59803360002</v>
      </c>
      <c r="AL13" s="53">
        <v>287403.62049360003</v>
      </c>
      <c r="AN13" s="53">
        <v>26173.531080000001</v>
      </c>
      <c r="AO13" s="53">
        <v>28318.902479999997</v>
      </c>
      <c r="AP13" s="53">
        <v>30378.459024000003</v>
      </c>
      <c r="AQ13" s="53">
        <v>32523.830424</v>
      </c>
      <c r="AS13" s="53">
        <v>47127.975359999997</v>
      </c>
      <c r="AT13" s="53">
        <v>50990.924159999995</v>
      </c>
      <c r="AU13" s="53">
        <v>54699.355007999999</v>
      </c>
      <c r="AV13" s="53">
        <v>58562.303807999997</v>
      </c>
      <c r="AX13" s="53">
        <v>0</v>
      </c>
      <c r="AY13" s="53">
        <v>0</v>
      </c>
      <c r="AZ13" s="53">
        <v>0</v>
      </c>
      <c r="BA13" s="53">
        <v>0</v>
      </c>
      <c r="BC13" s="53">
        <v>0</v>
      </c>
      <c r="BD13" s="53">
        <v>0</v>
      </c>
      <c r="BE13" s="53">
        <v>0</v>
      </c>
      <c r="BF13" s="53">
        <v>0</v>
      </c>
      <c r="BH13" s="53">
        <v>0</v>
      </c>
      <c r="BI13" s="53">
        <v>0</v>
      </c>
      <c r="BJ13" s="53">
        <v>0</v>
      </c>
      <c r="BK13" s="53">
        <v>0</v>
      </c>
      <c r="BM13" s="53">
        <v>0</v>
      </c>
      <c r="BN13" s="53">
        <v>0</v>
      </c>
      <c r="BO13" s="53">
        <v>0</v>
      </c>
      <c r="BP13" s="53">
        <v>0</v>
      </c>
      <c r="BR13" s="53">
        <v>0</v>
      </c>
      <c r="BS13" s="53">
        <v>0</v>
      </c>
      <c r="BT13" s="53">
        <v>0</v>
      </c>
      <c r="BV13" s="53">
        <v>553679.58309493004</v>
      </c>
      <c r="BW13" s="53">
        <v>592951.3517993869</v>
      </c>
      <c r="BX13" s="53">
        <v>630757.93956611003</v>
      </c>
      <c r="BY13" s="53">
        <v>670006.50827056693</v>
      </c>
      <c r="CA13" s="53">
        <v>0</v>
      </c>
      <c r="CB13" s="53">
        <v>0</v>
      </c>
      <c r="CC13" s="53">
        <v>0</v>
      </c>
      <c r="CE13" s="53">
        <v>0</v>
      </c>
      <c r="CF13" s="53">
        <v>0</v>
      </c>
      <c r="CG13" s="53">
        <v>0</v>
      </c>
      <c r="CI13" s="53">
        <v>23114.084000000003</v>
      </c>
      <c r="CJ13" s="53">
        <v>23994.440832</v>
      </c>
      <c r="CK13" s="53">
        <v>24884.771087999998</v>
      </c>
      <c r="CM13" s="53">
        <v>0</v>
      </c>
      <c r="CN13" s="53">
        <v>0</v>
      </c>
      <c r="CO13" s="53">
        <v>0</v>
      </c>
      <c r="CQ13" s="53">
        <v>393785</v>
      </c>
      <c r="CR13" s="53">
        <v>421841.6</v>
      </c>
      <c r="CS13" s="53">
        <v>450038.49999999994</v>
      </c>
      <c r="CU13" s="53">
        <v>0</v>
      </c>
      <c r="CV13" s="53">
        <v>0</v>
      </c>
      <c r="CW13" s="53">
        <v>0</v>
      </c>
      <c r="CY13" s="53">
        <v>0</v>
      </c>
      <c r="CZ13" s="53">
        <v>0</v>
      </c>
      <c r="DA13" s="53">
        <v>0</v>
      </c>
      <c r="DC13" s="53">
        <v>1280565.4953761003</v>
      </c>
      <c r="DD13" s="53">
        <v>1145967.7232078172</v>
      </c>
      <c r="DE13" s="53">
        <v>1056916.9882528048</v>
      </c>
      <c r="DG13" s="53">
        <v>0</v>
      </c>
      <c r="DH13" s="53">
        <v>0</v>
      </c>
      <c r="DI13" s="53">
        <v>0</v>
      </c>
      <c r="DJ13" s="53">
        <v>0</v>
      </c>
      <c r="DL13" s="53">
        <v>-186360.95484563039</v>
      </c>
      <c r="DM13" s="53">
        <v>-186360.95484563039</v>
      </c>
      <c r="DN13" s="53">
        <v>-196400.60224472161</v>
      </c>
      <c r="DO13" s="53">
        <v>-212087.55130580158</v>
      </c>
      <c r="DQ13" s="53">
        <v>29185.560016140898</v>
      </c>
      <c r="DR13" s="53">
        <v>37779.3028583911</v>
      </c>
      <c r="DS13" s="53">
        <v>47567.903603094499</v>
      </c>
      <c r="DT13" s="53">
        <v>53528.59881222745</v>
      </c>
      <c r="DV13" s="53">
        <v>0</v>
      </c>
      <c r="DW13" s="53">
        <v>0</v>
      </c>
      <c r="DX13" s="53">
        <v>0</v>
      </c>
      <c r="DY13" s="53">
        <v>0</v>
      </c>
      <c r="EA13" s="53">
        <v>0</v>
      </c>
      <c r="EB13" s="53">
        <v>0</v>
      </c>
      <c r="EC13" s="53">
        <v>0</v>
      </c>
      <c r="ED13" s="53">
        <v>0</v>
      </c>
      <c r="EF13" s="53">
        <v>42.72</v>
      </c>
      <c r="EG13" s="53">
        <v>46.419999999999995</v>
      </c>
      <c r="EH13" s="53">
        <v>49.699999999999996</v>
      </c>
      <c r="EI13" s="53">
        <v>52.989999999999995</v>
      </c>
      <c r="EK13" s="53">
        <v>9.4599999999999991</v>
      </c>
      <c r="EL13" s="53">
        <v>10.28</v>
      </c>
      <c r="EM13" s="53">
        <v>11</v>
      </c>
      <c r="EN13" s="53">
        <v>11.73</v>
      </c>
      <c r="EP13" s="53">
        <v>9.4599999999999991</v>
      </c>
      <c r="EQ13" s="53">
        <v>10.28</v>
      </c>
      <c r="ER13" s="53">
        <v>11</v>
      </c>
      <c r="ES13" s="53">
        <v>11.73</v>
      </c>
      <c r="EU13" s="53">
        <v>0</v>
      </c>
      <c r="EV13" s="53">
        <v>0</v>
      </c>
      <c r="EW13" s="53">
        <v>0</v>
      </c>
      <c r="EX13" s="53">
        <v>0</v>
      </c>
      <c r="EZ13" s="53">
        <v>104</v>
      </c>
      <c r="FA13" s="53">
        <v>113</v>
      </c>
      <c r="FB13" s="53">
        <v>121</v>
      </c>
      <c r="FC13" s="53">
        <v>129</v>
      </c>
    </row>
    <row r="14" spans="1:159" x14ac:dyDescent="0.25">
      <c r="A14" s="114"/>
      <c r="B14" t="str">
        <v>JV2</v>
      </c>
      <c r="C14" t="str">
        <v>Remote</v>
      </c>
      <c r="D14" t="str">
        <v>Arizona</v>
      </c>
      <c r="E14" s="53">
        <v>5575.6799999999994</v>
      </c>
      <c r="F14" s="53">
        <v>5575.6799999999994</v>
      </c>
      <c r="G14" s="53">
        <v>5575.6799999999994</v>
      </c>
      <c r="H14" s="53">
        <v>5575.6799999999994</v>
      </c>
      <c r="J14" s="53">
        <v>578540.27419199981</v>
      </c>
      <c r="K14" s="53">
        <v>578540.27419199981</v>
      </c>
      <c r="L14" s="53">
        <v>578540.27419199981</v>
      </c>
      <c r="M14" s="53">
        <v>578540.27419199981</v>
      </c>
      <c r="O14" s="53">
        <v>509115.44128895993</v>
      </c>
      <c r="P14" s="53">
        <v>509115.44128895993</v>
      </c>
      <c r="Q14" s="53">
        <v>509115.44128895993</v>
      </c>
      <c r="R14" s="53">
        <v>509115.44128895993</v>
      </c>
      <c r="T14" s="53">
        <v>-69424.832903039976</v>
      </c>
      <c r="U14" s="53">
        <v>-69424.832903039976</v>
      </c>
      <c r="V14" s="53">
        <v>-69424.832903039976</v>
      </c>
      <c r="W14" s="53">
        <v>-69424.832903039976</v>
      </c>
      <c r="Y14" s="53">
        <v>452812.95539999986</v>
      </c>
      <c r="Z14" s="53">
        <v>452812.95539999986</v>
      </c>
      <c r="AA14" s="53">
        <v>452812.95539999986</v>
      </c>
      <c r="AB14" s="53">
        <v>452812.95539999986</v>
      </c>
      <c r="AD14" s="53">
        <v>0</v>
      </c>
      <c r="AE14" s="53">
        <v>0</v>
      </c>
      <c r="AF14" s="53">
        <v>0</v>
      </c>
      <c r="AG14" s="53">
        <v>0</v>
      </c>
      <c r="AI14" s="53">
        <v>91437.591959999991</v>
      </c>
      <c r="AJ14" s="53">
        <v>91437.591959999991</v>
      </c>
      <c r="AK14" s="53">
        <v>91437.591959999991</v>
      </c>
      <c r="AL14" s="53">
        <v>91437.591959999991</v>
      </c>
      <c r="AN14" s="53">
        <v>14067.321839999997</v>
      </c>
      <c r="AO14" s="53">
        <v>14067.321839999997</v>
      </c>
      <c r="AP14" s="53">
        <v>14067.321839999997</v>
      </c>
      <c r="AQ14" s="53">
        <v>14067.321839999997</v>
      </c>
      <c r="AS14" s="53">
        <v>20222.404991999996</v>
      </c>
      <c r="AT14" s="53">
        <v>20222.404991999996</v>
      </c>
      <c r="AU14" s="53">
        <v>20222.404991999996</v>
      </c>
      <c r="AV14" s="53">
        <v>20222.404991999996</v>
      </c>
      <c r="AX14" s="53">
        <v>0</v>
      </c>
      <c r="AY14" s="53">
        <v>0</v>
      </c>
      <c r="AZ14" s="53">
        <v>0</v>
      </c>
      <c r="BA14" s="53">
        <v>0</v>
      </c>
      <c r="BC14" s="53">
        <v>0</v>
      </c>
      <c r="BD14" s="53">
        <v>0</v>
      </c>
      <c r="BE14" s="53">
        <v>0</v>
      </c>
      <c r="BF14" s="53">
        <v>0</v>
      </c>
      <c r="BH14" s="53">
        <v>0</v>
      </c>
      <c r="BI14" s="53">
        <v>0</v>
      </c>
      <c r="BJ14" s="53">
        <v>0</v>
      </c>
      <c r="BK14" s="53">
        <v>0</v>
      </c>
      <c r="BM14" s="53">
        <v>0</v>
      </c>
      <c r="BN14" s="53">
        <v>0</v>
      </c>
      <c r="BO14" s="53">
        <v>0</v>
      </c>
      <c r="BP14" s="53">
        <v>0</v>
      </c>
      <c r="BR14" s="53">
        <v>0</v>
      </c>
      <c r="BS14" s="53">
        <v>0</v>
      </c>
      <c r="BT14" s="53">
        <v>0</v>
      </c>
      <c r="BV14" s="53">
        <v>223254.53397525393</v>
      </c>
      <c r="BW14" s="53">
        <v>223254.53397525393</v>
      </c>
      <c r="BX14" s="53">
        <v>223254.53397525393</v>
      </c>
      <c r="BY14" s="53">
        <v>223254.53397525393</v>
      </c>
      <c r="CA14" s="53">
        <v>0</v>
      </c>
      <c r="CB14" s="53">
        <v>0</v>
      </c>
      <c r="CC14" s="53">
        <v>0</v>
      </c>
      <c r="CE14" s="53">
        <v>0</v>
      </c>
      <c r="CF14" s="53">
        <v>0</v>
      </c>
      <c r="CG14" s="53">
        <v>0</v>
      </c>
      <c r="CI14" s="53">
        <v>12776.764800000003</v>
      </c>
      <c r="CJ14" s="53">
        <v>12904.532448000002</v>
      </c>
      <c r="CK14" s="53">
        <v>13032.300096000003</v>
      </c>
      <c r="CM14" s="53">
        <v>54000</v>
      </c>
      <c r="CN14" s="53">
        <v>54270</v>
      </c>
      <c r="CO14" s="53">
        <v>54540</v>
      </c>
      <c r="CQ14" s="53">
        <v>143699.99999999997</v>
      </c>
      <c r="CR14" s="53">
        <v>144418.5</v>
      </c>
      <c r="CS14" s="53">
        <v>145137</v>
      </c>
      <c r="CU14" s="53">
        <v>23400</v>
      </c>
      <c r="CV14" s="53">
        <v>23692.5</v>
      </c>
      <c r="CW14" s="53">
        <v>23985</v>
      </c>
      <c r="CY14" s="53">
        <v>0</v>
      </c>
      <c r="CZ14" s="53">
        <v>0</v>
      </c>
      <c r="DA14" s="53">
        <v>0</v>
      </c>
      <c r="DC14" s="53">
        <v>464992.17573514581</v>
      </c>
      <c r="DD14" s="53">
        <v>385834.704296907</v>
      </c>
      <c r="DE14" s="53">
        <v>331887.82616851229</v>
      </c>
      <c r="DG14" s="53">
        <v>0</v>
      </c>
      <c r="DH14" s="53">
        <v>0</v>
      </c>
      <c r="DI14" s="53">
        <v>0</v>
      </c>
      <c r="DJ14" s="53">
        <v>0</v>
      </c>
      <c r="DL14" s="53">
        <v>-76367.316193343984</v>
      </c>
      <c r="DM14" s="53">
        <v>-76367.316193343984</v>
      </c>
      <c r="DN14" s="53">
        <v>-76367.316193343984</v>
      </c>
      <c r="DO14" s="53">
        <v>-76367.316193343984</v>
      </c>
      <c r="DQ14" s="53">
        <v>10334.558956535138</v>
      </c>
      <c r="DR14" s="53">
        <v>12364.135480927995</v>
      </c>
      <c r="DS14" s="53">
        <v>14512.241777215271</v>
      </c>
      <c r="DT14" s="53">
        <v>15253.53211535769</v>
      </c>
      <c r="DV14" s="53">
        <v>0</v>
      </c>
      <c r="DW14" s="53">
        <v>0</v>
      </c>
      <c r="DX14" s="53">
        <v>0</v>
      </c>
      <c r="DY14" s="53">
        <v>0</v>
      </c>
      <c r="EA14" s="53">
        <v>0</v>
      </c>
      <c r="EB14" s="53">
        <v>0</v>
      </c>
      <c r="EC14" s="53">
        <v>0</v>
      </c>
      <c r="ED14" s="53">
        <v>0</v>
      </c>
      <c r="EF14" s="53">
        <v>14.79</v>
      </c>
      <c r="EG14" s="53">
        <v>14.79</v>
      </c>
      <c r="EH14" s="53">
        <v>14.79</v>
      </c>
      <c r="EI14" s="53">
        <v>14.79</v>
      </c>
      <c r="EK14" s="53">
        <v>3.28</v>
      </c>
      <c r="EL14" s="53">
        <v>3.28</v>
      </c>
      <c r="EM14" s="53">
        <v>3.28</v>
      </c>
      <c r="EN14" s="53">
        <v>3.28</v>
      </c>
      <c r="EP14" s="53">
        <v>3.28</v>
      </c>
      <c r="EQ14" s="53">
        <v>3.28</v>
      </c>
      <c r="ER14" s="53">
        <v>3.28</v>
      </c>
      <c r="ES14" s="53">
        <v>3.28</v>
      </c>
      <c r="EU14" s="53">
        <v>0</v>
      </c>
      <c r="EV14" s="53">
        <v>0</v>
      </c>
      <c r="EW14" s="53">
        <v>0</v>
      </c>
      <c r="EX14" s="53">
        <v>0</v>
      </c>
      <c r="EZ14" s="53">
        <v>36</v>
      </c>
      <c r="FA14" s="53">
        <v>36</v>
      </c>
      <c r="FB14" s="53">
        <v>36</v>
      </c>
      <c r="FC14" s="53">
        <v>36</v>
      </c>
    </row>
    <row r="15" spans="1:159" x14ac:dyDescent="0.25">
      <c r="A15" s="114"/>
      <c r="B15" t="str">
        <v>JV1</v>
      </c>
      <c r="C15" t="str">
        <v>Center</v>
      </c>
      <c r="D15" t="str">
        <v>New Jersey</v>
      </c>
      <c r="E15" s="53">
        <v>2835.3599999999997</v>
      </c>
      <c r="F15" s="53">
        <v>5670.7199999999993</v>
      </c>
      <c r="G15" s="53">
        <v>8506.0799999999981</v>
      </c>
      <c r="H15" s="53">
        <v>11341.439999999999</v>
      </c>
      <c r="J15" s="53">
        <v>499964.00400000002</v>
      </c>
      <c r="K15" s="53">
        <v>999928.00799999991</v>
      </c>
      <c r="L15" s="53">
        <v>1499892.0119999996</v>
      </c>
      <c r="M15" s="53">
        <v>1999856.0159999998</v>
      </c>
      <c r="O15" s="53">
        <v>484399.02151999995</v>
      </c>
      <c r="P15" s="53">
        <v>900391.70503999991</v>
      </c>
      <c r="Q15" s="53">
        <v>1316384.3885599999</v>
      </c>
      <c r="R15" s="53">
        <v>1732377.0720799998</v>
      </c>
      <c r="T15" s="53">
        <v>-69323.817479999998</v>
      </c>
      <c r="U15" s="53">
        <v>-129319.49795999996</v>
      </c>
      <c r="V15" s="53">
        <v>-189315.17843999999</v>
      </c>
      <c r="W15" s="53">
        <v>-249310.85891999997</v>
      </c>
      <c r="Y15" s="53">
        <v>408905.64</v>
      </c>
      <c r="Z15" s="53">
        <v>817811.27999999991</v>
      </c>
      <c r="AA15" s="53">
        <v>1226716.92</v>
      </c>
      <c r="AB15" s="53">
        <v>1635622.5599999998</v>
      </c>
      <c r="AD15" s="53">
        <v>23975.64</v>
      </c>
      <c r="AE15" s="53">
        <v>47951.28</v>
      </c>
      <c r="AF15" s="53">
        <v>71926.919999999984</v>
      </c>
      <c r="AG15" s="53">
        <v>95902.56</v>
      </c>
      <c r="AI15" s="53">
        <v>56980.637999999977</v>
      </c>
      <c r="AJ15" s="53">
        <v>113961.27599999997</v>
      </c>
      <c r="AK15" s="53">
        <v>170941.91399999993</v>
      </c>
      <c r="AL15" s="53">
        <v>227922.55199999991</v>
      </c>
      <c r="AN15" s="53">
        <v>4383.1260000000002</v>
      </c>
      <c r="AO15" s="53">
        <v>8766.2520000000004</v>
      </c>
      <c r="AP15" s="53">
        <v>13149.377999999999</v>
      </c>
      <c r="AQ15" s="53">
        <v>17532.504000000001</v>
      </c>
      <c r="AS15" s="53">
        <v>5718.9599999999991</v>
      </c>
      <c r="AT15" s="53">
        <v>11437.919999999998</v>
      </c>
      <c r="AU15" s="53">
        <v>17156.879999999997</v>
      </c>
      <c r="AV15" s="53">
        <v>22875.839999999997</v>
      </c>
      <c r="AX15" s="53">
        <v>0</v>
      </c>
      <c r="AY15" s="53">
        <v>0</v>
      </c>
      <c r="AZ15" s="53">
        <v>0</v>
      </c>
      <c r="BA15" s="53">
        <v>0</v>
      </c>
      <c r="BC15" s="53">
        <v>29463.278506421753</v>
      </c>
      <c r="BD15" s="53">
        <v>58926.557012843514</v>
      </c>
      <c r="BE15" s="53">
        <v>88389.835519265267</v>
      </c>
      <c r="BF15" s="53">
        <v>117853.11402568703</v>
      </c>
      <c r="BH15" s="53">
        <v>77734.474999999991</v>
      </c>
      <c r="BI15" s="53">
        <v>77734.474999999991</v>
      </c>
      <c r="BJ15" s="53">
        <v>77734.474999999991</v>
      </c>
      <c r="BK15" s="53">
        <v>77734.474999999991</v>
      </c>
      <c r="BM15" s="53">
        <v>21120.746810042878</v>
      </c>
      <c r="BN15" s="53">
        <v>42241.493620085748</v>
      </c>
      <c r="BO15" s="53">
        <v>63362.240430128637</v>
      </c>
      <c r="BP15" s="53">
        <v>84482.987240171511</v>
      </c>
      <c r="BR15" s="53">
        <v>0</v>
      </c>
      <c r="BS15" s="53">
        <v>0</v>
      </c>
      <c r="BT15" s="53">
        <v>0</v>
      </c>
      <c r="BV15" s="53">
        <v>281610.79411602957</v>
      </c>
      <c r="BW15" s="53">
        <v>456998.7139653925</v>
      </c>
      <c r="BX15" s="53">
        <v>632088.4171480888</v>
      </c>
      <c r="BY15" s="53">
        <v>807677.88699745177</v>
      </c>
      <c r="CA15" s="53">
        <v>225000</v>
      </c>
      <c r="CB15" s="53">
        <v>226687.5</v>
      </c>
      <c r="CC15" s="53">
        <v>228375</v>
      </c>
      <c r="CE15" s="53">
        <v>72000</v>
      </c>
      <c r="CF15" s="53">
        <v>72720</v>
      </c>
      <c r="CG15" s="53">
        <v>73440</v>
      </c>
      <c r="CI15" s="53">
        <v>13656.1782</v>
      </c>
      <c r="CJ15" s="53">
        <v>14188.947728000003</v>
      </c>
      <c r="CK15" s="53">
        <v>14558.099192000001</v>
      </c>
      <c r="CM15" s="53">
        <v>90000</v>
      </c>
      <c r="CN15" s="53">
        <v>90450</v>
      </c>
      <c r="CO15" s="53">
        <v>90900</v>
      </c>
      <c r="CQ15" s="53">
        <v>149039</v>
      </c>
      <c r="CR15" s="53">
        <v>191697.64</v>
      </c>
      <c r="CS15" s="53">
        <v>222994.30000000002</v>
      </c>
      <c r="CU15" s="53">
        <v>72000</v>
      </c>
      <c r="CV15" s="53">
        <v>72900</v>
      </c>
      <c r="CW15" s="53">
        <v>73800</v>
      </c>
      <c r="CY15" s="53">
        <v>0</v>
      </c>
      <c r="CZ15" s="53">
        <v>0</v>
      </c>
      <c r="DA15" s="53">
        <v>0</v>
      </c>
      <c r="DC15" s="53">
        <v>906802.39662468806</v>
      </c>
      <c r="DD15" s="53">
        <v>1067257.4076912985</v>
      </c>
      <c r="DE15" s="53">
        <v>1125761.6085420172</v>
      </c>
      <c r="DG15" s="53">
        <v>0</v>
      </c>
      <c r="DH15" s="53">
        <v>0</v>
      </c>
      <c r="DI15" s="53">
        <v>0</v>
      </c>
      <c r="DJ15" s="53">
        <v>0</v>
      </c>
      <c r="DL15" s="53">
        <v>-224943.63027333331</v>
      </c>
      <c r="DM15" s="53">
        <v>-295631.8642079999</v>
      </c>
      <c r="DN15" s="53">
        <v>-264478.70173999993</v>
      </c>
      <c r="DO15" s="53">
        <v>-155858.38993199996</v>
      </c>
      <c r="DQ15" s="53">
        <v>5255.3581057380397</v>
      </c>
      <c r="DR15" s="53">
        <v>12574.887790261995</v>
      </c>
      <c r="DS15" s="53">
        <v>22139.414302172161</v>
      </c>
      <c r="DT15" s="53">
        <v>31027.071007375303</v>
      </c>
      <c r="DV15" s="53">
        <v>1</v>
      </c>
      <c r="DW15" s="53">
        <v>1</v>
      </c>
      <c r="DX15" s="53">
        <v>1</v>
      </c>
      <c r="DY15" s="53">
        <v>1</v>
      </c>
      <c r="EA15" s="53">
        <v>1</v>
      </c>
      <c r="EB15" s="53">
        <v>1</v>
      </c>
      <c r="EC15" s="53">
        <v>1</v>
      </c>
      <c r="ED15" s="53">
        <v>1</v>
      </c>
      <c r="EF15" s="53">
        <v>11.299999999999999</v>
      </c>
      <c r="EG15" s="53">
        <v>19.770000000000003</v>
      </c>
      <c r="EH15" s="53">
        <v>28.240000000000002</v>
      </c>
      <c r="EI15" s="53">
        <v>36.71</v>
      </c>
      <c r="EK15" s="53">
        <v>1.72</v>
      </c>
      <c r="EL15" s="53">
        <v>3</v>
      </c>
      <c r="EM15" s="53">
        <v>4.29</v>
      </c>
      <c r="EN15" s="53">
        <v>5.58</v>
      </c>
      <c r="EP15" s="53">
        <v>1.72</v>
      </c>
      <c r="EQ15" s="53">
        <v>3</v>
      </c>
      <c r="ER15" s="53">
        <v>4.29</v>
      </c>
      <c r="ES15" s="53">
        <v>5.58</v>
      </c>
      <c r="EU15" s="53">
        <v>710500</v>
      </c>
      <c r="EV15" s="53">
        <v>0</v>
      </c>
      <c r="EW15" s="53">
        <v>0</v>
      </c>
      <c r="EX15" s="53">
        <v>0</v>
      </c>
      <c r="EZ15" s="53">
        <v>12</v>
      </c>
      <c r="FA15" s="53">
        <v>21</v>
      </c>
      <c r="FB15" s="53">
        <v>30</v>
      </c>
      <c r="FC15" s="53">
        <v>39</v>
      </c>
    </row>
    <row r="16" spans="1:159" x14ac:dyDescent="0.25">
      <c r="A16" s="114"/>
      <c r="B16" t="str">
        <v>JV1</v>
      </c>
      <c r="C16" t="str">
        <v>Center</v>
      </c>
      <c r="D16" t="str">
        <v>New Jersey</v>
      </c>
      <c r="E16" s="53">
        <v>2835.3599999999997</v>
      </c>
      <c r="F16" s="53">
        <v>5670.7199999999993</v>
      </c>
      <c r="G16" s="53">
        <v>8506.0799999999981</v>
      </c>
      <c r="H16" s="53">
        <v>11341.439999999999</v>
      </c>
      <c r="J16" s="53">
        <v>499964.00400000002</v>
      </c>
      <c r="K16" s="53">
        <v>999928.00799999991</v>
      </c>
      <c r="L16" s="53">
        <v>1499892.0119999996</v>
      </c>
      <c r="M16" s="53">
        <v>1999856.0159999998</v>
      </c>
      <c r="O16" s="53">
        <v>484399.02151999995</v>
      </c>
      <c r="P16" s="53">
        <v>900391.70503999991</v>
      </c>
      <c r="Q16" s="53">
        <v>1316384.3885599999</v>
      </c>
      <c r="R16" s="53">
        <v>1732377.0720799998</v>
      </c>
      <c r="T16" s="53">
        <v>-69323.817479999998</v>
      </c>
      <c r="U16" s="53">
        <v>-129319.49795999996</v>
      </c>
      <c r="V16" s="53">
        <v>-189315.17843999999</v>
      </c>
      <c r="W16" s="53">
        <v>-249310.85891999997</v>
      </c>
      <c r="Y16" s="53">
        <v>408905.64</v>
      </c>
      <c r="Z16" s="53">
        <v>817811.27999999991</v>
      </c>
      <c r="AA16" s="53">
        <v>1226716.92</v>
      </c>
      <c r="AB16" s="53">
        <v>1635622.5599999998</v>
      </c>
      <c r="AD16" s="53">
        <v>23975.64</v>
      </c>
      <c r="AE16" s="53">
        <v>47951.28</v>
      </c>
      <c r="AF16" s="53">
        <v>71926.919999999984</v>
      </c>
      <c r="AG16" s="53">
        <v>95902.56</v>
      </c>
      <c r="AI16" s="53">
        <v>56980.637999999977</v>
      </c>
      <c r="AJ16" s="53">
        <v>113961.27599999997</v>
      </c>
      <c r="AK16" s="53">
        <v>170941.91399999993</v>
      </c>
      <c r="AL16" s="53">
        <v>227922.55199999991</v>
      </c>
      <c r="AN16" s="53">
        <v>4383.1260000000002</v>
      </c>
      <c r="AO16" s="53">
        <v>8766.2520000000004</v>
      </c>
      <c r="AP16" s="53">
        <v>13149.377999999999</v>
      </c>
      <c r="AQ16" s="53">
        <v>17532.504000000001</v>
      </c>
      <c r="AS16" s="53">
        <v>5718.9599999999991</v>
      </c>
      <c r="AT16" s="53">
        <v>11437.919999999998</v>
      </c>
      <c r="AU16" s="53">
        <v>17156.879999999997</v>
      </c>
      <c r="AV16" s="53">
        <v>22875.839999999997</v>
      </c>
      <c r="AX16" s="53">
        <v>0</v>
      </c>
      <c r="AY16" s="53">
        <v>0</v>
      </c>
      <c r="AZ16" s="53">
        <v>0</v>
      </c>
      <c r="BA16" s="53">
        <v>0</v>
      </c>
      <c r="BC16" s="53">
        <v>29463.278506421753</v>
      </c>
      <c r="BD16" s="53">
        <v>58926.557012843514</v>
      </c>
      <c r="BE16" s="53">
        <v>88389.835519265267</v>
      </c>
      <c r="BF16" s="53">
        <v>117853.11402568703</v>
      </c>
      <c r="BH16" s="53">
        <v>77734.474999999991</v>
      </c>
      <c r="BI16" s="53">
        <v>77734.474999999991</v>
      </c>
      <c r="BJ16" s="53">
        <v>77734.474999999991</v>
      </c>
      <c r="BK16" s="53">
        <v>77734.474999999991</v>
      </c>
      <c r="BM16" s="53">
        <v>21120.746810042878</v>
      </c>
      <c r="BN16" s="53">
        <v>42241.493620085748</v>
      </c>
      <c r="BO16" s="53">
        <v>63362.240430128637</v>
      </c>
      <c r="BP16" s="53">
        <v>84482.987240171511</v>
      </c>
      <c r="BR16" s="53">
        <v>0</v>
      </c>
      <c r="BS16" s="53">
        <v>0</v>
      </c>
      <c r="BT16" s="53">
        <v>0</v>
      </c>
      <c r="BV16" s="53">
        <v>281610.79411602957</v>
      </c>
      <c r="BW16" s="53">
        <v>456998.7139653925</v>
      </c>
      <c r="BX16" s="53">
        <v>632088.4171480888</v>
      </c>
      <c r="BY16" s="53">
        <v>807677.88699745177</v>
      </c>
      <c r="CA16" s="53">
        <v>120000</v>
      </c>
      <c r="CB16" s="53">
        <v>120900</v>
      </c>
      <c r="CC16" s="53">
        <v>121800</v>
      </c>
      <c r="CE16" s="53">
        <v>100800</v>
      </c>
      <c r="CF16" s="53">
        <v>101808</v>
      </c>
      <c r="CG16" s="53">
        <v>102816</v>
      </c>
      <c r="CI16" s="53">
        <v>13656.1782</v>
      </c>
      <c r="CJ16" s="53">
        <v>14188.947728000003</v>
      </c>
      <c r="CK16" s="53">
        <v>14558.099192000001</v>
      </c>
      <c r="CM16" s="53">
        <v>90000</v>
      </c>
      <c r="CN16" s="53">
        <v>90450</v>
      </c>
      <c r="CO16" s="53">
        <v>90900</v>
      </c>
      <c r="CQ16" s="53">
        <v>149039</v>
      </c>
      <c r="CR16" s="53">
        <v>191697.64</v>
      </c>
      <c r="CS16" s="53">
        <v>222994.30000000002</v>
      </c>
      <c r="CU16" s="53">
        <v>72000</v>
      </c>
      <c r="CV16" s="53">
        <v>72900</v>
      </c>
      <c r="CW16" s="53">
        <v>73800</v>
      </c>
      <c r="CY16" s="53">
        <v>0</v>
      </c>
      <c r="CZ16" s="53">
        <v>0</v>
      </c>
      <c r="DA16" s="53">
        <v>0</v>
      </c>
      <c r="DC16" s="53">
        <v>906802.39662468806</v>
      </c>
      <c r="DD16" s="53">
        <v>1067257.4076912985</v>
      </c>
      <c r="DE16" s="53">
        <v>1125761.6085420172</v>
      </c>
      <c r="DG16" s="53">
        <v>0</v>
      </c>
      <c r="DH16" s="53">
        <v>0</v>
      </c>
      <c r="DI16" s="53">
        <v>0</v>
      </c>
      <c r="DJ16" s="53">
        <v>0</v>
      </c>
      <c r="DL16" s="53">
        <v>-224943.63027333331</v>
      </c>
      <c r="DM16" s="53">
        <v>-295631.8642079999</v>
      </c>
      <c r="DN16" s="53">
        <v>-264478.70173999993</v>
      </c>
      <c r="DO16" s="53">
        <v>-155858.38993199996</v>
      </c>
      <c r="DQ16" s="53">
        <v>5255.3581057380397</v>
      </c>
      <c r="DR16" s="53">
        <v>12574.887790261995</v>
      </c>
      <c r="DS16" s="53">
        <v>22139.414302172161</v>
      </c>
      <c r="DT16" s="53">
        <v>31027.071007375303</v>
      </c>
      <c r="DV16" s="53">
        <v>1</v>
      </c>
      <c r="DW16" s="53">
        <v>1</v>
      </c>
      <c r="DX16" s="53">
        <v>1</v>
      </c>
      <c r="DY16" s="53">
        <v>1</v>
      </c>
      <c r="EA16" s="53">
        <v>1</v>
      </c>
      <c r="EB16" s="53">
        <v>1</v>
      </c>
      <c r="EC16" s="53">
        <v>1</v>
      </c>
      <c r="ED16" s="53">
        <v>1</v>
      </c>
      <c r="EF16" s="53">
        <v>11.299999999999999</v>
      </c>
      <c r="EG16" s="53">
        <v>19.770000000000003</v>
      </c>
      <c r="EH16" s="53">
        <v>28.240000000000002</v>
      </c>
      <c r="EI16" s="53">
        <v>36.71</v>
      </c>
      <c r="EK16" s="53">
        <v>1.72</v>
      </c>
      <c r="EL16" s="53">
        <v>3</v>
      </c>
      <c r="EM16" s="53">
        <v>4.29</v>
      </c>
      <c r="EN16" s="53">
        <v>5.58</v>
      </c>
      <c r="EP16" s="53">
        <v>1.72</v>
      </c>
      <c r="EQ16" s="53">
        <v>3</v>
      </c>
      <c r="ER16" s="53">
        <v>4.29</v>
      </c>
      <c r="ES16" s="53">
        <v>5.58</v>
      </c>
      <c r="EU16" s="53">
        <v>710500</v>
      </c>
      <c r="EV16" s="53">
        <v>0</v>
      </c>
      <c r="EW16" s="53">
        <v>0</v>
      </c>
      <c r="EX16" s="53">
        <v>0</v>
      </c>
      <c r="EZ16" s="53">
        <v>12</v>
      </c>
      <c r="FA16" s="53">
        <v>21</v>
      </c>
      <c r="FB16" s="53">
        <v>30</v>
      </c>
      <c r="FC16" s="53">
        <v>39</v>
      </c>
    </row>
    <row r="17" spans="1:159" x14ac:dyDescent="0.25">
      <c r="A17" s="114"/>
      <c r="B17" t="str">
        <v>JV1</v>
      </c>
      <c r="C17" t="str">
        <v>Center</v>
      </c>
      <c r="D17" t="str">
        <v>New Jersey</v>
      </c>
      <c r="E17" s="53">
        <v>315.03999999999996</v>
      </c>
      <c r="F17" s="53">
        <v>2835.3599999999997</v>
      </c>
      <c r="G17" s="53">
        <v>5670.7199999999993</v>
      </c>
      <c r="H17" s="53">
        <v>8506.0799999999981</v>
      </c>
      <c r="J17" s="53">
        <v>55551.556000000004</v>
      </c>
      <c r="K17" s="53">
        <v>499964.00400000002</v>
      </c>
      <c r="L17" s="53">
        <v>999928.00799999991</v>
      </c>
      <c r="M17" s="53">
        <v>1499892.0119999996</v>
      </c>
      <c r="O17" s="53">
        <v>69023.521946666675</v>
      </c>
      <c r="P17" s="53">
        <v>484399.02151999995</v>
      </c>
      <c r="Q17" s="53">
        <v>900391.70503999991</v>
      </c>
      <c r="R17" s="53">
        <v>1316384.3885599999</v>
      </c>
      <c r="T17" s="53">
        <v>-9775.5657199999987</v>
      </c>
      <c r="U17" s="53">
        <v>-69323.817479999998</v>
      </c>
      <c r="V17" s="53">
        <v>-129319.49795999996</v>
      </c>
      <c r="W17" s="53">
        <v>-189315.17843999999</v>
      </c>
      <c r="Y17" s="53">
        <v>45433.96</v>
      </c>
      <c r="Z17" s="53">
        <v>408905.64</v>
      </c>
      <c r="AA17" s="53">
        <v>817811.27999999991</v>
      </c>
      <c r="AB17" s="53">
        <v>1226716.92</v>
      </c>
      <c r="AD17" s="53">
        <v>2663.9599999999996</v>
      </c>
      <c r="AE17" s="53">
        <v>23975.64</v>
      </c>
      <c r="AF17" s="53">
        <v>47951.28</v>
      </c>
      <c r="AG17" s="53">
        <v>71926.919999999984</v>
      </c>
      <c r="AI17" s="53">
        <v>6331.181999999998</v>
      </c>
      <c r="AJ17" s="53">
        <v>56980.637999999977</v>
      </c>
      <c r="AK17" s="53">
        <v>113961.27599999997</v>
      </c>
      <c r="AL17" s="53">
        <v>170941.91399999993</v>
      </c>
      <c r="AN17" s="53">
        <v>487.01399999999995</v>
      </c>
      <c r="AO17" s="53">
        <v>4383.1260000000002</v>
      </c>
      <c r="AP17" s="53">
        <v>8766.2520000000004</v>
      </c>
      <c r="AQ17" s="53">
        <v>13149.377999999999</v>
      </c>
      <c r="AS17" s="53">
        <v>635.43999999999994</v>
      </c>
      <c r="AT17" s="53">
        <v>5718.9599999999991</v>
      </c>
      <c r="AU17" s="53">
        <v>11437.919999999998</v>
      </c>
      <c r="AV17" s="53">
        <v>17156.879999999997</v>
      </c>
      <c r="AX17" s="53">
        <v>0</v>
      </c>
      <c r="AY17" s="53">
        <v>0</v>
      </c>
      <c r="AZ17" s="53">
        <v>0</v>
      </c>
      <c r="BA17" s="53">
        <v>0</v>
      </c>
      <c r="BC17" s="53">
        <v>3273.6976118246394</v>
      </c>
      <c r="BD17" s="53">
        <v>29463.278506421753</v>
      </c>
      <c r="BE17" s="53">
        <v>58926.557012843514</v>
      </c>
      <c r="BF17" s="53">
        <v>88389.835519265267</v>
      </c>
      <c r="BH17" s="53">
        <v>25911.491666666665</v>
      </c>
      <c r="BI17" s="53">
        <v>77734.474999999991</v>
      </c>
      <c r="BJ17" s="53">
        <v>77734.474999999991</v>
      </c>
      <c r="BK17" s="53">
        <v>77734.474999999991</v>
      </c>
      <c r="BM17" s="53">
        <v>2346.7496455603195</v>
      </c>
      <c r="BN17" s="53">
        <v>21120.746810042878</v>
      </c>
      <c r="BO17" s="53">
        <v>42241.493620085748</v>
      </c>
      <c r="BP17" s="53">
        <v>63362.240430128637</v>
      </c>
      <c r="BR17" s="53">
        <v>0</v>
      </c>
      <c r="BS17" s="53">
        <v>0</v>
      </c>
      <c r="BT17" s="53">
        <v>0</v>
      </c>
      <c r="BV17" s="53">
        <v>43612.98992400329</v>
      </c>
      <c r="BW17" s="53">
        <v>281610.79411602957</v>
      </c>
      <c r="BX17" s="53">
        <v>456998.7139653925</v>
      </c>
      <c r="BY17" s="53">
        <v>632088.4171480888</v>
      </c>
      <c r="CA17" s="53">
        <v>150000</v>
      </c>
      <c r="CB17" s="53">
        <v>181350</v>
      </c>
      <c r="CC17" s="53">
        <v>182700</v>
      </c>
      <c r="CE17" s="53">
        <v>87000</v>
      </c>
      <c r="CF17" s="53">
        <v>105444</v>
      </c>
      <c r="CG17" s="53">
        <v>106488</v>
      </c>
      <c r="CI17" s="53">
        <v>10172.2186</v>
      </c>
      <c r="CJ17" s="53">
        <v>13810.092391999999</v>
      </c>
      <c r="CK17" s="53">
        <v>14342.861920000001</v>
      </c>
      <c r="CM17" s="53">
        <v>75000</v>
      </c>
      <c r="CN17" s="53">
        <v>90450</v>
      </c>
      <c r="CO17" s="53">
        <v>90900</v>
      </c>
      <c r="CQ17" s="53">
        <v>98077.5</v>
      </c>
      <c r="CR17" s="53">
        <v>150128.90999999997</v>
      </c>
      <c r="CS17" s="53">
        <v>192787.55000000002</v>
      </c>
      <c r="CU17" s="53">
        <v>60000</v>
      </c>
      <c r="CV17" s="53">
        <v>72900</v>
      </c>
      <c r="CW17" s="53">
        <v>73800</v>
      </c>
      <c r="CY17" s="53">
        <v>129000</v>
      </c>
      <c r="CZ17" s="53">
        <v>0</v>
      </c>
      <c r="DA17" s="53">
        <v>0</v>
      </c>
      <c r="DC17" s="53">
        <v>527530.59404001688</v>
      </c>
      <c r="DD17" s="53">
        <v>772641.11398909078</v>
      </c>
      <c r="DE17" s="53">
        <v>932400.91656879371</v>
      </c>
      <c r="DG17" s="53">
        <v>0</v>
      </c>
      <c r="DH17" s="53">
        <v>0</v>
      </c>
      <c r="DI17" s="53">
        <v>0</v>
      </c>
      <c r="DJ17" s="53">
        <v>0</v>
      </c>
      <c r="DL17" s="53">
        <v>-48316.46536266667</v>
      </c>
      <c r="DM17" s="53">
        <v>-211169.78508133331</v>
      </c>
      <c r="DN17" s="53">
        <v>-288729.51201333327</v>
      </c>
      <c r="DO17" s="53">
        <v>-264478.70173999993</v>
      </c>
      <c r="DQ17" s="53">
        <v>583.92867841533769</v>
      </c>
      <c r="DR17" s="53">
        <v>6287.4438951309976</v>
      </c>
      <c r="DS17" s="53">
        <v>14759.609534781443</v>
      </c>
      <c r="DT17" s="53">
        <v>23270.303255531475</v>
      </c>
      <c r="DV17" s="53">
        <v>1</v>
      </c>
      <c r="DW17" s="53">
        <v>1</v>
      </c>
      <c r="DX17" s="53">
        <v>1</v>
      </c>
      <c r="DY17" s="53">
        <v>1</v>
      </c>
      <c r="EA17" s="53">
        <v>1</v>
      </c>
      <c r="EB17" s="53">
        <v>1</v>
      </c>
      <c r="EC17" s="53">
        <v>1</v>
      </c>
      <c r="ED17" s="53">
        <v>1</v>
      </c>
      <c r="EF17" s="53">
        <v>2.8299999999999996</v>
      </c>
      <c r="EG17" s="53">
        <v>11.299999999999999</v>
      </c>
      <c r="EH17" s="53">
        <v>19.770000000000003</v>
      </c>
      <c r="EI17" s="53">
        <v>28.240000000000002</v>
      </c>
      <c r="EK17" s="53">
        <v>0.43</v>
      </c>
      <c r="EL17" s="53">
        <v>1.72</v>
      </c>
      <c r="EM17" s="53">
        <v>3</v>
      </c>
      <c r="EN17" s="53">
        <v>4.29</v>
      </c>
      <c r="EP17" s="53">
        <v>0.43</v>
      </c>
      <c r="EQ17" s="53">
        <v>1.72</v>
      </c>
      <c r="ER17" s="53">
        <v>3</v>
      </c>
      <c r="ES17" s="53">
        <v>4.29</v>
      </c>
      <c r="EU17" s="53">
        <v>710500</v>
      </c>
      <c r="EV17" s="53">
        <v>710500</v>
      </c>
      <c r="EW17" s="53">
        <v>0</v>
      </c>
      <c r="EX17" s="53">
        <v>0</v>
      </c>
      <c r="EZ17" s="53">
        <v>3</v>
      </c>
      <c r="FA17" s="53">
        <v>12</v>
      </c>
      <c r="FB17" s="53">
        <v>21</v>
      </c>
      <c r="FC17" s="53">
        <v>30</v>
      </c>
    </row>
    <row r="18" spans="1:159" x14ac:dyDescent="0.25">
      <c r="A18" s="114"/>
      <c r="B18" t="str">
        <v>JV1</v>
      </c>
      <c r="C18" t="str">
        <v>Remote</v>
      </c>
      <c r="D18" t="str">
        <v>New Jersey</v>
      </c>
      <c r="E18" s="53">
        <v>0</v>
      </c>
      <c r="F18" s="53">
        <v>447.47999999999996</v>
      </c>
      <c r="G18" s="53">
        <v>1193.2799999999997</v>
      </c>
      <c r="H18" s="53">
        <v>1988.8</v>
      </c>
      <c r="J18" s="53">
        <v>0</v>
      </c>
      <c r="K18" s="53">
        <v>81015.074999999983</v>
      </c>
      <c r="L18" s="53">
        <v>216040.19999999995</v>
      </c>
      <c r="M18" s="53">
        <v>360067</v>
      </c>
      <c r="O18" s="53">
        <v>0</v>
      </c>
      <c r="P18" s="53">
        <v>71293.265999999989</v>
      </c>
      <c r="Q18" s="53">
        <v>190115.37599999999</v>
      </c>
      <c r="R18" s="53">
        <v>316858.95999999996</v>
      </c>
      <c r="T18" s="53">
        <v>0</v>
      </c>
      <c r="U18" s="53">
        <v>-9721.8089999999975</v>
      </c>
      <c r="V18" s="53">
        <v>-25924.823999999993</v>
      </c>
      <c r="W18" s="53">
        <v>-43208.039999999994</v>
      </c>
      <c r="Y18" s="53">
        <v>0</v>
      </c>
      <c r="Z18" s="53">
        <v>68150.939999999988</v>
      </c>
      <c r="AA18" s="53">
        <v>181735.83999999997</v>
      </c>
      <c r="AB18" s="53">
        <v>302893.06666666665</v>
      </c>
      <c r="AD18" s="53">
        <v>0</v>
      </c>
      <c r="AE18" s="53">
        <v>0</v>
      </c>
      <c r="AF18" s="53">
        <v>0</v>
      </c>
      <c r="AG18" s="53">
        <v>0</v>
      </c>
      <c r="AI18" s="53">
        <v>0</v>
      </c>
      <c r="AJ18" s="53">
        <v>9496.7729999999974</v>
      </c>
      <c r="AK18" s="53">
        <v>25324.727999999988</v>
      </c>
      <c r="AL18" s="53">
        <v>42207.87999999999</v>
      </c>
      <c r="AN18" s="53">
        <v>0</v>
      </c>
      <c r="AO18" s="53">
        <v>1461.0419999999999</v>
      </c>
      <c r="AP18" s="53">
        <v>3896.1120000000001</v>
      </c>
      <c r="AQ18" s="53">
        <v>6493.5199999999995</v>
      </c>
      <c r="AS18" s="53">
        <v>0</v>
      </c>
      <c r="AT18" s="53">
        <v>1906.3199999999997</v>
      </c>
      <c r="AU18" s="53">
        <v>5083.5199999999995</v>
      </c>
      <c r="AV18" s="53">
        <v>8472.533333333331</v>
      </c>
      <c r="AX18" s="53">
        <v>0</v>
      </c>
      <c r="AY18" s="53">
        <v>0</v>
      </c>
      <c r="AZ18" s="53">
        <v>0</v>
      </c>
      <c r="BA18" s="53">
        <v>0</v>
      </c>
      <c r="BC18" s="53">
        <v>0</v>
      </c>
      <c r="BD18" s="53">
        <v>0</v>
      </c>
      <c r="BE18" s="53">
        <v>0</v>
      </c>
      <c r="BF18" s="53">
        <v>0</v>
      </c>
      <c r="BH18" s="53">
        <v>0</v>
      </c>
      <c r="BI18" s="53">
        <v>0</v>
      </c>
      <c r="BJ18" s="53">
        <v>0</v>
      </c>
      <c r="BK18" s="53">
        <v>0</v>
      </c>
      <c r="BM18" s="53">
        <v>0</v>
      </c>
      <c r="BN18" s="53">
        <v>0</v>
      </c>
      <c r="BO18" s="53">
        <v>0</v>
      </c>
      <c r="BP18" s="53">
        <v>0</v>
      </c>
      <c r="BR18" s="53">
        <v>0</v>
      </c>
      <c r="BS18" s="53">
        <v>0</v>
      </c>
      <c r="BT18" s="53">
        <v>0</v>
      </c>
      <c r="BV18" s="53">
        <v>0</v>
      </c>
      <c r="BW18" s="53">
        <v>66680.473106271165</v>
      </c>
      <c r="BX18" s="53">
        <v>107920.13249450087</v>
      </c>
      <c r="BY18" s="53">
        <v>141912.58627601995</v>
      </c>
      <c r="CA18" s="53">
        <v>0</v>
      </c>
      <c r="CB18" s="53">
        <v>0</v>
      </c>
      <c r="CC18" s="53">
        <v>0</v>
      </c>
      <c r="CE18" s="53">
        <v>0</v>
      </c>
      <c r="CF18" s="53">
        <v>0</v>
      </c>
      <c r="CG18" s="53">
        <v>0</v>
      </c>
      <c r="CI18" s="53">
        <v>7773.2057999999997</v>
      </c>
      <c r="CJ18" s="53">
        <v>11070.635415999999</v>
      </c>
      <c r="CK18" s="53">
        <v>12215.018431999999</v>
      </c>
      <c r="CM18" s="53">
        <v>0</v>
      </c>
      <c r="CN18" s="53">
        <v>0</v>
      </c>
      <c r="CO18" s="53">
        <v>0</v>
      </c>
      <c r="CQ18" s="53">
        <v>42890</v>
      </c>
      <c r="CR18" s="53">
        <v>66513.2</v>
      </c>
      <c r="CS18" s="53">
        <v>84497.400000000009</v>
      </c>
      <c r="CU18" s="53">
        <v>0</v>
      </c>
      <c r="CV18" s="53">
        <v>0</v>
      </c>
      <c r="CW18" s="53">
        <v>0</v>
      </c>
      <c r="CY18" s="53">
        <v>0</v>
      </c>
      <c r="CZ18" s="53">
        <v>0</v>
      </c>
      <c r="DA18" s="53">
        <v>0</v>
      </c>
      <c r="DC18" s="53">
        <v>105722.5300572556</v>
      </c>
      <c r="DD18" s="53">
        <v>172277.58929862728</v>
      </c>
      <c r="DE18" s="53">
        <v>231574.98977421026</v>
      </c>
      <c r="DG18" s="53">
        <v>0</v>
      </c>
      <c r="DH18" s="53">
        <v>0</v>
      </c>
      <c r="DI18" s="53">
        <v>0</v>
      </c>
      <c r="DJ18" s="53">
        <v>0</v>
      </c>
      <c r="DL18" s="53">
        <v>0</v>
      </c>
      <c r="DM18" s="53">
        <v>0</v>
      </c>
      <c r="DN18" s="53">
        <v>-1188.2210999999998</v>
      </c>
      <c r="DO18" s="53">
        <v>-16635.095399999998</v>
      </c>
      <c r="DQ18" s="53">
        <v>0</v>
      </c>
      <c r="DR18" s="53">
        <v>992.29212311424965</v>
      </c>
      <c r="DS18" s="53">
        <v>3105.8396227752378</v>
      </c>
      <c r="DT18" s="53">
        <v>5440.8116446825106</v>
      </c>
      <c r="DV18" s="53">
        <v>0</v>
      </c>
      <c r="DW18" s="53">
        <v>0</v>
      </c>
      <c r="DX18" s="53">
        <v>0</v>
      </c>
      <c r="DY18" s="53">
        <v>0</v>
      </c>
      <c r="EA18" s="53">
        <v>0</v>
      </c>
      <c r="EB18" s="53">
        <v>0</v>
      </c>
      <c r="EC18" s="53">
        <v>0</v>
      </c>
      <c r="ED18" s="53">
        <v>0</v>
      </c>
      <c r="EF18" s="53">
        <v>0</v>
      </c>
      <c r="EG18" s="53">
        <v>2.1599999999999997</v>
      </c>
      <c r="EH18" s="53">
        <v>4.3199999999999994</v>
      </c>
      <c r="EI18" s="53">
        <v>6.4799999999999995</v>
      </c>
      <c r="EK18" s="53">
        <v>0</v>
      </c>
      <c r="EL18" s="53">
        <v>0.46</v>
      </c>
      <c r="EM18" s="53">
        <v>0.91</v>
      </c>
      <c r="EN18" s="53">
        <v>1.37</v>
      </c>
      <c r="EP18" s="53">
        <v>0</v>
      </c>
      <c r="EQ18" s="53">
        <v>0.46</v>
      </c>
      <c r="ER18" s="53">
        <v>0.91</v>
      </c>
      <c r="ES18" s="53">
        <v>1.37</v>
      </c>
      <c r="EU18" s="53">
        <v>0</v>
      </c>
      <c r="EV18" s="53">
        <v>0</v>
      </c>
      <c r="EW18" s="53">
        <v>0</v>
      </c>
      <c r="EX18" s="53">
        <v>0</v>
      </c>
      <c r="EZ18" s="53">
        <v>0</v>
      </c>
      <c r="FA18" s="53">
        <v>5</v>
      </c>
      <c r="FB18" s="53">
        <v>10</v>
      </c>
      <c r="FC18" s="53">
        <v>15</v>
      </c>
    </row>
    <row r="19" spans="1:159" x14ac:dyDescent="0.25">
      <c r="A19" s="114"/>
      <c r="B19" t="str">
        <v>JV1</v>
      </c>
      <c r="C19" t="str">
        <v>Center</v>
      </c>
      <c r="D19" t="str">
        <v>New Jersey</v>
      </c>
      <c r="E19" s="53">
        <v>10921.386666666665</v>
      </c>
      <c r="F19" s="53">
        <v>13231.679999999998</v>
      </c>
      <c r="G19" s="53">
        <v>13231.679999999998</v>
      </c>
      <c r="H19" s="53">
        <v>13231.679999999998</v>
      </c>
      <c r="J19" s="53">
        <v>1925787.2746666663</v>
      </c>
      <c r="K19" s="53">
        <v>2333165.352</v>
      </c>
      <c r="L19" s="53">
        <v>2333165.352</v>
      </c>
      <c r="M19" s="53">
        <v>2333165.352</v>
      </c>
      <c r="O19" s="53">
        <v>1670748.5263733333</v>
      </c>
      <c r="P19" s="53">
        <v>2009705.5277599997</v>
      </c>
      <c r="Q19" s="53">
        <v>2009705.5277599997</v>
      </c>
      <c r="R19" s="53">
        <v>2009705.5277599997</v>
      </c>
      <c r="T19" s="53">
        <v>-240422.60995999997</v>
      </c>
      <c r="U19" s="53">
        <v>-289307.97923999996</v>
      </c>
      <c r="V19" s="53">
        <v>-289307.97923999996</v>
      </c>
      <c r="W19" s="53">
        <v>-289307.97923999996</v>
      </c>
      <c r="Y19" s="53">
        <v>1575043.9466666663</v>
      </c>
      <c r="Z19" s="53">
        <v>1908226.3199999998</v>
      </c>
      <c r="AA19" s="53">
        <v>1908226.3199999998</v>
      </c>
      <c r="AB19" s="53">
        <v>1908226.3199999998</v>
      </c>
      <c r="AD19" s="53">
        <v>92350.613333333313</v>
      </c>
      <c r="AE19" s="53">
        <v>111886.31999999998</v>
      </c>
      <c r="AF19" s="53">
        <v>111886.31999999998</v>
      </c>
      <c r="AG19" s="53">
        <v>111886.31999999998</v>
      </c>
      <c r="AI19" s="53">
        <v>219480.97599999994</v>
      </c>
      <c r="AJ19" s="53">
        <v>265909.64399999997</v>
      </c>
      <c r="AK19" s="53">
        <v>265909.64399999997</v>
      </c>
      <c r="AL19" s="53">
        <v>265909.64399999997</v>
      </c>
      <c r="AN19" s="53">
        <v>16883.151999999998</v>
      </c>
      <c r="AO19" s="53">
        <v>20454.588</v>
      </c>
      <c r="AP19" s="53">
        <v>20454.588</v>
      </c>
      <c r="AQ19" s="53">
        <v>20454.588</v>
      </c>
      <c r="AS19" s="53">
        <v>22028.586666666666</v>
      </c>
      <c r="AT19" s="53">
        <v>26688.48</v>
      </c>
      <c r="AU19" s="53">
        <v>26688.48</v>
      </c>
      <c r="AV19" s="53">
        <v>26688.48</v>
      </c>
      <c r="AX19" s="53">
        <v>0</v>
      </c>
      <c r="AY19" s="53">
        <v>0</v>
      </c>
      <c r="AZ19" s="53">
        <v>0</v>
      </c>
      <c r="BA19" s="53">
        <v>0</v>
      </c>
      <c r="BC19" s="53">
        <v>113488.18387658751</v>
      </c>
      <c r="BD19" s="53">
        <v>137495.29969663487</v>
      </c>
      <c r="BE19" s="53">
        <v>137495.29969663487</v>
      </c>
      <c r="BF19" s="53">
        <v>137495.29969663487</v>
      </c>
      <c r="BH19" s="53">
        <v>77734.474999999991</v>
      </c>
      <c r="BI19" s="53">
        <v>77734.474999999991</v>
      </c>
      <c r="BJ19" s="53">
        <v>77734.474999999991</v>
      </c>
      <c r="BK19" s="53">
        <v>77734.474999999991</v>
      </c>
      <c r="BM19" s="53">
        <v>81353.987712757764</v>
      </c>
      <c r="BN19" s="53">
        <v>98563.485113533417</v>
      </c>
      <c r="BO19" s="53">
        <v>98563.485113533417</v>
      </c>
      <c r="BP19" s="53">
        <v>98563.485113533417</v>
      </c>
      <c r="BR19" s="53">
        <v>0</v>
      </c>
      <c r="BS19" s="53">
        <v>0</v>
      </c>
      <c r="BT19" s="53">
        <v>0</v>
      </c>
      <c r="BV19" s="53">
        <v>1003149.299943225</v>
      </c>
      <c r="BW19" s="53">
        <v>1128647.699208138</v>
      </c>
      <c r="BX19" s="53">
        <v>1131071.1325414714</v>
      </c>
      <c r="BY19" s="53">
        <v>1133655.0325414715</v>
      </c>
      <c r="CA19" s="53">
        <v>268937.87999999995</v>
      </c>
      <c r="CB19" s="53">
        <v>270954.91409999999</v>
      </c>
      <c r="CC19" s="53">
        <v>272971.94820000004</v>
      </c>
      <c r="CE19" s="53">
        <v>91940.04</v>
      </c>
      <c r="CF19" s="53">
        <v>92859.440400000021</v>
      </c>
      <c r="CG19" s="53">
        <v>93778.840800000005</v>
      </c>
      <c r="CI19" s="53">
        <v>14127.894200000001</v>
      </c>
      <c r="CJ19" s="53">
        <v>14061.584407999999</v>
      </c>
      <c r="CK19" s="53">
        <v>14659.989847999999</v>
      </c>
      <c r="CM19" s="53">
        <v>90000</v>
      </c>
      <c r="CN19" s="53">
        <v>90450</v>
      </c>
      <c r="CO19" s="53">
        <v>90900</v>
      </c>
      <c r="CQ19" s="53">
        <v>237351</v>
      </c>
      <c r="CR19" s="53">
        <v>247475.74000000002</v>
      </c>
      <c r="CS19" s="53">
        <v>249178.22000000009</v>
      </c>
      <c r="CU19" s="53">
        <v>72000</v>
      </c>
      <c r="CV19" s="53">
        <v>72900</v>
      </c>
      <c r="CW19" s="53">
        <v>73800</v>
      </c>
      <c r="CY19" s="53">
        <v>0</v>
      </c>
      <c r="CZ19" s="53">
        <v>0</v>
      </c>
      <c r="DA19" s="53">
        <v>0</v>
      </c>
      <c r="DC19" s="53">
        <v>1728348.0857214394</v>
      </c>
      <c r="DD19" s="53">
        <v>1523061.5203184048</v>
      </c>
      <c r="DE19" s="53">
        <v>1310109.1515873708</v>
      </c>
      <c r="DG19" s="53">
        <v>0</v>
      </c>
      <c r="DH19" s="53">
        <v>0</v>
      </c>
      <c r="DI19" s="53">
        <v>0</v>
      </c>
      <c r="DJ19" s="53">
        <v>0</v>
      </c>
      <c r="DL19" s="53">
        <v>-225190.50385199999</v>
      </c>
      <c r="DM19" s="53">
        <v>-225190.50385199999</v>
      </c>
      <c r="DN19" s="53">
        <v>-276034.05405999994</v>
      </c>
      <c r="DO19" s="53">
        <v>-301455.82916399994</v>
      </c>
      <c r="DQ19" s="53">
        <v>20242.860851731704</v>
      </c>
      <c r="DR19" s="53">
        <v>29341.404843944656</v>
      </c>
      <c r="DS19" s="53">
        <v>34439.088914490028</v>
      </c>
      <c r="DT19" s="53">
        <v>36198.249508604524</v>
      </c>
      <c r="DV19" s="53">
        <v>1</v>
      </c>
      <c r="DW19" s="53">
        <v>1</v>
      </c>
      <c r="DX19" s="53">
        <v>1</v>
      </c>
      <c r="DY19" s="53">
        <v>1</v>
      </c>
      <c r="EA19" s="53">
        <v>1</v>
      </c>
      <c r="EB19" s="53">
        <v>1</v>
      </c>
      <c r="EC19" s="53">
        <v>1</v>
      </c>
      <c r="ED19" s="53">
        <v>1</v>
      </c>
      <c r="EF19" s="53">
        <v>35.769999999999996</v>
      </c>
      <c r="EG19" s="53">
        <v>39.53</v>
      </c>
      <c r="EH19" s="53">
        <v>39.53</v>
      </c>
      <c r="EI19" s="53">
        <v>39.53</v>
      </c>
      <c r="EK19" s="53">
        <v>5.43</v>
      </c>
      <c r="EL19" s="53">
        <v>6</v>
      </c>
      <c r="EM19" s="53">
        <v>6</v>
      </c>
      <c r="EN19" s="53">
        <v>6</v>
      </c>
      <c r="EP19" s="53">
        <v>5.43</v>
      </c>
      <c r="EQ19" s="53">
        <v>6</v>
      </c>
      <c r="ER19" s="53">
        <v>6</v>
      </c>
      <c r="ES19" s="53">
        <v>6</v>
      </c>
      <c r="EU19" s="53">
        <v>0</v>
      </c>
      <c r="EV19" s="53">
        <v>0</v>
      </c>
      <c r="EW19" s="53">
        <v>0</v>
      </c>
      <c r="EX19" s="53">
        <v>0</v>
      </c>
      <c r="EZ19" s="53">
        <v>38</v>
      </c>
      <c r="FA19" s="53">
        <v>42</v>
      </c>
      <c r="FB19" s="53">
        <v>42</v>
      </c>
      <c r="FC19" s="53">
        <v>42</v>
      </c>
    </row>
    <row r="20" spans="1:159" x14ac:dyDescent="0.25">
      <c r="A20" s="114"/>
      <c r="B20" t="str">
        <v>JV1</v>
      </c>
      <c r="C20" t="str">
        <v>Remote</v>
      </c>
      <c r="D20" t="str">
        <v>New Jersey</v>
      </c>
      <c r="E20" s="53">
        <v>3097.5999999999995</v>
      </c>
      <c r="F20" s="53">
        <v>3717.12</v>
      </c>
      <c r="G20" s="53">
        <v>3717.12</v>
      </c>
      <c r="H20" s="53">
        <v>3717.12</v>
      </c>
      <c r="J20" s="53">
        <v>560752.29999999993</v>
      </c>
      <c r="K20" s="53">
        <v>672902.76</v>
      </c>
      <c r="L20" s="53">
        <v>672902.76</v>
      </c>
      <c r="M20" s="53">
        <v>672902.76</v>
      </c>
      <c r="O20" s="53">
        <v>493462.02399999998</v>
      </c>
      <c r="P20" s="53">
        <v>592154.42879999988</v>
      </c>
      <c r="Q20" s="53">
        <v>592154.42879999988</v>
      </c>
      <c r="R20" s="53">
        <v>592154.42879999988</v>
      </c>
      <c r="T20" s="53">
        <v>-67290.275999999983</v>
      </c>
      <c r="U20" s="53">
        <v>-80748.331199999986</v>
      </c>
      <c r="V20" s="53">
        <v>-80748.331199999986</v>
      </c>
      <c r="W20" s="53">
        <v>-80748.331199999986</v>
      </c>
      <c r="Y20" s="53">
        <v>474991.39999999991</v>
      </c>
      <c r="Z20" s="53">
        <v>569989.67999999993</v>
      </c>
      <c r="AA20" s="53">
        <v>569989.67999999993</v>
      </c>
      <c r="AB20" s="53">
        <v>569989.67999999993</v>
      </c>
      <c r="AD20" s="53">
        <v>0</v>
      </c>
      <c r="AE20" s="53">
        <v>0</v>
      </c>
      <c r="AF20" s="53">
        <v>0</v>
      </c>
      <c r="AG20" s="53">
        <v>0</v>
      </c>
      <c r="AI20" s="53">
        <v>63311.819999999978</v>
      </c>
      <c r="AJ20" s="53">
        <v>75974.183999999979</v>
      </c>
      <c r="AK20" s="53">
        <v>75974.183999999979</v>
      </c>
      <c r="AL20" s="53">
        <v>75974.183999999979</v>
      </c>
      <c r="AN20" s="53">
        <v>9740.2799999999988</v>
      </c>
      <c r="AO20" s="53">
        <v>11688.335999999999</v>
      </c>
      <c r="AP20" s="53">
        <v>11688.335999999999</v>
      </c>
      <c r="AQ20" s="53">
        <v>11688.335999999999</v>
      </c>
      <c r="AS20" s="53">
        <v>12708.8</v>
      </c>
      <c r="AT20" s="53">
        <v>15250.559999999998</v>
      </c>
      <c r="AU20" s="53">
        <v>15250.559999999998</v>
      </c>
      <c r="AV20" s="53">
        <v>15250.559999999998</v>
      </c>
      <c r="AX20" s="53">
        <v>0</v>
      </c>
      <c r="AY20" s="53">
        <v>0</v>
      </c>
      <c r="AZ20" s="53">
        <v>0</v>
      </c>
      <c r="BA20" s="53">
        <v>0</v>
      </c>
      <c r="BC20" s="53">
        <v>0</v>
      </c>
      <c r="BD20" s="53">
        <v>0</v>
      </c>
      <c r="BE20" s="53">
        <v>0</v>
      </c>
      <c r="BF20" s="53">
        <v>0</v>
      </c>
      <c r="BH20" s="53">
        <v>0</v>
      </c>
      <c r="BI20" s="53">
        <v>0</v>
      </c>
      <c r="BJ20" s="53">
        <v>0</v>
      </c>
      <c r="BK20" s="53">
        <v>0</v>
      </c>
      <c r="BM20" s="53">
        <v>0</v>
      </c>
      <c r="BN20" s="53">
        <v>0</v>
      </c>
      <c r="BO20" s="53">
        <v>0</v>
      </c>
      <c r="BP20" s="53">
        <v>0</v>
      </c>
      <c r="BR20" s="53">
        <v>0</v>
      </c>
      <c r="BS20" s="53">
        <v>0</v>
      </c>
      <c r="BT20" s="53">
        <v>0</v>
      </c>
      <c r="BV20" s="53">
        <v>187883.96179736324</v>
      </c>
      <c r="BW20" s="53">
        <v>204907.96425016926</v>
      </c>
      <c r="BX20" s="53">
        <v>205190.23091683592</v>
      </c>
      <c r="BY20" s="53">
        <v>205190.23091683592</v>
      </c>
      <c r="CA20" s="53">
        <v>0</v>
      </c>
      <c r="CB20" s="53">
        <v>0</v>
      </c>
      <c r="CC20" s="53">
        <v>0</v>
      </c>
      <c r="CE20" s="53">
        <v>0</v>
      </c>
      <c r="CF20" s="53">
        <v>0</v>
      </c>
      <c r="CG20" s="53">
        <v>0</v>
      </c>
      <c r="CI20" s="53">
        <v>12129.840000000002</v>
      </c>
      <c r="CJ20" s="53">
        <v>11992.638032000001</v>
      </c>
      <c r="CK20" s="53">
        <v>12124.988064000001</v>
      </c>
      <c r="CM20" s="53">
        <v>0</v>
      </c>
      <c r="CN20" s="53">
        <v>0</v>
      </c>
      <c r="CO20" s="53">
        <v>0</v>
      </c>
      <c r="CQ20" s="53">
        <v>109175</v>
      </c>
      <c r="CR20" s="53">
        <v>112620.40000000001</v>
      </c>
      <c r="CS20" s="53">
        <v>113200.80000000002</v>
      </c>
      <c r="CU20" s="53">
        <v>0</v>
      </c>
      <c r="CV20" s="53">
        <v>0</v>
      </c>
      <c r="CW20" s="53">
        <v>0</v>
      </c>
      <c r="CY20" s="53">
        <v>0</v>
      </c>
      <c r="CZ20" s="53">
        <v>0</v>
      </c>
      <c r="DA20" s="53">
        <v>0</v>
      </c>
      <c r="DC20" s="53">
        <v>509584.6379711568</v>
      </c>
      <c r="DD20" s="53">
        <v>448766.05658573308</v>
      </c>
      <c r="DE20" s="53">
        <v>386020.20326259313</v>
      </c>
      <c r="DG20" s="53">
        <v>0</v>
      </c>
      <c r="DH20" s="53">
        <v>0</v>
      </c>
      <c r="DI20" s="53">
        <v>0</v>
      </c>
      <c r="DJ20" s="53">
        <v>0</v>
      </c>
      <c r="DL20" s="53">
        <v>-66617.373240000001</v>
      </c>
      <c r="DM20" s="53">
        <v>-66617.373240000001</v>
      </c>
      <c r="DN20" s="53">
        <v>-81421.233959999983</v>
      </c>
      <c r="DO20" s="53">
        <v>-88823.164319999982</v>
      </c>
      <c r="DQ20" s="53">
        <v>5741.42164251952</v>
      </c>
      <c r="DR20" s="53">
        <v>8242.7569872853292</v>
      </c>
      <c r="DS20" s="53">
        <v>9674.8278514768481</v>
      </c>
      <c r="DT20" s="53">
        <v>10169.021410238462</v>
      </c>
      <c r="DV20" s="53">
        <v>0</v>
      </c>
      <c r="DW20" s="53">
        <v>0</v>
      </c>
      <c r="DX20" s="53">
        <v>0</v>
      </c>
      <c r="DY20" s="53">
        <v>0</v>
      </c>
      <c r="EA20" s="53">
        <v>0</v>
      </c>
      <c r="EB20" s="53">
        <v>0</v>
      </c>
      <c r="EC20" s="53">
        <v>0</v>
      </c>
      <c r="ED20" s="53">
        <v>0</v>
      </c>
      <c r="EF20" s="53">
        <v>9.93</v>
      </c>
      <c r="EG20" s="53">
        <v>10.83</v>
      </c>
      <c r="EH20" s="53">
        <v>10.83</v>
      </c>
      <c r="EI20" s="53">
        <v>10.83</v>
      </c>
      <c r="EK20" s="53">
        <v>2</v>
      </c>
      <c r="EL20" s="53">
        <v>2.19</v>
      </c>
      <c r="EM20" s="53">
        <v>2.19</v>
      </c>
      <c r="EN20" s="53">
        <v>2.19</v>
      </c>
      <c r="EP20" s="53">
        <v>2</v>
      </c>
      <c r="EQ20" s="53">
        <v>2.19</v>
      </c>
      <c r="ER20" s="53">
        <v>2.19</v>
      </c>
      <c r="ES20" s="53">
        <v>2.19</v>
      </c>
      <c r="EU20" s="53">
        <v>0</v>
      </c>
      <c r="EV20" s="53">
        <v>0</v>
      </c>
      <c r="EW20" s="53">
        <v>0</v>
      </c>
      <c r="EX20" s="53">
        <v>0</v>
      </c>
      <c r="EZ20" s="53">
        <v>22</v>
      </c>
      <c r="FA20" s="53">
        <v>24</v>
      </c>
      <c r="FB20" s="53">
        <v>24</v>
      </c>
      <c r="FC20" s="53">
        <v>24</v>
      </c>
    </row>
    <row r="21" spans="1:159" x14ac:dyDescent="0.25">
      <c r="A21" s="114"/>
      <c r="B21" t="str">
        <v>JV1</v>
      </c>
      <c r="C21" t="str">
        <v>Center</v>
      </c>
      <c r="D21" t="str">
        <v>New Jersey</v>
      </c>
      <c r="E21" s="53">
        <v>0</v>
      </c>
      <c r="F21" s="53">
        <v>1890.2399999999998</v>
      </c>
      <c r="G21" s="53">
        <v>4725.5999999999995</v>
      </c>
      <c r="H21" s="53">
        <v>7560.9599999999991</v>
      </c>
      <c r="J21" s="53">
        <v>0</v>
      </c>
      <c r="K21" s="53">
        <v>333309.33600000001</v>
      </c>
      <c r="L21" s="53">
        <v>833273.33999999985</v>
      </c>
      <c r="M21" s="53">
        <v>1333237.3439999998</v>
      </c>
      <c r="O21" s="53">
        <v>0</v>
      </c>
      <c r="P21" s="53">
        <v>345734.79368</v>
      </c>
      <c r="Q21" s="53">
        <v>761727.47719999985</v>
      </c>
      <c r="R21" s="53">
        <v>1177720.16072</v>
      </c>
      <c r="T21" s="53">
        <v>0</v>
      </c>
      <c r="U21" s="53">
        <v>-49325.257319999997</v>
      </c>
      <c r="V21" s="53">
        <v>-109320.93779999997</v>
      </c>
      <c r="W21" s="53">
        <v>-169316.61828</v>
      </c>
      <c r="Y21" s="53">
        <v>0</v>
      </c>
      <c r="Z21" s="53">
        <v>272603.76</v>
      </c>
      <c r="AA21" s="53">
        <v>681509.39999999991</v>
      </c>
      <c r="AB21" s="53">
        <v>1090415.0399999998</v>
      </c>
      <c r="AD21" s="53">
        <v>0</v>
      </c>
      <c r="AE21" s="53">
        <v>15983.759999999998</v>
      </c>
      <c r="AF21" s="53">
        <v>39959.399999999994</v>
      </c>
      <c r="AG21" s="53">
        <v>63935.039999999994</v>
      </c>
      <c r="AI21" s="53">
        <v>0</v>
      </c>
      <c r="AJ21" s="53">
        <v>37987.09199999999</v>
      </c>
      <c r="AK21" s="53">
        <v>94967.729999999967</v>
      </c>
      <c r="AL21" s="53">
        <v>151948.36799999996</v>
      </c>
      <c r="AN21" s="53">
        <v>0</v>
      </c>
      <c r="AO21" s="53">
        <v>2922.0839999999998</v>
      </c>
      <c r="AP21" s="53">
        <v>7305.2099999999991</v>
      </c>
      <c r="AQ21" s="53">
        <v>11688.335999999999</v>
      </c>
      <c r="AS21" s="53">
        <v>0</v>
      </c>
      <c r="AT21" s="53">
        <v>3812.6399999999994</v>
      </c>
      <c r="AU21" s="53">
        <v>9531.5999999999985</v>
      </c>
      <c r="AV21" s="53">
        <v>15250.559999999998</v>
      </c>
      <c r="AX21" s="53">
        <v>0</v>
      </c>
      <c r="AY21" s="53">
        <v>0</v>
      </c>
      <c r="AZ21" s="53">
        <v>0</v>
      </c>
      <c r="BA21" s="53">
        <v>0</v>
      </c>
      <c r="BC21" s="53">
        <v>0</v>
      </c>
      <c r="BD21" s="53">
        <v>19642.185670947838</v>
      </c>
      <c r="BE21" s="53">
        <v>49105.464177369591</v>
      </c>
      <c r="BF21" s="53">
        <v>78568.742683791352</v>
      </c>
      <c r="BH21" s="53">
        <v>0</v>
      </c>
      <c r="BI21" s="53">
        <v>77734.474999999991</v>
      </c>
      <c r="BJ21" s="53">
        <v>77734.474999999991</v>
      </c>
      <c r="BK21" s="53">
        <v>77734.474999999991</v>
      </c>
      <c r="BM21" s="53">
        <v>0</v>
      </c>
      <c r="BN21" s="53">
        <v>14080.497873361917</v>
      </c>
      <c r="BO21" s="53">
        <v>35201.244683404795</v>
      </c>
      <c r="BP21" s="53">
        <v>56321.991493447669</v>
      </c>
      <c r="BR21" s="53">
        <v>0</v>
      </c>
      <c r="BS21" s="53">
        <v>0</v>
      </c>
      <c r="BT21" s="53">
        <v>0</v>
      </c>
      <c r="BV21" s="53">
        <v>0</v>
      </c>
      <c r="BW21" s="53">
        <v>211918.54861068638</v>
      </c>
      <c r="BX21" s="53">
        <v>398553.15179338265</v>
      </c>
      <c r="BY21" s="53">
        <v>573750.63830941229</v>
      </c>
      <c r="CA21" s="53">
        <v>135000</v>
      </c>
      <c r="CB21" s="53">
        <v>181350</v>
      </c>
      <c r="CC21" s="53">
        <v>182700</v>
      </c>
      <c r="CE21" s="53">
        <v>78300</v>
      </c>
      <c r="CF21" s="53">
        <v>105444</v>
      </c>
      <c r="CG21" s="53">
        <v>106488</v>
      </c>
      <c r="CI21" s="53">
        <v>8959.2345999999998</v>
      </c>
      <c r="CJ21" s="53">
        <v>12855.878311999999</v>
      </c>
      <c r="CK21" s="53">
        <v>14227.763215999999</v>
      </c>
      <c r="CM21" s="53">
        <v>67500</v>
      </c>
      <c r="CN21" s="53">
        <v>90450</v>
      </c>
      <c r="CO21" s="53">
        <v>90900</v>
      </c>
      <c r="CQ21" s="53">
        <v>82472</v>
      </c>
      <c r="CR21" s="53">
        <v>134144.69</v>
      </c>
      <c r="CS21" s="53">
        <v>180138.62</v>
      </c>
      <c r="CU21" s="53">
        <v>54000</v>
      </c>
      <c r="CV21" s="53">
        <v>72900</v>
      </c>
      <c r="CW21" s="53">
        <v>73800</v>
      </c>
      <c r="CY21" s="53">
        <v>151234.47</v>
      </c>
      <c r="CZ21" s="53">
        <v>0</v>
      </c>
      <c r="DA21" s="53">
        <v>0</v>
      </c>
      <c r="DC21" s="53">
        <v>424128.92757016735</v>
      </c>
      <c r="DD21" s="53">
        <v>667554.00209605473</v>
      </c>
      <c r="DE21" s="53">
        <v>854545.76161289308</v>
      </c>
      <c r="DG21" s="53">
        <v>0</v>
      </c>
      <c r="DH21" s="53">
        <v>0</v>
      </c>
      <c r="DI21" s="53">
        <v>0</v>
      </c>
      <c r="DJ21" s="53">
        <v>0</v>
      </c>
      <c r="DL21" s="53">
        <v>0</v>
      </c>
      <c r="DM21" s="53">
        <v>0</v>
      </c>
      <c r="DN21" s="53">
        <v>-267899.01863999991</v>
      </c>
      <c r="DO21" s="53">
        <v>-329188.67473199987</v>
      </c>
      <c r="DQ21" s="53">
        <v>0</v>
      </c>
      <c r="DR21" s="53">
        <v>4191.6292634206648</v>
      </c>
      <c r="DS21" s="53">
        <v>12299.674612317867</v>
      </c>
      <c r="DT21" s="53">
        <v>20684.714004916867</v>
      </c>
      <c r="DV21" s="53">
        <v>1</v>
      </c>
      <c r="DW21" s="53">
        <v>1</v>
      </c>
      <c r="DX21" s="53">
        <v>1</v>
      </c>
      <c r="DY21" s="53">
        <v>1</v>
      </c>
      <c r="EA21" s="53">
        <v>1</v>
      </c>
      <c r="EB21" s="53">
        <v>1</v>
      </c>
      <c r="EC21" s="53">
        <v>1</v>
      </c>
      <c r="ED21" s="53">
        <v>1</v>
      </c>
      <c r="EF21" s="53">
        <v>0</v>
      </c>
      <c r="EG21" s="53">
        <v>8.48</v>
      </c>
      <c r="EH21" s="53">
        <v>16.950000000000003</v>
      </c>
      <c r="EI21" s="53">
        <v>25.42</v>
      </c>
      <c r="EK21" s="53">
        <v>0</v>
      </c>
      <c r="EL21" s="53">
        <v>1.29</v>
      </c>
      <c r="EM21" s="53">
        <v>2.5799999999999996</v>
      </c>
      <c r="EN21" s="53">
        <v>3.86</v>
      </c>
      <c r="EP21" s="53">
        <v>0</v>
      </c>
      <c r="EQ21" s="53">
        <v>1.29</v>
      </c>
      <c r="ER21" s="53">
        <v>2.5799999999999996</v>
      </c>
      <c r="ES21" s="53">
        <v>3.86</v>
      </c>
      <c r="EU21" s="53">
        <v>470333.33333333331</v>
      </c>
      <c r="EV21" s="53">
        <v>705500</v>
      </c>
      <c r="EW21" s="53">
        <v>235166.66666666666</v>
      </c>
      <c r="EX21" s="53">
        <v>0</v>
      </c>
      <c r="EZ21" s="53">
        <v>0</v>
      </c>
      <c r="FA21" s="53">
        <v>9</v>
      </c>
      <c r="FB21" s="53">
        <v>18</v>
      </c>
      <c r="FC21" s="53">
        <v>27</v>
      </c>
    </row>
    <row r="22" spans="1:159" x14ac:dyDescent="0.25">
      <c r="A22" s="114"/>
      <c r="B22" t="str">
        <v>JV1</v>
      </c>
      <c r="C22" t="str">
        <v>Remote</v>
      </c>
      <c r="D22" t="str">
        <v>New Jersey</v>
      </c>
      <c r="E22" s="53">
        <v>0</v>
      </c>
      <c r="F22" s="53">
        <v>206.50666666666666</v>
      </c>
      <c r="G22" s="53">
        <v>980.90666666666652</v>
      </c>
      <c r="H22" s="53">
        <v>1806.9333333333334</v>
      </c>
      <c r="J22" s="53">
        <v>0</v>
      </c>
      <c r="K22" s="53">
        <v>37383.486666666664</v>
      </c>
      <c r="L22" s="53">
        <v>177571.56166666662</v>
      </c>
      <c r="M22" s="53">
        <v>327105.50833333336</v>
      </c>
      <c r="O22" s="53">
        <v>0</v>
      </c>
      <c r="P22" s="53">
        <v>32897.468266666663</v>
      </c>
      <c r="Q22" s="53">
        <v>156262.97426666666</v>
      </c>
      <c r="R22" s="53">
        <v>287852.84733333334</v>
      </c>
      <c r="T22" s="53">
        <v>0</v>
      </c>
      <c r="U22" s="53">
        <v>-4486.0183999999999</v>
      </c>
      <c r="V22" s="53">
        <v>-21308.587399999997</v>
      </c>
      <c r="W22" s="53">
        <v>-39252.660999999993</v>
      </c>
      <c r="Y22" s="53">
        <v>0</v>
      </c>
      <c r="Z22" s="53">
        <v>31666.093333333331</v>
      </c>
      <c r="AA22" s="53">
        <v>150413.9433333333</v>
      </c>
      <c r="AB22" s="53">
        <v>277078.31666666665</v>
      </c>
      <c r="AD22" s="53">
        <v>0</v>
      </c>
      <c r="AE22" s="53">
        <v>0</v>
      </c>
      <c r="AF22" s="53">
        <v>0</v>
      </c>
      <c r="AG22" s="53">
        <v>0</v>
      </c>
      <c r="AI22" s="53">
        <v>0</v>
      </c>
      <c r="AJ22" s="53">
        <v>4220.7879999999986</v>
      </c>
      <c r="AK22" s="53">
        <v>20048.742999999995</v>
      </c>
      <c r="AL22" s="53">
        <v>36931.89499999999</v>
      </c>
      <c r="AN22" s="53">
        <v>0</v>
      </c>
      <c r="AO22" s="53">
        <v>649.35199999999998</v>
      </c>
      <c r="AP22" s="53">
        <v>3084.4219999999996</v>
      </c>
      <c r="AQ22" s="53">
        <v>5681.83</v>
      </c>
      <c r="AS22" s="53">
        <v>0</v>
      </c>
      <c r="AT22" s="53">
        <v>847.25333333333322</v>
      </c>
      <c r="AU22" s="53">
        <v>4024.4533333333329</v>
      </c>
      <c r="AV22" s="53">
        <v>7413.4666666666662</v>
      </c>
      <c r="AX22" s="53">
        <v>0</v>
      </c>
      <c r="AY22" s="53">
        <v>0</v>
      </c>
      <c r="AZ22" s="53">
        <v>0</v>
      </c>
      <c r="BA22" s="53">
        <v>0</v>
      </c>
      <c r="BC22" s="53">
        <v>0</v>
      </c>
      <c r="BD22" s="53">
        <v>0</v>
      </c>
      <c r="BE22" s="53">
        <v>0</v>
      </c>
      <c r="BF22" s="53">
        <v>0</v>
      </c>
      <c r="BH22" s="53">
        <v>0</v>
      </c>
      <c r="BI22" s="53">
        <v>0</v>
      </c>
      <c r="BJ22" s="53">
        <v>0</v>
      </c>
      <c r="BK22" s="53">
        <v>0</v>
      </c>
      <c r="BM22" s="53">
        <v>0</v>
      </c>
      <c r="BN22" s="53">
        <v>0</v>
      </c>
      <c r="BO22" s="53">
        <v>0</v>
      </c>
      <c r="BP22" s="53">
        <v>0</v>
      </c>
      <c r="BR22" s="53">
        <v>0</v>
      </c>
      <c r="BS22" s="53">
        <v>0</v>
      </c>
      <c r="BT22" s="53">
        <v>0</v>
      </c>
      <c r="BV22" s="53">
        <v>0</v>
      </c>
      <c r="BW22" s="53">
        <v>37566.221395379776</v>
      </c>
      <c r="BX22" s="53">
        <v>98393.420061387253</v>
      </c>
      <c r="BY22" s="53">
        <v>133278.004709573</v>
      </c>
      <c r="CA22" s="53">
        <v>0</v>
      </c>
      <c r="CB22" s="53">
        <v>0</v>
      </c>
      <c r="CC22" s="53">
        <v>0</v>
      </c>
      <c r="CE22" s="53">
        <v>0</v>
      </c>
      <c r="CF22" s="53">
        <v>0</v>
      </c>
      <c r="CG22" s="53">
        <v>0</v>
      </c>
      <c r="CI22" s="53">
        <v>6765.7551999999996</v>
      </c>
      <c r="CJ22" s="53">
        <v>9989.5971199999985</v>
      </c>
      <c r="CK22" s="53">
        <v>12091.024512</v>
      </c>
      <c r="CM22" s="53">
        <v>0</v>
      </c>
      <c r="CN22" s="53">
        <v>0</v>
      </c>
      <c r="CO22" s="53">
        <v>0</v>
      </c>
      <c r="CQ22" s="53">
        <v>36680</v>
      </c>
      <c r="CR22" s="53">
        <v>59364.799999999996</v>
      </c>
      <c r="CS22" s="53">
        <v>80983.5</v>
      </c>
      <c r="CU22" s="53">
        <v>0</v>
      </c>
      <c r="CV22" s="53">
        <v>0</v>
      </c>
      <c r="CW22" s="53">
        <v>0</v>
      </c>
      <c r="CY22" s="53">
        <v>0</v>
      </c>
      <c r="CZ22" s="53">
        <v>0</v>
      </c>
      <c r="DA22" s="53">
        <v>0</v>
      </c>
      <c r="DC22" s="53">
        <v>85115.887916585576</v>
      </c>
      <c r="DD22" s="53">
        <v>147921.35687699734</v>
      </c>
      <c r="DE22" s="53">
        <v>214790.95344302643</v>
      </c>
      <c r="DG22" s="53">
        <v>0</v>
      </c>
      <c r="DH22" s="53">
        <v>0</v>
      </c>
      <c r="DI22" s="53">
        <v>0</v>
      </c>
      <c r="DJ22" s="53">
        <v>0</v>
      </c>
      <c r="DL22" s="53">
        <v>0</v>
      </c>
      <c r="DM22" s="53">
        <v>0</v>
      </c>
      <c r="DN22" s="53">
        <v>0</v>
      </c>
      <c r="DO22" s="53">
        <v>-11102.895539999998</v>
      </c>
      <c r="DQ22" s="53">
        <v>0</v>
      </c>
      <c r="DR22" s="53">
        <v>457.93094373807389</v>
      </c>
      <c r="DS22" s="53">
        <v>2553.0795719175012</v>
      </c>
      <c r="DT22" s="53">
        <v>4943.2742966436972</v>
      </c>
      <c r="DV22" s="53">
        <v>0</v>
      </c>
      <c r="DW22" s="53">
        <v>0</v>
      </c>
      <c r="DX22" s="53">
        <v>0</v>
      </c>
      <c r="DY22" s="53">
        <v>0</v>
      </c>
      <c r="EA22" s="53">
        <v>0</v>
      </c>
      <c r="EB22" s="53">
        <v>0</v>
      </c>
      <c r="EC22" s="53">
        <v>0</v>
      </c>
      <c r="ED22" s="53">
        <v>0</v>
      </c>
      <c r="EF22" s="53">
        <v>0</v>
      </c>
      <c r="EG22" s="53">
        <v>1.36</v>
      </c>
      <c r="EH22" s="53">
        <v>3.61</v>
      </c>
      <c r="EI22" s="53">
        <v>5.87</v>
      </c>
      <c r="EK22" s="53">
        <v>0</v>
      </c>
      <c r="EL22" s="53">
        <v>0.28000000000000003</v>
      </c>
      <c r="EM22" s="53">
        <v>0.73</v>
      </c>
      <c r="EN22" s="53">
        <v>1.19</v>
      </c>
      <c r="EP22" s="53">
        <v>0</v>
      </c>
      <c r="EQ22" s="53">
        <v>0.28000000000000003</v>
      </c>
      <c r="ER22" s="53">
        <v>0.73</v>
      </c>
      <c r="ES22" s="53">
        <v>1.19</v>
      </c>
      <c r="EU22" s="53">
        <v>0</v>
      </c>
      <c r="EV22" s="53">
        <v>0</v>
      </c>
      <c r="EW22" s="53">
        <v>0</v>
      </c>
      <c r="EX22" s="53">
        <v>0</v>
      </c>
      <c r="EZ22" s="53">
        <v>0</v>
      </c>
      <c r="FA22" s="53">
        <v>3</v>
      </c>
      <c r="FB22" s="53">
        <v>8</v>
      </c>
      <c r="FC22" s="53">
        <v>13</v>
      </c>
    </row>
    <row r="23" spans="1:159" x14ac:dyDescent="0.25">
      <c r="A23" s="114"/>
      <c r="B23" t="str">
        <v>JV1</v>
      </c>
      <c r="C23" t="str">
        <v>Center</v>
      </c>
      <c r="D23" t="str">
        <v>New Jersey</v>
      </c>
      <c r="E23" s="53">
        <v>315.03999999999996</v>
      </c>
      <c r="F23" s="53">
        <v>2835.3599999999997</v>
      </c>
      <c r="G23" s="53">
        <v>5670.7199999999993</v>
      </c>
      <c r="H23" s="53">
        <v>8506.0799999999981</v>
      </c>
      <c r="J23" s="53">
        <v>55551.556000000004</v>
      </c>
      <c r="K23" s="53">
        <v>499964.00400000002</v>
      </c>
      <c r="L23" s="53">
        <v>999928.00799999991</v>
      </c>
      <c r="M23" s="53">
        <v>1499892.0119999996</v>
      </c>
      <c r="O23" s="53">
        <v>69023.521946666675</v>
      </c>
      <c r="P23" s="53">
        <v>484399.02151999995</v>
      </c>
      <c r="Q23" s="53">
        <v>900391.70503999991</v>
      </c>
      <c r="R23" s="53">
        <v>1316384.3885599999</v>
      </c>
      <c r="T23" s="53">
        <v>-9775.5657199999987</v>
      </c>
      <c r="U23" s="53">
        <v>-69323.817479999998</v>
      </c>
      <c r="V23" s="53">
        <v>-129319.49795999996</v>
      </c>
      <c r="W23" s="53">
        <v>-189315.17843999999</v>
      </c>
      <c r="Y23" s="53">
        <v>45433.96</v>
      </c>
      <c r="Z23" s="53">
        <v>408905.64</v>
      </c>
      <c r="AA23" s="53">
        <v>817811.27999999991</v>
      </c>
      <c r="AB23" s="53">
        <v>1226716.92</v>
      </c>
      <c r="AD23" s="53">
        <v>2663.9599999999996</v>
      </c>
      <c r="AE23" s="53">
        <v>23975.64</v>
      </c>
      <c r="AF23" s="53">
        <v>47951.28</v>
      </c>
      <c r="AG23" s="53">
        <v>71926.919999999984</v>
      </c>
      <c r="AI23" s="53">
        <v>6331.181999999998</v>
      </c>
      <c r="AJ23" s="53">
        <v>56980.637999999977</v>
      </c>
      <c r="AK23" s="53">
        <v>113961.27599999997</v>
      </c>
      <c r="AL23" s="53">
        <v>170941.91399999993</v>
      </c>
      <c r="AN23" s="53">
        <v>487.01399999999995</v>
      </c>
      <c r="AO23" s="53">
        <v>4383.1260000000002</v>
      </c>
      <c r="AP23" s="53">
        <v>8766.2520000000004</v>
      </c>
      <c r="AQ23" s="53">
        <v>13149.377999999999</v>
      </c>
      <c r="AS23" s="53">
        <v>635.43999999999994</v>
      </c>
      <c r="AT23" s="53">
        <v>5718.9599999999991</v>
      </c>
      <c r="AU23" s="53">
        <v>11437.919999999998</v>
      </c>
      <c r="AV23" s="53">
        <v>17156.879999999997</v>
      </c>
      <c r="AX23" s="53">
        <v>0</v>
      </c>
      <c r="AY23" s="53">
        <v>0</v>
      </c>
      <c r="AZ23" s="53">
        <v>0</v>
      </c>
      <c r="BA23" s="53">
        <v>0</v>
      </c>
      <c r="BC23" s="53">
        <v>3273.6976118246394</v>
      </c>
      <c r="BD23" s="53">
        <v>29463.278506421753</v>
      </c>
      <c r="BE23" s="53">
        <v>58926.557012843514</v>
      </c>
      <c r="BF23" s="53">
        <v>88389.835519265267</v>
      </c>
      <c r="BH23" s="53">
        <v>25911.491666666665</v>
      </c>
      <c r="BI23" s="53">
        <v>77734.474999999991</v>
      </c>
      <c r="BJ23" s="53">
        <v>77734.474999999991</v>
      </c>
      <c r="BK23" s="53">
        <v>77734.474999999991</v>
      </c>
      <c r="BM23" s="53">
        <v>2346.7496455603195</v>
      </c>
      <c r="BN23" s="53">
        <v>21120.746810042878</v>
      </c>
      <c r="BO23" s="53">
        <v>42241.493620085748</v>
      </c>
      <c r="BP23" s="53">
        <v>63362.240430128637</v>
      </c>
      <c r="BR23" s="53">
        <v>0</v>
      </c>
      <c r="BS23" s="53">
        <v>0</v>
      </c>
      <c r="BT23" s="53">
        <v>0</v>
      </c>
      <c r="BV23" s="53">
        <v>43612.98992400329</v>
      </c>
      <c r="BW23" s="53">
        <v>281610.79411602957</v>
      </c>
      <c r="BX23" s="53">
        <v>456998.7139653925</v>
      </c>
      <c r="BY23" s="53">
        <v>632088.4171480888</v>
      </c>
      <c r="CA23" s="53">
        <v>150000</v>
      </c>
      <c r="CB23" s="53">
        <v>181350</v>
      </c>
      <c r="CC23" s="53">
        <v>182700</v>
      </c>
      <c r="CE23" s="53">
        <v>87000</v>
      </c>
      <c r="CF23" s="53">
        <v>105444</v>
      </c>
      <c r="CG23" s="53">
        <v>106488</v>
      </c>
      <c r="CI23" s="53">
        <v>10172.2186</v>
      </c>
      <c r="CJ23" s="53">
        <v>13810.092391999999</v>
      </c>
      <c r="CK23" s="53">
        <v>14342.861920000001</v>
      </c>
      <c r="CM23" s="53">
        <v>75000</v>
      </c>
      <c r="CN23" s="53">
        <v>90450</v>
      </c>
      <c r="CO23" s="53">
        <v>90900</v>
      </c>
      <c r="CQ23" s="53">
        <v>98077.5</v>
      </c>
      <c r="CR23" s="53">
        <v>150128.90999999997</v>
      </c>
      <c r="CS23" s="53">
        <v>192787.55000000002</v>
      </c>
      <c r="CU23" s="53">
        <v>60000</v>
      </c>
      <c r="CV23" s="53">
        <v>72900</v>
      </c>
      <c r="CW23" s="53">
        <v>73800</v>
      </c>
      <c r="CY23" s="53">
        <v>151234.47</v>
      </c>
      <c r="CZ23" s="53">
        <v>0</v>
      </c>
      <c r="DA23" s="53">
        <v>0</v>
      </c>
      <c r="DC23" s="53">
        <v>527530.59404001688</v>
      </c>
      <c r="DD23" s="53">
        <v>772641.11398909078</v>
      </c>
      <c r="DE23" s="53">
        <v>932400.91656879371</v>
      </c>
      <c r="DG23" s="53">
        <v>0</v>
      </c>
      <c r="DH23" s="53">
        <v>0</v>
      </c>
      <c r="DI23" s="53">
        <v>0</v>
      </c>
      <c r="DJ23" s="53">
        <v>0</v>
      </c>
      <c r="DL23" s="53">
        <v>-48316.46536266667</v>
      </c>
      <c r="DM23" s="53">
        <v>-211169.78508133331</v>
      </c>
      <c r="DN23" s="53">
        <v>-288729.51201333327</v>
      </c>
      <c r="DO23" s="53">
        <v>-264478.70173999993</v>
      </c>
      <c r="DQ23" s="53">
        <v>583.92867841533769</v>
      </c>
      <c r="DR23" s="53">
        <v>6287.4438951309976</v>
      </c>
      <c r="DS23" s="53">
        <v>14759.609534781443</v>
      </c>
      <c r="DT23" s="53">
        <v>23270.303255531475</v>
      </c>
      <c r="DV23" s="53">
        <v>1</v>
      </c>
      <c r="DW23" s="53">
        <v>1</v>
      </c>
      <c r="DX23" s="53">
        <v>1</v>
      </c>
      <c r="DY23" s="53">
        <v>1</v>
      </c>
      <c r="EA23" s="53">
        <v>1</v>
      </c>
      <c r="EB23" s="53">
        <v>1</v>
      </c>
      <c r="EC23" s="53">
        <v>1</v>
      </c>
      <c r="ED23" s="53">
        <v>1</v>
      </c>
      <c r="EF23" s="53">
        <v>2.8299999999999996</v>
      </c>
      <c r="EG23" s="53">
        <v>11.299999999999999</v>
      </c>
      <c r="EH23" s="53">
        <v>19.770000000000003</v>
      </c>
      <c r="EI23" s="53">
        <v>28.240000000000002</v>
      </c>
      <c r="EK23" s="53">
        <v>0.43</v>
      </c>
      <c r="EL23" s="53">
        <v>1.72</v>
      </c>
      <c r="EM23" s="53">
        <v>3</v>
      </c>
      <c r="EN23" s="53">
        <v>4.29</v>
      </c>
      <c r="EP23" s="53">
        <v>0.43</v>
      </c>
      <c r="EQ23" s="53">
        <v>1.72</v>
      </c>
      <c r="ER23" s="53">
        <v>3</v>
      </c>
      <c r="ES23" s="53">
        <v>4.29</v>
      </c>
      <c r="EU23" s="53">
        <v>705500</v>
      </c>
      <c r="EV23" s="53">
        <v>705500</v>
      </c>
      <c r="EW23" s="53">
        <v>0</v>
      </c>
      <c r="EX23" s="53">
        <v>0</v>
      </c>
      <c r="EZ23" s="53">
        <v>3</v>
      </c>
      <c r="FA23" s="53">
        <v>12</v>
      </c>
      <c r="FB23" s="53">
        <v>21</v>
      </c>
      <c r="FC23" s="53">
        <v>30</v>
      </c>
    </row>
    <row r="24" spans="1:159" x14ac:dyDescent="0.25">
      <c r="A24" s="114"/>
      <c r="B24" t="str">
        <v>JV1</v>
      </c>
      <c r="C24" t="str">
        <v>Center</v>
      </c>
      <c r="D24" t="str">
        <v>New Jersey</v>
      </c>
      <c r="E24" s="53">
        <v>0</v>
      </c>
      <c r="F24" s="53">
        <v>0</v>
      </c>
      <c r="G24" s="53">
        <v>0</v>
      </c>
      <c r="H24" s="53">
        <v>945.11999999999989</v>
      </c>
      <c r="J24" s="53">
        <v>0</v>
      </c>
      <c r="K24" s="53">
        <v>0</v>
      </c>
      <c r="L24" s="53">
        <v>0</v>
      </c>
      <c r="M24" s="53">
        <v>166654.66800000001</v>
      </c>
      <c r="O24" s="53">
        <v>0</v>
      </c>
      <c r="P24" s="53">
        <v>0</v>
      </c>
      <c r="Q24" s="53">
        <v>0</v>
      </c>
      <c r="R24" s="53">
        <v>184268.45317333337</v>
      </c>
      <c r="T24" s="53">
        <v>0</v>
      </c>
      <c r="U24" s="53">
        <v>0</v>
      </c>
      <c r="V24" s="53">
        <v>0</v>
      </c>
      <c r="W24" s="53">
        <v>-26217.318159999999</v>
      </c>
      <c r="Y24" s="53">
        <v>0</v>
      </c>
      <c r="Z24" s="53">
        <v>0</v>
      </c>
      <c r="AA24" s="53">
        <v>0</v>
      </c>
      <c r="AB24" s="53">
        <v>136301.88</v>
      </c>
      <c r="AD24" s="53">
        <v>0</v>
      </c>
      <c r="AE24" s="53">
        <v>0</v>
      </c>
      <c r="AF24" s="53">
        <v>0</v>
      </c>
      <c r="AG24" s="53">
        <v>7991.8799999999992</v>
      </c>
      <c r="AI24" s="53">
        <v>0</v>
      </c>
      <c r="AJ24" s="53">
        <v>0</v>
      </c>
      <c r="AK24" s="53">
        <v>0</v>
      </c>
      <c r="AL24" s="53">
        <v>18993.545999999995</v>
      </c>
      <c r="AN24" s="53">
        <v>0</v>
      </c>
      <c r="AO24" s="53">
        <v>0</v>
      </c>
      <c r="AP24" s="53">
        <v>0</v>
      </c>
      <c r="AQ24" s="53">
        <v>1461.0419999999999</v>
      </c>
      <c r="AS24" s="53">
        <v>0</v>
      </c>
      <c r="AT24" s="53">
        <v>0</v>
      </c>
      <c r="AU24" s="53">
        <v>0</v>
      </c>
      <c r="AV24" s="53">
        <v>1906.3199999999997</v>
      </c>
      <c r="AX24" s="53">
        <v>0</v>
      </c>
      <c r="AY24" s="53">
        <v>0</v>
      </c>
      <c r="AZ24" s="53">
        <v>0</v>
      </c>
      <c r="BA24" s="53">
        <v>0</v>
      </c>
      <c r="BC24" s="53">
        <v>0</v>
      </c>
      <c r="BD24" s="53">
        <v>0</v>
      </c>
      <c r="BE24" s="53">
        <v>0</v>
      </c>
      <c r="BF24" s="53">
        <v>9821.092835473919</v>
      </c>
      <c r="BH24" s="53">
        <v>0</v>
      </c>
      <c r="BI24" s="53">
        <v>0</v>
      </c>
      <c r="BJ24" s="53">
        <v>0</v>
      </c>
      <c r="BK24" s="53">
        <v>51822.98333333333</v>
      </c>
      <c r="BM24" s="53">
        <v>0</v>
      </c>
      <c r="BN24" s="53">
        <v>0</v>
      </c>
      <c r="BO24" s="53">
        <v>0</v>
      </c>
      <c r="BP24" s="53">
        <v>7040.2489366809586</v>
      </c>
      <c r="BR24" s="53">
        <v>0</v>
      </c>
      <c r="BS24" s="53">
        <v>0</v>
      </c>
      <c r="BT24" s="53">
        <v>0</v>
      </c>
      <c r="BV24" s="53">
        <v>0</v>
      </c>
      <c r="BW24" s="53">
        <v>0</v>
      </c>
      <c r="BX24" s="53">
        <v>0</v>
      </c>
      <c r="BY24" s="53">
        <v>118034.8743053432</v>
      </c>
      <c r="CA24" s="53">
        <v>30000</v>
      </c>
      <c r="CB24" s="53">
        <v>76350</v>
      </c>
      <c r="CC24" s="53">
        <v>122700</v>
      </c>
      <c r="CE24" s="53">
        <v>17400</v>
      </c>
      <c r="CF24" s="53">
        <v>44544</v>
      </c>
      <c r="CG24" s="53">
        <v>71688</v>
      </c>
      <c r="CI24" s="53">
        <v>1327.5436</v>
      </c>
      <c r="CJ24" s="53">
        <v>4523.3521120000005</v>
      </c>
      <c r="CK24" s="53">
        <v>8031.0322880000003</v>
      </c>
      <c r="CM24" s="53">
        <v>15000</v>
      </c>
      <c r="CN24" s="53">
        <v>37950</v>
      </c>
      <c r="CO24" s="53">
        <v>60900</v>
      </c>
      <c r="CQ24" s="53">
        <v>8933.4999999999982</v>
      </c>
      <c r="CR24" s="53">
        <v>33263.56</v>
      </c>
      <c r="CS24" s="53">
        <v>69321.070000000007</v>
      </c>
      <c r="CU24" s="53">
        <v>12000</v>
      </c>
      <c r="CV24" s="53">
        <v>30900</v>
      </c>
      <c r="CW24" s="53">
        <v>49800</v>
      </c>
      <c r="CY24" s="53">
        <v>151234.47</v>
      </c>
      <c r="CZ24" s="53">
        <v>151234.47</v>
      </c>
      <c r="DA24" s="53">
        <v>151234.47</v>
      </c>
      <c r="DC24" s="53">
        <v>29037.903843918793</v>
      </c>
      <c r="DD24" s="53">
        <v>123848.46068032866</v>
      </c>
      <c r="DE24" s="53">
        <v>266338.66157478886</v>
      </c>
      <c r="DG24" s="53">
        <v>0</v>
      </c>
      <c r="DH24" s="53">
        <v>0</v>
      </c>
      <c r="DI24" s="53">
        <v>0</v>
      </c>
      <c r="DJ24" s="53">
        <v>0</v>
      </c>
      <c r="DL24" s="53">
        <v>0</v>
      </c>
      <c r="DM24" s="53">
        <v>0</v>
      </c>
      <c r="DN24" s="53">
        <v>0</v>
      </c>
      <c r="DO24" s="53">
        <v>0</v>
      </c>
      <c r="DQ24" s="53">
        <v>0</v>
      </c>
      <c r="DR24" s="53">
        <v>0</v>
      </c>
      <c r="DS24" s="53">
        <v>0</v>
      </c>
      <c r="DT24" s="53">
        <v>2585.5892506146083</v>
      </c>
      <c r="DV24" s="53">
        <v>0</v>
      </c>
      <c r="DW24" s="53">
        <v>0</v>
      </c>
      <c r="DX24" s="53">
        <v>1</v>
      </c>
      <c r="DY24" s="53">
        <v>1</v>
      </c>
      <c r="EA24" s="53">
        <v>0</v>
      </c>
      <c r="EB24" s="53">
        <v>0</v>
      </c>
      <c r="EC24" s="53">
        <v>1</v>
      </c>
      <c r="ED24" s="53">
        <v>1</v>
      </c>
      <c r="EF24" s="53">
        <v>0</v>
      </c>
      <c r="EG24" s="53">
        <v>0</v>
      </c>
      <c r="EH24" s="53">
        <v>0</v>
      </c>
      <c r="EI24" s="53">
        <v>5.6499999999999995</v>
      </c>
      <c r="EK24" s="53">
        <v>0</v>
      </c>
      <c r="EL24" s="53">
        <v>0</v>
      </c>
      <c r="EM24" s="53">
        <v>0</v>
      </c>
      <c r="EN24" s="53">
        <v>0.86</v>
      </c>
      <c r="EP24" s="53">
        <v>0</v>
      </c>
      <c r="EQ24" s="53">
        <v>0</v>
      </c>
      <c r="ER24" s="53">
        <v>0</v>
      </c>
      <c r="ES24" s="53">
        <v>0.86</v>
      </c>
      <c r="EU24" s="53">
        <v>0</v>
      </c>
      <c r="EV24" s="53">
        <v>0</v>
      </c>
      <c r="EW24" s="53">
        <v>235166.66666666666</v>
      </c>
      <c r="EX24" s="53">
        <v>705500</v>
      </c>
      <c r="EZ24" s="53">
        <v>0</v>
      </c>
      <c r="FA24" s="53">
        <v>0</v>
      </c>
      <c r="FB24" s="53">
        <v>0</v>
      </c>
      <c r="FC24" s="53">
        <v>6</v>
      </c>
    </row>
    <row r="25" spans="1:159" x14ac:dyDescent="0.25">
      <c r="A25" s="114"/>
      <c r="B25" t="str">
        <v>JV1</v>
      </c>
      <c r="C25" t="str">
        <v>Remote</v>
      </c>
      <c r="D25" t="str">
        <v>New Jersey</v>
      </c>
      <c r="E25" s="53">
        <v>0</v>
      </c>
      <c r="F25" s="53">
        <v>0</v>
      </c>
      <c r="G25" s="53">
        <v>0</v>
      </c>
      <c r="H25" s="53">
        <v>206.50666666666666</v>
      </c>
      <c r="J25" s="53">
        <v>0</v>
      </c>
      <c r="K25" s="53">
        <v>0</v>
      </c>
      <c r="L25" s="53">
        <v>0</v>
      </c>
      <c r="M25" s="53">
        <v>37383.486666666664</v>
      </c>
      <c r="O25" s="53">
        <v>0</v>
      </c>
      <c r="P25" s="53">
        <v>0</v>
      </c>
      <c r="Q25" s="53">
        <v>0</v>
      </c>
      <c r="R25" s="53">
        <v>32897.468266666663</v>
      </c>
      <c r="T25" s="53">
        <v>0</v>
      </c>
      <c r="U25" s="53">
        <v>0</v>
      </c>
      <c r="V25" s="53">
        <v>0</v>
      </c>
      <c r="W25" s="53">
        <v>-4486.0183999999999</v>
      </c>
      <c r="Y25" s="53">
        <v>0</v>
      </c>
      <c r="Z25" s="53">
        <v>0</v>
      </c>
      <c r="AA25" s="53">
        <v>0</v>
      </c>
      <c r="AB25" s="53">
        <v>31666.093333333331</v>
      </c>
      <c r="AD25" s="53">
        <v>0</v>
      </c>
      <c r="AE25" s="53">
        <v>0</v>
      </c>
      <c r="AF25" s="53">
        <v>0</v>
      </c>
      <c r="AG25" s="53">
        <v>0</v>
      </c>
      <c r="AI25" s="53">
        <v>0</v>
      </c>
      <c r="AJ25" s="53">
        <v>0</v>
      </c>
      <c r="AK25" s="53">
        <v>0</v>
      </c>
      <c r="AL25" s="53">
        <v>4220.7879999999986</v>
      </c>
      <c r="AN25" s="53">
        <v>0</v>
      </c>
      <c r="AO25" s="53">
        <v>0</v>
      </c>
      <c r="AP25" s="53">
        <v>0</v>
      </c>
      <c r="AQ25" s="53">
        <v>649.35199999999998</v>
      </c>
      <c r="AS25" s="53">
        <v>0</v>
      </c>
      <c r="AT25" s="53">
        <v>0</v>
      </c>
      <c r="AU25" s="53">
        <v>0</v>
      </c>
      <c r="AV25" s="53">
        <v>847.25333333333322</v>
      </c>
      <c r="AX25" s="53">
        <v>0</v>
      </c>
      <c r="AY25" s="53">
        <v>0</v>
      </c>
      <c r="AZ25" s="53">
        <v>0</v>
      </c>
      <c r="BA25" s="53">
        <v>0</v>
      </c>
      <c r="BC25" s="53">
        <v>0</v>
      </c>
      <c r="BD25" s="53">
        <v>0</v>
      </c>
      <c r="BE25" s="53">
        <v>0</v>
      </c>
      <c r="BF25" s="53">
        <v>0</v>
      </c>
      <c r="BH25" s="53">
        <v>0</v>
      </c>
      <c r="BI25" s="53">
        <v>0</v>
      </c>
      <c r="BJ25" s="53">
        <v>0</v>
      </c>
      <c r="BK25" s="53">
        <v>0</v>
      </c>
      <c r="BM25" s="53">
        <v>0</v>
      </c>
      <c r="BN25" s="53">
        <v>0</v>
      </c>
      <c r="BO25" s="53">
        <v>0</v>
      </c>
      <c r="BP25" s="53">
        <v>0</v>
      </c>
      <c r="BR25" s="53">
        <v>0</v>
      </c>
      <c r="BS25" s="53">
        <v>0</v>
      </c>
      <c r="BT25" s="53">
        <v>0</v>
      </c>
      <c r="BV25" s="53">
        <v>0</v>
      </c>
      <c r="BW25" s="53">
        <v>0</v>
      </c>
      <c r="BX25" s="53">
        <v>0</v>
      </c>
      <c r="BY25" s="53">
        <v>37566.221395379776</v>
      </c>
      <c r="CA25" s="53">
        <v>0</v>
      </c>
      <c r="CB25" s="53">
        <v>0</v>
      </c>
      <c r="CC25" s="53">
        <v>0</v>
      </c>
      <c r="CE25" s="53">
        <v>0</v>
      </c>
      <c r="CF25" s="53">
        <v>0</v>
      </c>
      <c r="CG25" s="53">
        <v>0</v>
      </c>
      <c r="CI25" s="53">
        <v>1199.5064</v>
      </c>
      <c r="CJ25" s="53">
        <v>3985.3263200000001</v>
      </c>
      <c r="CK25" s="53">
        <v>6988.4051520000003</v>
      </c>
      <c r="CM25" s="53">
        <v>0</v>
      </c>
      <c r="CN25" s="53">
        <v>0</v>
      </c>
      <c r="CO25" s="53">
        <v>0</v>
      </c>
      <c r="CQ25" s="53">
        <v>5600</v>
      </c>
      <c r="CR25" s="53">
        <v>19079.3</v>
      </c>
      <c r="CS25" s="53">
        <v>37301.599999999999</v>
      </c>
      <c r="CU25" s="53">
        <v>0</v>
      </c>
      <c r="CV25" s="53">
        <v>0</v>
      </c>
      <c r="CW25" s="53">
        <v>0</v>
      </c>
      <c r="CY25" s="53">
        <v>0</v>
      </c>
      <c r="CZ25" s="53">
        <v>0</v>
      </c>
      <c r="DA25" s="53">
        <v>0</v>
      </c>
      <c r="DC25" s="53">
        <v>5146.4155693951234</v>
      </c>
      <c r="DD25" s="53">
        <v>28914.456295228745</v>
      </c>
      <c r="DE25" s="53">
        <v>68391.251316590191</v>
      </c>
      <c r="DG25" s="53">
        <v>0</v>
      </c>
      <c r="DH25" s="53">
        <v>0</v>
      </c>
      <c r="DI25" s="53">
        <v>0</v>
      </c>
      <c r="DJ25" s="53">
        <v>0</v>
      </c>
      <c r="DL25" s="53">
        <v>0</v>
      </c>
      <c r="DM25" s="53">
        <v>0</v>
      </c>
      <c r="DN25" s="53">
        <v>0</v>
      </c>
      <c r="DO25" s="53">
        <v>0</v>
      </c>
      <c r="DQ25" s="53">
        <v>0</v>
      </c>
      <c r="DR25" s="53">
        <v>0</v>
      </c>
      <c r="DS25" s="53">
        <v>0</v>
      </c>
      <c r="DT25" s="53">
        <v>564.94563390213682</v>
      </c>
      <c r="DV25" s="53">
        <v>0</v>
      </c>
      <c r="DW25" s="53">
        <v>0</v>
      </c>
      <c r="DX25" s="53">
        <v>0</v>
      </c>
      <c r="DY25" s="53">
        <v>0</v>
      </c>
      <c r="EA25" s="53">
        <v>0</v>
      </c>
      <c r="EB25" s="53">
        <v>0</v>
      </c>
      <c r="EC25" s="53">
        <v>0</v>
      </c>
      <c r="ED25" s="53">
        <v>0</v>
      </c>
      <c r="EF25" s="53">
        <v>0</v>
      </c>
      <c r="EG25" s="53">
        <v>0</v>
      </c>
      <c r="EH25" s="53">
        <v>0</v>
      </c>
      <c r="EI25" s="53">
        <v>1.36</v>
      </c>
      <c r="EK25" s="53">
        <v>0</v>
      </c>
      <c r="EL25" s="53">
        <v>0</v>
      </c>
      <c r="EM25" s="53">
        <v>0</v>
      </c>
      <c r="EN25" s="53">
        <v>0.28000000000000003</v>
      </c>
      <c r="EP25" s="53">
        <v>0</v>
      </c>
      <c r="EQ25" s="53">
        <v>0</v>
      </c>
      <c r="ER25" s="53">
        <v>0</v>
      </c>
      <c r="ES25" s="53">
        <v>0.28000000000000003</v>
      </c>
      <c r="EU25" s="53">
        <v>0</v>
      </c>
      <c r="EV25" s="53">
        <v>0</v>
      </c>
      <c r="EW25" s="53">
        <v>0</v>
      </c>
      <c r="EX25" s="53">
        <v>0</v>
      </c>
      <c r="EZ25" s="53">
        <v>0</v>
      </c>
      <c r="FA25" s="53">
        <v>0</v>
      </c>
      <c r="FB25" s="53">
        <v>0</v>
      </c>
      <c r="FC25" s="53">
        <v>3</v>
      </c>
    </row>
    <row r="26" spans="1:159" x14ac:dyDescent="0.25">
      <c r="A26" s="114"/>
      <c r="B26" t="str">
        <v>JV1</v>
      </c>
      <c r="C26" t="str">
        <v>Center</v>
      </c>
      <c r="D26" t="str">
        <v>New Jersey</v>
      </c>
      <c r="E26" s="53">
        <v>0</v>
      </c>
      <c r="F26" s="53">
        <v>0</v>
      </c>
      <c r="G26" s="53">
        <v>315.03999999999996</v>
      </c>
      <c r="H26" s="53">
        <v>2835.3599999999997</v>
      </c>
      <c r="J26" s="53">
        <v>0</v>
      </c>
      <c r="K26" s="53">
        <v>0</v>
      </c>
      <c r="L26" s="53">
        <v>55551.556000000004</v>
      </c>
      <c r="M26" s="53">
        <v>499964.00400000002</v>
      </c>
      <c r="O26" s="53">
        <v>0</v>
      </c>
      <c r="P26" s="53">
        <v>0</v>
      </c>
      <c r="Q26" s="53">
        <v>69023.521946666675</v>
      </c>
      <c r="R26" s="53">
        <v>484399.02151999995</v>
      </c>
      <c r="T26" s="53">
        <v>0</v>
      </c>
      <c r="U26" s="53">
        <v>0</v>
      </c>
      <c r="V26" s="53">
        <v>-9775.5657199999987</v>
      </c>
      <c r="W26" s="53">
        <v>-69323.817479999998</v>
      </c>
      <c r="Y26" s="53">
        <v>0</v>
      </c>
      <c r="Z26" s="53">
        <v>0</v>
      </c>
      <c r="AA26" s="53">
        <v>45433.96</v>
      </c>
      <c r="AB26" s="53">
        <v>408905.64</v>
      </c>
      <c r="AD26" s="53">
        <v>0</v>
      </c>
      <c r="AE26" s="53">
        <v>0</v>
      </c>
      <c r="AF26" s="53">
        <v>2663.9599999999996</v>
      </c>
      <c r="AG26" s="53">
        <v>23975.64</v>
      </c>
      <c r="AI26" s="53">
        <v>0</v>
      </c>
      <c r="AJ26" s="53">
        <v>0</v>
      </c>
      <c r="AK26" s="53">
        <v>6331.181999999998</v>
      </c>
      <c r="AL26" s="53">
        <v>56980.637999999977</v>
      </c>
      <c r="AN26" s="53">
        <v>0</v>
      </c>
      <c r="AO26" s="53">
        <v>0</v>
      </c>
      <c r="AP26" s="53">
        <v>487.01399999999995</v>
      </c>
      <c r="AQ26" s="53">
        <v>4383.1260000000002</v>
      </c>
      <c r="AS26" s="53">
        <v>0</v>
      </c>
      <c r="AT26" s="53">
        <v>0</v>
      </c>
      <c r="AU26" s="53">
        <v>635.43999999999994</v>
      </c>
      <c r="AV26" s="53">
        <v>5718.9599999999991</v>
      </c>
      <c r="AX26" s="53">
        <v>0</v>
      </c>
      <c r="AY26" s="53">
        <v>0</v>
      </c>
      <c r="AZ26" s="53">
        <v>0</v>
      </c>
      <c r="BA26" s="53">
        <v>0</v>
      </c>
      <c r="BC26" s="53">
        <v>0</v>
      </c>
      <c r="BD26" s="53">
        <v>0</v>
      </c>
      <c r="BE26" s="53">
        <v>2398.3132687359994</v>
      </c>
      <c r="BF26" s="53">
        <v>21584.819418623996</v>
      </c>
      <c r="BH26" s="53">
        <v>0</v>
      </c>
      <c r="BI26" s="53">
        <v>0</v>
      </c>
      <c r="BJ26" s="53">
        <v>25911.491666666665</v>
      </c>
      <c r="BK26" s="53">
        <v>77734.474999999991</v>
      </c>
      <c r="BM26" s="53">
        <v>0</v>
      </c>
      <c r="BN26" s="53">
        <v>0</v>
      </c>
      <c r="BO26" s="53">
        <v>1719.2305095679999</v>
      </c>
      <c r="BP26" s="53">
        <v>15473.074586111999</v>
      </c>
      <c r="BR26" s="53">
        <v>0</v>
      </c>
      <c r="BS26" s="53">
        <v>0</v>
      </c>
      <c r="BT26" s="53">
        <v>0</v>
      </c>
      <c r="BV26" s="53">
        <v>0</v>
      </c>
      <c r="BW26" s="53">
        <v>0</v>
      </c>
      <c r="BX26" s="53">
        <v>44337.989634003286</v>
      </c>
      <c r="BY26" s="53">
        <v>288135.79150602955</v>
      </c>
      <c r="CA26" s="53">
        <v>60000</v>
      </c>
      <c r="CB26" s="53">
        <v>106350</v>
      </c>
      <c r="CC26" s="53">
        <v>152700</v>
      </c>
      <c r="CE26" s="53">
        <v>34800</v>
      </c>
      <c r="CF26" s="53">
        <v>61944</v>
      </c>
      <c r="CG26" s="53">
        <v>89088</v>
      </c>
      <c r="CI26" s="53">
        <v>3345.8141999999998</v>
      </c>
      <c r="CJ26" s="53">
        <v>6748.3690960000004</v>
      </c>
      <c r="CK26" s="53">
        <v>10445.274776</v>
      </c>
      <c r="CM26" s="53">
        <v>30000</v>
      </c>
      <c r="CN26" s="53">
        <v>52950</v>
      </c>
      <c r="CO26" s="53">
        <v>75900</v>
      </c>
      <c r="CQ26" s="53">
        <v>23561.499999999996</v>
      </c>
      <c r="CR26" s="53">
        <v>55709.86</v>
      </c>
      <c r="CS26" s="53">
        <v>99567.82</v>
      </c>
      <c r="CU26" s="53">
        <v>24000</v>
      </c>
      <c r="CV26" s="53">
        <v>42900</v>
      </c>
      <c r="CW26" s="53">
        <v>61800</v>
      </c>
      <c r="CY26" s="53">
        <v>151234.47</v>
      </c>
      <c r="CZ26" s="53">
        <v>151234.47</v>
      </c>
      <c r="DA26" s="53">
        <v>151234.47</v>
      </c>
      <c r="DC26" s="53">
        <v>91284.617597961624</v>
      </c>
      <c r="DD26" s="53">
        <v>228556.46520279365</v>
      </c>
      <c r="DE26" s="53">
        <v>409164.12944161944</v>
      </c>
      <c r="DG26" s="53">
        <v>0</v>
      </c>
      <c r="DH26" s="53">
        <v>0</v>
      </c>
      <c r="DI26" s="53">
        <v>0</v>
      </c>
      <c r="DJ26" s="53">
        <v>0</v>
      </c>
      <c r="DL26" s="53">
        <v>0</v>
      </c>
      <c r="DM26" s="53">
        <v>0</v>
      </c>
      <c r="DN26" s="53">
        <v>0</v>
      </c>
      <c r="DO26" s="53">
        <v>-81965.853478666671</v>
      </c>
      <c r="DQ26" s="53">
        <v>0</v>
      </c>
      <c r="DR26" s="53">
        <v>0</v>
      </c>
      <c r="DS26" s="53">
        <v>819.97830748785793</v>
      </c>
      <c r="DT26" s="53">
        <v>7756.7677518438259</v>
      </c>
      <c r="DV26" s="53">
        <v>0</v>
      </c>
      <c r="DW26" s="53">
        <v>1</v>
      </c>
      <c r="DX26" s="53">
        <v>1</v>
      </c>
      <c r="DY26" s="53">
        <v>1</v>
      </c>
      <c r="EA26" s="53">
        <v>0</v>
      </c>
      <c r="EB26" s="53">
        <v>0</v>
      </c>
      <c r="EC26" s="53">
        <v>1</v>
      </c>
      <c r="ED26" s="53">
        <v>1</v>
      </c>
      <c r="EF26" s="53">
        <v>0</v>
      </c>
      <c r="EG26" s="53">
        <v>0</v>
      </c>
      <c r="EH26" s="53">
        <v>2.8299999999999996</v>
      </c>
      <c r="EI26" s="53">
        <v>11.299999999999999</v>
      </c>
      <c r="EK26" s="53">
        <v>0</v>
      </c>
      <c r="EL26" s="53">
        <v>0</v>
      </c>
      <c r="EM26" s="53">
        <v>0.43</v>
      </c>
      <c r="EN26" s="53">
        <v>1.72</v>
      </c>
      <c r="EP26" s="53">
        <v>0</v>
      </c>
      <c r="EQ26" s="53">
        <v>0</v>
      </c>
      <c r="ER26" s="53">
        <v>0.43</v>
      </c>
      <c r="ES26" s="53">
        <v>1.72</v>
      </c>
      <c r="EU26" s="53">
        <v>0</v>
      </c>
      <c r="EV26" s="53">
        <v>0</v>
      </c>
      <c r="EW26" s="53">
        <v>705500</v>
      </c>
      <c r="EX26" s="53">
        <v>705500</v>
      </c>
      <c r="EZ26" s="53">
        <v>0</v>
      </c>
      <c r="FA26" s="53">
        <v>0</v>
      </c>
      <c r="FB26" s="53">
        <v>3</v>
      </c>
      <c r="FC26" s="53">
        <v>12</v>
      </c>
    </row>
    <row r="27" spans="1:159" x14ac:dyDescent="0.25">
      <c r="A27" s="114"/>
      <c r="B27" t="str">
        <v>JV1</v>
      </c>
      <c r="C27" t="str">
        <v>Remote</v>
      </c>
      <c r="D27" t="str">
        <v>New Jersey</v>
      </c>
      <c r="E27" s="53">
        <v>0</v>
      </c>
      <c r="F27" s="53">
        <v>0</v>
      </c>
      <c r="G27" s="53">
        <v>0</v>
      </c>
      <c r="H27" s="53">
        <v>464.64</v>
      </c>
      <c r="J27" s="53">
        <v>0</v>
      </c>
      <c r="K27" s="53">
        <v>0</v>
      </c>
      <c r="L27" s="53">
        <v>0</v>
      </c>
      <c r="M27" s="53">
        <v>84112.845000000001</v>
      </c>
      <c r="O27" s="53">
        <v>0</v>
      </c>
      <c r="P27" s="53">
        <v>0</v>
      </c>
      <c r="Q27" s="53">
        <v>0</v>
      </c>
      <c r="R27" s="53">
        <v>74019.303599999985</v>
      </c>
      <c r="T27" s="53">
        <v>0</v>
      </c>
      <c r="U27" s="53">
        <v>0</v>
      </c>
      <c r="V27" s="53">
        <v>0</v>
      </c>
      <c r="W27" s="53">
        <v>-10093.541399999998</v>
      </c>
      <c r="Y27" s="53">
        <v>0</v>
      </c>
      <c r="Z27" s="53">
        <v>0</v>
      </c>
      <c r="AA27" s="53">
        <v>0</v>
      </c>
      <c r="AB27" s="53">
        <v>71248.709999999992</v>
      </c>
      <c r="AD27" s="53">
        <v>0</v>
      </c>
      <c r="AE27" s="53">
        <v>0</v>
      </c>
      <c r="AF27" s="53">
        <v>0</v>
      </c>
      <c r="AG27" s="53">
        <v>0</v>
      </c>
      <c r="AI27" s="53">
        <v>0</v>
      </c>
      <c r="AJ27" s="53">
        <v>0</v>
      </c>
      <c r="AK27" s="53">
        <v>0</v>
      </c>
      <c r="AL27" s="53">
        <v>9496.7729999999974</v>
      </c>
      <c r="AN27" s="53">
        <v>0</v>
      </c>
      <c r="AO27" s="53">
        <v>0</v>
      </c>
      <c r="AP27" s="53">
        <v>0</v>
      </c>
      <c r="AQ27" s="53">
        <v>1461.0419999999999</v>
      </c>
      <c r="AS27" s="53">
        <v>0</v>
      </c>
      <c r="AT27" s="53">
        <v>0</v>
      </c>
      <c r="AU27" s="53">
        <v>0</v>
      </c>
      <c r="AV27" s="53">
        <v>1906.3199999999997</v>
      </c>
      <c r="AX27" s="53">
        <v>0</v>
      </c>
      <c r="AY27" s="53">
        <v>0</v>
      </c>
      <c r="AZ27" s="53">
        <v>0</v>
      </c>
      <c r="BA27" s="53">
        <v>0</v>
      </c>
      <c r="BC27" s="53">
        <v>0</v>
      </c>
      <c r="BD27" s="53">
        <v>0</v>
      </c>
      <c r="BE27" s="53">
        <v>0</v>
      </c>
      <c r="BF27" s="53">
        <v>0</v>
      </c>
      <c r="BH27" s="53">
        <v>0</v>
      </c>
      <c r="BI27" s="53">
        <v>0</v>
      </c>
      <c r="BJ27" s="53">
        <v>0</v>
      </c>
      <c r="BK27" s="53">
        <v>0</v>
      </c>
      <c r="BM27" s="53">
        <v>0</v>
      </c>
      <c r="BN27" s="53">
        <v>0</v>
      </c>
      <c r="BO27" s="53">
        <v>0</v>
      </c>
      <c r="BP27" s="53">
        <v>0</v>
      </c>
      <c r="BR27" s="53">
        <v>0</v>
      </c>
      <c r="BS27" s="53">
        <v>0</v>
      </c>
      <c r="BT27" s="53">
        <v>0</v>
      </c>
      <c r="BV27" s="53">
        <v>0</v>
      </c>
      <c r="BW27" s="53">
        <v>0</v>
      </c>
      <c r="BX27" s="53">
        <v>0</v>
      </c>
      <c r="BY27" s="53">
        <v>67490.445039604499</v>
      </c>
      <c r="CA27" s="53">
        <v>0</v>
      </c>
      <c r="CB27" s="53">
        <v>0</v>
      </c>
      <c r="CC27" s="53">
        <v>0</v>
      </c>
      <c r="CE27" s="53">
        <v>0</v>
      </c>
      <c r="CF27" s="53">
        <v>0</v>
      </c>
      <c r="CG27" s="53">
        <v>0</v>
      </c>
      <c r="CI27" s="53">
        <v>2065.4422</v>
      </c>
      <c r="CJ27" s="53">
        <v>4924.8498159999999</v>
      </c>
      <c r="CK27" s="53">
        <v>8001.5163439999997</v>
      </c>
      <c r="CM27" s="53">
        <v>0</v>
      </c>
      <c r="CN27" s="53">
        <v>0</v>
      </c>
      <c r="CO27" s="53">
        <v>0</v>
      </c>
      <c r="CQ27" s="53">
        <v>9605</v>
      </c>
      <c r="CR27" s="53">
        <v>24568.400000000001</v>
      </c>
      <c r="CS27" s="53">
        <v>44285</v>
      </c>
      <c r="CU27" s="53">
        <v>0</v>
      </c>
      <c r="CV27" s="53">
        <v>0</v>
      </c>
      <c r="CW27" s="53">
        <v>0</v>
      </c>
      <c r="CY27" s="53">
        <v>0</v>
      </c>
      <c r="CZ27" s="53">
        <v>0</v>
      </c>
      <c r="DA27" s="53">
        <v>0</v>
      </c>
      <c r="DC27" s="53">
        <v>11803.925362521128</v>
      </c>
      <c r="DD27" s="53">
        <v>41816.782012084623</v>
      </c>
      <c r="DE27" s="53">
        <v>86947.525161353347</v>
      </c>
      <c r="DG27" s="53">
        <v>0</v>
      </c>
      <c r="DH27" s="53">
        <v>0</v>
      </c>
      <c r="DI27" s="53">
        <v>0</v>
      </c>
      <c r="DJ27" s="53">
        <v>0</v>
      </c>
      <c r="DL27" s="53">
        <v>0</v>
      </c>
      <c r="DM27" s="53">
        <v>0</v>
      </c>
      <c r="DN27" s="53">
        <v>0</v>
      </c>
      <c r="DO27" s="53">
        <v>0</v>
      </c>
      <c r="DQ27" s="53">
        <v>0</v>
      </c>
      <c r="DR27" s="53">
        <v>0</v>
      </c>
      <c r="DS27" s="53">
        <v>0</v>
      </c>
      <c r="DT27" s="53">
        <v>1271.1276762798077</v>
      </c>
      <c r="DV27" s="53">
        <v>0</v>
      </c>
      <c r="DW27" s="53">
        <v>0</v>
      </c>
      <c r="DX27" s="53">
        <v>0</v>
      </c>
      <c r="DY27" s="53">
        <v>0</v>
      </c>
      <c r="EA27" s="53">
        <v>0</v>
      </c>
      <c r="EB27" s="53">
        <v>0</v>
      </c>
      <c r="EC27" s="53">
        <v>0</v>
      </c>
      <c r="ED27" s="53">
        <v>0</v>
      </c>
      <c r="EF27" s="53">
        <v>0</v>
      </c>
      <c r="EG27" s="53">
        <v>0</v>
      </c>
      <c r="EH27" s="53">
        <v>0</v>
      </c>
      <c r="EI27" s="53">
        <v>2.2599999999999998</v>
      </c>
      <c r="EK27" s="53">
        <v>0</v>
      </c>
      <c r="EL27" s="53">
        <v>0</v>
      </c>
      <c r="EM27" s="53">
        <v>0</v>
      </c>
      <c r="EN27" s="53">
        <v>0.46</v>
      </c>
      <c r="EP27" s="53">
        <v>0</v>
      </c>
      <c r="EQ27" s="53">
        <v>0</v>
      </c>
      <c r="ER27" s="53">
        <v>0</v>
      </c>
      <c r="ES27" s="53">
        <v>0.46</v>
      </c>
      <c r="EU27" s="53">
        <v>0</v>
      </c>
      <c r="EV27" s="53">
        <v>0</v>
      </c>
      <c r="EW27" s="53">
        <v>0</v>
      </c>
      <c r="EX27" s="53">
        <v>0</v>
      </c>
      <c r="EZ27" s="53">
        <v>0</v>
      </c>
      <c r="FA27" s="53">
        <v>0</v>
      </c>
      <c r="FB27" s="53">
        <v>0</v>
      </c>
      <c r="FC27" s="53">
        <v>5</v>
      </c>
    </row>
    <row r="28" spans="1:159" x14ac:dyDescent="0.25">
      <c r="A28" s="114"/>
      <c r="B28" t="str">
        <v>JV1</v>
      </c>
      <c r="C28" t="str">
        <v>Center</v>
      </c>
      <c r="D28" t="str">
        <v>New Jersey</v>
      </c>
      <c r="E28" s="53">
        <v>0</v>
      </c>
      <c r="F28" s="53">
        <v>0</v>
      </c>
      <c r="G28" s="53">
        <v>1890.2399999999998</v>
      </c>
      <c r="H28" s="53">
        <v>4725.5999999999995</v>
      </c>
      <c r="J28" s="53">
        <v>0</v>
      </c>
      <c r="K28" s="53">
        <v>0</v>
      </c>
      <c r="L28" s="53">
        <v>333309.33600000001</v>
      </c>
      <c r="M28" s="53">
        <v>833273.33999999985</v>
      </c>
      <c r="O28" s="53">
        <v>0</v>
      </c>
      <c r="P28" s="53">
        <v>0</v>
      </c>
      <c r="Q28" s="53">
        <v>345734.79368</v>
      </c>
      <c r="R28" s="53">
        <v>761727.47719999985</v>
      </c>
      <c r="T28" s="53">
        <v>0</v>
      </c>
      <c r="U28" s="53">
        <v>0</v>
      </c>
      <c r="V28" s="53">
        <v>-49325.257319999997</v>
      </c>
      <c r="W28" s="53">
        <v>-109320.93779999997</v>
      </c>
      <c r="Y28" s="53">
        <v>0</v>
      </c>
      <c r="Z28" s="53">
        <v>0</v>
      </c>
      <c r="AA28" s="53">
        <v>272603.76</v>
      </c>
      <c r="AB28" s="53">
        <v>681509.39999999991</v>
      </c>
      <c r="AD28" s="53">
        <v>0</v>
      </c>
      <c r="AE28" s="53">
        <v>0</v>
      </c>
      <c r="AF28" s="53">
        <v>15983.759999999998</v>
      </c>
      <c r="AG28" s="53">
        <v>39959.399999999994</v>
      </c>
      <c r="AI28" s="53">
        <v>0</v>
      </c>
      <c r="AJ28" s="53">
        <v>0</v>
      </c>
      <c r="AK28" s="53">
        <v>37987.09199999999</v>
      </c>
      <c r="AL28" s="53">
        <v>94967.729999999967</v>
      </c>
      <c r="AN28" s="53">
        <v>0</v>
      </c>
      <c r="AO28" s="53">
        <v>0</v>
      </c>
      <c r="AP28" s="53">
        <v>2922.0839999999998</v>
      </c>
      <c r="AQ28" s="53">
        <v>7305.2099999999991</v>
      </c>
      <c r="AS28" s="53">
        <v>0</v>
      </c>
      <c r="AT28" s="53">
        <v>0</v>
      </c>
      <c r="AU28" s="53">
        <v>3812.6399999999994</v>
      </c>
      <c r="AV28" s="53">
        <v>9531.5999999999985</v>
      </c>
      <c r="AX28" s="53">
        <v>0</v>
      </c>
      <c r="AY28" s="53">
        <v>0</v>
      </c>
      <c r="AZ28" s="53">
        <v>0</v>
      </c>
      <c r="BA28" s="53">
        <v>0</v>
      </c>
      <c r="BC28" s="53">
        <v>0</v>
      </c>
      <c r="BD28" s="53">
        <v>0</v>
      </c>
      <c r="BE28" s="53">
        <v>14389.879612415996</v>
      </c>
      <c r="BF28" s="53">
        <v>35974.699031039992</v>
      </c>
      <c r="BH28" s="53">
        <v>0</v>
      </c>
      <c r="BI28" s="53">
        <v>0</v>
      </c>
      <c r="BJ28" s="53">
        <v>77734.474999999991</v>
      </c>
      <c r="BK28" s="53">
        <v>77734.474999999991</v>
      </c>
      <c r="BM28" s="53">
        <v>0</v>
      </c>
      <c r="BN28" s="53">
        <v>0</v>
      </c>
      <c r="BO28" s="53">
        <v>10315.383057407998</v>
      </c>
      <c r="BP28" s="53">
        <v>25788.45764352</v>
      </c>
      <c r="BR28" s="53">
        <v>0</v>
      </c>
      <c r="BS28" s="53">
        <v>0</v>
      </c>
      <c r="BT28" s="53">
        <v>0</v>
      </c>
      <c r="BV28" s="53">
        <v>0</v>
      </c>
      <c r="BW28" s="53">
        <v>0</v>
      </c>
      <c r="BX28" s="53">
        <v>216268.54687068638</v>
      </c>
      <c r="BY28" s="53">
        <v>409428.14744338265</v>
      </c>
      <c r="CA28" s="53">
        <v>90000</v>
      </c>
      <c r="CB28" s="53">
        <v>136350</v>
      </c>
      <c r="CC28" s="53">
        <v>182700</v>
      </c>
      <c r="CE28" s="53">
        <v>52200</v>
      </c>
      <c r="CF28" s="53">
        <v>79344</v>
      </c>
      <c r="CG28" s="53">
        <v>106488</v>
      </c>
      <c r="CI28" s="53">
        <v>5495.4913999999999</v>
      </c>
      <c r="CJ28" s="53">
        <v>9097.7843279999997</v>
      </c>
      <c r="CK28" s="53">
        <v>12994.428039999999</v>
      </c>
      <c r="CM28" s="53">
        <v>45000</v>
      </c>
      <c r="CN28" s="53">
        <v>67950</v>
      </c>
      <c r="CO28" s="53">
        <v>90900</v>
      </c>
      <c r="CQ28" s="53">
        <v>43299.499999999993</v>
      </c>
      <c r="CR28" s="53">
        <v>83255.45</v>
      </c>
      <c r="CS28" s="53">
        <v>134928.13999999998</v>
      </c>
      <c r="CU28" s="53">
        <v>36000</v>
      </c>
      <c r="CV28" s="53">
        <v>54900</v>
      </c>
      <c r="CW28" s="53">
        <v>73800</v>
      </c>
      <c r="CY28" s="53">
        <v>151234.47</v>
      </c>
      <c r="CZ28" s="53">
        <v>151234.47</v>
      </c>
      <c r="DA28" s="53">
        <v>0</v>
      </c>
      <c r="DC28" s="53">
        <v>191102.43379948733</v>
      </c>
      <c r="DD28" s="53">
        <v>370835.57217274152</v>
      </c>
      <c r="DE28" s="53">
        <v>589560.69975593302</v>
      </c>
      <c r="DG28" s="53">
        <v>0</v>
      </c>
      <c r="DH28" s="53">
        <v>0</v>
      </c>
      <c r="DI28" s="53">
        <v>0</v>
      </c>
      <c r="DJ28" s="53">
        <v>0</v>
      </c>
      <c r="DL28" s="53">
        <v>0</v>
      </c>
      <c r="DM28" s="53">
        <v>0</v>
      </c>
      <c r="DN28" s="53">
        <v>0</v>
      </c>
      <c r="DO28" s="53">
        <v>-267899.01863999991</v>
      </c>
      <c r="DQ28" s="53">
        <v>0</v>
      </c>
      <c r="DR28" s="53">
        <v>0</v>
      </c>
      <c r="DS28" s="53">
        <v>4919.8698449271469</v>
      </c>
      <c r="DT28" s="53">
        <v>12927.946253073042</v>
      </c>
      <c r="DV28" s="53">
        <v>0</v>
      </c>
      <c r="DW28" s="53">
        <v>1</v>
      </c>
      <c r="DX28" s="53">
        <v>1</v>
      </c>
      <c r="DY28" s="53">
        <v>1</v>
      </c>
      <c r="EA28" s="53">
        <v>0</v>
      </c>
      <c r="EB28" s="53">
        <v>1</v>
      </c>
      <c r="EC28" s="53">
        <v>1</v>
      </c>
      <c r="ED28" s="53">
        <v>1</v>
      </c>
      <c r="EF28" s="53">
        <v>0</v>
      </c>
      <c r="EG28" s="53">
        <v>0</v>
      </c>
      <c r="EH28" s="53">
        <v>8.48</v>
      </c>
      <c r="EI28" s="53">
        <v>16.950000000000003</v>
      </c>
      <c r="EK28" s="53">
        <v>0</v>
      </c>
      <c r="EL28" s="53">
        <v>0</v>
      </c>
      <c r="EM28" s="53">
        <v>1.29</v>
      </c>
      <c r="EN28" s="53">
        <v>2.5799999999999996</v>
      </c>
      <c r="EP28" s="53">
        <v>0</v>
      </c>
      <c r="EQ28" s="53">
        <v>0</v>
      </c>
      <c r="ER28" s="53">
        <v>1.29</v>
      </c>
      <c r="ES28" s="53">
        <v>2.5799999999999996</v>
      </c>
      <c r="EU28" s="53">
        <v>0</v>
      </c>
      <c r="EV28" s="53">
        <v>470333.33333333331</v>
      </c>
      <c r="EW28" s="53">
        <v>705500</v>
      </c>
      <c r="EX28" s="53">
        <v>235166.66666666666</v>
      </c>
      <c r="EZ28" s="53">
        <v>0</v>
      </c>
      <c r="FA28" s="53">
        <v>0</v>
      </c>
      <c r="FB28" s="53">
        <v>9</v>
      </c>
      <c r="FC28" s="53">
        <v>18</v>
      </c>
    </row>
    <row r="29" spans="1:159" x14ac:dyDescent="0.25">
      <c r="A29" s="114"/>
      <c r="B29" t="str">
        <v>JV1</v>
      </c>
      <c r="C29" t="str">
        <v>Remote</v>
      </c>
      <c r="D29" t="str">
        <v>New Jersey</v>
      </c>
      <c r="E29" s="53">
        <v>0</v>
      </c>
      <c r="F29" s="53">
        <v>0</v>
      </c>
      <c r="G29" s="53">
        <v>0</v>
      </c>
      <c r="H29" s="53">
        <v>0</v>
      </c>
      <c r="J29" s="53">
        <v>0</v>
      </c>
      <c r="K29" s="53">
        <v>0</v>
      </c>
      <c r="L29" s="53">
        <v>0</v>
      </c>
      <c r="M29" s="53">
        <v>0</v>
      </c>
      <c r="O29" s="53">
        <v>0</v>
      </c>
      <c r="P29" s="53">
        <v>0</v>
      </c>
      <c r="Q29" s="53">
        <v>0</v>
      </c>
      <c r="R29" s="53">
        <v>0</v>
      </c>
      <c r="T29" s="53">
        <v>0</v>
      </c>
      <c r="U29" s="53">
        <v>0</v>
      </c>
      <c r="V29" s="53">
        <v>0</v>
      </c>
      <c r="W29" s="53">
        <v>0</v>
      </c>
      <c r="Y29" s="53">
        <v>0</v>
      </c>
      <c r="Z29" s="53">
        <v>0</v>
      </c>
      <c r="AA29" s="53">
        <v>0</v>
      </c>
      <c r="AB29" s="53">
        <v>0</v>
      </c>
      <c r="AD29" s="53">
        <v>0</v>
      </c>
      <c r="AE29" s="53">
        <v>0</v>
      </c>
      <c r="AF29" s="53">
        <v>0</v>
      </c>
      <c r="AG29" s="53">
        <v>0</v>
      </c>
      <c r="AI29" s="53">
        <v>0</v>
      </c>
      <c r="AJ29" s="53">
        <v>0</v>
      </c>
      <c r="AK29" s="53">
        <v>0</v>
      </c>
      <c r="AL29" s="53">
        <v>0</v>
      </c>
      <c r="AN29" s="53">
        <v>0</v>
      </c>
      <c r="AO29" s="53">
        <v>0</v>
      </c>
      <c r="AP29" s="53">
        <v>0</v>
      </c>
      <c r="AQ29" s="53">
        <v>0</v>
      </c>
      <c r="AS29" s="53">
        <v>0</v>
      </c>
      <c r="AT29" s="53">
        <v>0</v>
      </c>
      <c r="AU29" s="53">
        <v>0</v>
      </c>
      <c r="AV29" s="53">
        <v>0</v>
      </c>
      <c r="AX29" s="53">
        <v>0</v>
      </c>
      <c r="AY29" s="53">
        <v>0</v>
      </c>
      <c r="AZ29" s="53">
        <v>0</v>
      </c>
      <c r="BA29" s="53">
        <v>0</v>
      </c>
      <c r="BC29" s="53">
        <v>0</v>
      </c>
      <c r="BD29" s="53">
        <v>0</v>
      </c>
      <c r="BE29" s="53">
        <v>0</v>
      </c>
      <c r="BF29" s="53">
        <v>0</v>
      </c>
      <c r="BH29" s="53">
        <v>0</v>
      </c>
      <c r="BI29" s="53">
        <v>0</v>
      </c>
      <c r="BJ29" s="53">
        <v>0</v>
      </c>
      <c r="BK29" s="53">
        <v>0</v>
      </c>
      <c r="BM29" s="53">
        <v>0</v>
      </c>
      <c r="BN29" s="53">
        <v>0</v>
      </c>
      <c r="BO29" s="53">
        <v>0</v>
      </c>
      <c r="BP29" s="53">
        <v>0</v>
      </c>
      <c r="BR29" s="53">
        <v>0</v>
      </c>
      <c r="BS29" s="53">
        <v>0</v>
      </c>
      <c r="BT29" s="53">
        <v>0</v>
      </c>
      <c r="BV29" s="53">
        <v>0</v>
      </c>
      <c r="BW29" s="53">
        <v>0</v>
      </c>
      <c r="BX29" s="53">
        <v>0</v>
      </c>
      <c r="BY29" s="53">
        <v>0</v>
      </c>
      <c r="CA29" s="53">
        <v>0</v>
      </c>
      <c r="CB29" s="53">
        <v>0</v>
      </c>
      <c r="CC29" s="53">
        <v>0</v>
      </c>
      <c r="CE29" s="53">
        <v>0</v>
      </c>
      <c r="CF29" s="53">
        <v>0</v>
      </c>
      <c r="CG29" s="53">
        <v>0</v>
      </c>
      <c r="CI29" s="53">
        <v>0</v>
      </c>
      <c r="CJ29" s="53">
        <v>1247.486656</v>
      </c>
      <c r="CK29" s="53">
        <v>4033.3065759999999</v>
      </c>
      <c r="CM29" s="53">
        <v>0</v>
      </c>
      <c r="CN29" s="53">
        <v>0</v>
      </c>
      <c r="CO29" s="53">
        <v>0</v>
      </c>
      <c r="CQ29" s="53">
        <v>0</v>
      </c>
      <c r="CR29" s="53">
        <v>5711.9999999999991</v>
      </c>
      <c r="CS29" s="53">
        <v>19191.3</v>
      </c>
      <c r="CU29" s="53">
        <v>0</v>
      </c>
      <c r="CV29" s="53">
        <v>0</v>
      </c>
      <c r="CW29" s="53">
        <v>0</v>
      </c>
      <c r="CY29" s="53">
        <v>0</v>
      </c>
      <c r="CZ29" s="53">
        <v>0</v>
      </c>
      <c r="DA29" s="53">
        <v>0</v>
      </c>
      <c r="DC29" s="53">
        <v>0</v>
      </c>
      <c r="DD29" s="53">
        <v>4879.756765879014</v>
      </c>
      <c r="DE29" s="53">
        <v>26272.105678113312</v>
      </c>
      <c r="DG29" s="53">
        <v>0</v>
      </c>
      <c r="DH29" s="53">
        <v>0</v>
      </c>
      <c r="DI29" s="53">
        <v>0</v>
      </c>
      <c r="DJ29" s="53">
        <v>0</v>
      </c>
      <c r="DL29" s="53">
        <v>0</v>
      </c>
      <c r="DM29" s="53">
        <v>0</v>
      </c>
      <c r="DN29" s="53">
        <v>0</v>
      </c>
      <c r="DO29" s="53">
        <v>0</v>
      </c>
      <c r="DQ29" s="53">
        <v>0</v>
      </c>
      <c r="DR29" s="53">
        <v>0</v>
      </c>
      <c r="DS29" s="53">
        <v>0</v>
      </c>
      <c r="DT29" s="53">
        <v>0</v>
      </c>
      <c r="DV29" s="53">
        <v>0</v>
      </c>
      <c r="DW29" s="53">
        <v>0</v>
      </c>
      <c r="DX29" s="53">
        <v>0</v>
      </c>
      <c r="DY29" s="53">
        <v>0</v>
      </c>
      <c r="EA29" s="53">
        <v>0</v>
      </c>
      <c r="EB29" s="53">
        <v>0</v>
      </c>
      <c r="EC29" s="53">
        <v>0</v>
      </c>
      <c r="ED29" s="53">
        <v>0</v>
      </c>
      <c r="EF29" s="53">
        <v>0</v>
      </c>
      <c r="EG29" s="53">
        <v>0</v>
      </c>
      <c r="EH29" s="53">
        <v>0</v>
      </c>
      <c r="EI29" s="53">
        <v>0</v>
      </c>
      <c r="EK29" s="53">
        <v>0</v>
      </c>
      <c r="EL29" s="53">
        <v>0</v>
      </c>
      <c r="EM29" s="53">
        <v>0</v>
      </c>
      <c r="EN29" s="53">
        <v>0</v>
      </c>
      <c r="EP29" s="53">
        <v>0</v>
      </c>
      <c r="EQ29" s="53">
        <v>0</v>
      </c>
      <c r="ER29" s="53">
        <v>0</v>
      </c>
      <c r="ES29" s="53">
        <v>0</v>
      </c>
      <c r="EU29" s="53">
        <v>0</v>
      </c>
      <c r="EV29" s="53">
        <v>0</v>
      </c>
      <c r="EW29" s="53">
        <v>0</v>
      </c>
      <c r="EX29" s="53">
        <v>0</v>
      </c>
      <c r="EZ29" s="53">
        <v>0</v>
      </c>
      <c r="FA29" s="53">
        <v>0</v>
      </c>
      <c r="FB29" s="53">
        <v>0</v>
      </c>
      <c r="FC29" s="53">
        <v>0</v>
      </c>
    </row>
    <row r="30" spans="1:159" x14ac:dyDescent="0.25">
      <c r="A30" s="114"/>
      <c r="B30" t="str">
        <v>JV1</v>
      </c>
      <c r="C30" t="str">
        <v>Center</v>
      </c>
      <c r="D30" t="str">
        <v>New Jersey</v>
      </c>
      <c r="E30" s="53">
        <v>0</v>
      </c>
      <c r="F30" s="53">
        <v>0</v>
      </c>
      <c r="G30" s="53">
        <v>0</v>
      </c>
      <c r="H30" s="53">
        <v>0</v>
      </c>
      <c r="J30" s="53">
        <v>0</v>
      </c>
      <c r="K30" s="53">
        <v>0</v>
      </c>
      <c r="L30" s="53">
        <v>0</v>
      </c>
      <c r="M30" s="53">
        <v>0</v>
      </c>
      <c r="O30" s="53">
        <v>0</v>
      </c>
      <c r="P30" s="53">
        <v>0</v>
      </c>
      <c r="Q30" s="53">
        <v>0</v>
      </c>
      <c r="R30" s="53">
        <v>0</v>
      </c>
      <c r="T30" s="53">
        <v>0</v>
      </c>
      <c r="U30" s="53">
        <v>0</v>
      </c>
      <c r="V30" s="53">
        <v>0</v>
      </c>
      <c r="W30" s="53">
        <v>0</v>
      </c>
      <c r="Y30" s="53">
        <v>0</v>
      </c>
      <c r="Z30" s="53">
        <v>0</v>
      </c>
      <c r="AA30" s="53">
        <v>0</v>
      </c>
      <c r="AB30" s="53">
        <v>0</v>
      </c>
      <c r="AD30" s="53">
        <v>0</v>
      </c>
      <c r="AE30" s="53">
        <v>0</v>
      </c>
      <c r="AF30" s="53">
        <v>0</v>
      </c>
      <c r="AG30" s="53">
        <v>0</v>
      </c>
      <c r="AI30" s="53">
        <v>0</v>
      </c>
      <c r="AJ30" s="53">
        <v>0</v>
      </c>
      <c r="AK30" s="53">
        <v>0</v>
      </c>
      <c r="AL30" s="53">
        <v>0</v>
      </c>
      <c r="AN30" s="53">
        <v>0</v>
      </c>
      <c r="AO30" s="53">
        <v>0</v>
      </c>
      <c r="AP30" s="53">
        <v>0</v>
      </c>
      <c r="AQ30" s="53">
        <v>0</v>
      </c>
      <c r="AS30" s="53">
        <v>0</v>
      </c>
      <c r="AT30" s="53">
        <v>0</v>
      </c>
      <c r="AU30" s="53">
        <v>0</v>
      </c>
      <c r="AV30" s="53">
        <v>0</v>
      </c>
      <c r="AX30" s="53">
        <v>0</v>
      </c>
      <c r="AY30" s="53">
        <v>0</v>
      </c>
      <c r="AZ30" s="53">
        <v>0</v>
      </c>
      <c r="BA30" s="53">
        <v>0</v>
      </c>
      <c r="BC30" s="53">
        <v>0</v>
      </c>
      <c r="BD30" s="53">
        <v>0</v>
      </c>
      <c r="BE30" s="53">
        <v>0</v>
      </c>
      <c r="BF30" s="53">
        <v>0</v>
      </c>
      <c r="BH30" s="53">
        <v>0</v>
      </c>
      <c r="BI30" s="53">
        <v>0</v>
      </c>
      <c r="BJ30" s="53">
        <v>0</v>
      </c>
      <c r="BK30" s="53">
        <v>0</v>
      </c>
      <c r="BM30" s="53">
        <v>0</v>
      </c>
      <c r="BN30" s="53">
        <v>0</v>
      </c>
      <c r="BO30" s="53">
        <v>0</v>
      </c>
      <c r="BP30" s="53">
        <v>0</v>
      </c>
      <c r="BR30" s="53">
        <v>0</v>
      </c>
      <c r="BS30" s="53">
        <v>0</v>
      </c>
      <c r="BT30" s="53">
        <v>0</v>
      </c>
      <c r="BV30" s="53">
        <v>0</v>
      </c>
      <c r="BW30" s="53">
        <v>0</v>
      </c>
      <c r="BX30" s="53">
        <v>0</v>
      </c>
      <c r="BY30" s="53">
        <v>0</v>
      </c>
      <c r="CA30" s="53">
        <v>0</v>
      </c>
      <c r="CB30" s="53">
        <v>15450</v>
      </c>
      <c r="CC30" s="53">
        <v>61800</v>
      </c>
      <c r="CE30" s="53">
        <v>0</v>
      </c>
      <c r="CF30" s="53">
        <v>9048</v>
      </c>
      <c r="CG30" s="53">
        <v>36192</v>
      </c>
      <c r="CI30" s="53">
        <v>0</v>
      </c>
      <c r="CJ30" s="53">
        <v>378.451008</v>
      </c>
      <c r="CK30" s="53">
        <v>3479.6467679999996</v>
      </c>
      <c r="CM30" s="53">
        <v>0</v>
      </c>
      <c r="CN30" s="53">
        <v>7650</v>
      </c>
      <c r="CO30" s="53">
        <v>30600</v>
      </c>
      <c r="CQ30" s="53">
        <v>0</v>
      </c>
      <c r="CR30" s="53">
        <v>3604.6799999999994</v>
      </c>
      <c r="CS30" s="53">
        <v>24032.73</v>
      </c>
      <c r="CU30" s="53">
        <v>0</v>
      </c>
      <c r="CV30" s="53">
        <v>6300</v>
      </c>
      <c r="CW30" s="53">
        <v>25200</v>
      </c>
      <c r="CY30" s="53">
        <v>0</v>
      </c>
      <c r="CZ30" s="53">
        <v>151234.47</v>
      </c>
      <c r="DA30" s="53">
        <v>151234.47</v>
      </c>
      <c r="DC30" s="53">
        <v>0</v>
      </c>
      <c r="DD30" s="53">
        <v>10123.93928910785</v>
      </c>
      <c r="DE30" s="53">
        <v>76379.213494836702</v>
      </c>
      <c r="DG30" s="53">
        <v>0</v>
      </c>
      <c r="DH30" s="53">
        <v>0</v>
      </c>
      <c r="DI30" s="53">
        <v>0</v>
      </c>
      <c r="DJ30" s="53">
        <v>0</v>
      </c>
      <c r="DL30" s="53">
        <v>0</v>
      </c>
      <c r="DM30" s="53">
        <v>0</v>
      </c>
      <c r="DN30" s="53">
        <v>0</v>
      </c>
      <c r="DO30" s="53">
        <v>0</v>
      </c>
      <c r="DQ30" s="53">
        <v>0</v>
      </c>
      <c r="DR30" s="53">
        <v>0</v>
      </c>
      <c r="DS30" s="53">
        <v>0</v>
      </c>
      <c r="DT30" s="53">
        <v>0</v>
      </c>
      <c r="DV30" s="53">
        <v>0</v>
      </c>
      <c r="DW30" s="53">
        <v>0</v>
      </c>
      <c r="DX30" s="53">
        <v>0</v>
      </c>
      <c r="DY30" s="53">
        <v>1</v>
      </c>
      <c r="EA30" s="53">
        <v>0</v>
      </c>
      <c r="EB30" s="53">
        <v>0</v>
      </c>
      <c r="EC30" s="53">
        <v>0</v>
      </c>
      <c r="ED30" s="53">
        <v>0</v>
      </c>
      <c r="EF30" s="53">
        <v>0</v>
      </c>
      <c r="EG30" s="53">
        <v>0</v>
      </c>
      <c r="EH30" s="53">
        <v>0</v>
      </c>
      <c r="EI30" s="53">
        <v>0</v>
      </c>
      <c r="EK30" s="53">
        <v>0</v>
      </c>
      <c r="EL30" s="53">
        <v>0</v>
      </c>
      <c r="EM30" s="53">
        <v>0</v>
      </c>
      <c r="EN30" s="53">
        <v>0</v>
      </c>
      <c r="EP30" s="53">
        <v>0</v>
      </c>
      <c r="EQ30" s="53">
        <v>0</v>
      </c>
      <c r="ER30" s="53">
        <v>0</v>
      </c>
      <c r="ES30" s="53">
        <v>0</v>
      </c>
      <c r="EU30" s="53">
        <v>0</v>
      </c>
      <c r="EV30" s="53">
        <v>0</v>
      </c>
      <c r="EW30" s="53">
        <v>0</v>
      </c>
      <c r="EX30" s="53">
        <v>0</v>
      </c>
      <c r="EZ30" s="53">
        <v>0</v>
      </c>
      <c r="FA30" s="53">
        <v>0</v>
      </c>
      <c r="FB30" s="53">
        <v>0</v>
      </c>
      <c r="FC30" s="53">
        <v>0</v>
      </c>
    </row>
    <row r="31" spans="1:159" x14ac:dyDescent="0.25">
      <c r="A31" s="114"/>
      <c r="B31" t="str">
        <v>JV1</v>
      </c>
      <c r="C31" t="str">
        <v>Remote</v>
      </c>
      <c r="D31" t="str">
        <v>New Jersey</v>
      </c>
      <c r="E31" s="53">
        <v>0</v>
      </c>
      <c r="F31" s="53">
        <v>0</v>
      </c>
      <c r="G31" s="53">
        <v>0</v>
      </c>
      <c r="H31" s="53">
        <v>0</v>
      </c>
      <c r="J31" s="53">
        <v>0</v>
      </c>
      <c r="K31" s="53">
        <v>0</v>
      </c>
      <c r="L31" s="53">
        <v>0</v>
      </c>
      <c r="M31" s="53">
        <v>0</v>
      </c>
      <c r="O31" s="53">
        <v>0</v>
      </c>
      <c r="P31" s="53">
        <v>0</v>
      </c>
      <c r="Q31" s="53">
        <v>0</v>
      </c>
      <c r="R31" s="53">
        <v>0</v>
      </c>
      <c r="T31" s="53">
        <v>0</v>
      </c>
      <c r="U31" s="53">
        <v>0</v>
      </c>
      <c r="V31" s="53">
        <v>0</v>
      </c>
      <c r="W31" s="53">
        <v>0</v>
      </c>
      <c r="Y31" s="53">
        <v>0</v>
      </c>
      <c r="Z31" s="53">
        <v>0</v>
      </c>
      <c r="AA31" s="53">
        <v>0</v>
      </c>
      <c r="AB31" s="53">
        <v>0</v>
      </c>
      <c r="AD31" s="53">
        <v>0</v>
      </c>
      <c r="AE31" s="53">
        <v>0</v>
      </c>
      <c r="AF31" s="53">
        <v>0</v>
      </c>
      <c r="AG31" s="53">
        <v>0</v>
      </c>
      <c r="AI31" s="53">
        <v>0</v>
      </c>
      <c r="AJ31" s="53">
        <v>0</v>
      </c>
      <c r="AK31" s="53">
        <v>0</v>
      </c>
      <c r="AL31" s="53">
        <v>0</v>
      </c>
      <c r="AN31" s="53">
        <v>0</v>
      </c>
      <c r="AO31" s="53">
        <v>0</v>
      </c>
      <c r="AP31" s="53">
        <v>0</v>
      </c>
      <c r="AQ31" s="53">
        <v>0</v>
      </c>
      <c r="AS31" s="53">
        <v>0</v>
      </c>
      <c r="AT31" s="53">
        <v>0</v>
      </c>
      <c r="AU31" s="53">
        <v>0</v>
      </c>
      <c r="AV31" s="53">
        <v>0</v>
      </c>
      <c r="AX31" s="53">
        <v>0</v>
      </c>
      <c r="AY31" s="53">
        <v>0</v>
      </c>
      <c r="AZ31" s="53">
        <v>0</v>
      </c>
      <c r="BA31" s="53">
        <v>0</v>
      </c>
      <c r="BC31" s="53">
        <v>0</v>
      </c>
      <c r="BD31" s="53">
        <v>0</v>
      </c>
      <c r="BE31" s="53">
        <v>0</v>
      </c>
      <c r="BF31" s="53">
        <v>0</v>
      </c>
      <c r="BH31" s="53">
        <v>0</v>
      </c>
      <c r="BI31" s="53">
        <v>0</v>
      </c>
      <c r="BJ31" s="53">
        <v>0</v>
      </c>
      <c r="BK31" s="53">
        <v>0</v>
      </c>
      <c r="BM31" s="53">
        <v>0</v>
      </c>
      <c r="BN31" s="53">
        <v>0</v>
      </c>
      <c r="BO31" s="53">
        <v>0</v>
      </c>
      <c r="BP31" s="53">
        <v>0</v>
      </c>
      <c r="BR31" s="53">
        <v>0</v>
      </c>
      <c r="BS31" s="53">
        <v>0</v>
      </c>
      <c r="BT31" s="53">
        <v>0</v>
      </c>
      <c r="BV31" s="53">
        <v>0</v>
      </c>
      <c r="BW31" s="53">
        <v>0</v>
      </c>
      <c r="BX31" s="53">
        <v>0</v>
      </c>
      <c r="BY31" s="53">
        <v>0</v>
      </c>
      <c r="CA31" s="53">
        <v>0</v>
      </c>
      <c r="CB31" s="53">
        <v>0</v>
      </c>
      <c r="CC31" s="53">
        <v>0</v>
      </c>
      <c r="CE31" s="53">
        <v>0</v>
      </c>
      <c r="CF31" s="53">
        <v>0</v>
      </c>
      <c r="CG31" s="53">
        <v>0</v>
      </c>
      <c r="CI31" s="53">
        <v>0</v>
      </c>
      <c r="CJ31" s="53">
        <v>0</v>
      </c>
      <c r="CK31" s="53">
        <v>364.434304</v>
      </c>
      <c r="CM31" s="53">
        <v>0</v>
      </c>
      <c r="CN31" s="53">
        <v>0</v>
      </c>
      <c r="CO31" s="53">
        <v>0</v>
      </c>
      <c r="CQ31" s="53">
        <v>0</v>
      </c>
      <c r="CR31" s="53">
        <v>0</v>
      </c>
      <c r="CS31" s="53">
        <v>2203.1999999999998</v>
      </c>
      <c r="CU31" s="53">
        <v>0</v>
      </c>
      <c r="CV31" s="53">
        <v>0</v>
      </c>
      <c r="CW31" s="53">
        <v>0</v>
      </c>
      <c r="CY31" s="53">
        <v>0</v>
      </c>
      <c r="CZ31" s="53">
        <v>0</v>
      </c>
      <c r="DA31" s="53">
        <v>0</v>
      </c>
      <c r="DC31" s="53">
        <v>0</v>
      </c>
      <c r="DD31" s="53">
        <v>0</v>
      </c>
      <c r="DE31" s="53">
        <v>1102.6342677023836</v>
      </c>
      <c r="DG31" s="53">
        <v>0</v>
      </c>
      <c r="DH31" s="53">
        <v>0</v>
      </c>
      <c r="DI31" s="53">
        <v>0</v>
      </c>
      <c r="DJ31" s="53">
        <v>0</v>
      </c>
      <c r="DL31" s="53">
        <v>0</v>
      </c>
      <c r="DM31" s="53">
        <v>0</v>
      </c>
      <c r="DN31" s="53">
        <v>0</v>
      </c>
      <c r="DO31" s="53">
        <v>0</v>
      </c>
      <c r="DQ31" s="53">
        <v>0</v>
      </c>
      <c r="DR31" s="53">
        <v>0</v>
      </c>
      <c r="DS31" s="53">
        <v>0</v>
      </c>
      <c r="DT31" s="53">
        <v>0</v>
      </c>
      <c r="DV31" s="53">
        <v>0</v>
      </c>
      <c r="DW31" s="53">
        <v>0</v>
      </c>
      <c r="DX31" s="53">
        <v>0</v>
      </c>
      <c r="DY31" s="53">
        <v>0</v>
      </c>
      <c r="EA31" s="53">
        <v>0</v>
      </c>
      <c r="EB31" s="53">
        <v>0</v>
      </c>
      <c r="EC31" s="53">
        <v>0</v>
      </c>
      <c r="ED31" s="53">
        <v>0</v>
      </c>
      <c r="EF31" s="53">
        <v>0</v>
      </c>
      <c r="EG31" s="53">
        <v>0</v>
      </c>
      <c r="EH31" s="53">
        <v>0</v>
      </c>
      <c r="EI31" s="53">
        <v>0</v>
      </c>
      <c r="EK31" s="53">
        <v>0</v>
      </c>
      <c r="EL31" s="53">
        <v>0</v>
      </c>
      <c r="EM31" s="53">
        <v>0</v>
      </c>
      <c r="EN31" s="53">
        <v>0</v>
      </c>
      <c r="EP31" s="53">
        <v>0</v>
      </c>
      <c r="EQ31" s="53">
        <v>0</v>
      </c>
      <c r="ER31" s="53">
        <v>0</v>
      </c>
      <c r="ES31" s="53">
        <v>0</v>
      </c>
      <c r="EU31" s="53">
        <v>0</v>
      </c>
      <c r="EV31" s="53">
        <v>0</v>
      </c>
      <c r="EW31" s="53">
        <v>0</v>
      </c>
      <c r="EX31" s="53">
        <v>0</v>
      </c>
      <c r="EZ31" s="53">
        <v>0</v>
      </c>
      <c r="FA31" s="53">
        <v>0</v>
      </c>
      <c r="FB31" s="53">
        <v>0</v>
      </c>
      <c r="FC31" s="53">
        <v>0</v>
      </c>
    </row>
    <row r="32" spans="1:159" x14ac:dyDescent="0.25">
      <c r="A32" s="114"/>
      <c r="B32" t="str">
        <v>JV1</v>
      </c>
      <c r="C32" t="str">
        <v>Center</v>
      </c>
      <c r="D32" t="str">
        <v>New Jersey</v>
      </c>
      <c r="E32" s="53">
        <v>0</v>
      </c>
      <c r="F32" s="53">
        <v>0</v>
      </c>
      <c r="G32" s="53">
        <v>0</v>
      </c>
      <c r="H32" s="53">
        <v>0</v>
      </c>
      <c r="J32" s="53">
        <v>0</v>
      </c>
      <c r="K32" s="53">
        <v>0</v>
      </c>
      <c r="L32" s="53">
        <v>0</v>
      </c>
      <c r="M32" s="53">
        <v>0</v>
      </c>
      <c r="O32" s="53">
        <v>0</v>
      </c>
      <c r="P32" s="53">
        <v>0</v>
      </c>
      <c r="Q32" s="53">
        <v>0</v>
      </c>
      <c r="R32" s="53">
        <v>0</v>
      </c>
      <c r="T32" s="53">
        <v>0</v>
      </c>
      <c r="U32" s="53">
        <v>0</v>
      </c>
      <c r="V32" s="53">
        <v>0</v>
      </c>
      <c r="W32" s="53">
        <v>0</v>
      </c>
      <c r="Y32" s="53">
        <v>0</v>
      </c>
      <c r="Z32" s="53">
        <v>0</v>
      </c>
      <c r="AA32" s="53">
        <v>0</v>
      </c>
      <c r="AB32" s="53">
        <v>0</v>
      </c>
      <c r="AD32" s="53">
        <v>0</v>
      </c>
      <c r="AE32" s="53">
        <v>0</v>
      </c>
      <c r="AF32" s="53">
        <v>0</v>
      </c>
      <c r="AG32" s="53">
        <v>0</v>
      </c>
      <c r="AI32" s="53">
        <v>0</v>
      </c>
      <c r="AJ32" s="53">
        <v>0</v>
      </c>
      <c r="AK32" s="53">
        <v>0</v>
      </c>
      <c r="AL32" s="53">
        <v>0</v>
      </c>
      <c r="AN32" s="53">
        <v>0</v>
      </c>
      <c r="AO32" s="53">
        <v>0</v>
      </c>
      <c r="AP32" s="53">
        <v>0</v>
      </c>
      <c r="AQ32" s="53">
        <v>0</v>
      </c>
      <c r="AS32" s="53">
        <v>0</v>
      </c>
      <c r="AT32" s="53">
        <v>0</v>
      </c>
      <c r="AU32" s="53">
        <v>0</v>
      </c>
      <c r="AV32" s="53">
        <v>0</v>
      </c>
      <c r="AX32" s="53">
        <v>0</v>
      </c>
      <c r="AY32" s="53">
        <v>0</v>
      </c>
      <c r="AZ32" s="53">
        <v>0</v>
      </c>
      <c r="BA32" s="53">
        <v>0</v>
      </c>
      <c r="BC32" s="53">
        <v>0</v>
      </c>
      <c r="BD32" s="53">
        <v>0</v>
      </c>
      <c r="BE32" s="53">
        <v>0</v>
      </c>
      <c r="BF32" s="53">
        <v>0</v>
      </c>
      <c r="BH32" s="53">
        <v>0</v>
      </c>
      <c r="BI32" s="53">
        <v>0</v>
      </c>
      <c r="BJ32" s="53">
        <v>0</v>
      </c>
      <c r="BK32" s="53">
        <v>0</v>
      </c>
      <c r="BM32" s="53">
        <v>0</v>
      </c>
      <c r="BN32" s="53">
        <v>0</v>
      </c>
      <c r="BO32" s="53">
        <v>0</v>
      </c>
      <c r="BP32" s="53">
        <v>0</v>
      </c>
      <c r="BR32" s="53">
        <v>0</v>
      </c>
      <c r="BS32" s="53">
        <v>0</v>
      </c>
      <c r="BT32" s="53">
        <v>0</v>
      </c>
      <c r="BV32" s="53">
        <v>0</v>
      </c>
      <c r="BW32" s="53">
        <v>0</v>
      </c>
      <c r="BX32" s="53">
        <v>0</v>
      </c>
      <c r="BY32" s="53">
        <v>0</v>
      </c>
      <c r="CA32" s="53">
        <v>0</v>
      </c>
      <c r="CB32" s="53">
        <v>0</v>
      </c>
      <c r="CC32" s="53">
        <v>0</v>
      </c>
      <c r="CE32" s="53">
        <v>0</v>
      </c>
      <c r="CF32" s="53">
        <v>0</v>
      </c>
      <c r="CG32" s="53">
        <v>0</v>
      </c>
      <c r="CI32" s="53">
        <v>0</v>
      </c>
      <c r="CJ32" s="53">
        <v>0</v>
      </c>
      <c r="CK32" s="53">
        <v>0</v>
      </c>
      <c r="CM32" s="53">
        <v>0</v>
      </c>
      <c r="CN32" s="53">
        <v>0</v>
      </c>
      <c r="CO32" s="53">
        <v>0</v>
      </c>
      <c r="CQ32" s="53">
        <v>0</v>
      </c>
      <c r="CR32" s="53">
        <v>0</v>
      </c>
      <c r="CS32" s="53">
        <v>0</v>
      </c>
      <c r="CU32" s="53">
        <v>0</v>
      </c>
      <c r="CV32" s="53">
        <v>0</v>
      </c>
      <c r="CW32" s="53">
        <v>0</v>
      </c>
      <c r="CY32" s="53">
        <v>0</v>
      </c>
      <c r="CZ32" s="53">
        <v>0</v>
      </c>
      <c r="DA32" s="53">
        <v>151234.47</v>
      </c>
      <c r="DC32" s="53">
        <v>0</v>
      </c>
      <c r="DD32" s="53">
        <v>0</v>
      </c>
      <c r="DE32" s="53">
        <v>0</v>
      </c>
      <c r="DG32" s="53">
        <v>0</v>
      </c>
      <c r="DH32" s="53">
        <v>0</v>
      </c>
      <c r="DI32" s="53">
        <v>0</v>
      </c>
      <c r="DJ32" s="53">
        <v>0</v>
      </c>
      <c r="DL32" s="53">
        <v>0</v>
      </c>
      <c r="DM32" s="53">
        <v>0</v>
      </c>
      <c r="DN32" s="53">
        <v>0</v>
      </c>
      <c r="DO32" s="53">
        <v>0</v>
      </c>
      <c r="DQ32" s="53">
        <v>0</v>
      </c>
      <c r="DR32" s="53">
        <v>0</v>
      </c>
      <c r="DS32" s="53">
        <v>0</v>
      </c>
      <c r="DT32" s="53">
        <v>0</v>
      </c>
      <c r="DV32" s="53">
        <v>0</v>
      </c>
      <c r="DW32" s="53">
        <v>0</v>
      </c>
      <c r="DX32" s="53">
        <v>0</v>
      </c>
      <c r="DY32" s="53">
        <v>0</v>
      </c>
      <c r="EA32" s="53">
        <v>0</v>
      </c>
      <c r="EB32" s="53">
        <v>0</v>
      </c>
      <c r="EC32" s="53">
        <v>0</v>
      </c>
      <c r="ED32" s="53">
        <v>0</v>
      </c>
      <c r="EF32" s="53">
        <v>0</v>
      </c>
      <c r="EG32" s="53">
        <v>0</v>
      </c>
      <c r="EH32" s="53">
        <v>0</v>
      </c>
      <c r="EI32" s="53">
        <v>0</v>
      </c>
      <c r="EK32" s="53">
        <v>0</v>
      </c>
      <c r="EL32" s="53">
        <v>0</v>
      </c>
      <c r="EM32" s="53">
        <v>0</v>
      </c>
      <c r="EN32" s="53">
        <v>0</v>
      </c>
      <c r="EP32" s="53">
        <v>0</v>
      </c>
      <c r="EQ32" s="53">
        <v>0</v>
      </c>
      <c r="ER32" s="53">
        <v>0</v>
      </c>
      <c r="ES32" s="53">
        <v>0</v>
      </c>
      <c r="EU32" s="53">
        <v>0</v>
      </c>
      <c r="EV32" s="53">
        <v>0</v>
      </c>
      <c r="EW32" s="53">
        <v>0</v>
      </c>
      <c r="EX32" s="53">
        <v>0</v>
      </c>
      <c r="EZ32" s="53">
        <v>0</v>
      </c>
      <c r="FA32" s="53">
        <v>0</v>
      </c>
      <c r="FB32" s="53">
        <v>0</v>
      </c>
      <c r="FC32" s="53">
        <v>0</v>
      </c>
    </row>
    <row r="33" spans="1:159" x14ac:dyDescent="0.25">
      <c r="A33" s="114"/>
      <c r="B33" t="str">
        <v>JV1</v>
      </c>
      <c r="C33" t="str">
        <v>Remote</v>
      </c>
      <c r="D33" t="str">
        <v>New Jersey</v>
      </c>
      <c r="E33" s="53">
        <v>0</v>
      </c>
      <c r="F33" s="53">
        <v>0</v>
      </c>
      <c r="G33" s="53">
        <v>0</v>
      </c>
      <c r="H33" s="53">
        <v>0</v>
      </c>
      <c r="J33" s="53">
        <v>0</v>
      </c>
      <c r="K33" s="53">
        <v>0</v>
      </c>
      <c r="L33" s="53">
        <v>0</v>
      </c>
      <c r="M33" s="53">
        <v>0</v>
      </c>
      <c r="O33" s="53">
        <v>0</v>
      </c>
      <c r="P33" s="53">
        <v>0</v>
      </c>
      <c r="Q33" s="53">
        <v>0</v>
      </c>
      <c r="R33" s="53">
        <v>0</v>
      </c>
      <c r="T33" s="53">
        <v>0</v>
      </c>
      <c r="U33" s="53">
        <v>0</v>
      </c>
      <c r="V33" s="53">
        <v>0</v>
      </c>
      <c r="W33" s="53">
        <v>0</v>
      </c>
      <c r="Y33" s="53">
        <v>0</v>
      </c>
      <c r="Z33" s="53">
        <v>0</v>
      </c>
      <c r="AA33" s="53">
        <v>0</v>
      </c>
      <c r="AB33" s="53">
        <v>0</v>
      </c>
      <c r="AD33" s="53">
        <v>0</v>
      </c>
      <c r="AE33" s="53">
        <v>0</v>
      </c>
      <c r="AF33" s="53">
        <v>0</v>
      </c>
      <c r="AG33" s="53">
        <v>0</v>
      </c>
      <c r="AI33" s="53">
        <v>0</v>
      </c>
      <c r="AJ33" s="53">
        <v>0</v>
      </c>
      <c r="AK33" s="53">
        <v>0</v>
      </c>
      <c r="AL33" s="53">
        <v>0</v>
      </c>
      <c r="AN33" s="53">
        <v>0</v>
      </c>
      <c r="AO33" s="53">
        <v>0</v>
      </c>
      <c r="AP33" s="53">
        <v>0</v>
      </c>
      <c r="AQ33" s="53">
        <v>0</v>
      </c>
      <c r="AS33" s="53">
        <v>0</v>
      </c>
      <c r="AT33" s="53">
        <v>0</v>
      </c>
      <c r="AU33" s="53">
        <v>0</v>
      </c>
      <c r="AV33" s="53">
        <v>0</v>
      </c>
      <c r="AX33" s="53">
        <v>0</v>
      </c>
      <c r="AY33" s="53">
        <v>0</v>
      </c>
      <c r="AZ33" s="53">
        <v>0</v>
      </c>
      <c r="BA33" s="53">
        <v>0</v>
      </c>
      <c r="BC33" s="53">
        <v>0</v>
      </c>
      <c r="BD33" s="53">
        <v>0</v>
      </c>
      <c r="BE33" s="53">
        <v>0</v>
      </c>
      <c r="BF33" s="53">
        <v>0</v>
      </c>
      <c r="BH33" s="53">
        <v>0</v>
      </c>
      <c r="BI33" s="53">
        <v>0</v>
      </c>
      <c r="BJ33" s="53">
        <v>0</v>
      </c>
      <c r="BK33" s="53">
        <v>0</v>
      </c>
      <c r="BM33" s="53">
        <v>0</v>
      </c>
      <c r="BN33" s="53">
        <v>0</v>
      </c>
      <c r="BO33" s="53">
        <v>0</v>
      </c>
      <c r="BP33" s="53">
        <v>0</v>
      </c>
      <c r="BR33" s="53">
        <v>0</v>
      </c>
      <c r="BS33" s="53">
        <v>0</v>
      </c>
      <c r="BT33" s="53">
        <v>0</v>
      </c>
      <c r="BV33" s="53">
        <v>0</v>
      </c>
      <c r="BW33" s="53">
        <v>0</v>
      </c>
      <c r="BX33" s="53">
        <v>0</v>
      </c>
      <c r="BY33" s="53">
        <v>0</v>
      </c>
      <c r="CA33" s="53">
        <v>0</v>
      </c>
      <c r="CB33" s="53">
        <v>0</v>
      </c>
      <c r="CC33" s="53">
        <v>0</v>
      </c>
      <c r="CE33" s="53">
        <v>0</v>
      </c>
      <c r="CF33" s="53">
        <v>0</v>
      </c>
      <c r="CG33" s="53">
        <v>0</v>
      </c>
      <c r="CI33" s="53">
        <v>0</v>
      </c>
      <c r="CJ33" s="53">
        <v>0</v>
      </c>
      <c r="CK33" s="53">
        <v>0</v>
      </c>
      <c r="CM33" s="53">
        <v>0</v>
      </c>
      <c r="CN33" s="53">
        <v>0</v>
      </c>
      <c r="CO33" s="53">
        <v>0</v>
      </c>
      <c r="CQ33" s="53">
        <v>0</v>
      </c>
      <c r="CR33" s="53">
        <v>0</v>
      </c>
      <c r="CS33" s="53">
        <v>0</v>
      </c>
      <c r="CU33" s="53">
        <v>0</v>
      </c>
      <c r="CV33" s="53">
        <v>0</v>
      </c>
      <c r="CW33" s="53">
        <v>0</v>
      </c>
      <c r="CY33" s="53">
        <v>0</v>
      </c>
      <c r="CZ33" s="53">
        <v>0</v>
      </c>
      <c r="DA33" s="53">
        <v>0</v>
      </c>
      <c r="DC33" s="53">
        <v>0</v>
      </c>
      <c r="DD33" s="53">
        <v>0</v>
      </c>
      <c r="DE33" s="53">
        <v>0</v>
      </c>
      <c r="DG33" s="53">
        <v>0</v>
      </c>
      <c r="DH33" s="53">
        <v>0</v>
      </c>
      <c r="DI33" s="53">
        <v>0</v>
      </c>
      <c r="DJ33" s="53">
        <v>0</v>
      </c>
      <c r="DL33" s="53">
        <v>0</v>
      </c>
      <c r="DM33" s="53">
        <v>0</v>
      </c>
      <c r="DN33" s="53">
        <v>0</v>
      </c>
      <c r="DO33" s="53">
        <v>0</v>
      </c>
      <c r="DQ33" s="53">
        <v>0</v>
      </c>
      <c r="DR33" s="53">
        <v>0</v>
      </c>
      <c r="DS33" s="53">
        <v>0</v>
      </c>
      <c r="DT33" s="53">
        <v>0</v>
      </c>
      <c r="DV33" s="53">
        <v>0</v>
      </c>
      <c r="DW33" s="53">
        <v>0</v>
      </c>
      <c r="DX33" s="53">
        <v>0</v>
      </c>
      <c r="DY33" s="53">
        <v>0</v>
      </c>
      <c r="EA33" s="53">
        <v>0</v>
      </c>
      <c r="EB33" s="53">
        <v>0</v>
      </c>
      <c r="EC33" s="53">
        <v>0</v>
      </c>
      <c r="ED33" s="53">
        <v>0</v>
      </c>
      <c r="EF33" s="53">
        <v>0</v>
      </c>
      <c r="EG33" s="53">
        <v>0</v>
      </c>
      <c r="EH33" s="53">
        <v>0</v>
      </c>
      <c r="EI33" s="53">
        <v>0</v>
      </c>
      <c r="EK33" s="53">
        <v>0</v>
      </c>
      <c r="EL33" s="53">
        <v>0</v>
      </c>
      <c r="EM33" s="53">
        <v>0</v>
      </c>
      <c r="EN33" s="53">
        <v>0</v>
      </c>
      <c r="EP33" s="53">
        <v>0</v>
      </c>
      <c r="EQ33" s="53">
        <v>0</v>
      </c>
      <c r="ER33" s="53">
        <v>0</v>
      </c>
      <c r="ES33" s="53">
        <v>0</v>
      </c>
      <c r="EU33" s="53">
        <v>0</v>
      </c>
      <c r="EV33" s="53">
        <v>0</v>
      </c>
      <c r="EW33" s="53">
        <v>0</v>
      </c>
      <c r="EX33" s="53">
        <v>0</v>
      </c>
      <c r="EZ33" s="53">
        <v>0</v>
      </c>
      <c r="FA33" s="53">
        <v>0</v>
      </c>
      <c r="FB33" s="53">
        <v>0</v>
      </c>
      <c r="FC33" s="53">
        <v>0</v>
      </c>
    </row>
    <row r="34" spans="1:159" x14ac:dyDescent="0.25">
      <c r="A34" s="114"/>
      <c r="B34" t="str">
        <v>JV1</v>
      </c>
      <c r="C34" t="str">
        <v>Center</v>
      </c>
      <c r="D34" t="str">
        <v>New Jersey</v>
      </c>
      <c r="E34" s="53">
        <v>0</v>
      </c>
      <c r="F34" s="53">
        <v>0</v>
      </c>
      <c r="G34" s="53">
        <v>0</v>
      </c>
      <c r="H34" s="53">
        <v>0</v>
      </c>
      <c r="J34" s="53">
        <v>0</v>
      </c>
      <c r="K34" s="53">
        <v>0</v>
      </c>
      <c r="L34" s="53">
        <v>0</v>
      </c>
      <c r="M34" s="53">
        <v>0</v>
      </c>
      <c r="O34" s="53">
        <v>0</v>
      </c>
      <c r="P34" s="53">
        <v>0</v>
      </c>
      <c r="Q34" s="53">
        <v>0</v>
      </c>
      <c r="R34" s="53">
        <v>0</v>
      </c>
      <c r="T34" s="53">
        <v>0</v>
      </c>
      <c r="U34" s="53">
        <v>0</v>
      </c>
      <c r="V34" s="53">
        <v>0</v>
      </c>
      <c r="W34" s="53">
        <v>0</v>
      </c>
      <c r="Y34" s="53">
        <v>0</v>
      </c>
      <c r="Z34" s="53">
        <v>0</v>
      </c>
      <c r="AA34" s="53">
        <v>0</v>
      </c>
      <c r="AB34" s="53">
        <v>0</v>
      </c>
      <c r="AD34" s="53">
        <v>0</v>
      </c>
      <c r="AE34" s="53">
        <v>0</v>
      </c>
      <c r="AF34" s="53">
        <v>0</v>
      </c>
      <c r="AG34" s="53">
        <v>0</v>
      </c>
      <c r="AI34" s="53">
        <v>0</v>
      </c>
      <c r="AJ34" s="53">
        <v>0</v>
      </c>
      <c r="AK34" s="53">
        <v>0</v>
      </c>
      <c r="AL34" s="53">
        <v>0</v>
      </c>
      <c r="AN34" s="53">
        <v>0</v>
      </c>
      <c r="AO34" s="53">
        <v>0</v>
      </c>
      <c r="AP34" s="53">
        <v>0</v>
      </c>
      <c r="AQ34" s="53">
        <v>0</v>
      </c>
      <c r="AS34" s="53">
        <v>0</v>
      </c>
      <c r="AT34" s="53">
        <v>0</v>
      </c>
      <c r="AU34" s="53">
        <v>0</v>
      </c>
      <c r="AV34" s="53">
        <v>0</v>
      </c>
      <c r="AX34" s="53">
        <v>0</v>
      </c>
      <c r="AY34" s="53">
        <v>0</v>
      </c>
      <c r="AZ34" s="53">
        <v>0</v>
      </c>
      <c r="BA34" s="53">
        <v>0</v>
      </c>
      <c r="BC34" s="53">
        <v>0</v>
      </c>
      <c r="BD34" s="53">
        <v>0</v>
      </c>
      <c r="BE34" s="53">
        <v>0</v>
      </c>
      <c r="BF34" s="53">
        <v>0</v>
      </c>
      <c r="BH34" s="53">
        <v>0</v>
      </c>
      <c r="BI34" s="53">
        <v>0</v>
      </c>
      <c r="BJ34" s="53">
        <v>0</v>
      </c>
      <c r="BK34" s="53">
        <v>0</v>
      </c>
      <c r="BM34" s="53">
        <v>0</v>
      </c>
      <c r="BN34" s="53">
        <v>0</v>
      </c>
      <c r="BO34" s="53">
        <v>0</v>
      </c>
      <c r="BP34" s="53">
        <v>0</v>
      </c>
      <c r="BR34" s="53">
        <v>0</v>
      </c>
      <c r="BS34" s="53">
        <v>0</v>
      </c>
      <c r="BT34" s="53">
        <v>0</v>
      </c>
      <c r="BV34" s="53">
        <v>0</v>
      </c>
      <c r="BW34" s="53">
        <v>0</v>
      </c>
      <c r="BX34" s="53">
        <v>0</v>
      </c>
      <c r="BY34" s="53">
        <v>0</v>
      </c>
      <c r="CA34" s="53">
        <v>0</v>
      </c>
      <c r="CB34" s="53">
        <v>0</v>
      </c>
      <c r="CC34" s="53">
        <v>0</v>
      </c>
      <c r="CE34" s="53">
        <v>0</v>
      </c>
      <c r="CF34" s="53">
        <v>0</v>
      </c>
      <c r="CG34" s="53">
        <v>0</v>
      </c>
      <c r="CI34" s="53">
        <v>0</v>
      </c>
      <c r="CJ34" s="53">
        <v>0</v>
      </c>
      <c r="CK34" s="53">
        <v>0</v>
      </c>
      <c r="CM34" s="53">
        <v>0</v>
      </c>
      <c r="CN34" s="53">
        <v>0</v>
      </c>
      <c r="CO34" s="53">
        <v>0</v>
      </c>
      <c r="CQ34" s="53">
        <v>0</v>
      </c>
      <c r="CR34" s="53">
        <v>0</v>
      </c>
      <c r="CS34" s="53">
        <v>0</v>
      </c>
      <c r="CU34" s="53">
        <v>0</v>
      </c>
      <c r="CV34" s="53">
        <v>0</v>
      </c>
      <c r="CW34" s="53">
        <v>0</v>
      </c>
      <c r="CY34" s="53">
        <v>0</v>
      </c>
      <c r="CZ34" s="53">
        <v>0</v>
      </c>
      <c r="DA34" s="53">
        <v>0</v>
      </c>
      <c r="DC34" s="53">
        <v>0</v>
      </c>
      <c r="DD34" s="53">
        <v>0</v>
      </c>
      <c r="DE34" s="53">
        <v>0</v>
      </c>
      <c r="DG34" s="53">
        <v>0</v>
      </c>
      <c r="DH34" s="53">
        <v>0</v>
      </c>
      <c r="DI34" s="53">
        <v>0</v>
      </c>
      <c r="DJ34" s="53">
        <v>0</v>
      </c>
      <c r="DL34" s="53">
        <v>0</v>
      </c>
      <c r="DM34" s="53">
        <v>0</v>
      </c>
      <c r="DN34" s="53">
        <v>0</v>
      </c>
      <c r="DO34" s="53">
        <v>0</v>
      </c>
      <c r="DQ34" s="53">
        <v>0</v>
      </c>
      <c r="DR34" s="53">
        <v>0</v>
      </c>
      <c r="DS34" s="53">
        <v>0</v>
      </c>
      <c r="DT34" s="53">
        <v>0</v>
      </c>
      <c r="DV34" s="53">
        <v>0</v>
      </c>
      <c r="DW34" s="53">
        <v>0</v>
      </c>
      <c r="DX34" s="53">
        <v>0</v>
      </c>
      <c r="DY34" s="53">
        <v>0</v>
      </c>
      <c r="EA34" s="53">
        <v>0</v>
      </c>
      <c r="EB34" s="53">
        <v>0</v>
      </c>
      <c r="EC34" s="53">
        <v>0</v>
      </c>
      <c r="ED34" s="53">
        <v>0</v>
      </c>
      <c r="EF34" s="53">
        <v>0</v>
      </c>
      <c r="EG34" s="53">
        <v>0</v>
      </c>
      <c r="EH34" s="53">
        <v>0</v>
      </c>
      <c r="EI34" s="53">
        <v>0</v>
      </c>
      <c r="EK34" s="53">
        <v>0</v>
      </c>
      <c r="EL34" s="53">
        <v>0</v>
      </c>
      <c r="EM34" s="53">
        <v>0</v>
      </c>
      <c r="EN34" s="53">
        <v>0</v>
      </c>
      <c r="EP34" s="53">
        <v>0</v>
      </c>
      <c r="EQ34" s="53">
        <v>0</v>
      </c>
      <c r="ER34" s="53">
        <v>0</v>
      </c>
      <c r="ES34" s="53">
        <v>0</v>
      </c>
      <c r="EU34" s="53">
        <v>0</v>
      </c>
      <c r="EV34" s="53">
        <v>0</v>
      </c>
      <c r="EW34" s="53">
        <v>0</v>
      </c>
      <c r="EX34" s="53">
        <v>0</v>
      </c>
      <c r="EZ34" s="53">
        <v>0</v>
      </c>
      <c r="FA34" s="53">
        <v>0</v>
      </c>
      <c r="FB34" s="53">
        <v>0</v>
      </c>
      <c r="FC34" s="53">
        <v>0</v>
      </c>
    </row>
    <row r="35" spans="1:159" x14ac:dyDescent="0.25">
      <c r="B35" t="str">
        <v>JV1</v>
      </c>
      <c r="C35" t="str">
        <v>Center</v>
      </c>
      <c r="D35" t="str">
        <v>New Jersey</v>
      </c>
      <c r="E35" s="53">
        <v>0</v>
      </c>
      <c r="F35" s="53">
        <v>0</v>
      </c>
      <c r="G35" s="53">
        <v>0</v>
      </c>
      <c r="H35" s="53">
        <v>0</v>
      </c>
      <c r="J35" s="53">
        <v>0</v>
      </c>
      <c r="K35" s="53">
        <v>0</v>
      </c>
      <c r="L35" s="53">
        <v>0</v>
      </c>
      <c r="M35" s="53">
        <v>0</v>
      </c>
      <c r="O35" s="53">
        <v>0</v>
      </c>
      <c r="P35" s="53">
        <v>0</v>
      </c>
      <c r="Q35" s="53">
        <v>0</v>
      </c>
      <c r="R35" s="53">
        <v>0</v>
      </c>
      <c r="T35" s="53">
        <v>0</v>
      </c>
      <c r="U35" s="53">
        <v>0</v>
      </c>
      <c r="V35" s="53">
        <v>0</v>
      </c>
      <c r="W35" s="53">
        <v>0</v>
      </c>
      <c r="Y35" s="53">
        <v>0</v>
      </c>
      <c r="Z35" s="53">
        <v>0</v>
      </c>
      <c r="AA35" s="53">
        <v>0</v>
      </c>
      <c r="AB35" s="53">
        <v>0</v>
      </c>
      <c r="AD35" s="53">
        <v>0</v>
      </c>
      <c r="AE35" s="53">
        <v>0</v>
      </c>
      <c r="AF35" s="53">
        <v>0</v>
      </c>
      <c r="AG35" s="53">
        <v>0</v>
      </c>
      <c r="AI35" s="53">
        <v>0</v>
      </c>
      <c r="AJ35" s="53">
        <v>0</v>
      </c>
      <c r="AK35" s="53">
        <v>0</v>
      </c>
      <c r="AL35" s="53">
        <v>0</v>
      </c>
      <c r="AN35" s="53">
        <v>0</v>
      </c>
      <c r="AO35" s="53">
        <v>0</v>
      </c>
      <c r="AP35" s="53">
        <v>0</v>
      </c>
      <c r="AQ35" s="53">
        <v>0</v>
      </c>
      <c r="AS35" s="53">
        <v>0</v>
      </c>
      <c r="AT35" s="53">
        <v>0</v>
      </c>
      <c r="AU35" s="53">
        <v>0</v>
      </c>
      <c r="AV35" s="53">
        <v>0</v>
      </c>
      <c r="AX35" s="53">
        <v>0</v>
      </c>
      <c r="AY35" s="53">
        <v>0</v>
      </c>
      <c r="AZ35" s="53">
        <v>0</v>
      </c>
      <c r="BA35" s="53">
        <v>0</v>
      </c>
      <c r="BC35" s="53">
        <v>0</v>
      </c>
      <c r="BD35" s="53">
        <v>0</v>
      </c>
      <c r="BE35" s="53">
        <v>0</v>
      </c>
      <c r="BF35" s="53">
        <v>0</v>
      </c>
      <c r="BH35" s="53">
        <v>0</v>
      </c>
      <c r="BI35" s="53">
        <v>0</v>
      </c>
      <c r="BJ35" s="53">
        <v>0</v>
      </c>
      <c r="BK35" s="53">
        <v>0</v>
      </c>
      <c r="BM35" s="53">
        <v>0</v>
      </c>
      <c r="BN35" s="53">
        <v>0</v>
      </c>
      <c r="BO35" s="53">
        <v>0</v>
      </c>
      <c r="BP35" s="53">
        <v>0</v>
      </c>
      <c r="BR35" s="53">
        <v>0</v>
      </c>
      <c r="BS35" s="53">
        <v>0</v>
      </c>
      <c r="BT35" s="53">
        <v>0</v>
      </c>
      <c r="BV35" s="53">
        <v>0</v>
      </c>
      <c r="BW35" s="53">
        <v>0</v>
      </c>
      <c r="BX35" s="53">
        <v>0</v>
      </c>
      <c r="BY35" s="53">
        <v>0</v>
      </c>
      <c r="CA35" s="53">
        <v>0</v>
      </c>
      <c r="CB35" s="53">
        <v>0</v>
      </c>
      <c r="CC35" s="53">
        <v>0</v>
      </c>
      <c r="CE35" s="53">
        <v>0</v>
      </c>
      <c r="CF35" s="53">
        <v>0</v>
      </c>
      <c r="CG35" s="53">
        <v>0</v>
      </c>
      <c r="CI35" s="53">
        <v>0</v>
      </c>
      <c r="CJ35" s="53">
        <v>0</v>
      </c>
      <c r="CK35" s="53">
        <v>0</v>
      </c>
      <c r="CM35" s="53">
        <v>0</v>
      </c>
      <c r="CN35" s="53">
        <v>0</v>
      </c>
      <c r="CO35" s="53">
        <v>0</v>
      </c>
      <c r="CQ35" s="53">
        <v>0</v>
      </c>
      <c r="CR35" s="53">
        <v>0</v>
      </c>
      <c r="CS35" s="53">
        <v>0</v>
      </c>
      <c r="CU35" s="53">
        <v>0</v>
      </c>
      <c r="CV35" s="53">
        <v>0</v>
      </c>
      <c r="CW35" s="53">
        <v>0</v>
      </c>
      <c r="CY35" s="53">
        <v>0</v>
      </c>
      <c r="CZ35" s="53">
        <v>0</v>
      </c>
      <c r="DA35" s="53">
        <v>0</v>
      </c>
      <c r="DC35" s="53">
        <v>0</v>
      </c>
      <c r="DD35" s="53">
        <v>0</v>
      </c>
      <c r="DE35" s="53">
        <v>0</v>
      </c>
      <c r="DG35" s="53">
        <v>0</v>
      </c>
      <c r="DH35" s="53">
        <v>0</v>
      </c>
      <c r="DI35" s="53">
        <v>0</v>
      </c>
      <c r="DJ35" s="53">
        <v>0</v>
      </c>
      <c r="DL35" s="53">
        <v>0</v>
      </c>
      <c r="DM35" s="53">
        <v>0</v>
      </c>
      <c r="DN35" s="53">
        <v>0</v>
      </c>
      <c r="DO35" s="53">
        <v>0</v>
      </c>
      <c r="DQ35" s="53">
        <v>0</v>
      </c>
      <c r="DR35" s="53">
        <v>0</v>
      </c>
      <c r="DS35" s="53">
        <v>0</v>
      </c>
      <c r="DT35" s="53">
        <v>0</v>
      </c>
      <c r="DV35" s="53">
        <v>0</v>
      </c>
      <c r="DW35" s="53">
        <v>0</v>
      </c>
      <c r="DX35" s="53">
        <v>0</v>
      </c>
      <c r="DY35" s="53">
        <v>0</v>
      </c>
      <c r="EA35" s="53">
        <v>0</v>
      </c>
      <c r="EB35" s="53">
        <v>0</v>
      </c>
      <c r="EC35" s="53">
        <v>0</v>
      </c>
      <c r="ED35" s="53">
        <v>0</v>
      </c>
      <c r="EF35" s="53">
        <v>0</v>
      </c>
      <c r="EG35" s="53">
        <v>0</v>
      </c>
      <c r="EH35" s="53">
        <v>0</v>
      </c>
      <c r="EI35" s="53">
        <v>0</v>
      </c>
      <c r="EK35" s="53">
        <v>0</v>
      </c>
      <c r="EL35" s="53">
        <v>0</v>
      </c>
      <c r="EM35" s="53">
        <v>0</v>
      </c>
      <c r="EN35" s="53">
        <v>0</v>
      </c>
      <c r="EP35" s="53">
        <v>0</v>
      </c>
      <c r="EQ35" s="53">
        <v>0</v>
      </c>
      <c r="ER35" s="53">
        <v>0</v>
      </c>
      <c r="ES35" s="53">
        <v>0</v>
      </c>
      <c r="EU35" s="53">
        <v>0</v>
      </c>
      <c r="EV35" s="53">
        <v>0</v>
      </c>
      <c r="EW35" s="53">
        <v>0</v>
      </c>
      <c r="EX35" s="53">
        <v>0</v>
      </c>
      <c r="EZ35" s="53">
        <v>0</v>
      </c>
      <c r="FA35" s="53">
        <v>0</v>
      </c>
      <c r="FB35" s="53">
        <v>0</v>
      </c>
      <c r="FC35" s="53">
        <v>0</v>
      </c>
    </row>
    <row r="36" spans="1:159" x14ac:dyDescent="0.25">
      <c r="B36" t="str">
        <v>JV1</v>
      </c>
      <c r="C36" t="str">
        <v>Remote</v>
      </c>
      <c r="D36" t="str">
        <v>New Jersey</v>
      </c>
      <c r="E36" s="53">
        <v>0</v>
      </c>
      <c r="F36" s="53">
        <v>0</v>
      </c>
      <c r="G36" s="53">
        <v>0</v>
      </c>
      <c r="H36" s="53">
        <v>0</v>
      </c>
      <c r="J36" s="53">
        <v>0</v>
      </c>
      <c r="K36" s="53">
        <v>0</v>
      </c>
      <c r="L36" s="53">
        <v>0</v>
      </c>
      <c r="M36" s="53">
        <v>0</v>
      </c>
      <c r="O36" s="53">
        <v>0</v>
      </c>
      <c r="P36" s="53">
        <v>0</v>
      </c>
      <c r="Q36" s="53">
        <v>0</v>
      </c>
      <c r="R36" s="53">
        <v>0</v>
      </c>
      <c r="T36" s="53">
        <v>0</v>
      </c>
      <c r="U36" s="53">
        <v>0</v>
      </c>
      <c r="V36" s="53">
        <v>0</v>
      </c>
      <c r="W36" s="53">
        <v>0</v>
      </c>
      <c r="Y36" s="53">
        <v>0</v>
      </c>
      <c r="Z36" s="53">
        <v>0</v>
      </c>
      <c r="AA36" s="53">
        <v>0</v>
      </c>
      <c r="AB36" s="53">
        <v>0</v>
      </c>
      <c r="AD36" s="53">
        <v>0</v>
      </c>
      <c r="AE36" s="53">
        <v>0</v>
      </c>
      <c r="AF36" s="53">
        <v>0</v>
      </c>
      <c r="AG36" s="53">
        <v>0</v>
      </c>
      <c r="AI36" s="53">
        <v>0</v>
      </c>
      <c r="AJ36" s="53">
        <v>0</v>
      </c>
      <c r="AK36" s="53">
        <v>0</v>
      </c>
      <c r="AL36" s="53">
        <v>0</v>
      </c>
      <c r="AN36" s="53">
        <v>0</v>
      </c>
      <c r="AO36" s="53">
        <v>0</v>
      </c>
      <c r="AP36" s="53">
        <v>0</v>
      </c>
      <c r="AQ36" s="53">
        <v>0</v>
      </c>
      <c r="AS36" s="53">
        <v>0</v>
      </c>
      <c r="AT36" s="53">
        <v>0</v>
      </c>
      <c r="AU36" s="53">
        <v>0</v>
      </c>
      <c r="AV36" s="53">
        <v>0</v>
      </c>
      <c r="AX36" s="53">
        <v>0</v>
      </c>
      <c r="AY36" s="53">
        <v>0</v>
      </c>
      <c r="AZ36" s="53">
        <v>0</v>
      </c>
      <c r="BA36" s="53">
        <v>0</v>
      </c>
      <c r="BC36" s="53">
        <v>0</v>
      </c>
      <c r="BD36" s="53">
        <v>0</v>
      </c>
      <c r="BE36" s="53">
        <v>0</v>
      </c>
      <c r="BF36" s="53">
        <v>0</v>
      </c>
      <c r="BH36" s="53">
        <v>0</v>
      </c>
      <c r="BI36" s="53">
        <v>0</v>
      </c>
      <c r="BJ36" s="53">
        <v>0</v>
      </c>
      <c r="BK36" s="53">
        <v>0</v>
      </c>
      <c r="BM36" s="53">
        <v>0</v>
      </c>
      <c r="BN36" s="53">
        <v>0</v>
      </c>
      <c r="BO36" s="53">
        <v>0</v>
      </c>
      <c r="BP36" s="53">
        <v>0</v>
      </c>
      <c r="BR36" s="53">
        <v>0</v>
      </c>
      <c r="BS36" s="53">
        <v>0</v>
      </c>
      <c r="BT36" s="53">
        <v>0</v>
      </c>
      <c r="BV36" s="53">
        <v>0</v>
      </c>
      <c r="BW36" s="53">
        <v>0</v>
      </c>
      <c r="BX36" s="53">
        <v>0</v>
      </c>
      <c r="BY36" s="53">
        <v>0</v>
      </c>
      <c r="CA36" s="53">
        <v>0</v>
      </c>
      <c r="CB36" s="53">
        <v>0</v>
      </c>
      <c r="CC36" s="53">
        <v>0</v>
      </c>
      <c r="CE36" s="53">
        <v>0</v>
      </c>
      <c r="CF36" s="53">
        <v>0</v>
      </c>
      <c r="CG36" s="53">
        <v>0</v>
      </c>
      <c r="CI36" s="53">
        <v>0</v>
      </c>
      <c r="CJ36" s="53">
        <v>0</v>
      </c>
      <c r="CK36" s="53">
        <v>0</v>
      </c>
      <c r="CM36" s="53">
        <v>0</v>
      </c>
      <c r="CN36" s="53">
        <v>0</v>
      </c>
      <c r="CO36" s="53">
        <v>0</v>
      </c>
      <c r="CQ36" s="53">
        <v>0</v>
      </c>
      <c r="CR36" s="53">
        <v>0</v>
      </c>
      <c r="CS36" s="53">
        <v>0</v>
      </c>
      <c r="CU36" s="53">
        <v>0</v>
      </c>
      <c r="CV36" s="53">
        <v>0</v>
      </c>
      <c r="CW36" s="53">
        <v>0</v>
      </c>
      <c r="CY36" s="53">
        <v>0</v>
      </c>
      <c r="CZ36" s="53">
        <v>0</v>
      </c>
      <c r="DA36" s="53">
        <v>0</v>
      </c>
      <c r="DC36" s="53">
        <v>0</v>
      </c>
      <c r="DD36" s="53">
        <v>0</v>
      </c>
      <c r="DE36" s="53">
        <v>0</v>
      </c>
      <c r="DG36" s="53">
        <v>0</v>
      </c>
      <c r="DH36" s="53">
        <v>0</v>
      </c>
      <c r="DI36" s="53">
        <v>0</v>
      </c>
      <c r="DJ36" s="53">
        <v>0</v>
      </c>
      <c r="DL36" s="53">
        <v>0</v>
      </c>
      <c r="DM36" s="53">
        <v>0</v>
      </c>
      <c r="DN36" s="53">
        <v>0</v>
      </c>
      <c r="DO36" s="53">
        <v>0</v>
      </c>
      <c r="DQ36" s="53">
        <v>0</v>
      </c>
      <c r="DR36" s="53">
        <v>0</v>
      </c>
      <c r="DS36" s="53">
        <v>0</v>
      </c>
      <c r="DT36" s="53">
        <v>0</v>
      </c>
      <c r="DV36" s="53">
        <v>0</v>
      </c>
      <c r="DW36" s="53">
        <v>0</v>
      </c>
      <c r="DX36" s="53">
        <v>0</v>
      </c>
      <c r="DY36" s="53">
        <v>0</v>
      </c>
      <c r="EA36" s="53">
        <v>0</v>
      </c>
      <c r="EB36" s="53">
        <v>0</v>
      </c>
      <c r="EC36" s="53">
        <v>0</v>
      </c>
      <c r="ED36" s="53">
        <v>0</v>
      </c>
      <c r="EF36" s="53">
        <v>0</v>
      </c>
      <c r="EG36" s="53">
        <v>0</v>
      </c>
      <c r="EH36" s="53">
        <v>0</v>
      </c>
      <c r="EI36" s="53">
        <v>0</v>
      </c>
      <c r="EK36" s="53">
        <v>0</v>
      </c>
      <c r="EL36" s="53">
        <v>0</v>
      </c>
      <c r="EM36" s="53">
        <v>0</v>
      </c>
      <c r="EN36" s="53">
        <v>0</v>
      </c>
      <c r="EP36" s="53">
        <v>0</v>
      </c>
      <c r="EQ36" s="53">
        <v>0</v>
      </c>
      <c r="ER36" s="53">
        <v>0</v>
      </c>
      <c r="ES36" s="53">
        <v>0</v>
      </c>
      <c r="EU36" s="53">
        <v>0</v>
      </c>
      <c r="EV36" s="53">
        <v>0</v>
      </c>
      <c r="EW36" s="53">
        <v>0</v>
      </c>
      <c r="EX36" s="53">
        <v>0</v>
      </c>
      <c r="EZ36" s="53">
        <v>0</v>
      </c>
      <c r="FA36" s="53">
        <v>0</v>
      </c>
      <c r="FB36" s="53">
        <v>0</v>
      </c>
      <c r="FC36" s="53">
        <v>0</v>
      </c>
    </row>
    <row r="37" spans="1:159" x14ac:dyDescent="0.25">
      <c r="B37" t="str">
        <v>JV1</v>
      </c>
      <c r="C37" t="str">
        <v>Center</v>
      </c>
      <c r="D37" t="str">
        <v>New Jersey</v>
      </c>
      <c r="E37" s="53">
        <v>0</v>
      </c>
      <c r="F37" s="53">
        <v>0</v>
      </c>
      <c r="G37" s="53">
        <v>0</v>
      </c>
      <c r="H37" s="53">
        <v>0</v>
      </c>
      <c r="J37" s="53">
        <v>0</v>
      </c>
      <c r="K37" s="53">
        <v>0</v>
      </c>
      <c r="L37" s="53">
        <v>0</v>
      </c>
      <c r="M37" s="53">
        <v>0</v>
      </c>
      <c r="O37" s="53">
        <v>0</v>
      </c>
      <c r="P37" s="53">
        <v>0</v>
      </c>
      <c r="Q37" s="53">
        <v>0</v>
      </c>
      <c r="R37" s="53">
        <v>0</v>
      </c>
      <c r="T37" s="53">
        <v>0</v>
      </c>
      <c r="U37" s="53">
        <v>0</v>
      </c>
      <c r="V37" s="53">
        <v>0</v>
      </c>
      <c r="W37" s="53">
        <v>0</v>
      </c>
      <c r="Y37" s="53">
        <v>0</v>
      </c>
      <c r="Z37" s="53">
        <v>0</v>
      </c>
      <c r="AA37" s="53">
        <v>0</v>
      </c>
      <c r="AB37" s="53">
        <v>0</v>
      </c>
      <c r="AD37" s="53">
        <v>0</v>
      </c>
      <c r="AE37" s="53">
        <v>0</v>
      </c>
      <c r="AF37" s="53">
        <v>0</v>
      </c>
      <c r="AG37" s="53">
        <v>0</v>
      </c>
      <c r="AI37" s="53">
        <v>0</v>
      </c>
      <c r="AJ37" s="53">
        <v>0</v>
      </c>
      <c r="AK37" s="53">
        <v>0</v>
      </c>
      <c r="AL37" s="53">
        <v>0</v>
      </c>
      <c r="AN37" s="53">
        <v>0</v>
      </c>
      <c r="AO37" s="53">
        <v>0</v>
      </c>
      <c r="AP37" s="53">
        <v>0</v>
      </c>
      <c r="AQ37" s="53">
        <v>0</v>
      </c>
      <c r="AS37" s="53">
        <v>0</v>
      </c>
      <c r="AT37" s="53">
        <v>0</v>
      </c>
      <c r="AU37" s="53">
        <v>0</v>
      </c>
      <c r="AV37" s="53">
        <v>0</v>
      </c>
      <c r="AX37" s="53">
        <v>0</v>
      </c>
      <c r="AY37" s="53">
        <v>0</v>
      </c>
      <c r="AZ37" s="53">
        <v>0</v>
      </c>
      <c r="BA37" s="53">
        <v>0</v>
      </c>
      <c r="BC37" s="53">
        <v>0</v>
      </c>
      <c r="BD37" s="53">
        <v>0</v>
      </c>
      <c r="BE37" s="53">
        <v>0</v>
      </c>
      <c r="BF37" s="53">
        <v>0</v>
      </c>
      <c r="BH37" s="53">
        <v>0</v>
      </c>
      <c r="BI37" s="53">
        <v>0</v>
      </c>
      <c r="BJ37" s="53">
        <v>0</v>
      </c>
      <c r="BK37" s="53">
        <v>0</v>
      </c>
      <c r="BM37" s="53">
        <v>0</v>
      </c>
      <c r="BN37" s="53">
        <v>0</v>
      </c>
      <c r="BO37" s="53">
        <v>0</v>
      </c>
      <c r="BP37" s="53">
        <v>0</v>
      </c>
      <c r="BR37" s="53">
        <v>0</v>
      </c>
      <c r="BS37" s="53">
        <v>0</v>
      </c>
      <c r="BT37" s="53">
        <v>0</v>
      </c>
      <c r="BV37" s="53">
        <v>0</v>
      </c>
      <c r="BW37" s="53">
        <v>0</v>
      </c>
      <c r="BX37" s="53">
        <v>0</v>
      </c>
      <c r="BY37" s="53">
        <v>0</v>
      </c>
      <c r="CA37" s="53">
        <v>0</v>
      </c>
      <c r="CB37" s="53">
        <v>0</v>
      </c>
      <c r="CC37" s="53">
        <v>0</v>
      </c>
      <c r="CE37" s="53">
        <v>0</v>
      </c>
      <c r="CF37" s="53">
        <v>0</v>
      </c>
      <c r="CG37" s="53">
        <v>0</v>
      </c>
      <c r="CI37" s="53">
        <v>0</v>
      </c>
      <c r="CJ37" s="53">
        <v>0</v>
      </c>
      <c r="CK37" s="53">
        <v>0</v>
      </c>
      <c r="CM37" s="53">
        <v>0</v>
      </c>
      <c r="CN37" s="53">
        <v>0</v>
      </c>
      <c r="CO37" s="53">
        <v>0</v>
      </c>
      <c r="CQ37" s="53">
        <v>0</v>
      </c>
      <c r="CR37" s="53">
        <v>0</v>
      </c>
      <c r="CS37" s="53">
        <v>0</v>
      </c>
      <c r="CU37" s="53">
        <v>0</v>
      </c>
      <c r="CV37" s="53">
        <v>0</v>
      </c>
      <c r="CW37" s="53">
        <v>0</v>
      </c>
      <c r="CY37" s="53">
        <v>0</v>
      </c>
      <c r="CZ37" s="53">
        <v>0</v>
      </c>
      <c r="DA37" s="53">
        <v>151234.47</v>
      </c>
      <c r="DC37" s="53">
        <v>0</v>
      </c>
      <c r="DD37" s="53">
        <v>0</v>
      </c>
      <c r="DE37" s="53">
        <v>0</v>
      </c>
      <c r="DG37" s="53">
        <v>0</v>
      </c>
      <c r="DH37" s="53">
        <v>0</v>
      </c>
      <c r="DI37" s="53">
        <v>0</v>
      </c>
      <c r="DJ37" s="53">
        <v>0</v>
      </c>
      <c r="DL37" s="53">
        <v>0</v>
      </c>
      <c r="DM37" s="53">
        <v>0</v>
      </c>
      <c r="DN37" s="53">
        <v>0</v>
      </c>
      <c r="DO37" s="53">
        <v>0</v>
      </c>
      <c r="DQ37" s="53">
        <v>0</v>
      </c>
      <c r="DR37" s="53">
        <v>0</v>
      </c>
      <c r="DS37" s="53">
        <v>0</v>
      </c>
      <c r="DT37" s="53">
        <v>0</v>
      </c>
      <c r="DV37" s="53">
        <v>0</v>
      </c>
      <c r="DW37" s="53">
        <v>0</v>
      </c>
      <c r="DX37" s="53">
        <v>0</v>
      </c>
      <c r="DY37" s="53">
        <v>0</v>
      </c>
      <c r="EA37" s="53">
        <v>0</v>
      </c>
      <c r="EB37" s="53">
        <v>0</v>
      </c>
      <c r="EC37" s="53">
        <v>0</v>
      </c>
      <c r="ED37" s="53">
        <v>0</v>
      </c>
      <c r="EF37" s="53">
        <v>0</v>
      </c>
      <c r="EG37" s="53">
        <v>0</v>
      </c>
      <c r="EH37" s="53">
        <v>0</v>
      </c>
      <c r="EI37" s="53">
        <v>0</v>
      </c>
      <c r="EK37" s="53">
        <v>0</v>
      </c>
      <c r="EL37" s="53">
        <v>0</v>
      </c>
      <c r="EM37" s="53">
        <v>0</v>
      </c>
      <c r="EN37" s="53">
        <v>0</v>
      </c>
      <c r="EP37" s="53">
        <v>0</v>
      </c>
      <c r="EQ37" s="53">
        <v>0</v>
      </c>
      <c r="ER37" s="53">
        <v>0</v>
      </c>
      <c r="ES37" s="53">
        <v>0</v>
      </c>
      <c r="EU37" s="53">
        <v>0</v>
      </c>
      <c r="EV37" s="53">
        <v>0</v>
      </c>
      <c r="EW37" s="53">
        <v>0</v>
      </c>
      <c r="EX37" s="53">
        <v>0</v>
      </c>
      <c r="EZ37" s="53">
        <v>0</v>
      </c>
      <c r="FA37" s="53">
        <v>0</v>
      </c>
      <c r="FB37" s="53">
        <v>0</v>
      </c>
      <c r="FC37" s="53">
        <v>0</v>
      </c>
    </row>
    <row r="38" spans="1:159" x14ac:dyDescent="0.25">
      <c r="B38" t="str">
        <v>JV1</v>
      </c>
      <c r="C38" t="str">
        <v>Center</v>
      </c>
      <c r="D38" t="str">
        <v>New Jersey</v>
      </c>
      <c r="E38" s="53">
        <v>0</v>
      </c>
      <c r="F38" s="53">
        <v>0</v>
      </c>
      <c r="G38" s="53">
        <v>0</v>
      </c>
      <c r="H38" s="53">
        <v>0</v>
      </c>
      <c r="J38" s="53">
        <v>0</v>
      </c>
      <c r="K38" s="53">
        <v>0</v>
      </c>
      <c r="L38" s="53">
        <v>0</v>
      </c>
      <c r="M38" s="53">
        <v>0</v>
      </c>
      <c r="O38" s="53">
        <v>0</v>
      </c>
      <c r="P38" s="53">
        <v>0</v>
      </c>
      <c r="Q38" s="53">
        <v>0</v>
      </c>
      <c r="R38" s="53">
        <v>0</v>
      </c>
      <c r="T38" s="53">
        <v>0</v>
      </c>
      <c r="U38" s="53">
        <v>0</v>
      </c>
      <c r="V38" s="53">
        <v>0</v>
      </c>
      <c r="W38" s="53">
        <v>0</v>
      </c>
      <c r="Y38" s="53">
        <v>0</v>
      </c>
      <c r="Z38" s="53">
        <v>0</v>
      </c>
      <c r="AA38" s="53">
        <v>0</v>
      </c>
      <c r="AB38" s="53">
        <v>0</v>
      </c>
      <c r="AD38" s="53">
        <v>0</v>
      </c>
      <c r="AE38" s="53">
        <v>0</v>
      </c>
      <c r="AF38" s="53">
        <v>0</v>
      </c>
      <c r="AG38" s="53">
        <v>0</v>
      </c>
      <c r="AI38" s="53">
        <v>0</v>
      </c>
      <c r="AJ38" s="53">
        <v>0</v>
      </c>
      <c r="AK38" s="53">
        <v>0</v>
      </c>
      <c r="AL38" s="53">
        <v>0</v>
      </c>
      <c r="AN38" s="53">
        <v>0</v>
      </c>
      <c r="AO38" s="53">
        <v>0</v>
      </c>
      <c r="AP38" s="53">
        <v>0</v>
      </c>
      <c r="AQ38" s="53">
        <v>0</v>
      </c>
      <c r="AS38" s="53">
        <v>0</v>
      </c>
      <c r="AT38" s="53">
        <v>0</v>
      </c>
      <c r="AU38" s="53">
        <v>0</v>
      </c>
      <c r="AV38" s="53">
        <v>0</v>
      </c>
      <c r="AX38" s="53">
        <v>0</v>
      </c>
      <c r="AY38" s="53">
        <v>0</v>
      </c>
      <c r="AZ38" s="53">
        <v>0</v>
      </c>
      <c r="BA38" s="53">
        <v>0</v>
      </c>
      <c r="BC38" s="53">
        <v>0</v>
      </c>
      <c r="BD38" s="53">
        <v>0</v>
      </c>
      <c r="BE38" s="53">
        <v>0</v>
      </c>
      <c r="BF38" s="53">
        <v>0</v>
      </c>
      <c r="BH38" s="53">
        <v>0</v>
      </c>
      <c r="BI38" s="53">
        <v>0</v>
      </c>
      <c r="BJ38" s="53">
        <v>0</v>
      </c>
      <c r="BK38" s="53">
        <v>0</v>
      </c>
      <c r="BM38" s="53">
        <v>0</v>
      </c>
      <c r="BN38" s="53">
        <v>0</v>
      </c>
      <c r="BO38" s="53">
        <v>0</v>
      </c>
      <c r="BP38" s="53">
        <v>0</v>
      </c>
      <c r="BR38" s="53">
        <v>0</v>
      </c>
      <c r="BS38" s="53">
        <v>0</v>
      </c>
      <c r="BT38" s="53">
        <v>0</v>
      </c>
      <c r="BV38" s="53">
        <v>0</v>
      </c>
      <c r="BW38" s="53">
        <v>0</v>
      </c>
      <c r="BX38" s="53">
        <v>0</v>
      </c>
      <c r="BY38" s="53">
        <v>0</v>
      </c>
      <c r="CA38" s="53">
        <v>0</v>
      </c>
      <c r="CB38" s="53">
        <v>0</v>
      </c>
      <c r="CC38" s="53">
        <v>0</v>
      </c>
      <c r="CE38" s="53">
        <v>0</v>
      </c>
      <c r="CF38" s="53">
        <v>0</v>
      </c>
      <c r="CG38" s="53">
        <v>0</v>
      </c>
      <c r="CI38" s="53">
        <v>0</v>
      </c>
      <c r="CJ38" s="53">
        <v>0</v>
      </c>
      <c r="CK38" s="53">
        <v>0</v>
      </c>
      <c r="CM38" s="53">
        <v>0</v>
      </c>
      <c r="CN38" s="53">
        <v>0</v>
      </c>
      <c r="CO38" s="53">
        <v>0</v>
      </c>
      <c r="CQ38" s="53">
        <v>0</v>
      </c>
      <c r="CR38" s="53">
        <v>0</v>
      </c>
      <c r="CS38" s="53">
        <v>0</v>
      </c>
      <c r="CU38" s="53">
        <v>0</v>
      </c>
      <c r="CV38" s="53">
        <v>0</v>
      </c>
      <c r="CW38" s="53">
        <v>0</v>
      </c>
      <c r="CY38" s="53">
        <v>0</v>
      </c>
      <c r="CZ38" s="53">
        <v>0</v>
      </c>
      <c r="DA38" s="53">
        <v>0</v>
      </c>
      <c r="DC38" s="53">
        <v>0</v>
      </c>
      <c r="DD38" s="53">
        <v>0</v>
      </c>
      <c r="DE38" s="53">
        <v>0</v>
      </c>
      <c r="DG38" s="53">
        <v>0</v>
      </c>
      <c r="DH38" s="53">
        <v>0</v>
      </c>
      <c r="DI38" s="53">
        <v>0</v>
      </c>
      <c r="DJ38" s="53">
        <v>0</v>
      </c>
      <c r="DL38" s="53">
        <v>0</v>
      </c>
      <c r="DM38" s="53">
        <v>0</v>
      </c>
      <c r="DN38" s="53">
        <v>0</v>
      </c>
      <c r="DO38" s="53">
        <v>0</v>
      </c>
      <c r="DQ38" s="53">
        <v>0</v>
      </c>
      <c r="DR38" s="53">
        <v>0</v>
      </c>
      <c r="DS38" s="53">
        <v>0</v>
      </c>
      <c r="DT38" s="53">
        <v>0</v>
      </c>
      <c r="DV38" s="53">
        <v>0</v>
      </c>
      <c r="DW38" s="53">
        <v>0</v>
      </c>
      <c r="DX38" s="53">
        <v>0</v>
      </c>
      <c r="DY38" s="53">
        <v>0</v>
      </c>
      <c r="EA38" s="53">
        <v>0</v>
      </c>
      <c r="EB38" s="53">
        <v>0</v>
      </c>
      <c r="EC38" s="53">
        <v>0</v>
      </c>
      <c r="ED38" s="53">
        <v>0</v>
      </c>
      <c r="EF38" s="53">
        <v>0</v>
      </c>
      <c r="EG38" s="53">
        <v>0</v>
      </c>
      <c r="EH38" s="53">
        <v>0</v>
      </c>
      <c r="EI38" s="53">
        <v>0</v>
      </c>
      <c r="EK38" s="53">
        <v>0</v>
      </c>
      <c r="EL38" s="53">
        <v>0</v>
      </c>
      <c r="EM38" s="53">
        <v>0</v>
      </c>
      <c r="EN38" s="53">
        <v>0</v>
      </c>
      <c r="EP38" s="53">
        <v>0</v>
      </c>
      <c r="EQ38" s="53">
        <v>0</v>
      </c>
      <c r="ER38" s="53">
        <v>0</v>
      </c>
      <c r="ES38" s="53">
        <v>0</v>
      </c>
      <c r="EU38" s="53">
        <v>0</v>
      </c>
      <c r="EV38" s="53">
        <v>0</v>
      </c>
      <c r="EW38" s="53">
        <v>0</v>
      </c>
      <c r="EX38" s="53">
        <v>0</v>
      </c>
      <c r="EZ38" s="53">
        <v>0</v>
      </c>
      <c r="FA38" s="53">
        <v>0</v>
      </c>
      <c r="FB38" s="53">
        <v>0</v>
      </c>
      <c r="FC38" s="53">
        <v>0</v>
      </c>
    </row>
    <row r="39" spans="1:159" x14ac:dyDescent="0.25">
      <c r="B39" t="str">
        <v>JV1</v>
      </c>
      <c r="C39" t="str">
        <v>Remote</v>
      </c>
      <c r="D39" t="str">
        <v>New Jersey</v>
      </c>
      <c r="E39" s="53">
        <v>0</v>
      </c>
      <c r="F39" s="53">
        <v>0</v>
      </c>
      <c r="G39" s="53">
        <v>0</v>
      </c>
      <c r="H39" s="53">
        <v>0</v>
      </c>
      <c r="J39" s="53">
        <v>0</v>
      </c>
      <c r="K39" s="53">
        <v>0</v>
      </c>
      <c r="L39" s="53">
        <v>0</v>
      </c>
      <c r="M39" s="53">
        <v>0</v>
      </c>
      <c r="O39" s="53">
        <v>0</v>
      </c>
      <c r="P39" s="53">
        <v>0</v>
      </c>
      <c r="Q39" s="53">
        <v>0</v>
      </c>
      <c r="R39" s="53">
        <v>0</v>
      </c>
      <c r="T39" s="53">
        <v>0</v>
      </c>
      <c r="U39" s="53">
        <v>0</v>
      </c>
      <c r="V39" s="53">
        <v>0</v>
      </c>
      <c r="W39" s="53">
        <v>0</v>
      </c>
      <c r="Y39" s="53">
        <v>0</v>
      </c>
      <c r="Z39" s="53">
        <v>0</v>
      </c>
      <c r="AA39" s="53">
        <v>0</v>
      </c>
      <c r="AB39" s="53">
        <v>0</v>
      </c>
      <c r="AD39" s="53">
        <v>0</v>
      </c>
      <c r="AE39" s="53">
        <v>0</v>
      </c>
      <c r="AF39" s="53">
        <v>0</v>
      </c>
      <c r="AG39" s="53">
        <v>0</v>
      </c>
      <c r="AI39" s="53">
        <v>0</v>
      </c>
      <c r="AJ39" s="53">
        <v>0</v>
      </c>
      <c r="AK39" s="53">
        <v>0</v>
      </c>
      <c r="AL39" s="53">
        <v>0</v>
      </c>
      <c r="AN39" s="53">
        <v>0</v>
      </c>
      <c r="AO39" s="53">
        <v>0</v>
      </c>
      <c r="AP39" s="53">
        <v>0</v>
      </c>
      <c r="AQ39" s="53">
        <v>0</v>
      </c>
      <c r="AS39" s="53">
        <v>0</v>
      </c>
      <c r="AT39" s="53">
        <v>0</v>
      </c>
      <c r="AU39" s="53">
        <v>0</v>
      </c>
      <c r="AV39" s="53">
        <v>0</v>
      </c>
      <c r="AX39" s="53">
        <v>0</v>
      </c>
      <c r="AY39" s="53">
        <v>0</v>
      </c>
      <c r="AZ39" s="53">
        <v>0</v>
      </c>
      <c r="BA39" s="53">
        <v>0</v>
      </c>
      <c r="BC39" s="53">
        <v>0</v>
      </c>
      <c r="BD39" s="53">
        <v>0</v>
      </c>
      <c r="BE39" s="53">
        <v>0</v>
      </c>
      <c r="BF39" s="53">
        <v>0</v>
      </c>
      <c r="BH39" s="53">
        <v>0</v>
      </c>
      <c r="BI39" s="53">
        <v>0</v>
      </c>
      <c r="BJ39" s="53">
        <v>0</v>
      </c>
      <c r="BK39" s="53">
        <v>0</v>
      </c>
      <c r="BM39" s="53">
        <v>0</v>
      </c>
      <c r="BN39" s="53">
        <v>0</v>
      </c>
      <c r="BO39" s="53">
        <v>0</v>
      </c>
      <c r="BP39" s="53">
        <v>0</v>
      </c>
      <c r="BR39" s="53">
        <v>0</v>
      </c>
      <c r="BS39" s="53">
        <v>0</v>
      </c>
      <c r="BT39" s="53">
        <v>0</v>
      </c>
      <c r="BV39" s="53">
        <v>0</v>
      </c>
      <c r="BW39" s="53">
        <v>0</v>
      </c>
      <c r="BX39" s="53">
        <v>0</v>
      </c>
      <c r="BY39" s="53">
        <v>0</v>
      </c>
      <c r="CA39" s="53">
        <v>0</v>
      </c>
      <c r="CB39" s="53">
        <v>0</v>
      </c>
      <c r="CC39" s="53">
        <v>0</v>
      </c>
      <c r="CE39" s="53">
        <v>0</v>
      </c>
      <c r="CF39" s="53">
        <v>0</v>
      </c>
      <c r="CG39" s="53">
        <v>0</v>
      </c>
      <c r="CI39" s="53">
        <v>0</v>
      </c>
      <c r="CJ39" s="53">
        <v>0</v>
      </c>
      <c r="CK39" s="53">
        <v>0</v>
      </c>
      <c r="CM39" s="53">
        <v>0</v>
      </c>
      <c r="CN39" s="53">
        <v>0</v>
      </c>
      <c r="CO39" s="53">
        <v>0</v>
      </c>
      <c r="CQ39" s="53">
        <v>0</v>
      </c>
      <c r="CR39" s="53">
        <v>0</v>
      </c>
      <c r="CS39" s="53">
        <v>0</v>
      </c>
      <c r="CU39" s="53">
        <v>0</v>
      </c>
      <c r="CV39" s="53">
        <v>0</v>
      </c>
      <c r="CW39" s="53">
        <v>0</v>
      </c>
      <c r="CY39" s="53">
        <v>0</v>
      </c>
      <c r="CZ39" s="53">
        <v>0</v>
      </c>
      <c r="DA39" s="53">
        <v>0</v>
      </c>
      <c r="DC39" s="53">
        <v>0</v>
      </c>
      <c r="DD39" s="53">
        <v>0</v>
      </c>
      <c r="DE39" s="53">
        <v>0</v>
      </c>
      <c r="DG39" s="53">
        <v>0</v>
      </c>
      <c r="DH39" s="53">
        <v>0</v>
      </c>
      <c r="DI39" s="53">
        <v>0</v>
      </c>
      <c r="DJ39" s="53">
        <v>0</v>
      </c>
      <c r="DL39" s="53">
        <v>0</v>
      </c>
      <c r="DM39" s="53">
        <v>0</v>
      </c>
      <c r="DN39" s="53">
        <v>0</v>
      </c>
      <c r="DO39" s="53">
        <v>0</v>
      </c>
      <c r="DQ39" s="53">
        <v>0</v>
      </c>
      <c r="DR39" s="53">
        <v>0</v>
      </c>
      <c r="DS39" s="53">
        <v>0</v>
      </c>
      <c r="DT39" s="53">
        <v>0</v>
      </c>
      <c r="DV39" s="53">
        <v>0</v>
      </c>
      <c r="DW39" s="53">
        <v>0</v>
      </c>
      <c r="DX39" s="53">
        <v>0</v>
      </c>
      <c r="DY39" s="53">
        <v>0</v>
      </c>
      <c r="EA39" s="53">
        <v>0</v>
      </c>
      <c r="EB39" s="53">
        <v>0</v>
      </c>
      <c r="EC39" s="53">
        <v>0</v>
      </c>
      <c r="ED39" s="53">
        <v>0</v>
      </c>
      <c r="EF39" s="53">
        <v>0</v>
      </c>
      <c r="EG39" s="53">
        <v>0</v>
      </c>
      <c r="EH39" s="53">
        <v>0</v>
      </c>
      <c r="EI39" s="53">
        <v>0</v>
      </c>
      <c r="EK39" s="53">
        <v>0</v>
      </c>
      <c r="EL39" s="53">
        <v>0</v>
      </c>
      <c r="EM39" s="53">
        <v>0</v>
      </c>
      <c r="EN39" s="53">
        <v>0</v>
      </c>
      <c r="EP39" s="53">
        <v>0</v>
      </c>
      <c r="EQ39" s="53">
        <v>0</v>
      </c>
      <c r="ER39" s="53">
        <v>0</v>
      </c>
      <c r="ES39" s="53">
        <v>0</v>
      </c>
      <c r="EU39" s="53">
        <v>0</v>
      </c>
      <c r="EV39" s="53">
        <v>0</v>
      </c>
      <c r="EW39" s="53">
        <v>0</v>
      </c>
      <c r="EX39" s="53">
        <v>0</v>
      </c>
      <c r="EZ39" s="53">
        <v>0</v>
      </c>
      <c r="FA39" s="53">
        <v>0</v>
      </c>
      <c r="FB39" s="53">
        <v>0</v>
      </c>
      <c r="FC39" s="53">
        <v>0</v>
      </c>
    </row>
    <row r="40" spans="1:159" x14ac:dyDescent="0.25">
      <c r="B40" t="str">
        <v>JV1</v>
      </c>
      <c r="C40" t="str">
        <v>Center</v>
      </c>
      <c r="D40" t="str">
        <v>New Jersey</v>
      </c>
      <c r="E40" s="53">
        <v>0</v>
      </c>
      <c r="F40" s="53">
        <v>0</v>
      </c>
      <c r="G40" s="53">
        <v>0</v>
      </c>
      <c r="H40" s="53">
        <v>0</v>
      </c>
      <c r="J40" s="53">
        <v>0</v>
      </c>
      <c r="K40" s="53">
        <v>0</v>
      </c>
      <c r="L40" s="53">
        <v>0</v>
      </c>
      <c r="M40" s="53">
        <v>0</v>
      </c>
      <c r="O40" s="53">
        <v>0</v>
      </c>
      <c r="P40" s="53">
        <v>0</v>
      </c>
      <c r="Q40" s="53">
        <v>0</v>
      </c>
      <c r="R40" s="53">
        <v>0</v>
      </c>
      <c r="T40" s="53">
        <v>0</v>
      </c>
      <c r="U40" s="53">
        <v>0</v>
      </c>
      <c r="V40" s="53">
        <v>0</v>
      </c>
      <c r="W40" s="53">
        <v>0</v>
      </c>
      <c r="Y40" s="53">
        <v>0</v>
      </c>
      <c r="Z40" s="53">
        <v>0</v>
      </c>
      <c r="AA40" s="53">
        <v>0</v>
      </c>
      <c r="AB40" s="53">
        <v>0</v>
      </c>
      <c r="AD40" s="53">
        <v>0</v>
      </c>
      <c r="AE40" s="53">
        <v>0</v>
      </c>
      <c r="AF40" s="53">
        <v>0</v>
      </c>
      <c r="AG40" s="53">
        <v>0</v>
      </c>
      <c r="AI40" s="53">
        <v>0</v>
      </c>
      <c r="AJ40" s="53">
        <v>0</v>
      </c>
      <c r="AK40" s="53">
        <v>0</v>
      </c>
      <c r="AL40" s="53">
        <v>0</v>
      </c>
      <c r="AN40" s="53">
        <v>0</v>
      </c>
      <c r="AO40" s="53">
        <v>0</v>
      </c>
      <c r="AP40" s="53">
        <v>0</v>
      </c>
      <c r="AQ40" s="53">
        <v>0</v>
      </c>
      <c r="AS40" s="53">
        <v>0</v>
      </c>
      <c r="AT40" s="53">
        <v>0</v>
      </c>
      <c r="AU40" s="53">
        <v>0</v>
      </c>
      <c r="AV40" s="53">
        <v>0</v>
      </c>
      <c r="AX40" s="53">
        <v>0</v>
      </c>
      <c r="AY40" s="53">
        <v>0</v>
      </c>
      <c r="AZ40" s="53">
        <v>0</v>
      </c>
      <c r="BA40" s="53">
        <v>0</v>
      </c>
      <c r="BC40" s="53">
        <v>0</v>
      </c>
      <c r="BD40" s="53">
        <v>0</v>
      </c>
      <c r="BE40" s="53">
        <v>0</v>
      </c>
      <c r="BF40" s="53">
        <v>0</v>
      </c>
      <c r="BH40" s="53">
        <v>0</v>
      </c>
      <c r="BI40" s="53">
        <v>0</v>
      </c>
      <c r="BJ40" s="53">
        <v>0</v>
      </c>
      <c r="BK40" s="53">
        <v>0</v>
      </c>
      <c r="BM40" s="53">
        <v>0</v>
      </c>
      <c r="BN40" s="53">
        <v>0</v>
      </c>
      <c r="BO40" s="53">
        <v>0</v>
      </c>
      <c r="BP40" s="53">
        <v>0</v>
      </c>
      <c r="BR40" s="53">
        <v>0</v>
      </c>
      <c r="BS40" s="53">
        <v>0</v>
      </c>
      <c r="BT40" s="53">
        <v>0</v>
      </c>
      <c r="BV40" s="53">
        <v>0</v>
      </c>
      <c r="BW40" s="53">
        <v>0</v>
      </c>
      <c r="BX40" s="53">
        <v>0</v>
      </c>
      <c r="BY40" s="53">
        <v>0</v>
      </c>
      <c r="CA40" s="53">
        <v>0</v>
      </c>
      <c r="CB40" s="53">
        <v>0</v>
      </c>
      <c r="CC40" s="53">
        <v>0</v>
      </c>
      <c r="CE40" s="53">
        <v>0</v>
      </c>
      <c r="CF40" s="53">
        <v>0</v>
      </c>
      <c r="CG40" s="53">
        <v>0</v>
      </c>
      <c r="CI40" s="53">
        <v>0</v>
      </c>
      <c r="CJ40" s="53">
        <v>0</v>
      </c>
      <c r="CK40" s="53">
        <v>0</v>
      </c>
      <c r="CM40" s="53">
        <v>0</v>
      </c>
      <c r="CN40" s="53">
        <v>0</v>
      </c>
      <c r="CO40" s="53">
        <v>0</v>
      </c>
      <c r="CQ40" s="53">
        <v>0</v>
      </c>
      <c r="CR40" s="53">
        <v>0</v>
      </c>
      <c r="CS40" s="53">
        <v>0</v>
      </c>
      <c r="CU40" s="53">
        <v>0</v>
      </c>
      <c r="CV40" s="53">
        <v>0</v>
      </c>
      <c r="CW40" s="53">
        <v>0</v>
      </c>
      <c r="CY40" s="53">
        <v>0</v>
      </c>
      <c r="CZ40" s="53">
        <v>0</v>
      </c>
      <c r="DA40" s="53">
        <v>0</v>
      </c>
      <c r="DC40" s="53">
        <v>0</v>
      </c>
      <c r="DD40" s="53">
        <v>0</v>
      </c>
      <c r="DE40" s="53">
        <v>0</v>
      </c>
      <c r="DG40" s="53">
        <v>0</v>
      </c>
      <c r="DH40" s="53">
        <v>0</v>
      </c>
      <c r="DI40" s="53">
        <v>0</v>
      </c>
      <c r="DJ40" s="53">
        <v>0</v>
      </c>
      <c r="DL40" s="53">
        <v>0</v>
      </c>
      <c r="DM40" s="53">
        <v>0</v>
      </c>
      <c r="DN40" s="53">
        <v>0</v>
      </c>
      <c r="DO40" s="53">
        <v>0</v>
      </c>
      <c r="DQ40" s="53">
        <v>0</v>
      </c>
      <c r="DR40" s="53">
        <v>0</v>
      </c>
      <c r="DS40" s="53">
        <v>0</v>
      </c>
      <c r="DT40" s="53">
        <v>0</v>
      </c>
      <c r="DV40" s="53">
        <v>0</v>
      </c>
      <c r="DW40" s="53">
        <v>0</v>
      </c>
      <c r="DX40" s="53">
        <v>0</v>
      </c>
      <c r="DY40" s="53">
        <v>0</v>
      </c>
      <c r="EA40" s="53">
        <v>0</v>
      </c>
      <c r="EB40" s="53">
        <v>0</v>
      </c>
      <c r="EC40" s="53">
        <v>0</v>
      </c>
      <c r="ED40" s="53">
        <v>0</v>
      </c>
      <c r="EF40" s="53">
        <v>0</v>
      </c>
      <c r="EG40" s="53">
        <v>0</v>
      </c>
      <c r="EH40" s="53">
        <v>0</v>
      </c>
      <c r="EI40" s="53">
        <v>0</v>
      </c>
      <c r="EK40" s="53">
        <v>0</v>
      </c>
      <c r="EL40" s="53">
        <v>0</v>
      </c>
      <c r="EM40" s="53">
        <v>0</v>
      </c>
      <c r="EN40" s="53">
        <v>0</v>
      </c>
      <c r="EP40" s="53">
        <v>0</v>
      </c>
      <c r="EQ40" s="53">
        <v>0</v>
      </c>
      <c r="ER40" s="53">
        <v>0</v>
      </c>
      <c r="ES40" s="53">
        <v>0</v>
      </c>
      <c r="EU40" s="53">
        <v>0</v>
      </c>
      <c r="EV40" s="53">
        <v>0</v>
      </c>
      <c r="EW40" s="53">
        <v>0</v>
      </c>
      <c r="EX40" s="53">
        <v>0</v>
      </c>
      <c r="EZ40" s="53">
        <v>0</v>
      </c>
      <c r="FA40" s="53">
        <v>0</v>
      </c>
      <c r="FB40" s="53">
        <v>0</v>
      </c>
      <c r="FC40" s="53">
        <v>0</v>
      </c>
    </row>
    <row r="41" spans="1:159" x14ac:dyDescent="0.25">
      <c r="B41" t="str">
        <v>JV1</v>
      </c>
      <c r="C41" t="str">
        <v>Remote</v>
      </c>
      <c r="D41" t="str">
        <v>New Jersey</v>
      </c>
      <c r="E41" s="53">
        <v>0</v>
      </c>
      <c r="F41" s="53">
        <v>0</v>
      </c>
      <c r="G41" s="53">
        <v>0</v>
      </c>
      <c r="H41" s="53">
        <v>0</v>
      </c>
      <c r="J41" s="53">
        <v>0</v>
      </c>
      <c r="K41" s="53">
        <v>0</v>
      </c>
      <c r="L41" s="53">
        <v>0</v>
      </c>
      <c r="M41" s="53">
        <v>0</v>
      </c>
      <c r="O41" s="53">
        <v>0</v>
      </c>
      <c r="P41" s="53">
        <v>0</v>
      </c>
      <c r="Q41" s="53">
        <v>0</v>
      </c>
      <c r="R41" s="53">
        <v>0</v>
      </c>
      <c r="T41" s="53">
        <v>0</v>
      </c>
      <c r="U41" s="53">
        <v>0</v>
      </c>
      <c r="V41" s="53">
        <v>0</v>
      </c>
      <c r="W41" s="53">
        <v>0</v>
      </c>
      <c r="Y41" s="53">
        <v>0</v>
      </c>
      <c r="Z41" s="53">
        <v>0</v>
      </c>
      <c r="AA41" s="53">
        <v>0</v>
      </c>
      <c r="AB41" s="53">
        <v>0</v>
      </c>
      <c r="AD41" s="53">
        <v>0</v>
      </c>
      <c r="AE41" s="53">
        <v>0</v>
      </c>
      <c r="AF41" s="53">
        <v>0</v>
      </c>
      <c r="AG41" s="53">
        <v>0</v>
      </c>
      <c r="AI41" s="53">
        <v>0</v>
      </c>
      <c r="AJ41" s="53">
        <v>0</v>
      </c>
      <c r="AK41" s="53">
        <v>0</v>
      </c>
      <c r="AL41" s="53">
        <v>0</v>
      </c>
      <c r="AN41" s="53">
        <v>0</v>
      </c>
      <c r="AO41" s="53">
        <v>0</v>
      </c>
      <c r="AP41" s="53">
        <v>0</v>
      </c>
      <c r="AQ41" s="53">
        <v>0</v>
      </c>
      <c r="AS41" s="53">
        <v>0</v>
      </c>
      <c r="AT41" s="53">
        <v>0</v>
      </c>
      <c r="AU41" s="53">
        <v>0</v>
      </c>
      <c r="AV41" s="53">
        <v>0</v>
      </c>
      <c r="AX41" s="53">
        <v>0</v>
      </c>
      <c r="AY41" s="53">
        <v>0</v>
      </c>
      <c r="AZ41" s="53">
        <v>0</v>
      </c>
      <c r="BA41" s="53">
        <v>0</v>
      </c>
      <c r="BC41" s="53">
        <v>0</v>
      </c>
      <c r="BD41" s="53">
        <v>0</v>
      </c>
      <c r="BE41" s="53">
        <v>0</v>
      </c>
      <c r="BF41" s="53">
        <v>0</v>
      </c>
      <c r="BH41" s="53">
        <v>0</v>
      </c>
      <c r="BI41" s="53">
        <v>0</v>
      </c>
      <c r="BJ41" s="53">
        <v>0</v>
      </c>
      <c r="BK41" s="53">
        <v>0</v>
      </c>
      <c r="BM41" s="53">
        <v>0</v>
      </c>
      <c r="BN41" s="53">
        <v>0</v>
      </c>
      <c r="BO41" s="53">
        <v>0</v>
      </c>
      <c r="BP41" s="53">
        <v>0</v>
      </c>
      <c r="BR41" s="53">
        <v>0</v>
      </c>
      <c r="BS41" s="53">
        <v>0</v>
      </c>
      <c r="BT41" s="53">
        <v>0</v>
      </c>
      <c r="BV41" s="53">
        <v>0</v>
      </c>
      <c r="BW41" s="53">
        <v>0</v>
      </c>
      <c r="BX41" s="53">
        <v>0</v>
      </c>
      <c r="BY41" s="53">
        <v>0</v>
      </c>
      <c r="CA41" s="53">
        <v>0</v>
      </c>
      <c r="CB41" s="53">
        <v>0</v>
      </c>
      <c r="CC41" s="53">
        <v>0</v>
      </c>
      <c r="CE41" s="53">
        <v>0</v>
      </c>
      <c r="CF41" s="53">
        <v>0</v>
      </c>
      <c r="CG41" s="53">
        <v>0</v>
      </c>
      <c r="CI41" s="53">
        <v>0</v>
      </c>
      <c r="CJ41" s="53">
        <v>0</v>
      </c>
      <c r="CK41" s="53">
        <v>0</v>
      </c>
      <c r="CM41" s="53">
        <v>0</v>
      </c>
      <c r="CN41" s="53">
        <v>0</v>
      </c>
      <c r="CO41" s="53">
        <v>0</v>
      </c>
      <c r="CQ41" s="53">
        <v>0</v>
      </c>
      <c r="CR41" s="53">
        <v>0</v>
      </c>
      <c r="CS41" s="53">
        <v>0</v>
      </c>
      <c r="CU41" s="53">
        <v>0</v>
      </c>
      <c r="CV41" s="53">
        <v>0</v>
      </c>
      <c r="CW41" s="53">
        <v>0</v>
      </c>
      <c r="CY41" s="53">
        <v>0</v>
      </c>
      <c r="CZ41" s="53">
        <v>0</v>
      </c>
      <c r="DA41" s="53">
        <v>0</v>
      </c>
      <c r="DC41" s="53">
        <v>0</v>
      </c>
      <c r="DD41" s="53">
        <v>0</v>
      </c>
      <c r="DE41" s="53">
        <v>0</v>
      </c>
      <c r="DG41" s="53">
        <v>0</v>
      </c>
      <c r="DH41" s="53">
        <v>0</v>
      </c>
      <c r="DI41" s="53">
        <v>0</v>
      </c>
      <c r="DJ41" s="53">
        <v>0</v>
      </c>
      <c r="DL41" s="53">
        <v>0</v>
      </c>
      <c r="DM41" s="53">
        <v>0</v>
      </c>
      <c r="DN41" s="53">
        <v>0</v>
      </c>
      <c r="DO41" s="53">
        <v>0</v>
      </c>
      <c r="DQ41" s="53">
        <v>0</v>
      </c>
      <c r="DR41" s="53">
        <v>0</v>
      </c>
      <c r="DS41" s="53">
        <v>0</v>
      </c>
      <c r="DT41" s="53">
        <v>0</v>
      </c>
      <c r="DV41" s="53">
        <v>0</v>
      </c>
      <c r="DW41" s="53">
        <v>0</v>
      </c>
      <c r="DX41" s="53">
        <v>0</v>
      </c>
      <c r="DY41" s="53">
        <v>0</v>
      </c>
      <c r="EA41" s="53">
        <v>0</v>
      </c>
      <c r="EB41" s="53">
        <v>0</v>
      </c>
      <c r="EC41" s="53">
        <v>0</v>
      </c>
      <c r="ED41" s="53">
        <v>0</v>
      </c>
      <c r="EF41" s="53">
        <v>0</v>
      </c>
      <c r="EG41" s="53">
        <v>0</v>
      </c>
      <c r="EH41" s="53">
        <v>0</v>
      </c>
      <c r="EI41" s="53">
        <v>0</v>
      </c>
      <c r="EK41" s="53">
        <v>0</v>
      </c>
      <c r="EL41" s="53">
        <v>0</v>
      </c>
      <c r="EM41" s="53">
        <v>0</v>
      </c>
      <c r="EN41" s="53">
        <v>0</v>
      </c>
      <c r="EP41" s="53">
        <v>0</v>
      </c>
      <c r="EQ41" s="53">
        <v>0</v>
      </c>
      <c r="ER41" s="53">
        <v>0</v>
      </c>
      <c r="ES41" s="53">
        <v>0</v>
      </c>
      <c r="EU41" s="53">
        <v>0</v>
      </c>
      <c r="EV41" s="53">
        <v>0</v>
      </c>
      <c r="EW41" s="53">
        <v>0</v>
      </c>
      <c r="EX41" s="53">
        <v>0</v>
      </c>
      <c r="EZ41" s="53">
        <v>0</v>
      </c>
      <c r="FA41" s="53">
        <v>0</v>
      </c>
      <c r="FB41" s="53">
        <v>0</v>
      </c>
      <c r="FC41" s="53">
        <v>0</v>
      </c>
    </row>
    <row r="42" spans="1:159" x14ac:dyDescent="0.25">
      <c r="B42" t="str">
        <v>JV1</v>
      </c>
      <c r="C42" t="str">
        <v>Center</v>
      </c>
      <c r="D42" t="str">
        <v>New Jersey</v>
      </c>
      <c r="E42" s="53">
        <v>0</v>
      </c>
      <c r="F42" s="53">
        <v>0</v>
      </c>
      <c r="G42" s="53">
        <v>0</v>
      </c>
      <c r="H42" s="53">
        <v>0</v>
      </c>
      <c r="J42" s="53">
        <v>0</v>
      </c>
      <c r="K42" s="53">
        <v>0</v>
      </c>
      <c r="L42" s="53">
        <v>0</v>
      </c>
      <c r="M42" s="53">
        <v>0</v>
      </c>
      <c r="O42" s="53">
        <v>0</v>
      </c>
      <c r="P42" s="53">
        <v>0</v>
      </c>
      <c r="Q42" s="53">
        <v>0</v>
      </c>
      <c r="R42" s="53">
        <v>0</v>
      </c>
      <c r="T42" s="53">
        <v>0</v>
      </c>
      <c r="U42" s="53">
        <v>0</v>
      </c>
      <c r="V42" s="53">
        <v>0</v>
      </c>
      <c r="W42" s="53">
        <v>0</v>
      </c>
      <c r="Y42" s="53">
        <v>0</v>
      </c>
      <c r="Z42" s="53">
        <v>0</v>
      </c>
      <c r="AA42" s="53">
        <v>0</v>
      </c>
      <c r="AB42" s="53">
        <v>0</v>
      </c>
      <c r="AD42" s="53">
        <v>0</v>
      </c>
      <c r="AE42" s="53">
        <v>0</v>
      </c>
      <c r="AF42" s="53">
        <v>0</v>
      </c>
      <c r="AG42" s="53">
        <v>0</v>
      </c>
      <c r="AI42" s="53">
        <v>0</v>
      </c>
      <c r="AJ42" s="53">
        <v>0</v>
      </c>
      <c r="AK42" s="53">
        <v>0</v>
      </c>
      <c r="AL42" s="53">
        <v>0</v>
      </c>
      <c r="AN42" s="53">
        <v>0</v>
      </c>
      <c r="AO42" s="53">
        <v>0</v>
      </c>
      <c r="AP42" s="53">
        <v>0</v>
      </c>
      <c r="AQ42" s="53">
        <v>0</v>
      </c>
      <c r="AS42" s="53">
        <v>0</v>
      </c>
      <c r="AT42" s="53">
        <v>0</v>
      </c>
      <c r="AU42" s="53">
        <v>0</v>
      </c>
      <c r="AV42" s="53">
        <v>0</v>
      </c>
      <c r="AX42" s="53">
        <v>0</v>
      </c>
      <c r="AY42" s="53">
        <v>0</v>
      </c>
      <c r="AZ42" s="53">
        <v>0</v>
      </c>
      <c r="BA42" s="53">
        <v>0</v>
      </c>
      <c r="BC42" s="53">
        <v>0</v>
      </c>
      <c r="BD42" s="53">
        <v>0</v>
      </c>
      <c r="BE42" s="53">
        <v>0</v>
      </c>
      <c r="BF42" s="53">
        <v>0</v>
      </c>
      <c r="BH42" s="53">
        <v>0</v>
      </c>
      <c r="BI42" s="53">
        <v>0</v>
      </c>
      <c r="BJ42" s="53">
        <v>0</v>
      </c>
      <c r="BK42" s="53">
        <v>0</v>
      </c>
      <c r="BM42" s="53">
        <v>0</v>
      </c>
      <c r="BN42" s="53">
        <v>0</v>
      </c>
      <c r="BO42" s="53">
        <v>0</v>
      </c>
      <c r="BP42" s="53">
        <v>0</v>
      </c>
      <c r="BR42" s="53">
        <v>0</v>
      </c>
      <c r="BS42" s="53">
        <v>0</v>
      </c>
      <c r="BT42" s="53">
        <v>0</v>
      </c>
      <c r="BV42" s="53">
        <v>0</v>
      </c>
      <c r="BW42" s="53">
        <v>0</v>
      </c>
      <c r="BX42" s="53">
        <v>0</v>
      </c>
      <c r="BY42" s="53">
        <v>0</v>
      </c>
      <c r="CA42" s="53">
        <v>0</v>
      </c>
      <c r="CB42" s="53">
        <v>0</v>
      </c>
      <c r="CC42" s="53">
        <v>0</v>
      </c>
      <c r="CE42" s="53">
        <v>0</v>
      </c>
      <c r="CF42" s="53">
        <v>0</v>
      </c>
      <c r="CG42" s="53">
        <v>0</v>
      </c>
      <c r="CI42" s="53">
        <v>0</v>
      </c>
      <c r="CJ42" s="53">
        <v>0</v>
      </c>
      <c r="CK42" s="53">
        <v>0</v>
      </c>
      <c r="CM42" s="53">
        <v>0</v>
      </c>
      <c r="CN42" s="53">
        <v>0</v>
      </c>
      <c r="CO42" s="53">
        <v>0</v>
      </c>
      <c r="CQ42" s="53">
        <v>0</v>
      </c>
      <c r="CR42" s="53">
        <v>0</v>
      </c>
      <c r="CS42" s="53">
        <v>0</v>
      </c>
      <c r="CU42" s="53">
        <v>0</v>
      </c>
      <c r="CV42" s="53">
        <v>0</v>
      </c>
      <c r="CW42" s="53">
        <v>0</v>
      </c>
      <c r="CY42" s="53">
        <v>0</v>
      </c>
      <c r="CZ42" s="53">
        <v>0</v>
      </c>
      <c r="DA42" s="53">
        <v>0</v>
      </c>
      <c r="DC42" s="53">
        <v>0</v>
      </c>
      <c r="DD42" s="53">
        <v>0</v>
      </c>
      <c r="DE42" s="53">
        <v>0</v>
      </c>
      <c r="DG42" s="53">
        <v>0</v>
      </c>
      <c r="DH42" s="53">
        <v>0</v>
      </c>
      <c r="DI42" s="53">
        <v>0</v>
      </c>
      <c r="DJ42" s="53">
        <v>0</v>
      </c>
      <c r="DL42" s="53">
        <v>0</v>
      </c>
      <c r="DM42" s="53">
        <v>0</v>
      </c>
      <c r="DN42" s="53">
        <v>0</v>
      </c>
      <c r="DO42" s="53">
        <v>0</v>
      </c>
      <c r="DQ42" s="53">
        <v>0</v>
      </c>
      <c r="DR42" s="53">
        <v>0</v>
      </c>
      <c r="DS42" s="53">
        <v>0</v>
      </c>
      <c r="DT42" s="53">
        <v>0</v>
      </c>
      <c r="DV42" s="53">
        <v>0</v>
      </c>
      <c r="DW42" s="53">
        <v>0</v>
      </c>
      <c r="DX42" s="53">
        <v>0</v>
      </c>
      <c r="DY42" s="53">
        <v>0</v>
      </c>
      <c r="EA42" s="53">
        <v>0</v>
      </c>
      <c r="EB42" s="53">
        <v>0</v>
      </c>
      <c r="EC42" s="53">
        <v>0</v>
      </c>
      <c r="ED42" s="53">
        <v>0</v>
      </c>
      <c r="EF42" s="53">
        <v>0</v>
      </c>
      <c r="EG42" s="53">
        <v>0</v>
      </c>
      <c r="EH42" s="53">
        <v>0</v>
      </c>
      <c r="EI42" s="53">
        <v>0</v>
      </c>
      <c r="EK42" s="53">
        <v>0</v>
      </c>
      <c r="EL42" s="53">
        <v>0</v>
      </c>
      <c r="EM42" s="53">
        <v>0</v>
      </c>
      <c r="EN42" s="53">
        <v>0</v>
      </c>
      <c r="EP42" s="53">
        <v>0</v>
      </c>
      <c r="EQ42" s="53">
        <v>0</v>
      </c>
      <c r="ER42" s="53">
        <v>0</v>
      </c>
      <c r="ES42" s="53">
        <v>0</v>
      </c>
      <c r="EU42" s="53">
        <v>0</v>
      </c>
      <c r="EV42" s="53">
        <v>0</v>
      </c>
      <c r="EW42" s="53">
        <v>0</v>
      </c>
      <c r="EX42" s="53">
        <v>0</v>
      </c>
      <c r="EZ42" s="53">
        <v>0</v>
      </c>
      <c r="FA42" s="53">
        <v>0</v>
      </c>
      <c r="FB42" s="53">
        <v>0</v>
      </c>
      <c r="FC42" s="53">
        <v>0</v>
      </c>
    </row>
    <row r="43" spans="1:159" x14ac:dyDescent="0.25">
      <c r="B43" t="str">
        <v>JV1</v>
      </c>
      <c r="C43" t="str">
        <v>Center</v>
      </c>
      <c r="D43" t="str">
        <v>New Jersey</v>
      </c>
      <c r="E43" s="53">
        <v>0</v>
      </c>
      <c r="F43" s="53">
        <v>0</v>
      </c>
      <c r="G43" s="53">
        <v>0</v>
      </c>
      <c r="H43" s="53">
        <v>0</v>
      </c>
      <c r="J43" s="53">
        <v>0</v>
      </c>
      <c r="K43" s="53">
        <v>0</v>
      </c>
      <c r="L43" s="53">
        <v>0</v>
      </c>
      <c r="M43" s="53">
        <v>0</v>
      </c>
      <c r="O43" s="53">
        <v>0</v>
      </c>
      <c r="P43" s="53">
        <v>0</v>
      </c>
      <c r="Q43" s="53">
        <v>0</v>
      </c>
      <c r="R43" s="53">
        <v>0</v>
      </c>
      <c r="T43" s="53">
        <v>0</v>
      </c>
      <c r="U43" s="53">
        <v>0</v>
      </c>
      <c r="V43" s="53">
        <v>0</v>
      </c>
      <c r="W43" s="53">
        <v>0</v>
      </c>
      <c r="Y43" s="53">
        <v>0</v>
      </c>
      <c r="Z43" s="53">
        <v>0</v>
      </c>
      <c r="AA43" s="53">
        <v>0</v>
      </c>
      <c r="AB43" s="53">
        <v>0</v>
      </c>
      <c r="AD43" s="53">
        <v>0</v>
      </c>
      <c r="AE43" s="53">
        <v>0</v>
      </c>
      <c r="AF43" s="53">
        <v>0</v>
      </c>
      <c r="AG43" s="53">
        <v>0</v>
      </c>
      <c r="AI43" s="53">
        <v>0</v>
      </c>
      <c r="AJ43" s="53">
        <v>0</v>
      </c>
      <c r="AK43" s="53">
        <v>0</v>
      </c>
      <c r="AL43" s="53">
        <v>0</v>
      </c>
      <c r="AN43" s="53">
        <v>0</v>
      </c>
      <c r="AO43" s="53">
        <v>0</v>
      </c>
      <c r="AP43" s="53">
        <v>0</v>
      </c>
      <c r="AQ43" s="53">
        <v>0</v>
      </c>
      <c r="AS43" s="53">
        <v>0</v>
      </c>
      <c r="AT43" s="53">
        <v>0</v>
      </c>
      <c r="AU43" s="53">
        <v>0</v>
      </c>
      <c r="AV43" s="53">
        <v>0</v>
      </c>
      <c r="AX43" s="53">
        <v>0</v>
      </c>
      <c r="AY43" s="53">
        <v>0</v>
      </c>
      <c r="AZ43" s="53">
        <v>0</v>
      </c>
      <c r="BA43" s="53">
        <v>0</v>
      </c>
      <c r="BC43" s="53">
        <v>0</v>
      </c>
      <c r="BD43" s="53">
        <v>0</v>
      </c>
      <c r="BE43" s="53">
        <v>0</v>
      </c>
      <c r="BF43" s="53">
        <v>0</v>
      </c>
      <c r="BH43" s="53">
        <v>0</v>
      </c>
      <c r="BI43" s="53">
        <v>0</v>
      </c>
      <c r="BJ43" s="53">
        <v>0</v>
      </c>
      <c r="BK43" s="53">
        <v>0</v>
      </c>
      <c r="BM43" s="53">
        <v>0</v>
      </c>
      <c r="BN43" s="53">
        <v>0</v>
      </c>
      <c r="BO43" s="53">
        <v>0</v>
      </c>
      <c r="BP43" s="53">
        <v>0</v>
      </c>
      <c r="BR43" s="53">
        <v>0</v>
      </c>
      <c r="BS43" s="53">
        <v>0</v>
      </c>
      <c r="BT43" s="53">
        <v>0</v>
      </c>
      <c r="BV43" s="53">
        <v>0</v>
      </c>
      <c r="BW43" s="53">
        <v>0</v>
      </c>
      <c r="BX43" s="53">
        <v>0</v>
      </c>
      <c r="BY43" s="53">
        <v>0</v>
      </c>
      <c r="CA43" s="53">
        <v>0</v>
      </c>
      <c r="CB43" s="53">
        <v>0</v>
      </c>
      <c r="CC43" s="53">
        <v>0</v>
      </c>
      <c r="CE43" s="53">
        <v>0</v>
      </c>
      <c r="CF43" s="53">
        <v>0</v>
      </c>
      <c r="CG43" s="53">
        <v>0</v>
      </c>
      <c r="CI43" s="53">
        <v>0</v>
      </c>
      <c r="CJ43" s="53">
        <v>0</v>
      </c>
      <c r="CK43" s="53">
        <v>0</v>
      </c>
      <c r="CM43" s="53">
        <v>0</v>
      </c>
      <c r="CN43" s="53">
        <v>0</v>
      </c>
      <c r="CO43" s="53">
        <v>0</v>
      </c>
      <c r="CQ43" s="53">
        <v>0</v>
      </c>
      <c r="CR43" s="53">
        <v>0</v>
      </c>
      <c r="CS43" s="53">
        <v>0</v>
      </c>
      <c r="CU43" s="53">
        <v>0</v>
      </c>
      <c r="CV43" s="53">
        <v>0</v>
      </c>
      <c r="CW43" s="53">
        <v>0</v>
      </c>
      <c r="CY43" s="53">
        <v>0</v>
      </c>
      <c r="CZ43" s="53">
        <v>0</v>
      </c>
      <c r="DA43" s="53">
        <v>0</v>
      </c>
      <c r="DC43" s="53">
        <v>0</v>
      </c>
      <c r="DD43" s="53">
        <v>0</v>
      </c>
      <c r="DE43" s="53">
        <v>0</v>
      </c>
      <c r="DG43" s="53">
        <v>0</v>
      </c>
      <c r="DH43" s="53">
        <v>0</v>
      </c>
      <c r="DI43" s="53">
        <v>0</v>
      </c>
      <c r="DJ43" s="53">
        <v>0</v>
      </c>
      <c r="DL43" s="53">
        <v>0</v>
      </c>
      <c r="DM43" s="53">
        <v>0</v>
      </c>
      <c r="DN43" s="53">
        <v>0</v>
      </c>
      <c r="DO43" s="53">
        <v>0</v>
      </c>
      <c r="DQ43" s="53">
        <v>0</v>
      </c>
      <c r="DR43" s="53">
        <v>0</v>
      </c>
      <c r="DS43" s="53">
        <v>0</v>
      </c>
      <c r="DT43" s="53">
        <v>0</v>
      </c>
      <c r="DV43" s="53">
        <v>0</v>
      </c>
      <c r="DW43" s="53">
        <v>0</v>
      </c>
      <c r="DX43" s="53">
        <v>0</v>
      </c>
      <c r="DY43" s="53">
        <v>0</v>
      </c>
      <c r="EA43" s="53">
        <v>0</v>
      </c>
      <c r="EB43" s="53">
        <v>0</v>
      </c>
      <c r="EC43" s="53">
        <v>0</v>
      </c>
      <c r="ED43" s="53">
        <v>0</v>
      </c>
      <c r="EF43" s="53">
        <v>0</v>
      </c>
      <c r="EG43" s="53">
        <v>0</v>
      </c>
      <c r="EH43" s="53">
        <v>0</v>
      </c>
      <c r="EI43" s="53">
        <v>0</v>
      </c>
      <c r="EK43" s="53">
        <v>0</v>
      </c>
      <c r="EL43" s="53">
        <v>0</v>
      </c>
      <c r="EM43" s="53">
        <v>0</v>
      </c>
      <c r="EN43" s="53">
        <v>0</v>
      </c>
      <c r="EP43" s="53">
        <v>0</v>
      </c>
      <c r="EQ43" s="53">
        <v>0</v>
      </c>
      <c r="ER43" s="53">
        <v>0</v>
      </c>
      <c r="ES43" s="53">
        <v>0</v>
      </c>
      <c r="EU43" s="53">
        <v>0</v>
      </c>
      <c r="EV43" s="53">
        <v>0</v>
      </c>
      <c r="EW43" s="53">
        <v>0</v>
      </c>
      <c r="EX43" s="53">
        <v>0</v>
      </c>
      <c r="EZ43" s="53">
        <v>0</v>
      </c>
      <c r="FA43" s="53">
        <v>0</v>
      </c>
      <c r="FB43" s="53">
        <v>0</v>
      </c>
      <c r="FC43" s="53">
        <v>0</v>
      </c>
    </row>
    <row r="44" spans="1:159" x14ac:dyDescent="0.25">
      <c r="B44" t="str">
        <v>JV1</v>
      </c>
      <c r="C44" t="str">
        <v>Center</v>
      </c>
      <c r="D44" t="str">
        <v>New Jersey</v>
      </c>
      <c r="E44" s="53">
        <v>0</v>
      </c>
      <c r="F44" s="53">
        <v>0</v>
      </c>
      <c r="G44" s="53">
        <v>0</v>
      </c>
      <c r="H44" s="53">
        <v>0</v>
      </c>
      <c r="J44" s="53">
        <v>0</v>
      </c>
      <c r="K44" s="53">
        <v>0</v>
      </c>
      <c r="L44" s="53">
        <v>0</v>
      </c>
      <c r="M44" s="53">
        <v>0</v>
      </c>
      <c r="O44" s="53">
        <v>0</v>
      </c>
      <c r="P44" s="53">
        <v>0</v>
      </c>
      <c r="Q44" s="53">
        <v>0</v>
      </c>
      <c r="R44" s="53">
        <v>0</v>
      </c>
      <c r="T44" s="53">
        <v>0</v>
      </c>
      <c r="U44" s="53">
        <v>0</v>
      </c>
      <c r="V44" s="53">
        <v>0</v>
      </c>
      <c r="W44" s="53">
        <v>0</v>
      </c>
      <c r="Y44" s="53">
        <v>0</v>
      </c>
      <c r="Z44" s="53">
        <v>0</v>
      </c>
      <c r="AA44" s="53">
        <v>0</v>
      </c>
      <c r="AB44" s="53">
        <v>0</v>
      </c>
      <c r="AD44" s="53">
        <v>0</v>
      </c>
      <c r="AE44" s="53">
        <v>0</v>
      </c>
      <c r="AF44" s="53">
        <v>0</v>
      </c>
      <c r="AG44" s="53">
        <v>0</v>
      </c>
      <c r="AI44" s="53">
        <v>0</v>
      </c>
      <c r="AJ44" s="53">
        <v>0</v>
      </c>
      <c r="AK44" s="53">
        <v>0</v>
      </c>
      <c r="AL44" s="53">
        <v>0</v>
      </c>
      <c r="AN44" s="53">
        <v>0</v>
      </c>
      <c r="AO44" s="53">
        <v>0</v>
      </c>
      <c r="AP44" s="53">
        <v>0</v>
      </c>
      <c r="AQ44" s="53">
        <v>0</v>
      </c>
      <c r="AS44" s="53">
        <v>0</v>
      </c>
      <c r="AT44" s="53">
        <v>0</v>
      </c>
      <c r="AU44" s="53">
        <v>0</v>
      </c>
      <c r="AV44" s="53">
        <v>0</v>
      </c>
      <c r="AX44" s="53">
        <v>0</v>
      </c>
      <c r="AY44" s="53">
        <v>0</v>
      </c>
      <c r="AZ44" s="53">
        <v>0</v>
      </c>
      <c r="BA44" s="53">
        <v>0</v>
      </c>
      <c r="BC44" s="53">
        <v>0</v>
      </c>
      <c r="BD44" s="53">
        <v>0</v>
      </c>
      <c r="BE44" s="53">
        <v>0</v>
      </c>
      <c r="BF44" s="53">
        <v>0</v>
      </c>
      <c r="BH44" s="53">
        <v>0</v>
      </c>
      <c r="BI44" s="53">
        <v>0</v>
      </c>
      <c r="BJ44" s="53">
        <v>0</v>
      </c>
      <c r="BK44" s="53">
        <v>0</v>
      </c>
      <c r="BM44" s="53">
        <v>0</v>
      </c>
      <c r="BN44" s="53">
        <v>0</v>
      </c>
      <c r="BO44" s="53">
        <v>0</v>
      </c>
      <c r="BP44" s="53">
        <v>0</v>
      </c>
      <c r="BR44" s="53">
        <v>0</v>
      </c>
      <c r="BS44" s="53">
        <v>0</v>
      </c>
      <c r="BT44" s="53">
        <v>0</v>
      </c>
      <c r="BV44" s="53">
        <v>0</v>
      </c>
      <c r="BW44" s="53">
        <v>0</v>
      </c>
      <c r="BX44" s="53">
        <v>0</v>
      </c>
      <c r="BY44" s="53">
        <v>0</v>
      </c>
      <c r="CA44" s="53">
        <v>0</v>
      </c>
      <c r="CB44" s="53">
        <v>0</v>
      </c>
      <c r="CC44" s="53">
        <v>0</v>
      </c>
      <c r="CE44" s="53">
        <v>0</v>
      </c>
      <c r="CF44" s="53">
        <v>0</v>
      </c>
      <c r="CG44" s="53">
        <v>0</v>
      </c>
      <c r="CI44" s="53">
        <v>0</v>
      </c>
      <c r="CJ44" s="53">
        <v>0</v>
      </c>
      <c r="CK44" s="53">
        <v>0</v>
      </c>
      <c r="CM44" s="53">
        <v>0</v>
      </c>
      <c r="CN44" s="53">
        <v>0</v>
      </c>
      <c r="CO44" s="53">
        <v>0</v>
      </c>
      <c r="CQ44" s="53">
        <v>0</v>
      </c>
      <c r="CR44" s="53">
        <v>0</v>
      </c>
      <c r="CS44" s="53">
        <v>0</v>
      </c>
      <c r="CU44" s="53">
        <v>0</v>
      </c>
      <c r="CV44" s="53">
        <v>0</v>
      </c>
      <c r="CW44" s="53">
        <v>0</v>
      </c>
      <c r="CY44" s="53">
        <v>0</v>
      </c>
      <c r="CZ44" s="53">
        <v>0</v>
      </c>
      <c r="DA44" s="53">
        <v>0</v>
      </c>
      <c r="DC44" s="53">
        <v>0</v>
      </c>
      <c r="DD44" s="53">
        <v>0</v>
      </c>
      <c r="DE44" s="53">
        <v>0</v>
      </c>
      <c r="DG44" s="53">
        <v>0</v>
      </c>
      <c r="DH44" s="53">
        <v>0</v>
      </c>
      <c r="DI44" s="53">
        <v>0</v>
      </c>
      <c r="DJ44" s="53">
        <v>0</v>
      </c>
      <c r="DL44" s="53">
        <v>0</v>
      </c>
      <c r="DM44" s="53">
        <v>0</v>
      </c>
      <c r="DN44" s="53">
        <v>0</v>
      </c>
      <c r="DO44" s="53">
        <v>0</v>
      </c>
      <c r="DQ44" s="53">
        <v>0</v>
      </c>
      <c r="DR44" s="53">
        <v>0</v>
      </c>
      <c r="DS44" s="53">
        <v>0</v>
      </c>
      <c r="DT44" s="53">
        <v>0</v>
      </c>
      <c r="DV44" s="53">
        <v>0</v>
      </c>
      <c r="DW44" s="53">
        <v>0</v>
      </c>
      <c r="DX44" s="53">
        <v>0</v>
      </c>
      <c r="DY44" s="53">
        <v>0</v>
      </c>
      <c r="EA44" s="53">
        <v>0</v>
      </c>
      <c r="EB44" s="53">
        <v>0</v>
      </c>
      <c r="EC44" s="53">
        <v>0</v>
      </c>
      <c r="ED44" s="53">
        <v>0</v>
      </c>
      <c r="EF44" s="53">
        <v>0</v>
      </c>
      <c r="EG44" s="53">
        <v>0</v>
      </c>
      <c r="EH44" s="53">
        <v>0</v>
      </c>
      <c r="EI44" s="53">
        <v>0</v>
      </c>
      <c r="EK44" s="53">
        <v>0</v>
      </c>
      <c r="EL44" s="53">
        <v>0</v>
      </c>
      <c r="EM44" s="53">
        <v>0</v>
      </c>
      <c r="EN44" s="53">
        <v>0</v>
      </c>
      <c r="EP44" s="53">
        <v>0</v>
      </c>
      <c r="EQ44" s="53">
        <v>0</v>
      </c>
      <c r="ER44" s="53">
        <v>0</v>
      </c>
      <c r="ES44" s="53">
        <v>0</v>
      </c>
      <c r="EU44" s="53">
        <v>0</v>
      </c>
      <c r="EV44" s="53">
        <v>0</v>
      </c>
      <c r="EW44" s="53">
        <v>0</v>
      </c>
      <c r="EX44" s="53">
        <v>0</v>
      </c>
      <c r="EZ44" s="53">
        <v>0</v>
      </c>
      <c r="FA44" s="53">
        <v>0</v>
      </c>
      <c r="FB44" s="53">
        <v>0</v>
      </c>
      <c r="FC44" s="53">
        <v>0</v>
      </c>
    </row>
    <row r="45" spans="1:159" x14ac:dyDescent="0.25">
      <c r="B45" t="str">
        <v>JV1</v>
      </c>
      <c r="C45" t="str">
        <v>Remote</v>
      </c>
      <c r="D45" t="str">
        <v>New Jersey</v>
      </c>
      <c r="E45" s="53">
        <v>0</v>
      </c>
      <c r="F45" s="53">
        <v>0</v>
      </c>
      <c r="G45" s="53">
        <v>0</v>
      </c>
      <c r="H45" s="53">
        <v>0</v>
      </c>
      <c r="J45" s="53">
        <v>0</v>
      </c>
      <c r="K45" s="53">
        <v>0</v>
      </c>
      <c r="L45" s="53">
        <v>0</v>
      </c>
      <c r="M45" s="53">
        <v>0</v>
      </c>
      <c r="O45" s="53">
        <v>0</v>
      </c>
      <c r="P45" s="53">
        <v>0</v>
      </c>
      <c r="Q45" s="53">
        <v>0</v>
      </c>
      <c r="R45" s="53">
        <v>0</v>
      </c>
      <c r="T45" s="53">
        <v>0</v>
      </c>
      <c r="U45" s="53">
        <v>0</v>
      </c>
      <c r="V45" s="53">
        <v>0</v>
      </c>
      <c r="W45" s="53">
        <v>0</v>
      </c>
      <c r="Y45" s="53">
        <v>0</v>
      </c>
      <c r="Z45" s="53">
        <v>0</v>
      </c>
      <c r="AA45" s="53">
        <v>0</v>
      </c>
      <c r="AB45" s="53">
        <v>0</v>
      </c>
      <c r="AD45" s="53">
        <v>0</v>
      </c>
      <c r="AE45" s="53">
        <v>0</v>
      </c>
      <c r="AF45" s="53">
        <v>0</v>
      </c>
      <c r="AG45" s="53">
        <v>0</v>
      </c>
      <c r="AI45" s="53">
        <v>0</v>
      </c>
      <c r="AJ45" s="53">
        <v>0</v>
      </c>
      <c r="AK45" s="53">
        <v>0</v>
      </c>
      <c r="AL45" s="53">
        <v>0</v>
      </c>
      <c r="AN45" s="53">
        <v>0</v>
      </c>
      <c r="AO45" s="53">
        <v>0</v>
      </c>
      <c r="AP45" s="53">
        <v>0</v>
      </c>
      <c r="AQ45" s="53">
        <v>0</v>
      </c>
      <c r="AS45" s="53">
        <v>0</v>
      </c>
      <c r="AT45" s="53">
        <v>0</v>
      </c>
      <c r="AU45" s="53">
        <v>0</v>
      </c>
      <c r="AV45" s="53">
        <v>0</v>
      </c>
      <c r="AX45" s="53">
        <v>0</v>
      </c>
      <c r="AY45" s="53">
        <v>0</v>
      </c>
      <c r="AZ45" s="53">
        <v>0</v>
      </c>
      <c r="BA45" s="53">
        <v>0</v>
      </c>
      <c r="BC45" s="53">
        <v>0</v>
      </c>
      <c r="BD45" s="53">
        <v>0</v>
      </c>
      <c r="BE45" s="53">
        <v>0</v>
      </c>
      <c r="BF45" s="53">
        <v>0</v>
      </c>
      <c r="BH45" s="53">
        <v>0</v>
      </c>
      <c r="BI45" s="53">
        <v>0</v>
      </c>
      <c r="BJ45" s="53">
        <v>0</v>
      </c>
      <c r="BK45" s="53">
        <v>0</v>
      </c>
      <c r="BM45" s="53">
        <v>0</v>
      </c>
      <c r="BN45" s="53">
        <v>0</v>
      </c>
      <c r="BO45" s="53">
        <v>0</v>
      </c>
      <c r="BP45" s="53">
        <v>0</v>
      </c>
      <c r="BR45" s="53">
        <v>0</v>
      </c>
      <c r="BS45" s="53">
        <v>0</v>
      </c>
      <c r="BT45" s="53">
        <v>0</v>
      </c>
      <c r="BV45" s="53">
        <v>0</v>
      </c>
      <c r="BW45" s="53">
        <v>0</v>
      </c>
      <c r="BX45" s="53">
        <v>0</v>
      </c>
      <c r="BY45" s="53">
        <v>0</v>
      </c>
      <c r="CA45" s="53">
        <v>0</v>
      </c>
      <c r="CB45" s="53">
        <v>0</v>
      </c>
      <c r="CC45" s="53">
        <v>0</v>
      </c>
      <c r="CE45" s="53">
        <v>0</v>
      </c>
      <c r="CF45" s="53">
        <v>0</v>
      </c>
      <c r="CG45" s="53">
        <v>0</v>
      </c>
      <c r="CI45" s="53">
        <v>0</v>
      </c>
      <c r="CJ45" s="53">
        <v>0</v>
      </c>
      <c r="CK45" s="53">
        <v>0</v>
      </c>
      <c r="CM45" s="53">
        <v>0</v>
      </c>
      <c r="CN45" s="53">
        <v>0</v>
      </c>
      <c r="CO45" s="53">
        <v>0</v>
      </c>
      <c r="CQ45" s="53">
        <v>0</v>
      </c>
      <c r="CR45" s="53">
        <v>0</v>
      </c>
      <c r="CS45" s="53">
        <v>0</v>
      </c>
      <c r="CU45" s="53">
        <v>0</v>
      </c>
      <c r="CV45" s="53">
        <v>0</v>
      </c>
      <c r="CW45" s="53">
        <v>0</v>
      </c>
      <c r="CY45" s="53">
        <v>0</v>
      </c>
      <c r="CZ45" s="53">
        <v>0</v>
      </c>
      <c r="DA45" s="53">
        <v>0</v>
      </c>
      <c r="DC45" s="53">
        <v>0</v>
      </c>
      <c r="DD45" s="53">
        <v>0</v>
      </c>
      <c r="DE45" s="53">
        <v>0</v>
      </c>
      <c r="DG45" s="53">
        <v>0</v>
      </c>
      <c r="DH45" s="53">
        <v>0</v>
      </c>
      <c r="DI45" s="53">
        <v>0</v>
      </c>
      <c r="DJ45" s="53">
        <v>0</v>
      </c>
      <c r="DL45" s="53">
        <v>0</v>
      </c>
      <c r="DM45" s="53">
        <v>0</v>
      </c>
      <c r="DN45" s="53">
        <v>0</v>
      </c>
      <c r="DO45" s="53">
        <v>0</v>
      </c>
      <c r="DQ45" s="53">
        <v>0</v>
      </c>
      <c r="DR45" s="53">
        <v>0</v>
      </c>
      <c r="DS45" s="53">
        <v>0</v>
      </c>
      <c r="DT45" s="53">
        <v>0</v>
      </c>
      <c r="DV45" s="53">
        <v>0</v>
      </c>
      <c r="DW45" s="53">
        <v>0</v>
      </c>
      <c r="DX45" s="53">
        <v>0</v>
      </c>
      <c r="DY45" s="53">
        <v>0</v>
      </c>
      <c r="EA45" s="53">
        <v>0</v>
      </c>
      <c r="EB45" s="53">
        <v>0</v>
      </c>
      <c r="EC45" s="53">
        <v>0</v>
      </c>
      <c r="ED45" s="53">
        <v>0</v>
      </c>
      <c r="EF45" s="53">
        <v>0</v>
      </c>
      <c r="EG45" s="53">
        <v>0</v>
      </c>
      <c r="EH45" s="53">
        <v>0</v>
      </c>
      <c r="EI45" s="53">
        <v>0</v>
      </c>
      <c r="EK45" s="53">
        <v>0</v>
      </c>
      <c r="EL45" s="53">
        <v>0</v>
      </c>
      <c r="EM45" s="53">
        <v>0</v>
      </c>
      <c r="EN45" s="53">
        <v>0</v>
      </c>
      <c r="EP45" s="53">
        <v>0</v>
      </c>
      <c r="EQ45" s="53">
        <v>0</v>
      </c>
      <c r="ER45" s="53">
        <v>0</v>
      </c>
      <c r="ES45" s="53">
        <v>0</v>
      </c>
      <c r="EU45" s="53">
        <v>0</v>
      </c>
      <c r="EV45" s="53">
        <v>0</v>
      </c>
      <c r="EW45" s="53">
        <v>0</v>
      </c>
      <c r="EX45" s="53">
        <v>0</v>
      </c>
      <c r="EZ45" s="53">
        <v>0</v>
      </c>
      <c r="FA45" s="53">
        <v>0</v>
      </c>
      <c r="FB45" s="53">
        <v>0</v>
      </c>
      <c r="FC45" s="53">
        <v>0</v>
      </c>
    </row>
    <row r="46" spans="1:159" x14ac:dyDescent="0.25">
      <c r="B46" t="str">
        <v>JV2</v>
      </c>
      <c r="C46" t="str">
        <v>Center</v>
      </c>
      <c r="D46" t="str">
        <v>Maryland</v>
      </c>
      <c r="E46" s="53">
        <v>0</v>
      </c>
      <c r="F46" s="53">
        <v>0</v>
      </c>
      <c r="G46" s="53">
        <v>2835.3599999999997</v>
      </c>
      <c r="H46" s="53">
        <v>4410.5599999999995</v>
      </c>
      <c r="J46" s="53">
        <v>0</v>
      </c>
      <c r="K46" s="53">
        <v>0</v>
      </c>
      <c r="L46" s="53">
        <v>282538.90594799997</v>
      </c>
      <c r="M46" s="53">
        <v>439504.96480799996</v>
      </c>
      <c r="O46" s="53">
        <v>0</v>
      </c>
      <c r="P46" s="53">
        <v>0</v>
      </c>
      <c r="Q46" s="53">
        <v>300132.26469823997</v>
      </c>
      <c r="R46" s="53">
        <v>430743.87041504006</v>
      </c>
      <c r="T46" s="53">
        <v>0</v>
      </c>
      <c r="U46" s="53">
        <v>0</v>
      </c>
      <c r="V46" s="53">
        <v>-42772.58340576</v>
      </c>
      <c r="W46" s="53">
        <v>-61608.510468959998</v>
      </c>
      <c r="Y46" s="53">
        <v>0</v>
      </c>
      <c r="Z46" s="53">
        <v>0</v>
      </c>
      <c r="AA46" s="53">
        <v>205012.70618400001</v>
      </c>
      <c r="AB46" s="53">
        <v>318908.654064</v>
      </c>
      <c r="AD46" s="53">
        <v>0</v>
      </c>
      <c r="AE46" s="53">
        <v>0</v>
      </c>
      <c r="AF46" s="53">
        <v>13533.346943999997</v>
      </c>
      <c r="AG46" s="53">
        <v>21051.873023999997</v>
      </c>
      <c r="AI46" s="53">
        <v>0</v>
      </c>
      <c r="AJ46" s="53">
        <v>0</v>
      </c>
      <c r="AK46" s="53">
        <v>55912.556231999988</v>
      </c>
      <c r="AL46" s="53">
        <v>86975.087471999999</v>
      </c>
      <c r="AN46" s="53">
        <v>0</v>
      </c>
      <c r="AO46" s="53">
        <v>0</v>
      </c>
      <c r="AP46" s="53">
        <v>2345.675436</v>
      </c>
      <c r="AQ46" s="53">
        <v>3648.8284559999997</v>
      </c>
      <c r="AS46" s="53">
        <v>0</v>
      </c>
      <c r="AT46" s="53">
        <v>0</v>
      </c>
      <c r="AU46" s="53">
        <v>5734.6211520000006</v>
      </c>
      <c r="AV46" s="53">
        <v>8920.5217920000014</v>
      </c>
      <c r="AX46" s="53">
        <v>0</v>
      </c>
      <c r="AY46" s="53">
        <v>0</v>
      </c>
      <c r="AZ46" s="53">
        <v>0</v>
      </c>
      <c r="BA46" s="53">
        <v>0</v>
      </c>
      <c r="BC46" s="53">
        <v>0</v>
      </c>
      <c r="BD46" s="53">
        <v>0</v>
      </c>
      <c r="BE46" s="53">
        <v>13656.443327999999</v>
      </c>
      <c r="BF46" s="53">
        <v>21243.356287999995</v>
      </c>
      <c r="BH46" s="53">
        <v>0</v>
      </c>
      <c r="BI46" s="53">
        <v>0</v>
      </c>
      <c r="BJ46" s="53">
        <v>73899.28909999998</v>
      </c>
      <c r="BK46" s="53">
        <v>73899.28909999998</v>
      </c>
      <c r="BM46" s="53">
        <v>0</v>
      </c>
      <c r="BN46" s="53">
        <v>0</v>
      </c>
      <c r="BO46" s="53">
        <v>11452.098797568</v>
      </c>
      <c r="BP46" s="53">
        <v>17814.375907327998</v>
      </c>
      <c r="BR46" s="53">
        <v>0</v>
      </c>
      <c r="BS46" s="53">
        <v>0</v>
      </c>
      <c r="BT46" s="53">
        <v>0</v>
      </c>
      <c r="BV46" s="53">
        <v>0</v>
      </c>
      <c r="BW46" s="53">
        <v>0</v>
      </c>
      <c r="BX46" s="53">
        <v>250454.95731602958</v>
      </c>
      <c r="BY46" s="53">
        <v>336105.91466937936</v>
      </c>
      <c r="CA46" s="53">
        <v>85754.22</v>
      </c>
      <c r="CB46" s="53">
        <v>129917.64330000003</v>
      </c>
      <c r="CC46" s="53">
        <v>174081.06660000005</v>
      </c>
      <c r="CE46" s="53">
        <v>34200</v>
      </c>
      <c r="CF46" s="53">
        <v>51984</v>
      </c>
      <c r="CG46" s="53">
        <v>69768</v>
      </c>
      <c r="CI46" s="53">
        <v>7186.9301999999998</v>
      </c>
      <c r="CJ46" s="53">
        <v>11388.437224000001</v>
      </c>
      <c r="CK46" s="53">
        <v>15768.657224</v>
      </c>
      <c r="CM46" s="53">
        <v>25500</v>
      </c>
      <c r="CN46" s="53">
        <v>38505</v>
      </c>
      <c r="CO46" s="53">
        <v>51510</v>
      </c>
      <c r="CQ46" s="53">
        <v>36632.5</v>
      </c>
      <c r="CR46" s="53">
        <v>65465.35</v>
      </c>
      <c r="CS46" s="53">
        <v>102274.6</v>
      </c>
      <c r="CU46" s="53">
        <v>34500</v>
      </c>
      <c r="CV46" s="53">
        <v>52612.5</v>
      </c>
      <c r="CW46" s="53">
        <v>70725</v>
      </c>
      <c r="CY46" s="53">
        <v>126877.11</v>
      </c>
      <c r="CZ46" s="53">
        <v>126877.11</v>
      </c>
      <c r="DA46" s="53">
        <v>0</v>
      </c>
      <c r="DC46" s="53">
        <v>129337.01115179608</v>
      </c>
      <c r="DD46" s="53">
        <v>228340.3465171014</v>
      </c>
      <c r="DE46" s="53">
        <v>348398.03875109431</v>
      </c>
      <c r="DG46" s="53">
        <v>0</v>
      </c>
      <c r="DH46" s="53">
        <v>0</v>
      </c>
      <c r="DI46" s="53">
        <v>0</v>
      </c>
      <c r="DJ46" s="53">
        <v>0</v>
      </c>
      <c r="DL46" s="53">
        <v>0</v>
      </c>
      <c r="DM46" s="53">
        <v>0</v>
      </c>
      <c r="DN46" s="53">
        <v>0</v>
      </c>
      <c r="DO46" s="53">
        <v>-130121.348007664</v>
      </c>
      <c r="DQ46" s="53">
        <v>0</v>
      </c>
      <c r="DR46" s="53">
        <v>0</v>
      </c>
      <c r="DS46" s="53">
        <v>7379.8047673907213</v>
      </c>
      <c r="DT46" s="53">
        <v>12066.083169534839</v>
      </c>
      <c r="DV46" s="53">
        <v>0</v>
      </c>
      <c r="DW46" s="53">
        <v>1</v>
      </c>
      <c r="DX46" s="53">
        <v>1</v>
      </c>
      <c r="DY46" s="53">
        <v>1</v>
      </c>
      <c r="EA46" s="53">
        <v>0</v>
      </c>
      <c r="EB46" s="53">
        <v>1</v>
      </c>
      <c r="EC46" s="53">
        <v>1</v>
      </c>
      <c r="ED46" s="53">
        <v>1</v>
      </c>
      <c r="EF46" s="53">
        <v>0</v>
      </c>
      <c r="EG46" s="53">
        <v>0</v>
      </c>
      <c r="EH46" s="53">
        <v>8.48</v>
      </c>
      <c r="EI46" s="53">
        <v>16</v>
      </c>
      <c r="EK46" s="53">
        <v>0</v>
      </c>
      <c r="EL46" s="53">
        <v>0</v>
      </c>
      <c r="EM46" s="53">
        <v>1.29</v>
      </c>
      <c r="EN46" s="53">
        <v>2.4299999999999997</v>
      </c>
      <c r="EP46" s="53">
        <v>0</v>
      </c>
      <c r="EQ46" s="53">
        <v>0</v>
      </c>
      <c r="ER46" s="53">
        <v>1.29</v>
      </c>
      <c r="ES46" s="53">
        <v>2.4299999999999997</v>
      </c>
      <c r="EU46" s="53">
        <v>0</v>
      </c>
      <c r="EV46" s="53">
        <v>262280</v>
      </c>
      <c r="EW46" s="53">
        <v>393420</v>
      </c>
      <c r="EX46" s="53">
        <v>131140</v>
      </c>
      <c r="EZ46" s="53">
        <v>0</v>
      </c>
      <c r="FA46" s="53">
        <v>0</v>
      </c>
      <c r="FB46" s="53">
        <v>9</v>
      </c>
      <c r="FC46" s="53">
        <v>17</v>
      </c>
    </row>
    <row r="47" spans="1:159" x14ac:dyDescent="0.25">
      <c r="B47" t="str">
        <v>JV2</v>
      </c>
      <c r="C47" t="str">
        <v>Remote</v>
      </c>
      <c r="D47" t="str">
        <v>Maryland</v>
      </c>
      <c r="E47" s="53">
        <v>671.14666666666665</v>
      </c>
      <c r="F47" s="53">
        <v>1755.3066666666668</v>
      </c>
      <c r="G47" s="53">
        <v>2839.4666666666662</v>
      </c>
      <c r="H47" s="53">
        <v>3923.626666666667</v>
      </c>
      <c r="J47" s="53">
        <v>68799.334422</v>
      </c>
      <c r="K47" s="53">
        <v>179936.72079599995</v>
      </c>
      <c r="L47" s="53">
        <v>291074.10716999997</v>
      </c>
      <c r="M47" s="53">
        <v>402211.49354399991</v>
      </c>
      <c r="O47" s="53">
        <v>60543.414291359994</v>
      </c>
      <c r="P47" s="53">
        <v>158344.31430048001</v>
      </c>
      <c r="Q47" s="53">
        <v>256145.21430959995</v>
      </c>
      <c r="R47" s="53">
        <v>353946.11431871995</v>
      </c>
      <c r="T47" s="53">
        <v>-8255.9201306399991</v>
      </c>
      <c r="U47" s="53">
        <v>-21592.406495520001</v>
      </c>
      <c r="V47" s="53">
        <v>-34928.892860399996</v>
      </c>
      <c r="W47" s="53">
        <v>-48265.37922527999</v>
      </c>
      <c r="Y47" s="53">
        <v>51598.315781999991</v>
      </c>
      <c r="Z47" s="53">
        <v>134949.44127599997</v>
      </c>
      <c r="AA47" s="53">
        <v>218300.56676999998</v>
      </c>
      <c r="AB47" s="53">
        <v>301651.69226399995</v>
      </c>
      <c r="AD47" s="53">
        <v>0</v>
      </c>
      <c r="AE47" s="53">
        <v>0</v>
      </c>
      <c r="AF47" s="53">
        <v>0</v>
      </c>
      <c r="AG47" s="53">
        <v>0</v>
      </c>
      <c r="AI47" s="53">
        <v>13460.430204</v>
      </c>
      <c r="AJ47" s="53">
        <v>35204.202072</v>
      </c>
      <c r="AK47" s="53">
        <v>56947.973939999996</v>
      </c>
      <c r="AL47" s="53">
        <v>78691.745808000007</v>
      </c>
      <c r="AN47" s="53">
        <v>1129.3992840000001</v>
      </c>
      <c r="AO47" s="53">
        <v>2953.8135119999997</v>
      </c>
      <c r="AP47" s="53">
        <v>4778.2277400000003</v>
      </c>
      <c r="AQ47" s="53">
        <v>6602.6419679999999</v>
      </c>
      <c r="AS47" s="53">
        <v>2611.1891519999999</v>
      </c>
      <c r="AT47" s="53">
        <v>6829.2639359999994</v>
      </c>
      <c r="AU47" s="53">
        <v>11047.33872</v>
      </c>
      <c r="AV47" s="53">
        <v>15265.413503999996</v>
      </c>
      <c r="AX47" s="53">
        <v>0</v>
      </c>
      <c r="AY47" s="53">
        <v>0</v>
      </c>
      <c r="AZ47" s="53">
        <v>0</v>
      </c>
      <c r="BA47" s="53">
        <v>0</v>
      </c>
      <c r="BC47" s="53">
        <v>0</v>
      </c>
      <c r="BD47" s="53">
        <v>0</v>
      </c>
      <c r="BE47" s="53">
        <v>0</v>
      </c>
      <c r="BF47" s="53">
        <v>0</v>
      </c>
      <c r="BH47" s="53">
        <v>0</v>
      </c>
      <c r="BI47" s="53">
        <v>0</v>
      </c>
      <c r="BJ47" s="53">
        <v>0</v>
      </c>
      <c r="BK47" s="53">
        <v>0</v>
      </c>
      <c r="BM47" s="53">
        <v>0</v>
      </c>
      <c r="BN47" s="53">
        <v>0</v>
      </c>
      <c r="BO47" s="53">
        <v>0</v>
      </c>
      <c r="BP47" s="53">
        <v>0</v>
      </c>
      <c r="BR47" s="53">
        <v>0</v>
      </c>
      <c r="BS47" s="53">
        <v>0</v>
      </c>
      <c r="BT47" s="53">
        <v>0</v>
      </c>
      <c r="BV47" s="53">
        <v>72977.963601650932</v>
      </c>
      <c r="BW47" s="53">
        <v>130197.63566350586</v>
      </c>
      <c r="BX47" s="53">
        <v>178825.81412536078</v>
      </c>
      <c r="BY47" s="53">
        <v>223802.54845388237</v>
      </c>
      <c r="CA47" s="53">
        <v>0</v>
      </c>
      <c r="CB47" s="53">
        <v>0</v>
      </c>
      <c r="CC47" s="53">
        <v>0</v>
      </c>
      <c r="CE47" s="53">
        <v>0</v>
      </c>
      <c r="CF47" s="53">
        <v>0</v>
      </c>
      <c r="CG47" s="53">
        <v>0</v>
      </c>
      <c r="CI47" s="53">
        <v>11617.691200000001</v>
      </c>
      <c r="CJ47" s="53">
        <v>12644.279992</v>
      </c>
      <c r="CK47" s="53">
        <v>13014.913992</v>
      </c>
      <c r="CM47" s="53">
        <v>0</v>
      </c>
      <c r="CN47" s="53">
        <v>0</v>
      </c>
      <c r="CO47" s="53">
        <v>0</v>
      </c>
      <c r="CQ47" s="53">
        <v>53795</v>
      </c>
      <c r="CR47" s="53">
        <v>65388.9</v>
      </c>
      <c r="CS47" s="53">
        <v>73376.950000000012</v>
      </c>
      <c r="CU47" s="53">
        <v>0</v>
      </c>
      <c r="CV47" s="53">
        <v>0</v>
      </c>
      <c r="CW47" s="53">
        <v>0</v>
      </c>
      <c r="CY47" s="53">
        <v>0</v>
      </c>
      <c r="CZ47" s="53">
        <v>0</v>
      </c>
      <c r="DA47" s="53">
        <v>0</v>
      </c>
      <c r="DC47" s="53">
        <v>164372.58084650192</v>
      </c>
      <c r="DD47" s="53">
        <v>206154.35913645415</v>
      </c>
      <c r="DE47" s="53">
        <v>221744.91227480653</v>
      </c>
      <c r="DG47" s="53">
        <v>0</v>
      </c>
      <c r="DH47" s="53">
        <v>0</v>
      </c>
      <c r="DI47" s="53">
        <v>0</v>
      </c>
      <c r="DJ47" s="53">
        <v>0</v>
      </c>
      <c r="DL47" s="53">
        <v>-4191.467143247999</v>
      </c>
      <c r="DM47" s="53">
        <v>-4191.467143247999</v>
      </c>
      <c r="DN47" s="53">
        <v>-13971.557144159999</v>
      </c>
      <c r="DO47" s="53">
        <v>-28641.692145527995</v>
      </c>
      <c r="DQ47" s="53">
        <v>1243.9746892125629</v>
      </c>
      <c r="DR47" s="53">
        <v>3892.4130217736292</v>
      </c>
      <c r="DS47" s="53">
        <v>7390.4934976559261</v>
      </c>
      <c r="DT47" s="53">
        <v>10733.9670441406</v>
      </c>
      <c r="DV47" s="53">
        <v>0</v>
      </c>
      <c r="DW47" s="53">
        <v>0</v>
      </c>
      <c r="DX47" s="53">
        <v>0</v>
      </c>
      <c r="DY47" s="53">
        <v>0</v>
      </c>
      <c r="EA47" s="53">
        <v>0</v>
      </c>
      <c r="EB47" s="53">
        <v>0</v>
      </c>
      <c r="EC47" s="53">
        <v>0</v>
      </c>
      <c r="ED47" s="53">
        <v>0</v>
      </c>
      <c r="EF47" s="53">
        <v>3.1599999999999997</v>
      </c>
      <c r="EG47" s="53">
        <v>6.3199999999999994</v>
      </c>
      <c r="EH47" s="53">
        <v>9.48</v>
      </c>
      <c r="EI47" s="53">
        <v>12.629999999999999</v>
      </c>
      <c r="EK47" s="53">
        <v>1</v>
      </c>
      <c r="EL47" s="53">
        <v>2</v>
      </c>
      <c r="EM47" s="53">
        <v>3</v>
      </c>
      <c r="EN47" s="53">
        <v>4</v>
      </c>
      <c r="EP47" s="53">
        <v>1</v>
      </c>
      <c r="EQ47" s="53">
        <v>2</v>
      </c>
      <c r="ER47" s="53">
        <v>3</v>
      </c>
      <c r="ES47" s="53">
        <v>4</v>
      </c>
      <c r="EU47" s="53">
        <v>0</v>
      </c>
      <c r="EV47" s="53">
        <v>0</v>
      </c>
      <c r="EW47" s="53">
        <v>0</v>
      </c>
      <c r="EX47" s="53">
        <v>0</v>
      </c>
      <c r="EZ47" s="53">
        <v>7</v>
      </c>
      <c r="FA47" s="53">
        <v>14</v>
      </c>
      <c r="FB47" s="53">
        <v>21</v>
      </c>
      <c r="FC47" s="53">
        <v>28</v>
      </c>
    </row>
    <row r="48" spans="1:159" x14ac:dyDescent="0.25">
      <c r="B48" t="str">
        <v>JV2</v>
      </c>
      <c r="C48" t="str">
        <v>Center</v>
      </c>
      <c r="D48" t="str">
        <v>Maryland</v>
      </c>
      <c r="E48" s="53">
        <v>0</v>
      </c>
      <c r="F48" s="53">
        <v>0</v>
      </c>
      <c r="G48" s="53">
        <v>0</v>
      </c>
      <c r="H48" s="53">
        <v>0</v>
      </c>
      <c r="J48" s="53">
        <v>0</v>
      </c>
      <c r="K48" s="53">
        <v>0</v>
      </c>
      <c r="L48" s="53">
        <v>0</v>
      </c>
      <c r="M48" s="53">
        <v>0</v>
      </c>
      <c r="O48" s="53">
        <v>0</v>
      </c>
      <c r="P48" s="53">
        <v>0</v>
      </c>
      <c r="Q48" s="53">
        <v>0</v>
      </c>
      <c r="R48" s="53">
        <v>0</v>
      </c>
      <c r="T48" s="53">
        <v>0</v>
      </c>
      <c r="U48" s="53">
        <v>0</v>
      </c>
      <c r="V48" s="53">
        <v>0</v>
      </c>
      <c r="W48" s="53">
        <v>0</v>
      </c>
      <c r="Y48" s="53">
        <v>0</v>
      </c>
      <c r="Z48" s="53">
        <v>0</v>
      </c>
      <c r="AA48" s="53">
        <v>0</v>
      </c>
      <c r="AB48" s="53">
        <v>0</v>
      </c>
      <c r="AD48" s="53">
        <v>0</v>
      </c>
      <c r="AE48" s="53">
        <v>0</v>
      </c>
      <c r="AF48" s="53">
        <v>0</v>
      </c>
      <c r="AG48" s="53">
        <v>0</v>
      </c>
      <c r="AI48" s="53">
        <v>0</v>
      </c>
      <c r="AJ48" s="53">
        <v>0</v>
      </c>
      <c r="AK48" s="53">
        <v>0</v>
      </c>
      <c r="AL48" s="53">
        <v>0</v>
      </c>
      <c r="AN48" s="53">
        <v>0</v>
      </c>
      <c r="AO48" s="53">
        <v>0</v>
      </c>
      <c r="AP48" s="53">
        <v>0</v>
      </c>
      <c r="AQ48" s="53">
        <v>0</v>
      </c>
      <c r="AS48" s="53">
        <v>0</v>
      </c>
      <c r="AT48" s="53">
        <v>0</v>
      </c>
      <c r="AU48" s="53">
        <v>0</v>
      </c>
      <c r="AV48" s="53">
        <v>0</v>
      </c>
      <c r="AX48" s="53">
        <v>0</v>
      </c>
      <c r="AY48" s="53">
        <v>0</v>
      </c>
      <c r="AZ48" s="53">
        <v>0</v>
      </c>
      <c r="BA48" s="53">
        <v>0</v>
      </c>
      <c r="BC48" s="53">
        <v>0</v>
      </c>
      <c r="BD48" s="53">
        <v>0</v>
      </c>
      <c r="BE48" s="53">
        <v>0</v>
      </c>
      <c r="BF48" s="53">
        <v>0</v>
      </c>
      <c r="BH48" s="53">
        <v>0</v>
      </c>
      <c r="BI48" s="53">
        <v>0</v>
      </c>
      <c r="BJ48" s="53">
        <v>0</v>
      </c>
      <c r="BK48" s="53">
        <v>0</v>
      </c>
      <c r="BM48" s="53">
        <v>0</v>
      </c>
      <c r="BN48" s="53">
        <v>0</v>
      </c>
      <c r="BO48" s="53">
        <v>0</v>
      </c>
      <c r="BP48" s="53">
        <v>0</v>
      </c>
      <c r="BR48" s="53">
        <v>0</v>
      </c>
      <c r="BS48" s="53">
        <v>0</v>
      </c>
      <c r="BT48" s="53">
        <v>0</v>
      </c>
      <c r="BV48" s="53">
        <v>0</v>
      </c>
      <c r="BW48" s="53">
        <v>0</v>
      </c>
      <c r="BX48" s="53">
        <v>0</v>
      </c>
      <c r="BY48" s="53">
        <v>0</v>
      </c>
      <c r="CA48" s="53">
        <v>0</v>
      </c>
      <c r="CB48" s="53">
        <v>0</v>
      </c>
      <c r="CC48" s="53">
        <v>0</v>
      </c>
      <c r="CE48" s="53">
        <v>0</v>
      </c>
      <c r="CF48" s="53">
        <v>0</v>
      </c>
      <c r="CG48" s="53">
        <v>0</v>
      </c>
      <c r="CI48" s="53">
        <v>0</v>
      </c>
      <c r="CJ48" s="53">
        <v>0</v>
      </c>
      <c r="CK48" s="53">
        <v>0</v>
      </c>
      <c r="CM48" s="53">
        <v>0</v>
      </c>
      <c r="CN48" s="53">
        <v>0</v>
      </c>
      <c r="CO48" s="53">
        <v>0</v>
      </c>
      <c r="CQ48" s="53">
        <v>0</v>
      </c>
      <c r="CR48" s="53">
        <v>0</v>
      </c>
      <c r="CS48" s="53">
        <v>0</v>
      </c>
      <c r="CU48" s="53">
        <v>0</v>
      </c>
      <c r="CV48" s="53">
        <v>0</v>
      </c>
      <c r="CW48" s="53">
        <v>0</v>
      </c>
      <c r="CY48" s="53">
        <v>0</v>
      </c>
      <c r="CZ48" s="53">
        <v>0</v>
      </c>
      <c r="DA48" s="53">
        <v>126877.11</v>
      </c>
      <c r="DC48" s="53">
        <v>0</v>
      </c>
      <c r="DD48" s="53">
        <v>0</v>
      </c>
      <c r="DE48" s="53">
        <v>0</v>
      </c>
      <c r="DG48" s="53">
        <v>0</v>
      </c>
      <c r="DH48" s="53">
        <v>0</v>
      </c>
      <c r="DI48" s="53">
        <v>0</v>
      </c>
      <c r="DJ48" s="53">
        <v>0</v>
      </c>
      <c r="DL48" s="53">
        <v>0</v>
      </c>
      <c r="DM48" s="53">
        <v>0</v>
      </c>
      <c r="DN48" s="53">
        <v>0</v>
      </c>
      <c r="DO48" s="53">
        <v>0</v>
      </c>
      <c r="DQ48" s="53">
        <v>0</v>
      </c>
      <c r="DR48" s="53">
        <v>0</v>
      </c>
      <c r="DS48" s="53">
        <v>0</v>
      </c>
      <c r="DT48" s="53">
        <v>0</v>
      </c>
      <c r="DV48" s="53">
        <v>0</v>
      </c>
      <c r="DW48" s="53">
        <v>0</v>
      </c>
      <c r="DX48" s="53">
        <v>0</v>
      </c>
      <c r="DY48" s="53">
        <v>0</v>
      </c>
      <c r="EA48" s="53">
        <v>0</v>
      </c>
      <c r="EB48" s="53">
        <v>0</v>
      </c>
      <c r="EC48" s="53">
        <v>0</v>
      </c>
      <c r="ED48" s="53">
        <v>0</v>
      </c>
      <c r="EF48" s="53">
        <v>0</v>
      </c>
      <c r="EG48" s="53">
        <v>0</v>
      </c>
      <c r="EH48" s="53">
        <v>0</v>
      </c>
      <c r="EI48" s="53">
        <v>0</v>
      </c>
      <c r="EK48" s="53">
        <v>0</v>
      </c>
      <c r="EL48" s="53">
        <v>0</v>
      </c>
      <c r="EM48" s="53">
        <v>0</v>
      </c>
      <c r="EN48" s="53">
        <v>0</v>
      </c>
      <c r="EP48" s="53">
        <v>0</v>
      </c>
      <c r="EQ48" s="53">
        <v>0</v>
      </c>
      <c r="ER48" s="53">
        <v>0</v>
      </c>
      <c r="ES48" s="53">
        <v>0</v>
      </c>
      <c r="EU48" s="53">
        <v>0</v>
      </c>
      <c r="EV48" s="53">
        <v>0</v>
      </c>
      <c r="EW48" s="53">
        <v>0</v>
      </c>
      <c r="EX48" s="53">
        <v>0</v>
      </c>
      <c r="EZ48" s="53">
        <v>0</v>
      </c>
      <c r="FA48" s="53">
        <v>0</v>
      </c>
      <c r="FB48" s="53">
        <v>0</v>
      </c>
      <c r="FC48" s="53">
        <v>0</v>
      </c>
    </row>
    <row r="49" spans="2:159" x14ac:dyDescent="0.25">
      <c r="B49" t="str">
        <v>JV2</v>
      </c>
      <c r="C49" t="str">
        <v>Center</v>
      </c>
      <c r="D49" t="str">
        <v>Maryland</v>
      </c>
      <c r="E49" s="53">
        <v>0</v>
      </c>
      <c r="F49" s="53">
        <v>0</v>
      </c>
      <c r="G49" s="53">
        <v>0</v>
      </c>
      <c r="H49" s="53">
        <v>0</v>
      </c>
      <c r="J49" s="53">
        <v>0</v>
      </c>
      <c r="K49" s="53">
        <v>0</v>
      </c>
      <c r="L49" s="53">
        <v>0</v>
      </c>
      <c r="M49" s="53">
        <v>0</v>
      </c>
      <c r="O49" s="53">
        <v>0</v>
      </c>
      <c r="P49" s="53">
        <v>0</v>
      </c>
      <c r="Q49" s="53">
        <v>0</v>
      </c>
      <c r="R49" s="53">
        <v>0</v>
      </c>
      <c r="T49" s="53">
        <v>0</v>
      </c>
      <c r="U49" s="53">
        <v>0</v>
      </c>
      <c r="V49" s="53">
        <v>0</v>
      </c>
      <c r="W49" s="53">
        <v>0</v>
      </c>
      <c r="Y49" s="53">
        <v>0</v>
      </c>
      <c r="Z49" s="53">
        <v>0</v>
      </c>
      <c r="AA49" s="53">
        <v>0</v>
      </c>
      <c r="AB49" s="53">
        <v>0</v>
      </c>
      <c r="AD49" s="53">
        <v>0</v>
      </c>
      <c r="AE49" s="53">
        <v>0</v>
      </c>
      <c r="AF49" s="53">
        <v>0</v>
      </c>
      <c r="AG49" s="53">
        <v>0</v>
      </c>
      <c r="AI49" s="53">
        <v>0</v>
      </c>
      <c r="AJ49" s="53">
        <v>0</v>
      </c>
      <c r="AK49" s="53">
        <v>0</v>
      </c>
      <c r="AL49" s="53">
        <v>0</v>
      </c>
      <c r="AN49" s="53">
        <v>0</v>
      </c>
      <c r="AO49" s="53">
        <v>0</v>
      </c>
      <c r="AP49" s="53">
        <v>0</v>
      </c>
      <c r="AQ49" s="53">
        <v>0</v>
      </c>
      <c r="AS49" s="53">
        <v>0</v>
      </c>
      <c r="AT49" s="53">
        <v>0</v>
      </c>
      <c r="AU49" s="53">
        <v>0</v>
      </c>
      <c r="AV49" s="53">
        <v>0</v>
      </c>
      <c r="AX49" s="53">
        <v>0</v>
      </c>
      <c r="AY49" s="53">
        <v>0</v>
      </c>
      <c r="AZ49" s="53">
        <v>0</v>
      </c>
      <c r="BA49" s="53">
        <v>0</v>
      </c>
      <c r="BC49" s="53">
        <v>0</v>
      </c>
      <c r="BD49" s="53">
        <v>0</v>
      </c>
      <c r="BE49" s="53">
        <v>0</v>
      </c>
      <c r="BF49" s="53">
        <v>0</v>
      </c>
      <c r="BH49" s="53">
        <v>0</v>
      </c>
      <c r="BI49" s="53">
        <v>0</v>
      </c>
      <c r="BJ49" s="53">
        <v>0</v>
      </c>
      <c r="BK49" s="53">
        <v>0</v>
      </c>
      <c r="BM49" s="53">
        <v>0</v>
      </c>
      <c r="BN49" s="53">
        <v>0</v>
      </c>
      <c r="BO49" s="53">
        <v>0</v>
      </c>
      <c r="BP49" s="53">
        <v>0</v>
      </c>
      <c r="BR49" s="53">
        <v>0</v>
      </c>
      <c r="BS49" s="53">
        <v>0</v>
      </c>
      <c r="BT49" s="53">
        <v>0</v>
      </c>
      <c r="BV49" s="53">
        <v>0</v>
      </c>
      <c r="BW49" s="53">
        <v>0</v>
      </c>
      <c r="BX49" s="53">
        <v>0</v>
      </c>
      <c r="BY49" s="53">
        <v>0</v>
      </c>
      <c r="CA49" s="53">
        <v>0</v>
      </c>
      <c r="CB49" s="53">
        <v>0</v>
      </c>
      <c r="CC49" s="53">
        <v>0</v>
      </c>
      <c r="CE49" s="53">
        <v>0</v>
      </c>
      <c r="CF49" s="53">
        <v>0</v>
      </c>
      <c r="CG49" s="53">
        <v>0</v>
      </c>
      <c r="CI49" s="53">
        <v>0</v>
      </c>
      <c r="CJ49" s="53">
        <v>0</v>
      </c>
      <c r="CK49" s="53">
        <v>0</v>
      </c>
      <c r="CM49" s="53">
        <v>0</v>
      </c>
      <c r="CN49" s="53">
        <v>0</v>
      </c>
      <c r="CO49" s="53">
        <v>0</v>
      </c>
      <c r="CQ49" s="53">
        <v>0</v>
      </c>
      <c r="CR49" s="53">
        <v>0</v>
      </c>
      <c r="CS49" s="53">
        <v>0</v>
      </c>
      <c r="CU49" s="53">
        <v>0</v>
      </c>
      <c r="CV49" s="53">
        <v>0</v>
      </c>
      <c r="CW49" s="53">
        <v>0</v>
      </c>
      <c r="CY49" s="53">
        <v>0</v>
      </c>
      <c r="CZ49" s="53">
        <v>0</v>
      </c>
      <c r="DA49" s="53">
        <v>0</v>
      </c>
      <c r="DC49" s="53">
        <v>0</v>
      </c>
      <c r="DD49" s="53">
        <v>0</v>
      </c>
      <c r="DE49" s="53">
        <v>0</v>
      </c>
      <c r="DG49" s="53">
        <v>0</v>
      </c>
      <c r="DH49" s="53">
        <v>0</v>
      </c>
      <c r="DI49" s="53">
        <v>0</v>
      </c>
      <c r="DJ49" s="53">
        <v>0</v>
      </c>
      <c r="DL49" s="53">
        <v>0</v>
      </c>
      <c r="DM49" s="53">
        <v>0</v>
      </c>
      <c r="DN49" s="53">
        <v>0</v>
      </c>
      <c r="DO49" s="53">
        <v>0</v>
      </c>
      <c r="DQ49" s="53">
        <v>0</v>
      </c>
      <c r="DR49" s="53">
        <v>0</v>
      </c>
      <c r="DS49" s="53">
        <v>0</v>
      </c>
      <c r="DT49" s="53">
        <v>0</v>
      </c>
      <c r="DV49" s="53">
        <v>0</v>
      </c>
      <c r="DW49" s="53">
        <v>0</v>
      </c>
      <c r="DX49" s="53">
        <v>0</v>
      </c>
      <c r="DY49" s="53">
        <v>0</v>
      </c>
      <c r="EA49" s="53">
        <v>0</v>
      </c>
      <c r="EB49" s="53">
        <v>0</v>
      </c>
      <c r="EC49" s="53">
        <v>0</v>
      </c>
      <c r="ED49" s="53">
        <v>0</v>
      </c>
      <c r="EF49" s="53">
        <v>0</v>
      </c>
      <c r="EG49" s="53">
        <v>0</v>
      </c>
      <c r="EH49" s="53">
        <v>0</v>
      </c>
      <c r="EI49" s="53">
        <v>0</v>
      </c>
      <c r="EK49" s="53">
        <v>0</v>
      </c>
      <c r="EL49" s="53">
        <v>0</v>
      </c>
      <c r="EM49" s="53">
        <v>0</v>
      </c>
      <c r="EN49" s="53">
        <v>0</v>
      </c>
      <c r="EP49" s="53">
        <v>0</v>
      </c>
      <c r="EQ49" s="53">
        <v>0</v>
      </c>
      <c r="ER49" s="53">
        <v>0</v>
      </c>
      <c r="ES49" s="53">
        <v>0</v>
      </c>
      <c r="EU49" s="53">
        <v>0</v>
      </c>
      <c r="EV49" s="53">
        <v>0</v>
      </c>
      <c r="EW49" s="53">
        <v>0</v>
      </c>
      <c r="EX49" s="53">
        <v>0</v>
      </c>
      <c r="EZ49" s="53">
        <v>0</v>
      </c>
      <c r="FA49" s="53">
        <v>0</v>
      </c>
      <c r="FB49" s="53">
        <v>0</v>
      </c>
      <c r="FC49" s="53">
        <v>0</v>
      </c>
    </row>
    <row r="50" spans="2:159" x14ac:dyDescent="0.25">
      <c r="B50" t="str">
        <v>JV2</v>
      </c>
      <c r="C50" t="str">
        <v>Center</v>
      </c>
      <c r="D50" t="str">
        <v>North Carolina</v>
      </c>
      <c r="E50" s="53">
        <v>0</v>
      </c>
      <c r="F50" s="53">
        <v>315.03999999999996</v>
      </c>
      <c r="G50" s="53">
        <v>2835.3599999999997</v>
      </c>
      <c r="H50" s="53">
        <v>5670.7199999999993</v>
      </c>
      <c r="J50" s="53">
        <v>0</v>
      </c>
      <c r="K50" s="53">
        <v>30952.996875199991</v>
      </c>
      <c r="L50" s="53">
        <v>278576.9718768</v>
      </c>
      <c r="M50" s="53">
        <v>557153.9437536</v>
      </c>
      <c r="O50" s="53">
        <v>0</v>
      </c>
      <c r="P50" s="53">
        <v>44017.006823509328</v>
      </c>
      <c r="Q50" s="53">
        <v>270691.88557158399</v>
      </c>
      <c r="R50" s="53">
        <v>478653.18322316802</v>
      </c>
      <c r="T50" s="53">
        <v>0</v>
      </c>
      <c r="U50" s="53">
        <v>-6565.7499850239983</v>
      </c>
      <c r="V50" s="53">
        <v>-41983.407705215992</v>
      </c>
      <c r="W50" s="53">
        <v>-75412.644330431998</v>
      </c>
      <c r="Y50" s="53">
        <v>0</v>
      </c>
      <c r="Z50" s="53">
        <v>21550.246660799996</v>
      </c>
      <c r="AA50" s="53">
        <v>193952.21994719998</v>
      </c>
      <c r="AB50" s="53">
        <v>387904.43989439995</v>
      </c>
      <c r="AD50" s="53">
        <v>0</v>
      </c>
      <c r="AE50" s="53">
        <v>4131.8263999999999</v>
      </c>
      <c r="AF50" s="53">
        <v>37186.437599999997</v>
      </c>
      <c r="AG50" s="53">
        <v>74372.875199999995</v>
      </c>
      <c r="AI50" s="53">
        <v>0</v>
      </c>
      <c r="AJ50" s="53">
        <v>4549.9253904000007</v>
      </c>
      <c r="AK50" s="53">
        <v>40949.328513600005</v>
      </c>
      <c r="AL50" s="53">
        <v>81898.65702720001</v>
      </c>
      <c r="AN50" s="53">
        <v>0</v>
      </c>
      <c r="AO50" s="53">
        <v>257.444568</v>
      </c>
      <c r="AP50" s="53">
        <v>2317.0011119999999</v>
      </c>
      <c r="AQ50" s="53">
        <v>4634.0022239999998</v>
      </c>
      <c r="AS50" s="53">
        <v>0</v>
      </c>
      <c r="AT50" s="53">
        <v>463.553856</v>
      </c>
      <c r="AU50" s="53">
        <v>4171.9847040000004</v>
      </c>
      <c r="AV50" s="53">
        <v>8343.9694080000008</v>
      </c>
      <c r="AX50" s="53">
        <v>0</v>
      </c>
      <c r="AY50" s="53">
        <v>0</v>
      </c>
      <c r="AZ50" s="53">
        <v>0</v>
      </c>
      <c r="BA50" s="53">
        <v>0</v>
      </c>
      <c r="BC50" s="53">
        <v>0</v>
      </c>
      <c r="BD50" s="53">
        <v>1661.2971935999999</v>
      </c>
      <c r="BE50" s="53">
        <v>14951.6747424</v>
      </c>
      <c r="BF50" s="53">
        <v>29903.349484800001</v>
      </c>
      <c r="BH50" s="53">
        <v>0</v>
      </c>
      <c r="BI50" s="53">
        <v>23761.586333333333</v>
      </c>
      <c r="BJ50" s="53">
        <v>71284.758999999991</v>
      </c>
      <c r="BK50" s="53">
        <v>71284.758999999991</v>
      </c>
      <c r="BM50" s="53">
        <v>0</v>
      </c>
      <c r="BN50" s="53">
        <v>974.64780441600021</v>
      </c>
      <c r="BO50" s="53">
        <v>8771.830239744002</v>
      </c>
      <c r="BP50" s="53">
        <v>17543.660479488</v>
      </c>
      <c r="BR50" s="53">
        <v>0</v>
      </c>
      <c r="BS50" s="53">
        <v>0</v>
      </c>
      <c r="BT50" s="53">
        <v>0</v>
      </c>
      <c r="BV50" s="53">
        <v>0</v>
      </c>
      <c r="BW50" s="53">
        <v>40072.159524003298</v>
      </c>
      <c r="BX50" s="53">
        <v>243866.24238269625</v>
      </c>
      <c r="BY50" s="53">
        <v>387363.38809872593</v>
      </c>
      <c r="CA50" s="53">
        <v>46991</v>
      </c>
      <c r="CB50" s="53">
        <v>67734.17</v>
      </c>
      <c r="CC50" s="53">
        <v>81764.34</v>
      </c>
      <c r="CE50" s="53">
        <v>39200</v>
      </c>
      <c r="CF50" s="53">
        <v>56672</v>
      </c>
      <c r="CG50" s="53">
        <v>68544</v>
      </c>
      <c r="CI50" s="53">
        <v>6617.5015999999996</v>
      </c>
      <c r="CJ50" s="53">
        <v>10314.407279999999</v>
      </c>
      <c r="CK50" s="53">
        <v>13952.281072</v>
      </c>
      <c r="CM50" s="53">
        <v>42000</v>
      </c>
      <c r="CN50" s="53">
        <v>60360</v>
      </c>
      <c r="CO50" s="53">
        <v>72720</v>
      </c>
      <c r="CQ50" s="53">
        <v>55079.499999999993</v>
      </c>
      <c r="CR50" s="53">
        <v>98937.459999999992</v>
      </c>
      <c r="CS50" s="53">
        <v>150988.87</v>
      </c>
      <c r="CU50" s="53">
        <v>33250</v>
      </c>
      <c r="CV50" s="53">
        <v>48212.5</v>
      </c>
      <c r="CW50" s="53">
        <v>58425</v>
      </c>
      <c r="CY50" s="53">
        <v>104139</v>
      </c>
      <c r="CZ50" s="53">
        <v>104139</v>
      </c>
      <c r="DA50" s="53">
        <v>0</v>
      </c>
      <c r="DC50" s="53">
        <v>140916.2046636045</v>
      </c>
      <c r="DD50" s="53">
        <v>245749.83410112292</v>
      </c>
      <c r="DE50" s="53">
        <v>358520.58442351699</v>
      </c>
      <c r="DG50" s="53">
        <v>0</v>
      </c>
      <c r="DH50" s="53">
        <v>0</v>
      </c>
      <c r="DI50" s="53">
        <v>0</v>
      </c>
      <c r="DJ50" s="53">
        <v>0</v>
      </c>
      <c r="DL50" s="53">
        <v>0</v>
      </c>
      <c r="DM50" s="53">
        <v>0</v>
      </c>
      <c r="DN50" s="53">
        <v>-43353.786896123725</v>
      </c>
      <c r="DO50" s="53">
        <v>-149095.96308772266</v>
      </c>
      <c r="DQ50" s="53">
        <v>0</v>
      </c>
      <c r="DR50" s="53">
        <v>698.60487723677738</v>
      </c>
      <c r="DS50" s="53">
        <v>7379.8047673907213</v>
      </c>
      <c r="DT50" s="53">
        <v>15513.535503687652</v>
      </c>
      <c r="DV50" s="53">
        <v>1</v>
      </c>
      <c r="DW50" s="53">
        <v>1</v>
      </c>
      <c r="DX50" s="53">
        <v>1</v>
      </c>
      <c r="DY50" s="53">
        <v>1</v>
      </c>
      <c r="EA50" s="53">
        <v>0</v>
      </c>
      <c r="EB50" s="53">
        <v>1</v>
      </c>
      <c r="EC50" s="53">
        <v>1</v>
      </c>
      <c r="ED50" s="53">
        <v>1</v>
      </c>
      <c r="EF50" s="53">
        <v>0</v>
      </c>
      <c r="EG50" s="53">
        <v>2.8299999999999996</v>
      </c>
      <c r="EH50" s="53">
        <v>11.299999999999999</v>
      </c>
      <c r="EI50" s="53">
        <v>19.770000000000003</v>
      </c>
      <c r="EK50" s="53">
        <v>0</v>
      </c>
      <c r="EL50" s="53">
        <v>0.43</v>
      </c>
      <c r="EM50" s="53">
        <v>1.72</v>
      </c>
      <c r="EN50" s="53">
        <v>3</v>
      </c>
      <c r="EP50" s="53">
        <v>0</v>
      </c>
      <c r="EQ50" s="53">
        <v>0.43</v>
      </c>
      <c r="ER50" s="53">
        <v>1.72</v>
      </c>
      <c r="ES50" s="53">
        <v>3</v>
      </c>
      <c r="EU50" s="53">
        <v>0</v>
      </c>
      <c r="EV50" s="53">
        <v>393420</v>
      </c>
      <c r="EW50" s="53">
        <v>393420</v>
      </c>
      <c r="EX50" s="53">
        <v>0</v>
      </c>
      <c r="EZ50" s="53">
        <v>0</v>
      </c>
      <c r="FA50" s="53">
        <v>3</v>
      </c>
      <c r="FB50" s="53">
        <v>12</v>
      </c>
      <c r="FC50" s="53">
        <v>21</v>
      </c>
    </row>
    <row r="51" spans="2:159" x14ac:dyDescent="0.25">
      <c r="B51" t="str">
        <v>JV2</v>
      </c>
      <c r="C51" t="str">
        <v>Center</v>
      </c>
      <c r="D51" t="str">
        <v>North Carolina</v>
      </c>
      <c r="E51" s="53">
        <v>0</v>
      </c>
      <c r="F51" s="53">
        <v>0</v>
      </c>
      <c r="G51" s="53">
        <v>0</v>
      </c>
      <c r="H51" s="53">
        <v>1575.1999999999998</v>
      </c>
      <c r="J51" s="53">
        <v>0</v>
      </c>
      <c r="K51" s="53">
        <v>0</v>
      </c>
      <c r="L51" s="53">
        <v>0</v>
      </c>
      <c r="M51" s="53">
        <v>154764.98437600001</v>
      </c>
      <c r="O51" s="53">
        <v>0</v>
      </c>
      <c r="P51" s="53">
        <v>0</v>
      </c>
      <c r="Q51" s="53">
        <v>0</v>
      </c>
      <c r="R51" s="53">
        <v>115534.05425088</v>
      </c>
      <c r="T51" s="53">
        <v>0</v>
      </c>
      <c r="U51" s="53">
        <v>0</v>
      </c>
      <c r="V51" s="53">
        <v>0</v>
      </c>
      <c r="W51" s="53">
        <v>-18571.798125119996</v>
      </c>
      <c r="Y51" s="53">
        <v>0</v>
      </c>
      <c r="Z51" s="53">
        <v>0</v>
      </c>
      <c r="AA51" s="53">
        <v>0</v>
      </c>
      <c r="AB51" s="53">
        <v>107751.23330399999</v>
      </c>
      <c r="AD51" s="53">
        <v>0</v>
      </c>
      <c r="AE51" s="53">
        <v>0</v>
      </c>
      <c r="AF51" s="53">
        <v>0</v>
      </c>
      <c r="AG51" s="53">
        <v>20659.131999999998</v>
      </c>
      <c r="AI51" s="53">
        <v>0</v>
      </c>
      <c r="AJ51" s="53">
        <v>0</v>
      </c>
      <c r="AK51" s="53">
        <v>0</v>
      </c>
      <c r="AL51" s="53">
        <v>22749.626951999999</v>
      </c>
      <c r="AN51" s="53">
        <v>0</v>
      </c>
      <c r="AO51" s="53">
        <v>0</v>
      </c>
      <c r="AP51" s="53">
        <v>0</v>
      </c>
      <c r="AQ51" s="53">
        <v>1287.2228399999999</v>
      </c>
      <c r="AS51" s="53">
        <v>0</v>
      </c>
      <c r="AT51" s="53">
        <v>0</v>
      </c>
      <c r="AU51" s="53">
        <v>0</v>
      </c>
      <c r="AV51" s="53">
        <v>2317.76928</v>
      </c>
      <c r="AX51" s="53">
        <v>0</v>
      </c>
      <c r="AY51" s="53">
        <v>0</v>
      </c>
      <c r="AZ51" s="53">
        <v>0</v>
      </c>
      <c r="BA51" s="53">
        <v>0</v>
      </c>
      <c r="BC51" s="53">
        <v>0</v>
      </c>
      <c r="BD51" s="53">
        <v>0</v>
      </c>
      <c r="BE51" s="53">
        <v>0</v>
      </c>
      <c r="BF51" s="53">
        <v>0</v>
      </c>
      <c r="BH51" s="53">
        <v>0</v>
      </c>
      <c r="BI51" s="53">
        <v>0</v>
      </c>
      <c r="BJ51" s="53">
        <v>0</v>
      </c>
      <c r="BK51" s="53">
        <v>0</v>
      </c>
      <c r="BM51" s="53">
        <v>0</v>
      </c>
      <c r="BN51" s="53">
        <v>0</v>
      </c>
      <c r="BO51" s="53">
        <v>0</v>
      </c>
      <c r="BP51" s="53">
        <v>0</v>
      </c>
      <c r="BR51" s="53">
        <v>0</v>
      </c>
      <c r="BS51" s="53">
        <v>0</v>
      </c>
      <c r="BT51" s="53">
        <v>0</v>
      </c>
      <c r="BV51" s="53">
        <v>0</v>
      </c>
      <c r="BW51" s="53">
        <v>0</v>
      </c>
      <c r="BX51" s="53">
        <v>0</v>
      </c>
      <c r="BY51" s="53">
        <v>125649.45095334978</v>
      </c>
      <c r="CA51" s="53">
        <v>20139</v>
      </c>
      <c r="CB51" s="53">
        <v>40882.17</v>
      </c>
      <c r="CC51" s="53">
        <v>61625.34</v>
      </c>
      <c r="CE51" s="53">
        <v>13800</v>
      </c>
      <c r="CF51" s="53">
        <v>28152</v>
      </c>
      <c r="CG51" s="53">
        <v>42504</v>
      </c>
      <c r="CI51" s="53">
        <v>2277.7144000000003</v>
      </c>
      <c r="CJ51" s="53">
        <v>5522.5813760000001</v>
      </c>
      <c r="CK51" s="53">
        <v>9047.782432</v>
      </c>
      <c r="CM51" s="53">
        <v>13500</v>
      </c>
      <c r="CN51" s="53">
        <v>27270</v>
      </c>
      <c r="CO51" s="53">
        <v>41040</v>
      </c>
      <c r="CQ51" s="53">
        <v>13272.5</v>
      </c>
      <c r="CR51" s="53">
        <v>39112.67</v>
      </c>
      <c r="CS51" s="53">
        <v>75809.209999999992</v>
      </c>
      <c r="CU51" s="53">
        <v>11850</v>
      </c>
      <c r="CV51" s="53">
        <v>24292.5</v>
      </c>
      <c r="CW51" s="53">
        <v>36735</v>
      </c>
      <c r="CY51" s="53">
        <v>103139</v>
      </c>
      <c r="CZ51" s="53">
        <v>103139</v>
      </c>
      <c r="DA51" s="53">
        <v>103139</v>
      </c>
      <c r="DC51" s="53">
        <v>18476.675673184993</v>
      </c>
      <c r="DD51" s="53">
        <v>67713.749463130778</v>
      </c>
      <c r="DE51" s="53">
        <v>138508.96582484388</v>
      </c>
      <c r="DG51" s="53">
        <v>0</v>
      </c>
      <c r="DH51" s="53">
        <v>0</v>
      </c>
      <c r="DI51" s="53">
        <v>0</v>
      </c>
      <c r="DJ51" s="53">
        <v>0</v>
      </c>
      <c r="DL51" s="53">
        <v>0</v>
      </c>
      <c r="DM51" s="53">
        <v>0</v>
      </c>
      <c r="DN51" s="53">
        <v>0</v>
      </c>
      <c r="DO51" s="53">
        <v>0</v>
      </c>
      <c r="DQ51" s="53">
        <v>0</v>
      </c>
      <c r="DR51" s="53">
        <v>0</v>
      </c>
      <c r="DS51" s="53">
        <v>0</v>
      </c>
      <c r="DT51" s="53">
        <v>4309.3154176910139</v>
      </c>
      <c r="DV51" s="53">
        <v>0</v>
      </c>
      <c r="DW51" s="53">
        <v>0</v>
      </c>
      <c r="DX51" s="53">
        <v>0</v>
      </c>
      <c r="DY51" s="53">
        <v>0</v>
      </c>
      <c r="EA51" s="53">
        <v>0</v>
      </c>
      <c r="EB51" s="53">
        <v>0</v>
      </c>
      <c r="EC51" s="53">
        <v>0</v>
      </c>
      <c r="ED51" s="53">
        <v>0</v>
      </c>
      <c r="EF51" s="53">
        <v>0</v>
      </c>
      <c r="EG51" s="53">
        <v>0</v>
      </c>
      <c r="EH51" s="53">
        <v>0</v>
      </c>
      <c r="EI51" s="53">
        <v>7.5299999999999994</v>
      </c>
      <c r="EK51" s="53">
        <v>0</v>
      </c>
      <c r="EL51" s="53">
        <v>0</v>
      </c>
      <c r="EM51" s="53">
        <v>0</v>
      </c>
      <c r="EN51" s="53">
        <v>1.1499999999999999</v>
      </c>
      <c r="EP51" s="53">
        <v>0</v>
      </c>
      <c r="EQ51" s="53">
        <v>0</v>
      </c>
      <c r="ER51" s="53">
        <v>0</v>
      </c>
      <c r="ES51" s="53">
        <v>1.1499999999999999</v>
      </c>
      <c r="EU51" s="53">
        <v>0</v>
      </c>
      <c r="EV51" s="53">
        <v>0</v>
      </c>
      <c r="EW51" s="53">
        <v>302413.33333333331</v>
      </c>
      <c r="EX51" s="53">
        <v>453620</v>
      </c>
      <c r="EZ51" s="53">
        <v>0</v>
      </c>
      <c r="FA51" s="53">
        <v>0</v>
      </c>
      <c r="FB51" s="53">
        <v>0</v>
      </c>
      <c r="FC51" s="53">
        <v>8</v>
      </c>
    </row>
    <row r="52" spans="2:159" x14ac:dyDescent="0.25">
      <c r="B52" t="str">
        <v>JV2</v>
      </c>
      <c r="C52" t="str">
        <v>Center</v>
      </c>
      <c r="D52" t="str">
        <v>North Carolina</v>
      </c>
      <c r="E52" s="53">
        <v>0</v>
      </c>
      <c r="F52" s="53">
        <v>0</v>
      </c>
      <c r="G52" s="53">
        <v>0</v>
      </c>
      <c r="H52" s="53">
        <v>0</v>
      </c>
      <c r="J52" s="53">
        <v>0</v>
      </c>
      <c r="K52" s="53">
        <v>0</v>
      </c>
      <c r="L52" s="53">
        <v>0</v>
      </c>
      <c r="M52" s="53">
        <v>0</v>
      </c>
      <c r="O52" s="53">
        <v>0</v>
      </c>
      <c r="P52" s="53">
        <v>0</v>
      </c>
      <c r="Q52" s="53">
        <v>0</v>
      </c>
      <c r="R52" s="53">
        <v>0</v>
      </c>
      <c r="T52" s="53">
        <v>0</v>
      </c>
      <c r="U52" s="53">
        <v>0</v>
      </c>
      <c r="V52" s="53">
        <v>0</v>
      </c>
      <c r="W52" s="53">
        <v>0</v>
      </c>
      <c r="Y52" s="53">
        <v>0</v>
      </c>
      <c r="Z52" s="53">
        <v>0</v>
      </c>
      <c r="AA52" s="53">
        <v>0</v>
      </c>
      <c r="AB52" s="53">
        <v>0</v>
      </c>
      <c r="AD52" s="53">
        <v>0</v>
      </c>
      <c r="AE52" s="53">
        <v>0</v>
      </c>
      <c r="AF52" s="53">
        <v>0</v>
      </c>
      <c r="AG52" s="53">
        <v>0</v>
      </c>
      <c r="AI52" s="53">
        <v>0</v>
      </c>
      <c r="AJ52" s="53">
        <v>0</v>
      </c>
      <c r="AK52" s="53">
        <v>0</v>
      </c>
      <c r="AL52" s="53">
        <v>0</v>
      </c>
      <c r="AN52" s="53">
        <v>0</v>
      </c>
      <c r="AO52" s="53">
        <v>0</v>
      </c>
      <c r="AP52" s="53">
        <v>0</v>
      </c>
      <c r="AQ52" s="53">
        <v>0</v>
      </c>
      <c r="AS52" s="53">
        <v>0</v>
      </c>
      <c r="AT52" s="53">
        <v>0</v>
      </c>
      <c r="AU52" s="53">
        <v>0</v>
      </c>
      <c r="AV52" s="53">
        <v>0</v>
      </c>
      <c r="AX52" s="53">
        <v>0</v>
      </c>
      <c r="AY52" s="53">
        <v>0</v>
      </c>
      <c r="AZ52" s="53">
        <v>0</v>
      </c>
      <c r="BA52" s="53">
        <v>0</v>
      </c>
      <c r="BC52" s="53">
        <v>0</v>
      </c>
      <c r="BD52" s="53">
        <v>0</v>
      </c>
      <c r="BE52" s="53">
        <v>0</v>
      </c>
      <c r="BF52" s="53">
        <v>0</v>
      </c>
      <c r="BH52" s="53">
        <v>0</v>
      </c>
      <c r="BI52" s="53">
        <v>0</v>
      </c>
      <c r="BJ52" s="53">
        <v>0</v>
      </c>
      <c r="BK52" s="53">
        <v>0</v>
      </c>
      <c r="BM52" s="53">
        <v>0</v>
      </c>
      <c r="BN52" s="53">
        <v>0</v>
      </c>
      <c r="BO52" s="53">
        <v>0</v>
      </c>
      <c r="BP52" s="53">
        <v>0</v>
      </c>
      <c r="BR52" s="53">
        <v>0</v>
      </c>
      <c r="BS52" s="53">
        <v>0</v>
      </c>
      <c r="BT52" s="53">
        <v>0</v>
      </c>
      <c r="BV52" s="53">
        <v>0</v>
      </c>
      <c r="BW52" s="53">
        <v>0</v>
      </c>
      <c r="BX52" s="53">
        <v>0</v>
      </c>
      <c r="BY52" s="53">
        <v>0</v>
      </c>
      <c r="CA52" s="53">
        <v>0</v>
      </c>
      <c r="CB52" s="53">
        <v>0</v>
      </c>
      <c r="CC52" s="53">
        <v>0</v>
      </c>
      <c r="CE52" s="53">
        <v>0</v>
      </c>
      <c r="CF52" s="53">
        <v>0</v>
      </c>
      <c r="CG52" s="53">
        <v>0</v>
      </c>
      <c r="CI52" s="53">
        <v>0</v>
      </c>
      <c r="CJ52" s="53">
        <v>0</v>
      </c>
      <c r="CK52" s="53">
        <v>0</v>
      </c>
      <c r="CM52" s="53">
        <v>0</v>
      </c>
      <c r="CN52" s="53">
        <v>0</v>
      </c>
      <c r="CO52" s="53">
        <v>0</v>
      </c>
      <c r="CQ52" s="53">
        <v>0</v>
      </c>
      <c r="CR52" s="53">
        <v>0</v>
      </c>
      <c r="CS52" s="53">
        <v>0</v>
      </c>
      <c r="CU52" s="53">
        <v>0</v>
      </c>
      <c r="CV52" s="53">
        <v>0</v>
      </c>
      <c r="CW52" s="53">
        <v>0</v>
      </c>
      <c r="CY52" s="53">
        <v>0</v>
      </c>
      <c r="CZ52" s="53">
        <v>0</v>
      </c>
      <c r="DA52" s="53">
        <v>104139</v>
      </c>
      <c r="DC52" s="53">
        <v>0</v>
      </c>
      <c r="DD52" s="53">
        <v>0</v>
      </c>
      <c r="DE52" s="53">
        <v>0</v>
      </c>
      <c r="DG52" s="53">
        <v>0</v>
      </c>
      <c r="DH52" s="53">
        <v>0</v>
      </c>
      <c r="DI52" s="53">
        <v>0</v>
      </c>
      <c r="DJ52" s="53">
        <v>0</v>
      </c>
      <c r="DL52" s="53">
        <v>0</v>
      </c>
      <c r="DM52" s="53">
        <v>0</v>
      </c>
      <c r="DN52" s="53">
        <v>0</v>
      </c>
      <c r="DO52" s="53">
        <v>0</v>
      </c>
      <c r="DQ52" s="53">
        <v>0</v>
      </c>
      <c r="DR52" s="53">
        <v>0</v>
      </c>
      <c r="DS52" s="53">
        <v>0</v>
      </c>
      <c r="DT52" s="53">
        <v>0</v>
      </c>
      <c r="DV52" s="53">
        <v>0</v>
      </c>
      <c r="DW52" s="53">
        <v>0</v>
      </c>
      <c r="DX52" s="53">
        <v>0</v>
      </c>
      <c r="DY52" s="53">
        <v>0</v>
      </c>
      <c r="EA52" s="53">
        <v>0</v>
      </c>
      <c r="EB52" s="53">
        <v>0</v>
      </c>
      <c r="EC52" s="53">
        <v>0</v>
      </c>
      <c r="ED52" s="53">
        <v>0</v>
      </c>
      <c r="EF52" s="53">
        <v>0</v>
      </c>
      <c r="EG52" s="53">
        <v>0</v>
      </c>
      <c r="EH52" s="53">
        <v>0</v>
      </c>
      <c r="EI52" s="53">
        <v>0</v>
      </c>
      <c r="EK52" s="53">
        <v>0</v>
      </c>
      <c r="EL52" s="53">
        <v>0</v>
      </c>
      <c r="EM52" s="53">
        <v>0</v>
      </c>
      <c r="EN52" s="53">
        <v>0</v>
      </c>
      <c r="EP52" s="53">
        <v>0</v>
      </c>
      <c r="EQ52" s="53">
        <v>0</v>
      </c>
      <c r="ER52" s="53">
        <v>0</v>
      </c>
      <c r="ES52" s="53">
        <v>0</v>
      </c>
      <c r="EU52" s="53">
        <v>0</v>
      </c>
      <c r="EV52" s="53">
        <v>0</v>
      </c>
      <c r="EW52" s="53">
        <v>0</v>
      </c>
      <c r="EX52" s="53">
        <v>0</v>
      </c>
      <c r="EZ52" s="53">
        <v>0</v>
      </c>
      <c r="FA52" s="53">
        <v>0</v>
      </c>
      <c r="FB52" s="53">
        <v>0</v>
      </c>
      <c r="FC52" s="53">
        <v>0</v>
      </c>
    </row>
    <row r="53" spans="2:159" x14ac:dyDescent="0.25">
      <c r="B53" t="str">
        <v>JV2</v>
      </c>
      <c r="C53" t="str">
        <v>Remote</v>
      </c>
      <c r="D53" t="str">
        <v>Arizona</v>
      </c>
      <c r="E53" s="53">
        <v>464.64</v>
      </c>
      <c r="F53" s="53">
        <v>1290.6666666666665</v>
      </c>
      <c r="G53" s="53">
        <v>2168.3200000000002</v>
      </c>
      <c r="H53" s="53">
        <v>2942.72</v>
      </c>
      <c r="J53" s="53">
        <v>48211.689515999991</v>
      </c>
      <c r="K53" s="53">
        <v>133921.35976666663</v>
      </c>
      <c r="L53" s="53">
        <v>224987.88440799998</v>
      </c>
      <c r="M53" s="53">
        <v>305340.70026799996</v>
      </c>
      <c r="O53" s="53">
        <v>42426.286774079985</v>
      </c>
      <c r="P53" s="53">
        <v>117850.79659466664</v>
      </c>
      <c r="Q53" s="53">
        <v>197989.33827903998</v>
      </c>
      <c r="R53" s="53">
        <v>268699.81623583991</v>
      </c>
      <c r="T53" s="53">
        <v>-5785.4027419199983</v>
      </c>
      <c r="U53" s="53">
        <v>-16070.563171999995</v>
      </c>
      <c r="V53" s="53">
        <v>-26998.546128959995</v>
      </c>
      <c r="W53" s="53">
        <v>-36640.884032159993</v>
      </c>
      <c r="Y53" s="53">
        <v>37734.412949999991</v>
      </c>
      <c r="Z53" s="53">
        <v>104817.81374999997</v>
      </c>
      <c r="AA53" s="53">
        <v>176093.92709999997</v>
      </c>
      <c r="AB53" s="53">
        <v>238984.61534999995</v>
      </c>
      <c r="AD53" s="53">
        <v>0</v>
      </c>
      <c r="AE53" s="53">
        <v>0</v>
      </c>
      <c r="AF53" s="53">
        <v>0</v>
      </c>
      <c r="AG53" s="53">
        <v>0</v>
      </c>
      <c r="AI53" s="53">
        <v>7619.7993299999998</v>
      </c>
      <c r="AJ53" s="53">
        <v>21166.109249999998</v>
      </c>
      <c r="AK53" s="53">
        <v>35559.063539999996</v>
      </c>
      <c r="AL53" s="53">
        <v>48258.729090000001</v>
      </c>
      <c r="AN53" s="53">
        <v>1172.27682</v>
      </c>
      <c r="AO53" s="53">
        <v>3256.3244999999997</v>
      </c>
      <c r="AP53" s="53">
        <v>5470.6251599999996</v>
      </c>
      <c r="AQ53" s="53">
        <v>7424.41986</v>
      </c>
      <c r="AS53" s="53">
        <v>1685.2004159999999</v>
      </c>
      <c r="AT53" s="53">
        <v>4681.112266666667</v>
      </c>
      <c r="AU53" s="53">
        <v>7864.2686079999994</v>
      </c>
      <c r="AV53" s="53">
        <v>10672.935967999998</v>
      </c>
      <c r="AX53" s="53">
        <v>0</v>
      </c>
      <c r="AY53" s="53">
        <v>0</v>
      </c>
      <c r="AZ53" s="53">
        <v>0</v>
      </c>
      <c r="BA53" s="53">
        <v>0</v>
      </c>
      <c r="BC53" s="53">
        <v>0</v>
      </c>
      <c r="BD53" s="53">
        <v>0</v>
      </c>
      <c r="BE53" s="53">
        <v>0</v>
      </c>
      <c r="BF53" s="53">
        <v>0</v>
      </c>
      <c r="BH53" s="53">
        <v>0</v>
      </c>
      <c r="BI53" s="53">
        <v>0</v>
      </c>
      <c r="BJ53" s="53">
        <v>0</v>
      </c>
      <c r="BK53" s="53">
        <v>0</v>
      </c>
      <c r="BM53" s="53">
        <v>0</v>
      </c>
      <c r="BN53" s="53">
        <v>0</v>
      </c>
      <c r="BO53" s="53">
        <v>0</v>
      </c>
      <c r="BP53" s="53">
        <v>0</v>
      </c>
      <c r="BR53" s="53">
        <v>0</v>
      </c>
      <c r="BS53" s="53">
        <v>0</v>
      </c>
      <c r="BT53" s="53">
        <v>0</v>
      </c>
      <c r="BV53" s="53">
        <v>89413.984906271158</v>
      </c>
      <c r="BW53" s="53">
        <v>125161.27702112359</v>
      </c>
      <c r="BX53" s="53">
        <v>155467.19965148764</v>
      </c>
      <c r="BY53" s="53">
        <v>182189.57342860621</v>
      </c>
      <c r="CA53" s="53">
        <v>0</v>
      </c>
      <c r="CB53" s="53">
        <v>0</v>
      </c>
      <c r="CC53" s="53">
        <v>0</v>
      </c>
      <c r="CE53" s="53">
        <v>0</v>
      </c>
      <c r="CF53" s="53">
        <v>0</v>
      </c>
      <c r="CG53" s="53">
        <v>0</v>
      </c>
      <c r="CI53" s="53">
        <v>11028.046200000001</v>
      </c>
      <c r="CJ53" s="53">
        <v>12176.472496</v>
      </c>
      <c r="CK53" s="53">
        <v>12504.247727999998</v>
      </c>
      <c r="CM53" s="53">
        <v>54000</v>
      </c>
      <c r="CN53" s="53">
        <v>54270</v>
      </c>
      <c r="CO53" s="53">
        <v>54540</v>
      </c>
      <c r="CQ53" s="53">
        <v>68780</v>
      </c>
      <c r="CR53" s="53">
        <v>88209.7</v>
      </c>
      <c r="CS53" s="53">
        <v>102656.29999999999</v>
      </c>
      <c r="CU53" s="53">
        <v>23400</v>
      </c>
      <c r="CV53" s="53">
        <v>23692.5</v>
      </c>
      <c r="CW53" s="53">
        <v>23985</v>
      </c>
      <c r="CY53" s="53">
        <v>0</v>
      </c>
      <c r="CZ53" s="53">
        <v>0</v>
      </c>
      <c r="DA53" s="53">
        <v>0</v>
      </c>
      <c r="DC53" s="53">
        <v>123821.44839725591</v>
      </c>
      <c r="DD53" s="53">
        <v>163814.05463531916</v>
      </c>
      <c r="DE53" s="53">
        <v>183943.45183714625</v>
      </c>
      <c r="DG53" s="53">
        <v>0</v>
      </c>
      <c r="DH53" s="53">
        <v>0</v>
      </c>
      <c r="DI53" s="53">
        <v>0</v>
      </c>
      <c r="DJ53" s="53">
        <v>0</v>
      </c>
      <c r="DL53" s="53">
        <v>-2121.314338704</v>
      </c>
      <c r="DM53" s="53">
        <v>-2121.314338704</v>
      </c>
      <c r="DN53" s="53">
        <v>-10606.571693519996</v>
      </c>
      <c r="DO53" s="53">
        <v>-21213.143387039992</v>
      </c>
      <c r="DQ53" s="53">
        <v>861.21324637792816</v>
      </c>
      <c r="DR53" s="53">
        <v>2862.0683983629615</v>
      </c>
      <c r="DS53" s="53">
        <v>5643.6495800281627</v>
      </c>
      <c r="DT53" s="53">
        <v>8050.4752831054484</v>
      </c>
      <c r="DV53" s="53">
        <v>0</v>
      </c>
      <c r="DW53" s="53">
        <v>0</v>
      </c>
      <c r="DX53" s="53">
        <v>0</v>
      </c>
      <c r="DY53" s="53">
        <v>0</v>
      </c>
      <c r="EA53" s="53">
        <v>0</v>
      </c>
      <c r="EB53" s="53">
        <v>0</v>
      </c>
      <c r="EC53" s="53">
        <v>0</v>
      </c>
      <c r="ED53" s="53">
        <v>0</v>
      </c>
      <c r="EF53" s="53">
        <v>2.2599999999999998</v>
      </c>
      <c r="EG53" s="53">
        <v>4.51</v>
      </c>
      <c r="EH53" s="53">
        <v>7.22</v>
      </c>
      <c r="EI53" s="53">
        <v>9.48</v>
      </c>
      <c r="EK53" s="53">
        <v>0.46</v>
      </c>
      <c r="EL53" s="53">
        <v>0.91</v>
      </c>
      <c r="EM53" s="53">
        <v>1.46</v>
      </c>
      <c r="EN53" s="53">
        <v>1.91</v>
      </c>
      <c r="EP53" s="53">
        <v>0.46</v>
      </c>
      <c r="EQ53" s="53">
        <v>0.91</v>
      </c>
      <c r="ER53" s="53">
        <v>1.46</v>
      </c>
      <c r="ES53" s="53">
        <v>1.91</v>
      </c>
      <c r="EU53" s="53">
        <v>0</v>
      </c>
      <c r="EV53" s="53">
        <v>0</v>
      </c>
      <c r="EW53" s="53">
        <v>0</v>
      </c>
      <c r="EX53" s="53">
        <v>0</v>
      </c>
      <c r="EZ53" s="53">
        <v>5</v>
      </c>
      <c r="FA53" s="53">
        <v>10</v>
      </c>
      <c r="FB53" s="53">
        <v>16</v>
      </c>
      <c r="FC53" s="53">
        <v>21</v>
      </c>
    </row>
    <row r="54" spans="2:159" x14ac:dyDescent="0.25">
      <c r="B54" t="str">
        <v>JV2</v>
      </c>
      <c r="C54" t="str">
        <v>Remote</v>
      </c>
      <c r="D54" t="str">
        <v>Arizona</v>
      </c>
      <c r="E54" s="53">
        <v>0</v>
      </c>
      <c r="F54" s="53">
        <v>0</v>
      </c>
      <c r="G54" s="53">
        <v>0</v>
      </c>
      <c r="H54" s="53">
        <v>0</v>
      </c>
      <c r="J54" s="53">
        <v>0</v>
      </c>
      <c r="K54" s="53">
        <v>0</v>
      </c>
      <c r="L54" s="53">
        <v>0</v>
      </c>
      <c r="M54" s="53">
        <v>0</v>
      </c>
      <c r="O54" s="53">
        <v>0</v>
      </c>
      <c r="P54" s="53">
        <v>0</v>
      </c>
      <c r="Q54" s="53">
        <v>0</v>
      </c>
      <c r="R54" s="53">
        <v>0</v>
      </c>
      <c r="T54" s="53">
        <v>0</v>
      </c>
      <c r="U54" s="53">
        <v>0</v>
      </c>
      <c r="V54" s="53">
        <v>0</v>
      </c>
      <c r="W54" s="53">
        <v>0</v>
      </c>
      <c r="Y54" s="53">
        <v>0</v>
      </c>
      <c r="Z54" s="53">
        <v>0</v>
      </c>
      <c r="AA54" s="53">
        <v>0</v>
      </c>
      <c r="AB54" s="53">
        <v>0</v>
      </c>
      <c r="AD54" s="53">
        <v>0</v>
      </c>
      <c r="AE54" s="53">
        <v>0</v>
      </c>
      <c r="AF54" s="53">
        <v>0</v>
      </c>
      <c r="AG54" s="53">
        <v>0</v>
      </c>
      <c r="AI54" s="53">
        <v>0</v>
      </c>
      <c r="AJ54" s="53">
        <v>0</v>
      </c>
      <c r="AK54" s="53">
        <v>0</v>
      </c>
      <c r="AL54" s="53">
        <v>0</v>
      </c>
      <c r="AN54" s="53">
        <v>0</v>
      </c>
      <c r="AO54" s="53">
        <v>0</v>
      </c>
      <c r="AP54" s="53">
        <v>0</v>
      </c>
      <c r="AQ54" s="53">
        <v>0</v>
      </c>
      <c r="AS54" s="53">
        <v>0</v>
      </c>
      <c r="AT54" s="53">
        <v>0</v>
      </c>
      <c r="AU54" s="53">
        <v>0</v>
      </c>
      <c r="AV54" s="53">
        <v>0</v>
      </c>
      <c r="AX54" s="53">
        <v>0</v>
      </c>
      <c r="AY54" s="53">
        <v>0</v>
      </c>
      <c r="AZ54" s="53">
        <v>0</v>
      </c>
      <c r="BA54" s="53">
        <v>0</v>
      </c>
      <c r="BC54" s="53">
        <v>0</v>
      </c>
      <c r="BD54" s="53">
        <v>0</v>
      </c>
      <c r="BE54" s="53">
        <v>0</v>
      </c>
      <c r="BF54" s="53">
        <v>0</v>
      </c>
      <c r="BH54" s="53">
        <v>0</v>
      </c>
      <c r="BI54" s="53">
        <v>0</v>
      </c>
      <c r="BJ54" s="53">
        <v>0</v>
      </c>
      <c r="BK54" s="53">
        <v>0</v>
      </c>
      <c r="BM54" s="53">
        <v>0</v>
      </c>
      <c r="BN54" s="53">
        <v>0</v>
      </c>
      <c r="BO54" s="53">
        <v>0</v>
      </c>
      <c r="BP54" s="53">
        <v>0</v>
      </c>
      <c r="BR54" s="53">
        <v>0</v>
      </c>
      <c r="BS54" s="53">
        <v>0</v>
      </c>
      <c r="BT54" s="53">
        <v>0</v>
      </c>
      <c r="BV54" s="53">
        <v>0</v>
      </c>
      <c r="BW54" s="53">
        <v>0</v>
      </c>
      <c r="BX54" s="53">
        <v>0</v>
      </c>
      <c r="BY54" s="53">
        <v>0</v>
      </c>
      <c r="CA54" s="53">
        <v>0</v>
      </c>
      <c r="CB54" s="53">
        <v>0</v>
      </c>
      <c r="CC54" s="53">
        <v>0</v>
      </c>
      <c r="CE54" s="53">
        <v>0</v>
      </c>
      <c r="CF54" s="53">
        <v>0</v>
      </c>
      <c r="CG54" s="53">
        <v>0</v>
      </c>
      <c r="CI54" s="53">
        <v>0</v>
      </c>
      <c r="CJ54" s="53">
        <v>2148.0598880000002</v>
      </c>
      <c r="CK54" s="53">
        <v>5007.4675040000002</v>
      </c>
      <c r="CM54" s="53">
        <v>0</v>
      </c>
      <c r="CN54" s="53">
        <v>13770</v>
      </c>
      <c r="CO54" s="53">
        <v>27540</v>
      </c>
      <c r="CQ54" s="53">
        <v>0</v>
      </c>
      <c r="CR54" s="53">
        <v>9797.0999999999985</v>
      </c>
      <c r="CS54" s="53">
        <v>24760.5</v>
      </c>
      <c r="CU54" s="53">
        <v>0</v>
      </c>
      <c r="CV54" s="53">
        <v>6142.5</v>
      </c>
      <c r="CW54" s="53">
        <v>12285</v>
      </c>
      <c r="CY54" s="53">
        <v>0</v>
      </c>
      <c r="CZ54" s="53">
        <v>0</v>
      </c>
      <c r="DA54" s="53">
        <v>0</v>
      </c>
      <c r="DC54" s="53">
        <v>0</v>
      </c>
      <c r="DD54" s="53">
        <v>6376.3678961233172</v>
      </c>
      <c r="DE54" s="53">
        <v>21860.57935563604</v>
      </c>
      <c r="DG54" s="53">
        <v>0</v>
      </c>
      <c r="DH54" s="53">
        <v>0</v>
      </c>
      <c r="DI54" s="53">
        <v>0</v>
      </c>
      <c r="DJ54" s="53">
        <v>0</v>
      </c>
      <c r="DL54" s="53">
        <v>0</v>
      </c>
      <c r="DM54" s="53">
        <v>0</v>
      </c>
      <c r="DN54" s="53">
        <v>0</v>
      </c>
      <c r="DO54" s="53">
        <v>0</v>
      </c>
      <c r="DQ54" s="53">
        <v>0</v>
      </c>
      <c r="DR54" s="53">
        <v>0</v>
      </c>
      <c r="DS54" s="53">
        <v>0</v>
      </c>
      <c r="DT54" s="53">
        <v>0</v>
      </c>
      <c r="DV54" s="53">
        <v>0</v>
      </c>
      <c r="DW54" s="53">
        <v>0</v>
      </c>
      <c r="DX54" s="53">
        <v>0</v>
      </c>
      <c r="DY54" s="53">
        <v>0</v>
      </c>
      <c r="EA54" s="53">
        <v>0</v>
      </c>
      <c r="EB54" s="53">
        <v>0</v>
      </c>
      <c r="EC54" s="53">
        <v>0</v>
      </c>
      <c r="ED54" s="53">
        <v>0</v>
      </c>
      <c r="EF54" s="53">
        <v>0</v>
      </c>
      <c r="EG54" s="53">
        <v>0</v>
      </c>
      <c r="EH54" s="53">
        <v>0</v>
      </c>
      <c r="EI54" s="53">
        <v>0</v>
      </c>
      <c r="EK54" s="53">
        <v>0</v>
      </c>
      <c r="EL54" s="53">
        <v>0</v>
      </c>
      <c r="EM54" s="53">
        <v>0</v>
      </c>
      <c r="EN54" s="53">
        <v>0</v>
      </c>
      <c r="EP54" s="53">
        <v>0</v>
      </c>
      <c r="EQ54" s="53">
        <v>0</v>
      </c>
      <c r="ER54" s="53">
        <v>0</v>
      </c>
      <c r="ES54" s="53">
        <v>0</v>
      </c>
      <c r="EU54" s="53">
        <v>0</v>
      </c>
      <c r="EV54" s="53">
        <v>0</v>
      </c>
      <c r="EW54" s="53">
        <v>0</v>
      </c>
      <c r="EX54" s="53">
        <v>0</v>
      </c>
      <c r="EZ54" s="53">
        <v>0</v>
      </c>
      <c r="FA54" s="53">
        <v>0</v>
      </c>
      <c r="FB54" s="53">
        <v>0</v>
      </c>
      <c r="FC54" s="53">
        <v>0</v>
      </c>
    </row>
    <row r="55" spans="2:159" x14ac:dyDescent="0.25">
      <c r="B55" t="str">
        <v>JV2</v>
      </c>
      <c r="C55" t="str">
        <v>Center</v>
      </c>
      <c r="D55" t="str">
        <v>North Carolina</v>
      </c>
      <c r="E55" s="53">
        <v>0</v>
      </c>
      <c r="F55" s="53">
        <v>0</v>
      </c>
      <c r="G55" s="53">
        <v>0</v>
      </c>
      <c r="H55" s="53">
        <v>0</v>
      </c>
      <c r="J55" s="53">
        <v>0</v>
      </c>
      <c r="K55" s="53">
        <v>0</v>
      </c>
      <c r="L55" s="53">
        <v>0</v>
      </c>
      <c r="M55" s="53">
        <v>0</v>
      </c>
      <c r="O55" s="53">
        <v>0</v>
      </c>
      <c r="P55" s="53">
        <v>0</v>
      </c>
      <c r="Q55" s="53">
        <v>0</v>
      </c>
      <c r="R55" s="53">
        <v>0</v>
      </c>
      <c r="T55" s="53">
        <v>0</v>
      </c>
      <c r="U55" s="53">
        <v>0</v>
      </c>
      <c r="V55" s="53">
        <v>0</v>
      </c>
      <c r="W55" s="53">
        <v>0</v>
      </c>
      <c r="Y55" s="53">
        <v>0</v>
      </c>
      <c r="Z55" s="53">
        <v>0</v>
      </c>
      <c r="AA55" s="53">
        <v>0</v>
      </c>
      <c r="AB55" s="53">
        <v>0</v>
      </c>
      <c r="AD55" s="53">
        <v>0</v>
      </c>
      <c r="AE55" s="53">
        <v>0</v>
      </c>
      <c r="AF55" s="53">
        <v>0</v>
      </c>
      <c r="AG55" s="53">
        <v>0</v>
      </c>
      <c r="AI55" s="53">
        <v>0</v>
      </c>
      <c r="AJ55" s="53">
        <v>0</v>
      </c>
      <c r="AK55" s="53">
        <v>0</v>
      </c>
      <c r="AL55" s="53">
        <v>0</v>
      </c>
      <c r="AN55" s="53">
        <v>0</v>
      </c>
      <c r="AO55" s="53">
        <v>0</v>
      </c>
      <c r="AP55" s="53">
        <v>0</v>
      </c>
      <c r="AQ55" s="53">
        <v>0</v>
      </c>
      <c r="AS55" s="53">
        <v>0</v>
      </c>
      <c r="AT55" s="53">
        <v>0</v>
      </c>
      <c r="AU55" s="53">
        <v>0</v>
      </c>
      <c r="AV55" s="53">
        <v>0</v>
      </c>
      <c r="AX55" s="53">
        <v>0</v>
      </c>
      <c r="AY55" s="53">
        <v>0</v>
      </c>
      <c r="AZ55" s="53">
        <v>0</v>
      </c>
      <c r="BA55" s="53">
        <v>0</v>
      </c>
      <c r="BC55" s="53">
        <v>0</v>
      </c>
      <c r="BD55" s="53">
        <v>0</v>
      </c>
      <c r="BE55" s="53">
        <v>0</v>
      </c>
      <c r="BF55" s="53">
        <v>0</v>
      </c>
      <c r="BH55" s="53">
        <v>0</v>
      </c>
      <c r="BI55" s="53">
        <v>0</v>
      </c>
      <c r="BJ55" s="53">
        <v>0</v>
      </c>
      <c r="BK55" s="53">
        <v>0</v>
      </c>
      <c r="BM55" s="53">
        <v>0</v>
      </c>
      <c r="BN55" s="53">
        <v>0</v>
      </c>
      <c r="BO55" s="53">
        <v>0</v>
      </c>
      <c r="BP55" s="53">
        <v>0</v>
      </c>
      <c r="BR55" s="53">
        <v>0</v>
      </c>
      <c r="BS55" s="53">
        <v>0</v>
      </c>
      <c r="BT55" s="53">
        <v>0</v>
      </c>
      <c r="BV55" s="53">
        <v>0</v>
      </c>
      <c r="BW55" s="53">
        <v>0</v>
      </c>
      <c r="BX55" s="53">
        <v>0</v>
      </c>
      <c r="BY55" s="53">
        <v>0</v>
      </c>
      <c r="CA55" s="53">
        <v>0</v>
      </c>
      <c r="CB55" s="53">
        <v>0</v>
      </c>
      <c r="CC55" s="53">
        <v>0</v>
      </c>
      <c r="CE55" s="53">
        <v>0</v>
      </c>
      <c r="CF55" s="53">
        <v>0</v>
      </c>
      <c r="CG55" s="53">
        <v>0</v>
      </c>
      <c r="CI55" s="53">
        <v>0</v>
      </c>
      <c r="CJ55" s="53">
        <v>0</v>
      </c>
      <c r="CK55" s="53">
        <v>0</v>
      </c>
      <c r="CM55" s="53">
        <v>0</v>
      </c>
      <c r="CN55" s="53">
        <v>0</v>
      </c>
      <c r="CO55" s="53">
        <v>0</v>
      </c>
      <c r="CQ55" s="53">
        <v>0</v>
      </c>
      <c r="CR55" s="53">
        <v>0</v>
      </c>
      <c r="CS55" s="53">
        <v>0</v>
      </c>
      <c r="CU55" s="53">
        <v>0</v>
      </c>
      <c r="CV55" s="53">
        <v>0</v>
      </c>
      <c r="CW55" s="53">
        <v>0</v>
      </c>
      <c r="CY55" s="53">
        <v>0</v>
      </c>
      <c r="CZ55" s="53">
        <v>0</v>
      </c>
      <c r="DA55" s="53">
        <v>0</v>
      </c>
      <c r="DC55" s="53">
        <v>0</v>
      </c>
      <c r="DD55" s="53">
        <v>0</v>
      </c>
      <c r="DE55" s="53">
        <v>0</v>
      </c>
      <c r="DG55" s="53">
        <v>0</v>
      </c>
      <c r="DH55" s="53">
        <v>0</v>
      </c>
      <c r="DI55" s="53">
        <v>0</v>
      </c>
      <c r="DJ55" s="53">
        <v>0</v>
      </c>
      <c r="DL55" s="53">
        <v>0</v>
      </c>
      <c r="DM55" s="53">
        <v>0</v>
      </c>
      <c r="DN55" s="53">
        <v>0</v>
      </c>
      <c r="DO55" s="53">
        <v>0</v>
      </c>
      <c r="DQ55" s="53">
        <v>0</v>
      </c>
      <c r="DR55" s="53">
        <v>0</v>
      </c>
      <c r="DS55" s="53">
        <v>0</v>
      </c>
      <c r="DT55" s="53">
        <v>0</v>
      </c>
      <c r="DV55" s="53">
        <v>0</v>
      </c>
      <c r="DW55" s="53">
        <v>0</v>
      </c>
      <c r="DX55" s="53">
        <v>0</v>
      </c>
      <c r="DY55" s="53">
        <v>0</v>
      </c>
      <c r="EA55" s="53">
        <v>0</v>
      </c>
      <c r="EB55" s="53">
        <v>0</v>
      </c>
      <c r="EC55" s="53">
        <v>0</v>
      </c>
      <c r="ED55" s="53">
        <v>0</v>
      </c>
      <c r="EF55" s="53">
        <v>0</v>
      </c>
      <c r="EG55" s="53">
        <v>0</v>
      </c>
      <c r="EH55" s="53">
        <v>0</v>
      </c>
      <c r="EI55" s="53">
        <v>0</v>
      </c>
      <c r="EK55" s="53">
        <v>0</v>
      </c>
      <c r="EL55" s="53">
        <v>0</v>
      </c>
      <c r="EM55" s="53">
        <v>0</v>
      </c>
      <c r="EN55" s="53">
        <v>0</v>
      </c>
      <c r="EP55" s="53">
        <v>0</v>
      </c>
      <c r="EQ55" s="53">
        <v>0</v>
      </c>
      <c r="ER55" s="53">
        <v>0</v>
      </c>
      <c r="ES55" s="53">
        <v>0</v>
      </c>
      <c r="EU55" s="53">
        <v>0</v>
      </c>
      <c r="EV55" s="53">
        <v>0</v>
      </c>
      <c r="EW55" s="53">
        <v>0</v>
      </c>
      <c r="EX55" s="53">
        <v>0</v>
      </c>
      <c r="EZ55" s="53">
        <v>0</v>
      </c>
      <c r="FA55" s="53">
        <v>0</v>
      </c>
      <c r="FB55" s="53">
        <v>0</v>
      </c>
      <c r="FC55" s="53">
        <v>0</v>
      </c>
    </row>
    <row r="58" spans="2:159" x14ac:dyDescent="0.25">
      <c r="K58" s="53"/>
      <c r="L58" s="53"/>
      <c r="M58" s="53"/>
      <c r="Y58" s="53"/>
      <c r="Z58" s="53"/>
      <c r="AA58" s="53"/>
      <c r="AB58" s="53"/>
      <c r="BH58" s="53"/>
      <c r="BI58" s="53"/>
      <c r="BJ58" s="53"/>
      <c r="BK58" s="53"/>
      <c r="DG58" t="s">
        <v>8</v>
      </c>
      <c r="DH58" t="s">
        <v>9</v>
      </c>
      <c r="DI58" t="s">
        <v>10</v>
      </c>
      <c r="DJ58" t="s">
        <v>11</v>
      </c>
    </row>
    <row r="59" spans="2:159" x14ac:dyDescent="0.25">
      <c r="J59" s="53"/>
      <c r="K59" s="53"/>
      <c r="L59" s="53"/>
      <c r="M59" s="53"/>
      <c r="Y59" s="53"/>
      <c r="Z59" s="53"/>
      <c r="AA59" s="53"/>
      <c r="AB59" s="53"/>
      <c r="BH59" s="53"/>
      <c r="BI59" s="53"/>
      <c r="BJ59" s="53"/>
      <c r="BK59" s="53"/>
      <c r="DK59" s="53"/>
    </row>
    <row r="60" spans="2:159" x14ac:dyDescent="0.25">
      <c r="J60" s="53"/>
      <c r="K60" s="53"/>
      <c r="L60" s="53"/>
      <c r="M60" s="53"/>
      <c r="Y60" s="53"/>
      <c r="Z60" s="53"/>
      <c r="AA60" s="53"/>
      <c r="AB60" s="53"/>
      <c r="BH60" s="53"/>
      <c r="BI60" s="53"/>
      <c r="BJ60" s="53"/>
      <c r="BK60" s="53"/>
      <c r="BV60" s="53"/>
      <c r="BW60" s="53"/>
      <c r="BX60" s="53"/>
      <c r="BY60" s="53"/>
      <c r="DK60" s="53"/>
    </row>
    <row r="61" spans="2:159" x14ac:dyDescent="0.25">
      <c r="J61" s="53"/>
      <c r="K61" s="53"/>
      <c r="L61" s="53"/>
      <c r="M61" s="53"/>
      <c r="Y61" s="53"/>
      <c r="Z61" s="53"/>
      <c r="AA61" s="53"/>
      <c r="AB61" s="53"/>
      <c r="BH61" s="53"/>
      <c r="BI61" s="53"/>
      <c r="BJ61" s="53"/>
      <c r="BK61" s="53"/>
      <c r="BV61" s="53"/>
      <c r="BW61" s="53"/>
      <c r="BX61" s="53"/>
      <c r="BY61" s="53"/>
      <c r="DK61" s="176"/>
    </row>
    <row r="62" spans="2:159" x14ac:dyDescent="0.25">
      <c r="B62" t="s">
        <v>37</v>
      </c>
      <c r="D62" cm="1">
        <f t="array" ref="D62:O62">_xlfn.CHOOSECOLS(_xlfn.BYCOL(_xlfn._xlws.FILTER(_xlfn.VSTACK('MS:NCA9'!$E$23:$AN$23),(_xlfn.ANCHORARRAY(D4)=B62)*(_xlfn.ANCHORARRAY(C4)=B63)),_xlfn.LAMBDA(_xlpm.a,SUM(_xlpm.a))),_xlfn.SEQUENCE(1,12))</f>
        <v>1910.1866666666663</v>
      </c>
      <c r="E62">
        <v>2013.4399999999996</v>
      </c>
      <c r="F62">
        <v>2116.6933333333332</v>
      </c>
      <c r="G62">
        <v>2219.9466666666663</v>
      </c>
      <c r="H62">
        <v>2271.5733333333328</v>
      </c>
      <c r="I62">
        <v>2374.8266666666664</v>
      </c>
      <c r="J62" s="53">
        <v>2478.08</v>
      </c>
      <c r="K62" s="53">
        <v>2581.333333333333</v>
      </c>
      <c r="L62" s="53">
        <v>2684.5866666666661</v>
      </c>
      <c r="M62" s="53">
        <v>2736.2133333333331</v>
      </c>
      <c r="N62">
        <v>2839.4666666666662</v>
      </c>
      <c r="O62">
        <v>2942.7199999999993</v>
      </c>
      <c r="Y62" s="53"/>
      <c r="Z62" s="53"/>
      <c r="AA62" s="53"/>
      <c r="AB62" s="53"/>
      <c r="BH62" s="53"/>
      <c r="BI62" s="53"/>
      <c r="BJ62" s="53"/>
      <c r="BK62" s="53"/>
      <c r="BV62" s="176"/>
      <c r="BW62" s="176"/>
      <c r="BX62" s="176"/>
      <c r="BY62" s="176"/>
      <c r="DK62" s="53"/>
    </row>
    <row r="63" spans="2:159" x14ac:dyDescent="0.25">
      <c r="B63" t="s">
        <v>344</v>
      </c>
      <c r="J63" s="53"/>
      <c r="K63" s="53"/>
      <c r="L63" s="53"/>
      <c r="M63" s="53"/>
      <c r="Y63" s="53"/>
      <c r="Z63" s="53"/>
      <c r="AA63" s="53"/>
      <c r="AB63" s="53"/>
      <c r="BH63" s="53"/>
      <c r="BI63" s="53"/>
      <c r="BJ63" s="53"/>
      <c r="BK63" s="53"/>
      <c r="BV63" s="53"/>
      <c r="BW63" s="53"/>
      <c r="BX63" s="53"/>
      <c r="BY63" s="53"/>
      <c r="DK63" s="53"/>
    </row>
    <row r="64" spans="2:159" x14ac:dyDescent="0.25">
      <c r="J64" s="53"/>
      <c r="K64" s="53"/>
      <c r="L64" s="53"/>
      <c r="M64" s="53"/>
      <c r="Y64" s="53"/>
      <c r="Z64" s="53">
        <f t="shared" ref="Z64:AB64" si="0">Z58+Z59</f>
        <v>0</v>
      </c>
      <c r="AA64" s="53">
        <f t="shared" si="0"/>
        <v>0</v>
      </c>
      <c r="AB64" s="53">
        <f t="shared" si="0"/>
        <v>0</v>
      </c>
      <c r="BH64" s="53"/>
      <c r="BI64" s="53"/>
      <c r="BJ64" s="53"/>
      <c r="BK64" s="53"/>
      <c r="BV64" s="53"/>
      <c r="BW64" s="53"/>
      <c r="BX64" s="53"/>
      <c r="BY64" s="53"/>
      <c r="DK64" s="53"/>
    </row>
    <row r="65" spans="10:115" x14ac:dyDescent="0.25">
      <c r="J65" s="53"/>
      <c r="K65" s="53"/>
      <c r="L65" s="53"/>
      <c r="M65" s="53"/>
      <c r="Y65" s="53"/>
      <c r="Z65" s="53"/>
      <c r="AA65" s="53"/>
      <c r="AB65" s="53"/>
      <c r="BH65" s="53"/>
      <c r="BI65" s="53"/>
      <c r="BJ65" s="53"/>
      <c r="BK65" s="53"/>
      <c r="BV65" s="53"/>
      <c r="BW65" s="53"/>
      <c r="BX65" s="53"/>
      <c r="BY65" s="53"/>
      <c r="DK65" s="176"/>
    </row>
    <row r="66" spans="10:115" x14ac:dyDescent="0.25">
      <c r="J66" s="53"/>
      <c r="K66" s="53"/>
      <c r="L66" s="53"/>
      <c r="M66" s="53"/>
      <c r="Y66" s="53"/>
      <c r="Z66" s="53">
        <f t="shared" ref="Z66:AB66" si="1">Z60+Z61+Z62</f>
        <v>0</v>
      </c>
      <c r="AA66" s="53">
        <f t="shared" si="1"/>
        <v>0</v>
      </c>
      <c r="AB66" s="53">
        <f t="shared" si="1"/>
        <v>0</v>
      </c>
      <c r="BH66" s="53"/>
      <c r="BI66" s="53"/>
      <c r="BJ66" s="53"/>
      <c r="BK66" s="53"/>
      <c r="BV66" s="176"/>
      <c r="BW66" s="176"/>
      <c r="BX66" s="176"/>
      <c r="BY66" s="176"/>
    </row>
    <row r="68" spans="10:115" x14ac:dyDescent="0.25">
      <c r="J68" s="53"/>
      <c r="K68" s="53"/>
      <c r="L68" s="53"/>
      <c r="M68" s="53"/>
    </row>
    <row r="69" spans="10:115" x14ac:dyDescent="0.25">
      <c r="J69" s="53"/>
      <c r="K69" s="53"/>
      <c r="L69" s="53"/>
      <c r="M69" s="53"/>
    </row>
    <row r="70" spans="10:115" x14ac:dyDescent="0.25">
      <c r="J70" s="53"/>
      <c r="K70" s="53"/>
      <c r="L70" s="53"/>
      <c r="M70" s="53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7232D1-61E5-4C10-B7D0-6064D27CF882}">
  <sheetPr>
    <tabColor theme="9" tint="-0.249977111117893"/>
  </sheetPr>
  <dimension ref="A1:EZ108"/>
  <sheetViews>
    <sheetView workbookViewId="0">
      <pane xSplit="4" ySplit="3" topLeftCell="E4" activePane="bottomRight" state="frozen"/>
      <selection pane="topRight" activeCell="I1" sqref="I1"/>
      <selection pane="bottomLeft" activeCell="A4" sqref="A4"/>
      <selection pane="bottomRight" activeCell="I10" sqref="I10"/>
    </sheetView>
  </sheetViews>
  <sheetFormatPr defaultRowHeight="15" outlineLevelCol="1" x14ac:dyDescent="0.25"/>
  <cols>
    <col min="2" max="2" width="9.42578125" customWidth="1"/>
    <col min="3" max="3" width="7.5703125" bestFit="1" customWidth="1"/>
    <col min="4" max="4" width="13.85546875" bestFit="1" customWidth="1"/>
    <col min="5" max="5" width="13.7109375" customWidth="1" outlineLevel="1"/>
    <col min="6" max="7" width="9" customWidth="1" outlineLevel="1"/>
    <col min="8" max="8" width="4.7109375" customWidth="1"/>
    <col min="9" max="11" width="8" customWidth="1" outlineLevel="1"/>
    <col min="12" max="12" width="4.7109375" customWidth="1"/>
    <col min="13" max="15" width="8" customWidth="1" outlineLevel="1"/>
    <col min="16" max="16" width="4.7109375" customWidth="1"/>
    <col min="17" max="19" width="8" customWidth="1" outlineLevel="1"/>
    <col min="20" max="20" width="4.7109375" customWidth="1"/>
    <col min="21" max="23" width="8" customWidth="1" outlineLevel="1"/>
    <col min="24" max="24" width="4.7109375" customWidth="1"/>
    <col min="25" max="27" width="8" customWidth="1" outlineLevel="1"/>
    <col min="28" max="28" width="4.7109375" customWidth="1"/>
    <col min="29" max="31" width="8" customWidth="1" outlineLevel="1"/>
    <col min="32" max="32" width="4.7109375" customWidth="1"/>
    <col min="33" max="35" width="8" customWidth="1" outlineLevel="1"/>
    <col min="36" max="36" width="4.7109375" customWidth="1"/>
    <col min="37" max="39" width="8" customWidth="1" outlineLevel="1"/>
    <col min="40" max="40" width="4.7109375" customWidth="1"/>
    <col min="41" max="43" width="11.5703125" bestFit="1" customWidth="1" outlineLevel="1"/>
    <col min="44" max="44" width="4.7109375" customWidth="1"/>
    <col min="45" max="45" width="11.5703125" bestFit="1" customWidth="1" outlineLevel="1"/>
    <col min="46" max="47" width="11.5703125" customWidth="1" outlineLevel="1"/>
    <col min="48" max="48" width="4.7109375" customWidth="1"/>
    <col min="49" max="51" width="11.5703125" customWidth="1" outlineLevel="1"/>
    <col min="52" max="52" width="4.7109375" customWidth="1"/>
    <col min="53" max="55" width="11.5703125" customWidth="1" outlineLevel="1"/>
    <col min="56" max="56" width="4.7109375" customWidth="1"/>
    <col min="57" max="59" width="11.5703125" customWidth="1" outlineLevel="1"/>
    <col min="60" max="60" width="4.7109375" customWidth="1"/>
    <col min="61" max="63" width="11.5703125" customWidth="1" outlineLevel="1"/>
    <col min="64" max="64" width="4.7109375" customWidth="1"/>
    <col min="65" max="67" width="11.5703125" customWidth="1" outlineLevel="1"/>
    <col min="68" max="68" width="4.7109375" customWidth="1"/>
    <col min="69" max="71" width="11.5703125" customWidth="1" outlineLevel="1"/>
    <col min="72" max="72" width="4.7109375" customWidth="1"/>
    <col min="73" max="75" width="11.5703125" customWidth="1" outlineLevel="1"/>
    <col min="76" max="76" width="4.7109375" customWidth="1"/>
    <col min="77" max="79" width="11.5703125" customWidth="1" outlineLevel="1"/>
    <col min="80" max="80" width="4.7109375" customWidth="1"/>
    <col min="81" max="83" width="11.5703125" customWidth="1" outlineLevel="1"/>
    <col min="84" max="84" width="4.7109375" customWidth="1"/>
    <col min="85" max="87" width="11.5703125" customWidth="1" outlineLevel="1"/>
    <col min="88" max="88" width="4.7109375" customWidth="1"/>
    <col min="89" max="91" width="11.5703125" customWidth="1" outlineLevel="1"/>
    <col min="92" max="92" width="4.7109375" customWidth="1"/>
    <col min="93" max="95" width="11.5703125" customWidth="1" outlineLevel="1"/>
    <col min="96" max="96" width="4.7109375" customWidth="1"/>
    <col min="97" max="99" width="11.5703125" customWidth="1" outlineLevel="1"/>
    <col min="100" max="100" width="4.7109375" customWidth="1"/>
    <col min="101" max="103" width="11.5703125" customWidth="1" outlineLevel="1"/>
    <col min="104" max="104" width="4.7109375" customWidth="1"/>
    <col min="105" max="107" width="11.5703125" customWidth="1" outlineLevel="1"/>
    <col min="108" max="108" width="4.7109375" customWidth="1"/>
    <col min="109" max="111" width="11.5703125" customWidth="1" outlineLevel="1"/>
    <col min="112" max="112" width="4.7109375" customWidth="1"/>
    <col min="113" max="115" width="11.5703125" customWidth="1" outlineLevel="1"/>
    <col min="116" max="116" width="4.7109375" customWidth="1"/>
    <col min="117" max="119" width="11.5703125" customWidth="1" outlineLevel="1"/>
    <col min="120" max="120" width="4.7109375" customWidth="1"/>
    <col min="121" max="123" width="11.5703125" customWidth="1" outlineLevel="1"/>
    <col min="124" max="124" width="4.7109375" customWidth="1"/>
    <col min="125" max="127" width="11.5703125" customWidth="1" outlineLevel="1"/>
    <col min="128" max="128" width="4.7109375" customWidth="1"/>
    <col min="129" max="131" width="11.5703125" customWidth="1" outlineLevel="1"/>
    <col min="132" max="132" width="4.7109375" customWidth="1"/>
    <col min="133" max="135" width="11.5703125" customWidth="1" outlineLevel="1"/>
    <col min="136" max="136" width="4.7109375" customWidth="1"/>
    <col min="137" max="139" width="12.28515625" bestFit="1" customWidth="1" outlineLevel="1"/>
    <col min="140" max="140" width="4.7109375" customWidth="1"/>
    <col min="141" max="141" width="12.28515625" bestFit="1" customWidth="1" outlineLevel="1"/>
    <col min="142" max="143" width="11.5703125" customWidth="1" outlineLevel="1"/>
    <col min="144" max="144" width="4.7109375" customWidth="1"/>
    <col min="145" max="145" width="12.28515625" bestFit="1" customWidth="1" outlineLevel="1"/>
    <col min="146" max="147" width="11.5703125" customWidth="1" outlineLevel="1"/>
    <col min="148" max="148" width="4.7109375" customWidth="1"/>
    <col min="149" max="149" width="12.28515625" bestFit="1" customWidth="1" outlineLevel="1"/>
    <col min="150" max="151" width="11.5703125" customWidth="1" outlineLevel="1"/>
    <col min="152" max="152" width="4.7109375" customWidth="1"/>
    <col min="153" max="153" width="12.28515625" bestFit="1" customWidth="1" outlineLevel="1"/>
    <col min="154" max="155" width="11.5703125" customWidth="1" outlineLevel="1"/>
    <col min="16257" max="16257" width="9.140625" bestFit="1" customWidth="1"/>
    <col min="16258" max="16262" width="9.140625" customWidth="1"/>
  </cols>
  <sheetData>
    <row r="1" spans="1:155" x14ac:dyDescent="0.25">
      <c r="B1" s="85" t="s">
        <v>58</v>
      </c>
      <c r="C1" s="85" t="s">
        <v>60</v>
      </c>
      <c r="D1" s="85" t="s">
        <v>59</v>
      </c>
      <c r="E1" s="116" t="s">
        <v>53</v>
      </c>
      <c r="F1" s="116"/>
      <c r="G1" s="116"/>
      <c r="I1" s="116" t="s">
        <v>309</v>
      </c>
      <c r="J1" s="116"/>
      <c r="K1" s="116"/>
      <c r="M1" s="116" t="s">
        <v>310</v>
      </c>
      <c r="N1" s="116"/>
      <c r="O1" s="116"/>
      <c r="Q1" s="116" t="s">
        <v>389</v>
      </c>
      <c r="R1" s="116"/>
      <c r="S1" s="116"/>
      <c r="U1" s="116" t="s">
        <v>301</v>
      </c>
      <c r="V1" s="116"/>
      <c r="W1" s="116"/>
      <c r="Y1" s="116" t="s">
        <v>307</v>
      </c>
      <c r="Z1" s="116"/>
      <c r="AA1" s="116"/>
      <c r="AC1" s="116" t="s">
        <v>391</v>
      </c>
      <c r="AD1" s="116"/>
      <c r="AE1" s="116"/>
      <c r="AG1" s="116" t="s">
        <v>392</v>
      </c>
      <c r="AH1" s="116"/>
      <c r="AI1" s="116"/>
      <c r="AK1" s="116" t="s">
        <v>393</v>
      </c>
      <c r="AL1" s="116"/>
      <c r="AM1" s="116"/>
      <c r="AO1" s="116" t="s">
        <v>57</v>
      </c>
      <c r="AP1" s="116"/>
      <c r="AQ1" s="116"/>
      <c r="AS1" s="116" t="s">
        <v>516</v>
      </c>
      <c r="AT1" s="116"/>
      <c r="AU1" s="116"/>
      <c r="AW1" s="116" t="s">
        <v>297</v>
      </c>
      <c r="AX1" s="116"/>
      <c r="AY1" s="116"/>
      <c r="BA1" s="116" t="s">
        <v>298</v>
      </c>
      <c r="BB1" s="116"/>
      <c r="BC1" s="116"/>
      <c r="BE1" s="116" t="s">
        <v>379</v>
      </c>
      <c r="BF1" s="116"/>
      <c r="BG1" s="116"/>
      <c r="BI1" s="116" t="s">
        <v>380</v>
      </c>
      <c r="BJ1" s="116"/>
      <c r="BK1" s="116"/>
      <c r="BM1" s="116" t="s">
        <v>381</v>
      </c>
      <c r="BN1" s="116"/>
      <c r="BO1" s="116"/>
      <c r="BQ1" s="116" t="s">
        <v>383</v>
      </c>
      <c r="BR1" s="116"/>
      <c r="BS1" s="116"/>
      <c r="BU1" s="116" t="s">
        <v>382</v>
      </c>
      <c r="BV1" s="116"/>
      <c r="BW1" s="116"/>
      <c r="BY1" s="116" t="s">
        <v>403</v>
      </c>
      <c r="BZ1" s="116"/>
      <c r="CA1" s="116"/>
      <c r="CC1" s="116" t="s">
        <v>404</v>
      </c>
      <c r="CD1" s="116"/>
      <c r="CE1" s="116"/>
      <c r="CG1" s="116" t="s">
        <v>405</v>
      </c>
      <c r="CH1" s="116"/>
      <c r="CI1" s="116"/>
      <c r="CK1" s="116" t="s">
        <v>406</v>
      </c>
      <c r="CL1" s="116"/>
      <c r="CM1" s="116"/>
      <c r="CO1" s="116" t="s">
        <v>261</v>
      </c>
      <c r="CP1" s="116"/>
      <c r="CQ1" s="116"/>
      <c r="CS1" s="116" t="s">
        <v>299</v>
      </c>
      <c r="CT1" s="116"/>
      <c r="CU1" s="116"/>
      <c r="CW1" s="116" t="s">
        <v>28</v>
      </c>
      <c r="CX1" s="116"/>
      <c r="CY1" s="116"/>
      <c r="DA1" s="116" t="s">
        <v>31</v>
      </c>
      <c r="DB1" s="116"/>
      <c r="DC1" s="116"/>
      <c r="DE1" s="116" t="s">
        <v>34</v>
      </c>
      <c r="DF1" s="116"/>
      <c r="DG1" s="116"/>
      <c r="DI1" s="116" t="s">
        <v>36</v>
      </c>
      <c r="DJ1" s="116"/>
      <c r="DK1" s="116"/>
      <c r="DM1" s="116" t="s">
        <v>38</v>
      </c>
      <c r="DN1" s="116"/>
      <c r="DO1" s="116"/>
      <c r="DQ1" s="116" t="s">
        <v>40</v>
      </c>
      <c r="DR1" s="116"/>
      <c r="DS1" s="116"/>
      <c r="DU1" s="116" t="s">
        <v>300</v>
      </c>
      <c r="DV1" s="116"/>
      <c r="DW1" s="116"/>
      <c r="DY1" s="116" t="s">
        <v>42</v>
      </c>
      <c r="DZ1" s="116"/>
      <c r="EA1" s="116"/>
      <c r="EC1" s="116" t="s">
        <v>388</v>
      </c>
      <c r="ED1" s="116"/>
      <c r="EE1" s="116"/>
      <c r="EG1" s="116" t="s">
        <v>285</v>
      </c>
      <c r="EH1" s="116"/>
      <c r="EI1" s="116"/>
      <c r="EK1" s="116" t="s">
        <v>282</v>
      </c>
      <c r="EL1" s="116"/>
      <c r="EM1" s="116"/>
      <c r="EO1" s="116" t="s">
        <v>512</v>
      </c>
      <c r="EP1" s="116"/>
      <c r="EQ1" s="116"/>
      <c r="ES1" s="116" t="s">
        <v>517</v>
      </c>
      <c r="ET1" s="116"/>
      <c r="EU1" s="116"/>
      <c r="EW1" s="116" t="s">
        <v>513</v>
      </c>
      <c r="EX1" s="116"/>
      <c r="EY1" s="116"/>
    </row>
    <row r="2" spans="1:155" x14ac:dyDescent="0.25">
      <c r="B2" s="85" t="s">
        <v>58</v>
      </c>
      <c r="C2" s="85" t="s">
        <v>60</v>
      </c>
      <c r="D2" s="85" t="s">
        <v>59</v>
      </c>
      <c r="E2" cm="1">
        <f t="array" ref="E2:G2">_xlfn.SEQUENCE(1,3,0)*12+1</f>
        <v>1</v>
      </c>
      <c r="F2" s="1">
        <v>13</v>
      </c>
      <c r="G2" s="1">
        <v>25</v>
      </c>
      <c r="I2" cm="1">
        <f t="array" ref="I2:K2">_xlfn.ANCHORARRAY($E2)</f>
        <v>1</v>
      </c>
      <c r="J2" s="1">
        <v>13</v>
      </c>
      <c r="K2" s="1">
        <v>25</v>
      </c>
      <c r="M2" cm="1">
        <f t="array" ref="M2:O2">_xlfn.ANCHORARRAY($E2)</f>
        <v>1</v>
      </c>
      <c r="N2" s="1">
        <v>13</v>
      </c>
      <c r="O2" s="1">
        <v>25</v>
      </c>
      <c r="Q2" cm="1">
        <f t="array" ref="Q2:S2">_xlfn.ANCHORARRAY($E2)</f>
        <v>1</v>
      </c>
      <c r="R2" s="1">
        <v>13</v>
      </c>
      <c r="S2" s="1">
        <v>25</v>
      </c>
      <c r="U2" cm="1">
        <f t="array" ref="U2:W2">_xlfn.ANCHORARRAY($E2)</f>
        <v>1</v>
      </c>
      <c r="V2" s="1">
        <v>13</v>
      </c>
      <c r="W2" s="1">
        <v>25</v>
      </c>
      <c r="Y2" cm="1">
        <f t="array" ref="Y2:AA2">_xlfn.ANCHORARRAY($E2)</f>
        <v>1</v>
      </c>
      <c r="Z2" s="1">
        <v>13</v>
      </c>
      <c r="AA2" s="1">
        <v>25</v>
      </c>
      <c r="AC2" cm="1">
        <f t="array" ref="AC2:AE2">_xlfn.ANCHORARRAY($E2)</f>
        <v>1</v>
      </c>
      <c r="AD2" s="1">
        <v>13</v>
      </c>
      <c r="AE2" s="1">
        <v>25</v>
      </c>
      <c r="AG2" cm="1">
        <f t="array" ref="AG2:AI2">_xlfn.ANCHORARRAY($E2)</f>
        <v>1</v>
      </c>
      <c r="AH2" s="1">
        <v>13</v>
      </c>
      <c r="AI2" s="1">
        <v>25</v>
      </c>
      <c r="AK2" cm="1">
        <f t="array" ref="AK2:AM2">_xlfn.ANCHORARRAY($E2)</f>
        <v>1</v>
      </c>
      <c r="AL2" s="1">
        <v>13</v>
      </c>
      <c r="AM2" s="1">
        <v>25</v>
      </c>
      <c r="AO2" cm="1">
        <f t="array" ref="AO2:AQ2">_xlfn.ANCHORARRAY($E2)</f>
        <v>1</v>
      </c>
      <c r="AP2" s="1">
        <v>13</v>
      </c>
      <c r="AQ2" s="1">
        <v>25</v>
      </c>
      <c r="AS2" cm="1">
        <f t="array" ref="AS2:AU2">_xlfn.ANCHORARRAY($E2)</f>
        <v>1</v>
      </c>
      <c r="AT2" s="1">
        <v>13</v>
      </c>
      <c r="AU2" s="1">
        <v>25</v>
      </c>
      <c r="AW2" cm="1">
        <f t="array" ref="AW2:AY2">_xlfn.ANCHORARRAY($E2)</f>
        <v>1</v>
      </c>
      <c r="AX2" s="1">
        <v>13</v>
      </c>
      <c r="AY2" s="1">
        <v>25</v>
      </c>
      <c r="BA2" cm="1">
        <f t="array" ref="BA2:BC2">_xlfn.ANCHORARRAY($E2)</f>
        <v>1</v>
      </c>
      <c r="BB2" s="1">
        <v>13</v>
      </c>
      <c r="BC2" s="1">
        <v>25</v>
      </c>
      <c r="BE2" cm="1">
        <f t="array" ref="BE2:BG2">_xlfn.ANCHORARRAY($E2)</f>
        <v>1</v>
      </c>
      <c r="BF2" s="1">
        <v>13</v>
      </c>
      <c r="BG2" s="1">
        <v>25</v>
      </c>
      <c r="BI2" cm="1">
        <f t="array" ref="BI2:BK2">_xlfn.ANCHORARRAY($E2)</f>
        <v>1</v>
      </c>
      <c r="BJ2" s="1">
        <v>13</v>
      </c>
      <c r="BK2" s="1">
        <v>25</v>
      </c>
      <c r="BM2" cm="1">
        <f t="array" ref="BM2:BO2">_xlfn.ANCHORARRAY($E2)</f>
        <v>1</v>
      </c>
      <c r="BN2" s="1">
        <v>13</v>
      </c>
      <c r="BO2" s="1">
        <v>25</v>
      </c>
      <c r="BQ2" cm="1">
        <f t="array" ref="BQ2:BS2">_xlfn.ANCHORARRAY($E2)</f>
        <v>1</v>
      </c>
      <c r="BR2" s="1">
        <v>13</v>
      </c>
      <c r="BS2" s="1">
        <v>25</v>
      </c>
      <c r="BU2" cm="1">
        <f t="array" ref="BU2:BW2">_xlfn.ANCHORARRAY($E2)</f>
        <v>1</v>
      </c>
      <c r="BV2" s="1">
        <v>13</v>
      </c>
      <c r="BW2" s="1">
        <v>25</v>
      </c>
      <c r="BY2" cm="1">
        <f t="array" ref="BY2:CA2">_xlfn.ANCHORARRAY($E2)</f>
        <v>1</v>
      </c>
      <c r="BZ2" s="1">
        <v>13</v>
      </c>
      <c r="CA2" s="1">
        <v>25</v>
      </c>
      <c r="CC2" cm="1">
        <f t="array" ref="CC2:CE2">_xlfn.ANCHORARRAY($E2)</f>
        <v>1</v>
      </c>
      <c r="CD2" s="1">
        <v>13</v>
      </c>
      <c r="CE2" s="1">
        <v>25</v>
      </c>
      <c r="CG2" cm="1">
        <f t="array" ref="CG2:CI2">_xlfn.ANCHORARRAY($E2)</f>
        <v>1</v>
      </c>
      <c r="CH2" s="1">
        <v>13</v>
      </c>
      <c r="CI2" s="1">
        <v>25</v>
      </c>
      <c r="CK2" cm="1">
        <f t="array" ref="CK2:CM2">_xlfn.ANCHORARRAY($E2)</f>
        <v>1</v>
      </c>
      <c r="CL2" s="1">
        <v>13</v>
      </c>
      <c r="CM2" s="1">
        <v>25</v>
      </c>
      <c r="CO2" cm="1">
        <f t="array" ref="CO2:CQ2">_xlfn.ANCHORARRAY($E2)</f>
        <v>1</v>
      </c>
      <c r="CP2" s="1">
        <v>13</v>
      </c>
      <c r="CQ2" s="1">
        <v>25</v>
      </c>
      <c r="CS2" cm="1">
        <f t="array" ref="CS2:CU2">_xlfn.ANCHORARRAY($E2)</f>
        <v>1</v>
      </c>
      <c r="CT2" s="1">
        <v>13</v>
      </c>
      <c r="CU2" s="1">
        <v>25</v>
      </c>
      <c r="CW2" cm="1">
        <f t="array" ref="CW2:CY2">_xlfn.ANCHORARRAY($E2)</f>
        <v>1</v>
      </c>
      <c r="CX2" s="1">
        <v>13</v>
      </c>
      <c r="CY2" s="1">
        <v>25</v>
      </c>
      <c r="DA2" cm="1">
        <f t="array" ref="DA2:DC2">_xlfn.ANCHORARRAY($E2)</f>
        <v>1</v>
      </c>
      <c r="DB2" s="1">
        <v>13</v>
      </c>
      <c r="DC2" s="1">
        <v>25</v>
      </c>
      <c r="DE2" cm="1">
        <f t="array" ref="DE2:DG2">_xlfn.ANCHORARRAY($E2)</f>
        <v>1</v>
      </c>
      <c r="DF2" s="1">
        <v>13</v>
      </c>
      <c r="DG2" s="1">
        <v>25</v>
      </c>
      <c r="DI2" cm="1">
        <f t="array" ref="DI2:DK2">_xlfn.ANCHORARRAY($E2)</f>
        <v>1</v>
      </c>
      <c r="DJ2" s="1">
        <v>13</v>
      </c>
      <c r="DK2" s="1">
        <v>25</v>
      </c>
      <c r="DM2" cm="1">
        <f t="array" ref="DM2:DO2">_xlfn.ANCHORARRAY($E2)</f>
        <v>1</v>
      </c>
      <c r="DN2" s="1">
        <v>13</v>
      </c>
      <c r="DO2" s="1">
        <v>25</v>
      </c>
      <c r="DQ2" cm="1">
        <f t="array" ref="DQ2:DS2">_xlfn.ANCHORARRAY($E2)</f>
        <v>1</v>
      </c>
      <c r="DR2" s="1">
        <v>13</v>
      </c>
      <c r="DS2" s="1">
        <v>25</v>
      </c>
      <c r="DU2" cm="1">
        <f t="array" ref="DU2:DW2">_xlfn.ANCHORARRAY($E2)</f>
        <v>1</v>
      </c>
      <c r="DV2" s="1">
        <v>13</v>
      </c>
      <c r="DW2" s="1">
        <v>25</v>
      </c>
      <c r="DY2" cm="1">
        <f t="array" ref="DY2:EA2">_xlfn.ANCHORARRAY($E2)</f>
        <v>1</v>
      </c>
      <c r="DZ2" s="1">
        <v>13</v>
      </c>
      <c r="EA2" s="1">
        <v>25</v>
      </c>
      <c r="EC2" cm="1">
        <f t="array" ref="EC2:EE2">_xlfn.ANCHORARRAY($E2)</f>
        <v>1</v>
      </c>
      <c r="ED2" s="1">
        <v>13</v>
      </c>
      <c r="EE2" s="1">
        <v>25</v>
      </c>
      <c r="EG2" cm="1">
        <f t="array" ref="EG2:EI2">_xlfn.ANCHORARRAY($E2)</f>
        <v>1</v>
      </c>
      <c r="EH2" s="1">
        <v>13</v>
      </c>
      <c r="EI2" s="1">
        <v>25</v>
      </c>
      <c r="EK2" cm="1">
        <f t="array" ref="EK2:EM2">_xlfn.ANCHORARRAY($E2)</f>
        <v>1</v>
      </c>
      <c r="EL2" s="1">
        <v>13</v>
      </c>
      <c r="EM2" s="1">
        <v>25</v>
      </c>
      <c r="EO2" cm="1">
        <f t="array" ref="EO2:EQ2">_xlfn.ANCHORARRAY($E2)</f>
        <v>1</v>
      </c>
      <c r="EP2" s="1">
        <v>13</v>
      </c>
      <c r="EQ2" s="1">
        <v>25</v>
      </c>
      <c r="ES2" cm="1">
        <f t="array" ref="ES2:EU2">_xlfn.ANCHORARRAY($E2)</f>
        <v>1</v>
      </c>
      <c r="ET2" s="1">
        <v>13</v>
      </c>
      <c r="EU2" s="1">
        <v>25</v>
      </c>
      <c r="EW2" cm="1">
        <f t="array" ref="EW2:EY2">_xlfn.ANCHORARRAY($E2)</f>
        <v>1</v>
      </c>
      <c r="EX2" s="1">
        <v>13</v>
      </c>
      <c r="EY2" s="1">
        <v>25</v>
      </c>
    </row>
    <row r="3" spans="1:155" x14ac:dyDescent="0.25">
      <c r="B3" s="85" t="s">
        <v>58</v>
      </c>
      <c r="C3" s="85" t="s">
        <v>60</v>
      </c>
      <c r="D3" s="85" t="s">
        <v>59</v>
      </c>
      <c r="E3" s="85" cm="1">
        <f t="array" ref="E3:G3">_xlfn.SEQUENCE(1,3,2026)</f>
        <v>2026</v>
      </c>
      <c r="F3" s="85">
        <v>2027</v>
      </c>
      <c r="G3" s="85">
        <v>2028</v>
      </c>
      <c r="I3" s="85" cm="1">
        <f t="array" ref="I3:K3">_xlfn.ANCHORARRAY($E3)</f>
        <v>2026</v>
      </c>
      <c r="J3" s="85">
        <v>2027</v>
      </c>
      <c r="K3" s="85">
        <v>2028</v>
      </c>
      <c r="M3" s="85" cm="1">
        <f t="array" ref="M3:O3">_xlfn.ANCHORARRAY($E3)</f>
        <v>2026</v>
      </c>
      <c r="N3" s="85">
        <v>2027</v>
      </c>
      <c r="O3" s="85">
        <v>2028</v>
      </c>
      <c r="Q3" s="85" cm="1">
        <f t="array" ref="Q3:S3">_xlfn.ANCHORARRAY($E3)</f>
        <v>2026</v>
      </c>
      <c r="R3" s="85">
        <v>2027</v>
      </c>
      <c r="S3" s="85">
        <v>2028</v>
      </c>
      <c r="U3" s="85" cm="1">
        <f t="array" ref="U3:W3">_xlfn.ANCHORARRAY($E3)</f>
        <v>2026</v>
      </c>
      <c r="V3" s="85">
        <v>2027</v>
      </c>
      <c r="W3" s="85">
        <v>2028</v>
      </c>
      <c r="Y3" s="85" cm="1">
        <f t="array" ref="Y3:AA3">_xlfn.ANCHORARRAY($E3)</f>
        <v>2026</v>
      </c>
      <c r="Z3" s="85">
        <v>2027</v>
      </c>
      <c r="AA3" s="85">
        <v>2028</v>
      </c>
      <c r="AC3" s="85" cm="1">
        <f t="array" ref="AC3:AE3">_xlfn.ANCHORARRAY($E3)</f>
        <v>2026</v>
      </c>
      <c r="AD3" s="85">
        <v>2027</v>
      </c>
      <c r="AE3" s="85">
        <v>2028</v>
      </c>
      <c r="AG3" s="85" cm="1">
        <f t="array" ref="AG3:AI3">_xlfn.ANCHORARRAY($E3)</f>
        <v>2026</v>
      </c>
      <c r="AH3" s="85">
        <v>2027</v>
      </c>
      <c r="AI3" s="85">
        <v>2028</v>
      </c>
      <c r="AK3" s="85" cm="1">
        <f t="array" ref="AK3:AM3">_xlfn.ANCHORARRAY($E3)</f>
        <v>2026</v>
      </c>
      <c r="AL3" s="85">
        <v>2027</v>
      </c>
      <c r="AM3" s="85">
        <v>2028</v>
      </c>
      <c r="AO3" s="85" cm="1">
        <f t="array" ref="AO3:AQ3">_xlfn.ANCHORARRAY($E3)</f>
        <v>2026</v>
      </c>
      <c r="AP3" s="85">
        <v>2027</v>
      </c>
      <c r="AQ3" s="85">
        <v>2028</v>
      </c>
      <c r="AS3" s="85" cm="1">
        <f t="array" ref="AS3:AU3">_xlfn.ANCHORARRAY($E3)</f>
        <v>2026</v>
      </c>
      <c r="AT3" s="85">
        <v>2027</v>
      </c>
      <c r="AU3" s="85">
        <v>2028</v>
      </c>
      <c r="AW3" s="85" cm="1">
        <f t="array" ref="AW3:AY3">_xlfn.ANCHORARRAY($E3)</f>
        <v>2026</v>
      </c>
      <c r="AX3" s="85">
        <v>2027</v>
      </c>
      <c r="AY3" s="85">
        <v>2028</v>
      </c>
      <c r="BA3" s="85" cm="1">
        <f t="array" ref="BA3:BC3">_xlfn.ANCHORARRAY($E3)</f>
        <v>2026</v>
      </c>
      <c r="BB3" s="85">
        <v>2027</v>
      </c>
      <c r="BC3" s="85">
        <v>2028</v>
      </c>
      <c r="BE3" s="85" cm="1">
        <f t="array" ref="BE3:BG3">_xlfn.ANCHORARRAY($E3)</f>
        <v>2026</v>
      </c>
      <c r="BF3" s="85">
        <v>2027</v>
      </c>
      <c r="BG3" s="85">
        <v>2028</v>
      </c>
      <c r="BI3" s="85" cm="1">
        <f t="array" ref="BI3:BK3">_xlfn.ANCHORARRAY($E3)</f>
        <v>2026</v>
      </c>
      <c r="BJ3" s="85">
        <v>2027</v>
      </c>
      <c r="BK3" s="85">
        <v>2028</v>
      </c>
      <c r="BM3" s="85" cm="1">
        <f t="array" ref="BM3:BO3">_xlfn.ANCHORARRAY($E3)</f>
        <v>2026</v>
      </c>
      <c r="BN3" s="85">
        <v>2027</v>
      </c>
      <c r="BO3" s="85">
        <v>2028</v>
      </c>
      <c r="BQ3" s="85" cm="1">
        <f t="array" ref="BQ3:BS3">_xlfn.ANCHORARRAY($E3)</f>
        <v>2026</v>
      </c>
      <c r="BR3" s="85">
        <v>2027</v>
      </c>
      <c r="BS3" s="85">
        <v>2028</v>
      </c>
      <c r="BU3" s="85" cm="1">
        <f t="array" ref="BU3:BW3">_xlfn.ANCHORARRAY($E3)</f>
        <v>2026</v>
      </c>
      <c r="BV3" s="85">
        <v>2027</v>
      </c>
      <c r="BW3" s="85">
        <v>2028</v>
      </c>
      <c r="BY3" s="85" cm="1">
        <f t="array" ref="BY3:CA3">_xlfn.ANCHORARRAY($E3)</f>
        <v>2026</v>
      </c>
      <c r="BZ3" s="85">
        <v>2027</v>
      </c>
      <c r="CA3" s="85">
        <v>2028</v>
      </c>
      <c r="CC3" s="85" cm="1">
        <f t="array" ref="CC3:CE3">_xlfn.ANCHORARRAY($E3)</f>
        <v>2026</v>
      </c>
      <c r="CD3" s="85">
        <v>2027</v>
      </c>
      <c r="CE3" s="85">
        <v>2028</v>
      </c>
      <c r="CG3" s="85" cm="1">
        <f t="array" ref="CG3:CI3">_xlfn.ANCHORARRAY($E3)</f>
        <v>2026</v>
      </c>
      <c r="CH3" s="85">
        <v>2027</v>
      </c>
      <c r="CI3" s="85">
        <v>2028</v>
      </c>
      <c r="CK3" s="85" cm="1">
        <f t="array" ref="CK3:CM3">_xlfn.ANCHORARRAY($E3)</f>
        <v>2026</v>
      </c>
      <c r="CL3" s="85">
        <v>2027</v>
      </c>
      <c r="CM3" s="85">
        <v>2028</v>
      </c>
      <c r="CO3" s="85" cm="1">
        <f t="array" ref="CO3:CQ3">_xlfn.ANCHORARRAY($E3)</f>
        <v>2026</v>
      </c>
      <c r="CP3" s="85">
        <v>2027</v>
      </c>
      <c r="CQ3" s="85">
        <v>2028</v>
      </c>
      <c r="CS3" s="85" cm="1">
        <f t="array" ref="CS3:CU3">_xlfn.ANCHORARRAY($E3)</f>
        <v>2026</v>
      </c>
      <c r="CT3" s="85">
        <v>2027</v>
      </c>
      <c r="CU3" s="85">
        <v>2028</v>
      </c>
      <c r="CW3" s="85" cm="1">
        <f t="array" ref="CW3:CY3">_xlfn.ANCHORARRAY($E3)</f>
        <v>2026</v>
      </c>
      <c r="CX3" s="85">
        <v>2027</v>
      </c>
      <c r="CY3" s="85">
        <v>2028</v>
      </c>
      <c r="DA3" s="85" cm="1">
        <f t="array" ref="DA3:DC3">_xlfn.ANCHORARRAY($E3)</f>
        <v>2026</v>
      </c>
      <c r="DB3" s="85">
        <v>2027</v>
      </c>
      <c r="DC3" s="85">
        <v>2028</v>
      </c>
      <c r="DE3" s="85" cm="1">
        <f t="array" ref="DE3:DG3">_xlfn.ANCHORARRAY($E3)</f>
        <v>2026</v>
      </c>
      <c r="DF3" s="85">
        <v>2027</v>
      </c>
      <c r="DG3" s="85">
        <v>2028</v>
      </c>
      <c r="DI3" s="85" cm="1">
        <f t="array" ref="DI3:DK3">_xlfn.ANCHORARRAY($E3)</f>
        <v>2026</v>
      </c>
      <c r="DJ3" s="85">
        <v>2027</v>
      </c>
      <c r="DK3" s="85">
        <v>2028</v>
      </c>
      <c r="DM3" s="85" cm="1">
        <f t="array" ref="DM3:DO3">_xlfn.ANCHORARRAY($E3)</f>
        <v>2026</v>
      </c>
      <c r="DN3" s="85">
        <v>2027</v>
      </c>
      <c r="DO3" s="85">
        <v>2028</v>
      </c>
      <c r="DQ3" s="85" cm="1">
        <f t="array" ref="DQ3:DS3">_xlfn.ANCHORARRAY($E3)</f>
        <v>2026</v>
      </c>
      <c r="DR3" s="85">
        <v>2027</v>
      </c>
      <c r="DS3" s="85">
        <v>2028</v>
      </c>
      <c r="DU3" s="85" cm="1">
        <f t="array" ref="DU3:DW3">_xlfn.ANCHORARRAY($E3)</f>
        <v>2026</v>
      </c>
      <c r="DV3" s="85">
        <v>2027</v>
      </c>
      <c r="DW3" s="85">
        <v>2028</v>
      </c>
      <c r="DY3" s="85" cm="1">
        <f t="array" ref="DY3:EA3">_xlfn.ANCHORARRAY($E3)</f>
        <v>2026</v>
      </c>
      <c r="DZ3" s="85">
        <v>2027</v>
      </c>
      <c r="EA3" s="85">
        <v>2028</v>
      </c>
      <c r="EC3" s="85" cm="1">
        <f t="array" ref="EC3:EE3">_xlfn.ANCHORARRAY($E3)</f>
        <v>2026</v>
      </c>
      <c r="ED3" s="85">
        <v>2027</v>
      </c>
      <c r="EE3" s="85">
        <v>2028</v>
      </c>
      <c r="EG3" s="85" cm="1">
        <f t="array" ref="EG3:EI3">_xlfn.ANCHORARRAY($E3)</f>
        <v>2026</v>
      </c>
      <c r="EH3" s="85">
        <v>2027</v>
      </c>
      <c r="EI3" s="85">
        <v>2028</v>
      </c>
      <c r="EK3" s="85" cm="1">
        <f t="array" ref="EK3:EM3">_xlfn.ANCHORARRAY($E3)</f>
        <v>2026</v>
      </c>
      <c r="EL3" s="85">
        <v>2027</v>
      </c>
      <c r="EM3" s="85">
        <v>2028</v>
      </c>
      <c r="EO3" s="85" cm="1">
        <f t="array" ref="EO3:EQ3">_xlfn.ANCHORARRAY($E3)</f>
        <v>2026</v>
      </c>
      <c r="EP3" s="85">
        <v>2027</v>
      </c>
      <c r="EQ3" s="85">
        <v>2028</v>
      </c>
      <c r="ES3" s="85" cm="1">
        <f t="array" ref="ES3:EU3">_xlfn.ANCHORARRAY($E3)</f>
        <v>2026</v>
      </c>
      <c r="ET3" s="85">
        <v>2027</v>
      </c>
      <c r="EU3" s="85">
        <v>2028</v>
      </c>
      <c r="EW3" s="85" cm="1">
        <f t="array" ref="EW3:EY3">_xlfn.ANCHORARRAY($E3)</f>
        <v>2026</v>
      </c>
      <c r="EX3" s="85">
        <v>2027</v>
      </c>
      <c r="EY3" s="85">
        <v>2028</v>
      </c>
    </row>
    <row r="4" spans="1:155" x14ac:dyDescent="0.25">
      <c r="A4" s="114"/>
      <c r="B4" t="str" cm="1">
        <f t="array" ref="B4:B55">_xlfn.XLOOKUP(_xlfn.ANCHORARRAY(D4),{"M&amp;A","New Jersey","Arizona","Maryland","North Carolina"},{"JV1","JV1","JV2","JV2","JV2"},0,0)</f>
        <v>JV1</v>
      </c>
      <c r="C4" t="str" cm="1">
        <f t="array" ref="C4:C55">_xlfn.VSTACK('MS:NCA9'!$C$1)</f>
        <v>M&amp;A</v>
      </c>
      <c r="D4" t="str" cm="1">
        <f t="array" ref="D4:D55">_xlfn.VSTACK('MS:NCA9'!$B$2)</f>
        <v>M&amp;A</v>
      </c>
      <c r="E4" s="53" cm="1">
        <f t="array" ref="E4:G55">_xlfn.LET(_xlpm.bill_hours,_xlfn.VSTACK('MS:NCA9'!$E$23:$AN$23),_xlfn.HSTACK(
_xlfn.BYROW(_xlpm.bill_hours,_xlfn.LAMBDA(_xlpm.row,SUM(_xlfn.CHOOSECOLS(_xlpm.row,_xlfn.SEQUENCE(12,1,E$2))))),
_xlfn.BYROW(_xlpm.bill_hours,_xlfn.LAMBDA(_xlpm.row,SUM(_xlfn.CHOOSECOLS(_xlpm.row,_xlfn.SEQUENCE(12,1,F$2))))),
_xlfn.BYROW(_xlpm.bill_hours,_xlfn.LAMBDA(_xlpm.row,SUM(_xlfn.CHOOSECOLS(_xlpm.row,_xlfn.SEQUENCE(12,1,G$2)))))))</f>
        <v>212288.85333333333</v>
      </c>
      <c r="F4" s="53">
        <v>293652.47999999998</v>
      </c>
      <c r="G4" s="53">
        <v>309760</v>
      </c>
      <c r="I4" s="53" cm="1">
        <f t="array" ref="I4:K55">_xlfn.LET(_xlpm.bill_hours,_xlfn.VSTACK('MS:NCA9'!$E$7:$AN$7),_xlfn.HSTACK(
_xlfn.BYROW(_xlpm.bill_hours,_xlfn.LAMBDA(_xlpm.row,MAX(_xlfn.CHOOSECOLS(_xlpm.row,_xlfn.SEQUENCE(12,1,I$2))))),
_xlfn.BYROW(_xlpm.bill_hours,_xlfn.LAMBDA(_xlpm.row,MAX(_xlfn.CHOOSECOLS(_xlpm.row,_xlfn.SEQUENCE(12,1,J$2))))),
_xlfn.BYROW(_xlpm.bill_hours,_xlfn.LAMBDA(_xlpm.row,MAX(_xlfn.CHOOSECOLS(_xlpm.row,_xlfn.SEQUENCE(12,1,K$2)))))))</f>
        <v>0</v>
      </c>
      <c r="J4" s="53">
        <v>0</v>
      </c>
      <c r="K4" s="53">
        <v>0</v>
      </c>
      <c r="M4" s="53" cm="1">
        <f t="array" ref="M4:O55">_xlfn.LET(_xlpm.bill_hours,_xlfn.VSTACK('MS:NCA9'!$E$8:$AN$8),_xlfn.HSTACK(
_xlfn.BYROW(_xlpm.bill_hours,_xlfn.LAMBDA(_xlpm.row,MAX(_xlfn.CHOOSECOLS(_xlpm.row,_xlfn.SEQUENCE(12,1,M$2))))),
_xlfn.BYROW(_xlpm.bill_hours,_xlfn.LAMBDA(_xlpm.row,MAX(_xlfn.CHOOSECOLS(_xlpm.row,_xlfn.SEQUENCE(12,1,N$2))))),
_xlfn.BYROW(_xlpm.bill_hours,_xlfn.LAMBDA(_xlpm.row,MAX(_xlfn.CHOOSECOLS(_xlpm.row,_xlfn.SEQUENCE(12,1,O$2)))))))</f>
        <v>0</v>
      </c>
      <c r="N4" s="53">
        <v>0</v>
      </c>
      <c r="O4" s="53">
        <v>0</v>
      </c>
      <c r="Q4" s="53" cm="1">
        <f t="array" ref="Q4:S55">_xlfn.LET(_xlpm.bill_hours,_xlfn.VSTACK('MS:NCA9'!$E$21:$AN$21),_xlfn.HSTACK(
_xlfn.BYROW(_xlpm.bill_hours,_xlfn.LAMBDA(_xlpm.row,MAX(_xlfn.CHOOSECOLS(_xlpm.row,_xlfn.SEQUENCE(12,1,Q$2))))),
_xlfn.BYROW(_xlpm.bill_hours,_xlfn.LAMBDA(_xlpm.row,MAX(_xlfn.CHOOSECOLS(_xlpm.row,_xlfn.SEQUENCE(12,1,R$2))))),
_xlfn.BYROW(_xlpm.bill_hours,_xlfn.LAMBDA(_xlpm.row,MAX(_xlfn.CHOOSECOLS(_xlpm.row,_xlfn.SEQUENCE(12,1,S$2)))))))</f>
        <v>0</v>
      </c>
      <c r="R4" s="53">
        <v>0</v>
      </c>
      <c r="S4" s="53">
        <v>0</v>
      </c>
      <c r="U4" s="53" cm="1">
        <f t="array" ref="U4:W55">_xlfn.LET(_xlpm.bill_hours,_xlfn.VSTACK('MS:NCA9'!$E$6:$AN$6)-_xlfn.VSTACK('MS:NCA9'!$E$21:$AN$21),_xlfn.HSTACK(
_xlfn.BYROW(_xlpm.bill_hours,_xlfn.LAMBDA(_xlpm.row,MAX(_xlfn.CHOOSECOLS(_xlpm.row,_xlfn.SEQUENCE(12,1,U$2))))),
_xlfn.BYROW(_xlpm.bill_hours,_xlfn.LAMBDA(_xlpm.row,MAX(_xlfn.CHOOSECOLS(_xlpm.row,_xlfn.SEQUENCE(12,1,V$2))))),
_xlfn.BYROW(_xlpm.bill_hours,_xlfn.LAMBDA(_xlpm.row,MAX(_xlfn.CHOOSECOLS(_xlpm.row,_xlfn.SEQUENCE(12,1,W$2)))))))</f>
        <v>0</v>
      </c>
      <c r="V4" s="53">
        <v>0</v>
      </c>
      <c r="W4" s="53">
        <v>0</v>
      </c>
      <c r="Y4" s="53" cm="1">
        <f t="array" ref="Y4:AA55">_xlfn.LET(_xlpm.bill_hours,_xlfn.VSTACK('MS:NCA9'!$E$1:$AN$1),_xlfn.HSTACK(
_xlfn.BYROW(_xlpm.bill_hours,_xlfn.LAMBDA(_xlpm.row,MAX(_xlfn.CHOOSECOLS(_xlpm.row,_xlfn.SEQUENCE(12,1,Y$2))))),
_xlfn.BYROW(_xlpm.bill_hours,_xlfn.LAMBDA(_xlpm.row,MAX(_xlfn.CHOOSECOLS(_xlpm.row,_xlfn.SEQUENCE(12,1,Z$2))))),
_xlfn.BYROW(_xlpm.bill_hours,_xlfn.LAMBDA(_xlpm.row,MAX(_xlfn.CHOOSECOLS(_xlpm.row,_xlfn.SEQUENCE(12,1,AA$2)))))))</f>
        <v>448</v>
      </c>
      <c r="Z4" s="53">
        <v>496</v>
      </c>
      <c r="AA4" s="53">
        <v>500</v>
      </c>
      <c r="AC4" s="53" cm="1">
        <f t="array" ref="AC4:AE55">_xlfn.LET(_xlpm.bill_hours,_xlfn.VSTACK('MS:NCA9'!$E$2:$AN$2),
_xlfn.HSTACK(_xlfn.BYROW(_xlpm.bill_hours,_xlfn.LAMBDA(_xlpm.row,SUM(_xlfn.CHOOSECOLS(_xlpm.row,_xlfn.SEQUENCE(12,1,AC$2))))),
_xlfn.BYROW(_xlpm.bill_hours,_xlfn.LAMBDA(_xlpm.row,SUM(_xlfn.CHOOSECOLS(_xlpm.row,_xlfn.SEQUENCE(12,1,AD$2))))),
_xlfn.BYROW(_xlpm.bill_hours,_xlfn.LAMBDA(_xlpm.row,SUM(_xlfn.CHOOSECOLS(_xlpm.row,_xlfn.SEQUENCE(12,1,AE$2)))))))</f>
        <v>0</v>
      </c>
      <c r="AD4" s="53">
        <v>0</v>
      </c>
      <c r="AE4" s="53">
        <v>0</v>
      </c>
      <c r="AG4" s="53" cm="1">
        <f t="array" ref="AG4:AI55">_xlfn.LET(_xlpm.bill_hours,_xlfn.VSTACK('MS:NCA9'!$E$3:$AN$3),_xlfn.HSTACK(
_xlfn.BYROW(_xlpm.bill_hours,_xlfn.LAMBDA(_xlpm.row,SUM(_xlfn.CHOOSECOLS(_xlpm.row,_xlfn.SEQUENCE(12,1,AG$2))))),
_xlfn.BYROW(_xlpm.bill_hours,_xlfn.LAMBDA(_xlpm.row,SUM(_xlfn.CHOOSECOLS(_xlpm.row,_xlfn.SEQUENCE(12,1,AH$2))))),
_xlfn.BYROW(_xlpm.bill_hours,_xlfn.LAMBDA(_xlpm.row,SUM(_xlfn.CHOOSECOLS(_xlpm.row,_xlfn.SEQUENCE(12,1,AI$2)))))))</f>
        <v>0</v>
      </c>
      <c r="AH4" s="53">
        <v>0</v>
      </c>
      <c r="AI4" s="53">
        <v>0</v>
      </c>
      <c r="AK4" s="53" cm="1">
        <f t="array" ref="AK4:AK55">_xlfn.BYROW(_xlfn.VSTACK('MS:NCA9'!$E$3:$AN$3),_xlfn.LAMBDA(_xlpm.row,SUM(_xlfn.CHOOSECOLS(_xlpm.row,_xlfn.SEQUENCE(12,1,AK$2)))))+
_xlfn.BYROW(_xlfn.VSTACK('MS:NCA9'!$E$1:$AN$1),_xlfn.LAMBDA(_xlpm.row,MAX(_xlfn.CHOOSECOLS(_xlpm.row,_xlfn.SEQUENCE(12,1,AK$2)))))</f>
        <v>448</v>
      </c>
      <c r="AL4" s="53" cm="1">
        <f t="array" ref="AL4:AL55">_xlfn.BYROW(_xlfn.VSTACK('MS:NCA9'!$E$3:$AN$3),_xlfn.LAMBDA(_xlpm.row,SUM(_xlfn.CHOOSECOLS(_xlpm.row,_xlfn.SEQUENCE(12,1,AL$2)))))+
_xlfn.BYROW(_xlfn.VSTACK('MS:NCA9'!$E$1:$AN$1),_xlfn.LAMBDA(_xlpm.row,MAX(_xlfn.CHOOSECOLS(_xlpm.row,_xlfn.SEQUENCE(12,1,AL$2)))))</f>
        <v>496</v>
      </c>
      <c r="AM4" s="53" cm="1">
        <f t="array" ref="AM4:AM55">_xlfn.BYROW(_xlfn.VSTACK('MS:NCA9'!$E$3:$AN$3),_xlfn.LAMBDA(_xlpm.row,SUM(_xlfn.CHOOSECOLS(_xlpm.row,_xlfn.SEQUENCE(12,1,AM$2)))))+
_xlfn.BYROW(_xlfn.VSTACK('MS:NCA9'!$E$1:$AN$1),_xlfn.LAMBDA(_xlpm.row,MAX(_xlfn.CHOOSECOLS(_xlpm.row,_xlfn.SEQUENCE(12,1,AM$2)))))</f>
        <v>500</v>
      </c>
      <c r="AO4" s="53" cm="1">
        <f t="array" ref="AO4:AQ55">_xlfn.LET(_xlpm.bill_hours,_xlfn.VSTACK('MS:NCA9'!$E$55:$AN$55),_xlfn.HSTACK(
_xlfn.BYROW(_xlpm.bill_hours,_xlfn.LAMBDA(_xlpm.row,SUM(_xlfn.CHOOSECOLS(_xlpm.row,_xlfn.SEQUENCE(12,1,AO$2))))),
_xlfn.BYROW(_xlpm.bill_hours,_xlfn.LAMBDA(_xlpm.row,SUM(_xlfn.CHOOSECOLS(_xlpm.row,_xlfn.SEQUENCE(12,1,AP$2))))),
_xlfn.BYROW(_xlpm.bill_hours,_xlfn.LAMBDA(_xlpm.row,SUM(_xlfn.CHOOSECOLS(_xlpm.row,_xlfn.SEQUENCE(12,1,AQ$2)))))))</f>
        <v>400000</v>
      </c>
      <c r="AP4" s="53">
        <v>0</v>
      </c>
      <c r="AQ4" s="53">
        <v>0</v>
      </c>
      <c r="AS4" s="53" cm="1">
        <f t="array" ref="AS4:AU55">_xlfn.ANCHORARRAY(BE4)+_xlfn.ANCHORARRAY(BI4)+_xlfn.ANCHORARRAY(BM4)+_xlfn.ANCHORARRAY(BQ4)+_xlfn.ANCHORARRAY(BU4)</f>
        <v>38430224.293333329</v>
      </c>
      <c r="AT4" s="53">
        <v>54754097.581199989</v>
      </c>
      <c r="AU4" s="53">
        <v>57757486.899999991</v>
      </c>
      <c r="AW4" s="53" cm="1">
        <f t="array" ref="AW4:AY55">_xlfn.LET(_xlpm.bill_hours,_xlfn.VSTACK('MS:NCA9'!$E$37:$AN$37),_xlfn.HSTACK(
_xlfn.BYROW(_xlpm.bill_hours,_xlfn.LAMBDA(_xlpm.row,SUM(_xlfn.CHOOSECOLS(_xlpm.row,_xlfn.SEQUENCE(12,1,AW$2))))),
_xlfn.BYROW(_xlpm.bill_hours,_xlfn.LAMBDA(_xlpm.row,SUM(_xlfn.CHOOSECOLS(_xlpm.row,_xlfn.SEQUENCE(12,1,AX$2))))),
_xlfn.BYROW(_xlpm.bill_hours,_xlfn.LAMBDA(_xlpm.row,SUM(_xlfn.CHOOSECOLS(_xlpm.row,_xlfn.SEQUENCE(12,1,AY$2)))))))</f>
        <v>33818597.378133327</v>
      </c>
      <c r="AX4" s="53">
        <v>48183605.871455997</v>
      </c>
      <c r="AY4" s="53">
        <v>50826588.471999973</v>
      </c>
      <c r="BA4" s="53" cm="1">
        <f t="array" ref="BA4:BC55">_xlfn.LET(_xlpm.bill_hours,_xlfn.VSTACK('MS:NCA9'!$E$35:$AN$35),_xlfn.HSTACK(
_xlfn.BYROW(_xlpm.bill_hours,_xlfn.LAMBDA(_xlpm.row,SUM(_xlfn.CHOOSECOLS(_xlpm.row,_xlfn.SEQUENCE(12,1,BA$2))))),
_xlfn.BYROW(_xlpm.bill_hours,_xlfn.LAMBDA(_xlpm.row,SUM(_xlfn.CHOOSECOLS(_xlpm.row,_xlfn.SEQUENCE(12,1,BB$2))))),
_xlfn.BYROW(_xlpm.bill_hours,_xlfn.LAMBDA(_xlpm.row,SUM(_xlfn.CHOOSECOLS(_xlpm.row,_xlfn.SEQUENCE(12,1,BC$2)))))))</f>
        <v>-4611626.9151999988</v>
      </c>
      <c r="BB4" s="53">
        <v>-6570491.709743998</v>
      </c>
      <c r="BC4" s="53">
        <v>-6930898.4279999984</v>
      </c>
      <c r="BE4" s="53" cm="1">
        <f t="array" ref="BE4:BG55">_xlfn.LET(_xlpm.bill_hours,_xlfn.VSTACK('MS:NCA9'!$E$26:$AN$26),_xlfn.HSTACK(
_xlfn.BYROW(_xlpm.bill_hours,_xlfn.LAMBDA(_xlpm.row,SUM(_xlfn.CHOOSECOLS(_xlpm.row,_xlfn.SEQUENCE(12,1,BE$2))))),
_xlfn.BYROW(_xlpm.bill_hours,_xlfn.LAMBDA(_xlpm.row,SUM(_xlfn.CHOOSECOLS(_xlpm.row,_xlfn.SEQUENCE(12,1,BF$2))))),
_xlfn.BYROW(_xlpm.bill_hours,_xlfn.LAMBDA(_xlpm.row,SUM(_xlfn.CHOOSECOLS(_xlpm.row,_xlfn.SEQUENCE(12,1,BG$2)))))))</f>
        <v>32552743.946666662</v>
      </c>
      <c r="BF4" s="53">
        <v>46380060.261599995</v>
      </c>
      <c r="BG4" s="53">
        <v>48924114.199999996</v>
      </c>
      <c r="BI4" s="53" cm="1">
        <f t="array" ref="BI4:BK55">_xlfn.LET(_xlpm.bill_hours,_xlfn.VSTACK('MS:NCA9'!$E$27:$AN$27),_xlfn.HSTACK(
_xlfn.BYROW(_xlpm.bill_hours,_xlfn.LAMBDA(_xlpm.row,SUM(_xlfn.CHOOSECOLS(_xlpm.row,_xlfn.SEQUENCE(12,1,BI$2))))),
_xlfn.BYROW(_xlpm.bill_hours,_xlfn.LAMBDA(_xlpm.row,SUM(_xlfn.CHOOSECOLS(_xlpm.row,_xlfn.SEQUENCE(12,1,BJ$2))))),
_xlfn.BYROW(_xlpm.bill_hours,_xlfn.LAMBDA(_xlpm.row,SUM(_xlfn.CHOOSECOLS(_xlpm.row,_xlfn.SEQUENCE(12,1,BK$2)))))))</f>
        <v>0</v>
      </c>
      <c r="BJ4" s="53">
        <v>0</v>
      </c>
      <c r="BK4" s="53">
        <v>0</v>
      </c>
      <c r="BM4" s="53" cm="1">
        <f t="array" ref="BM4:BO55">_xlfn.LET(_xlpm.bill_hours,_xlfn.VSTACK('MS:NCA9'!$E$28:$AN$28),_xlfn.HSTACK(
_xlfn.BYROW(_xlpm.bill_hours,_xlfn.LAMBDA(_xlpm.row,SUM(_xlfn.CHOOSECOLS(_xlpm.row,_xlfn.SEQUENCE(12,1,BM$2))))),
_xlfn.BYROW(_xlpm.bill_hours,_xlfn.LAMBDA(_xlpm.row,SUM(_xlfn.CHOOSECOLS(_xlpm.row,_xlfn.SEQUENCE(12,1,BN$2))))),
_xlfn.BYROW(_xlpm.bill_hours,_xlfn.LAMBDA(_xlpm.row,SUM(_xlfn.CHOOSECOLS(_xlpm.row,_xlfn.SEQUENCE(12,1,BO$2)))))))</f>
        <v>4338970.0639999993</v>
      </c>
      <c r="BN4" s="53">
        <v>6182019.3520799978</v>
      </c>
      <c r="BO4" s="53">
        <v>6521117.46</v>
      </c>
      <c r="BQ4" s="53" cm="1">
        <f t="array" ref="BQ4:BS55">_xlfn.LET(_xlpm.bill_hours,_xlfn.VSTACK('MS:NCA9'!$E$29:$AN$29),_xlfn.HSTACK(
_xlfn.BYROW(_xlpm.bill_hours,_xlfn.LAMBDA(_xlpm.row,SUM(_xlfn.CHOOSECOLS(_xlpm.row,_xlfn.SEQUENCE(12,1,BQ$2))))),
_xlfn.BYROW(_xlpm.bill_hours,_xlfn.LAMBDA(_xlpm.row,SUM(_xlfn.CHOOSECOLS(_xlpm.row,_xlfn.SEQUENCE(12,1,BR$2))))),
_xlfn.BYROW(_xlpm.bill_hours,_xlfn.LAMBDA(_xlpm.row,SUM(_xlfn.CHOOSECOLS(_xlpm.row,_xlfn.SEQUENCE(12,1,BS$2)))))))</f>
        <v>667533.85600000003</v>
      </c>
      <c r="BR4" s="53">
        <v>951079.90032000002</v>
      </c>
      <c r="BS4" s="53">
        <v>1003248.8399999997</v>
      </c>
      <c r="BU4" s="53" cm="1">
        <f t="array" ref="BU4:BW55">_xlfn.LET(_xlpm.bill_hours,_xlfn.VSTACK('MS:NCA9'!$E$30:$AN$30),_xlfn.HSTACK(
_xlfn.BYROW(_xlpm.bill_hours,_xlfn.LAMBDA(_xlpm.row,SUM(_xlfn.CHOOSECOLS(_xlpm.row,_xlfn.SEQUENCE(12,1,BU$2))))),
_xlfn.BYROW(_xlpm.bill_hours,_xlfn.LAMBDA(_xlpm.row,SUM(_xlfn.CHOOSECOLS(_xlpm.row,_xlfn.SEQUENCE(12,1,BV$2))))),
_xlfn.BYROW(_xlpm.bill_hours,_xlfn.LAMBDA(_xlpm.row,SUM(_xlfn.CHOOSECOLS(_xlpm.row,_xlfn.SEQUENCE(12,1,BW$2)))))))</f>
        <v>870976.42666666652</v>
      </c>
      <c r="BV4" s="53">
        <v>1240938.0671999997</v>
      </c>
      <c r="BW4" s="53">
        <v>1309006.4000000001</v>
      </c>
      <c r="BY4" s="53" cm="1">
        <f t="array" ref="BY4:CA55">_xlfn.LET(_xlpm.bill_hours,_xlfn.VSTACK('MS:NCA9'!$E$63:$AN$63),_xlfn.HSTACK(
_xlfn.BYROW(_xlpm.bill_hours,_xlfn.LAMBDA(_xlpm.row,SUM(_xlfn.CHOOSECOLS(_xlpm.row,_xlfn.SEQUENCE(12,1,BY$2))))),
_xlfn.BYROW(_xlpm.bill_hours,_xlfn.LAMBDA(_xlpm.row,SUM(_xlfn.CHOOSECOLS(_xlpm.row,_xlfn.SEQUENCE(12,1,BZ$2))))),
_xlfn.BYROW(_xlpm.bill_hours,_xlfn.LAMBDA(_xlpm.row,SUM(_xlfn.CHOOSECOLS(_xlpm.row,_xlfn.SEQUENCE(12,1,CA$2)))))))</f>
        <v>0</v>
      </c>
      <c r="BZ4" s="53">
        <v>0</v>
      </c>
      <c r="CA4" s="53">
        <v>0</v>
      </c>
      <c r="CC4" s="53" cm="1">
        <f t="array" ref="CC4:CE55">_xlfn.LET(_xlpm.bill_hours,_xlfn.VSTACK('MS:NCA9'!$E$64:$AN$64),_xlfn.HSTACK(
_xlfn.BYROW(_xlpm.bill_hours,_xlfn.LAMBDA(_xlpm.row,SUM(_xlfn.CHOOSECOLS(_xlpm.row,_xlfn.SEQUENCE(12,1,CC$2))))),
_xlfn.BYROW(_xlpm.bill_hours,_xlfn.LAMBDA(_xlpm.row,SUM(_xlfn.CHOOSECOLS(_xlpm.row,_xlfn.SEQUENCE(12,1,CD$2))))),
_xlfn.BYROW(_xlpm.bill_hours,_xlfn.LAMBDA(_xlpm.row,SUM(_xlfn.CHOOSECOLS(_xlpm.row,_xlfn.SEQUENCE(12,1,CE$2)))))))</f>
        <v>0</v>
      </c>
      <c r="CD4" s="53">
        <v>0</v>
      </c>
      <c r="CE4" s="53">
        <v>0</v>
      </c>
      <c r="CG4" s="53" cm="1">
        <f t="array" ref="CG4:CI55">_xlfn.LET(_xlpm.bill_hours,_xlfn.VSTACK('MS:NCA9'!$E$33:$AN$33),_xlfn.HSTACK(
_xlfn.BYROW(_xlpm.bill_hours,_xlfn.LAMBDA(_xlpm.row,SUM(_xlfn.CHOOSECOLS(_xlpm.row,_xlfn.SEQUENCE(12,1,CG$2))))),
_xlfn.BYROW(_xlpm.bill_hours,_xlfn.LAMBDA(_xlpm.row,SUM(_xlfn.CHOOSECOLS(_xlpm.row,_xlfn.SEQUENCE(12,1,CH$2))))),
_xlfn.BYROW(_xlpm.bill_hours,_xlfn.LAMBDA(_xlpm.row,SUM(_xlfn.CHOOSECOLS(_xlpm.row,_xlfn.SEQUENCE(12,1,CI$2)))))))</f>
        <v>0</v>
      </c>
      <c r="CH4" s="53">
        <v>0</v>
      </c>
      <c r="CI4" s="53">
        <v>0</v>
      </c>
      <c r="CK4" s="53" cm="1">
        <f t="array" ref="CK4:CM55">_xlfn.LET(_xlpm.bill_hours,_xlfn.VSTACK('MS:NCA9'!$E$65:$AN$65),_xlfn.HSTACK(
_xlfn.BYROW(_xlpm.bill_hours,_xlfn.LAMBDA(_xlpm.row,SUM(_xlfn.CHOOSECOLS(_xlpm.row,_xlfn.SEQUENCE(12,1,CK$2))))),
_xlfn.BYROW(_xlpm.bill_hours,_xlfn.LAMBDA(_xlpm.row,SUM(_xlfn.CHOOSECOLS(_xlpm.row,_xlfn.SEQUENCE(12,1,CL$2))))),
_xlfn.BYROW(_xlpm.bill_hours,_xlfn.LAMBDA(_xlpm.row,SUM(_xlfn.CHOOSECOLS(_xlpm.row,_xlfn.SEQUENCE(12,1,CM$2)))))))</f>
        <v>0</v>
      </c>
      <c r="CL4" s="53">
        <v>0</v>
      </c>
      <c r="CM4" s="53">
        <v>0</v>
      </c>
      <c r="CO4" s="53" cm="1">
        <f t="array" ref="CO4:CQ55">_xlfn.LET(_xlpm.bill_hours,_xlfn.VSTACK('MS:NCA9'!$E$36:$AN$36),_xlfn.HSTACK(
_xlfn.BYROW(_xlpm.bill_hours,_xlfn.LAMBDA(_xlpm.row,SUM(_xlfn.CHOOSECOLS(_xlpm.row,_xlfn.SEQUENCE(12,1,CO$2))))),
_xlfn.BYROW(_xlpm.bill_hours,_xlfn.LAMBDA(_xlpm.row,SUM(_xlfn.CHOOSECOLS(_xlpm.row,_xlfn.SEQUENCE(12,1,CP$2))))),
_xlfn.BYROW(_xlpm.bill_hours,_xlfn.LAMBDA(_xlpm.row,SUM(_xlfn.CHOOSECOLS(_xlpm.row,_xlfn.SEQUENCE(12,1,CQ$2)))))))</f>
        <v>0</v>
      </c>
      <c r="CP4" s="53">
        <v>0</v>
      </c>
      <c r="CQ4" s="53">
        <v>0</v>
      </c>
      <c r="CS4" s="53" cm="1">
        <f t="array" ref="CS4:CU55">_xlfn.LET(_xlpm.bill_hours,_xlfn.VSTACK('MS:NCA9'!$E$40:$AN$40),_xlfn.HSTACK(
_xlfn.BYROW(_xlpm.bill_hours,_xlfn.LAMBDA(_xlpm.row,SUM(_xlfn.CHOOSECOLS(_xlpm.row,_xlfn.SEQUENCE(12,1,CS$2))))),
_xlfn.BYROW(_xlpm.bill_hours,_xlfn.LAMBDA(_xlpm.row,SUM(_xlfn.CHOOSECOLS(_xlpm.row,_xlfn.SEQUENCE(12,1,CT$2))))),
_xlfn.BYROW(_xlpm.bill_hours,_xlfn.LAMBDA(_xlpm.row,SUM(_xlfn.CHOOSECOLS(_xlpm.row,_xlfn.SEQUENCE(12,1,CU$2)))))))</f>
        <v>116000.00000000001</v>
      </c>
      <c r="CT4" s="53">
        <v>127599.99999999999</v>
      </c>
      <c r="CU4" s="53">
        <v>140360.00000000003</v>
      </c>
      <c r="CW4" s="53" cm="1">
        <f t="array" ref="CW4:CY55">_xlfn.LET(_xlpm.bill_hours,_xlfn.VSTACK('MS:NCA9'!$E$42:$AN$42),_xlfn.HSTACK(
_xlfn.BYROW(_xlpm.bill_hours,_xlfn.LAMBDA(_xlpm.row,SUM(_xlfn.CHOOSECOLS(_xlpm.row,_xlfn.SEQUENCE(12,1,CW$2))))),
_xlfn.BYROW(_xlpm.bill_hours,_xlfn.LAMBDA(_xlpm.row,SUM(_xlfn.CHOOSECOLS(_xlpm.row,_xlfn.SEQUENCE(12,1,CX$2))))),
_xlfn.BYROW(_xlpm.bill_hours,_xlfn.LAMBDA(_xlpm.row,SUM(_xlfn.CHOOSECOLS(_xlpm.row,_xlfn.SEQUENCE(12,1,CY$2)))))))</f>
        <v>0</v>
      </c>
      <c r="CX4" s="53">
        <v>0</v>
      </c>
      <c r="CY4" s="53">
        <v>0</v>
      </c>
      <c r="DA4" s="53" cm="1">
        <f t="array" ref="DA4:DC55">_xlfn.LET(_xlpm.bill_hours,_xlfn.VSTACK('MS:NCA9'!$E$43:$AN$43),_xlfn.HSTACK(
_xlfn.BYROW(_xlpm.bill_hours,_xlfn.LAMBDA(_xlpm.row,SUM(_xlfn.CHOOSECOLS(_xlpm.row,_xlfn.SEQUENCE(12,1,DA$2))))),
_xlfn.BYROW(_xlpm.bill_hours,_xlfn.LAMBDA(_xlpm.row,SUM(_xlfn.CHOOSECOLS(_xlpm.row,_xlfn.SEQUENCE(12,1,DB$2))))),
_xlfn.BYROW(_xlpm.bill_hours,_xlfn.LAMBDA(_xlpm.row,SUM(_xlfn.CHOOSECOLS(_xlpm.row,_xlfn.SEQUENCE(12,1,DC$2)))))))</f>
        <v>0</v>
      </c>
      <c r="DB4" s="53">
        <v>0</v>
      </c>
      <c r="DC4" s="53">
        <v>0</v>
      </c>
      <c r="DE4" s="53" cm="1">
        <f t="array" ref="DE4:DG55">_xlfn.LET(_xlpm.bill_hours,_xlfn.VSTACK('MS:NCA9'!$E$44:$AN$44),_xlfn.HSTACK(
_xlfn.BYROW(_xlpm.bill_hours,_xlfn.LAMBDA(_xlpm.row,SUM(_xlfn.CHOOSECOLS(_xlpm.row,_xlfn.SEQUENCE(12,1,DE$2))))),
_xlfn.BYROW(_xlpm.bill_hours,_xlfn.LAMBDA(_xlpm.row,SUM(_xlfn.CHOOSECOLS(_xlpm.row,_xlfn.SEQUENCE(12,1,DF$2))))),
_xlfn.BYROW(_xlpm.bill_hours,_xlfn.LAMBDA(_xlpm.row,SUM(_xlfn.CHOOSECOLS(_xlpm.row,_xlfn.SEQUENCE(12,1,DG$2)))))))</f>
        <v>0</v>
      </c>
      <c r="DF4" s="53">
        <v>0</v>
      </c>
      <c r="DG4" s="53">
        <v>0</v>
      </c>
      <c r="DI4" s="53" cm="1">
        <f t="array" ref="DI4:DK55">_xlfn.LET(_xlpm.bill_hours,_xlfn.VSTACK('MS:NCA9'!$E$45:$AN$45),_xlfn.HSTACK(
_xlfn.BYROW(_xlpm.bill_hours,_xlfn.LAMBDA(_xlpm.row,SUM(_xlfn.CHOOSECOLS(_xlpm.row,_xlfn.SEQUENCE(12,1,DI$2))))),
_xlfn.BYROW(_xlpm.bill_hours,_xlfn.LAMBDA(_xlpm.row,SUM(_xlfn.CHOOSECOLS(_xlpm.row,_xlfn.SEQUENCE(12,1,DJ$2))))),
_xlfn.BYROW(_xlpm.bill_hours,_xlfn.LAMBDA(_xlpm.row,SUM(_xlfn.CHOOSECOLS(_xlpm.row,_xlfn.SEQUENCE(12,1,DK$2)))))))</f>
        <v>0</v>
      </c>
      <c r="DJ4" s="53">
        <v>0</v>
      </c>
      <c r="DK4" s="53">
        <v>0</v>
      </c>
      <c r="DM4" s="53" cm="1">
        <f t="array" ref="DM4:DO55">_xlfn.LET(_xlpm.bill_hours,_xlfn.VSTACK('MS:NCA9'!$E$46:$AN$46),_xlfn.HSTACK(
_xlfn.BYROW(_xlpm.bill_hours,_xlfn.LAMBDA(_xlpm.row,SUM(_xlfn.CHOOSECOLS(_xlpm.row,_xlfn.SEQUENCE(12,1,DM$2))))),
_xlfn.BYROW(_xlpm.bill_hours,_xlfn.LAMBDA(_xlpm.row,SUM(_xlfn.CHOOSECOLS(_xlpm.row,_xlfn.SEQUENCE(12,1,DN$2))))),
_xlfn.BYROW(_xlpm.bill_hours,_xlfn.LAMBDA(_xlpm.row,SUM(_xlfn.CHOOSECOLS(_xlpm.row,_xlfn.SEQUENCE(12,1,DO$2)))))))</f>
        <v>0</v>
      </c>
      <c r="DN4" s="53">
        <v>0</v>
      </c>
      <c r="DO4" s="53">
        <v>0</v>
      </c>
      <c r="DQ4" s="53" cm="1">
        <f t="array" ref="DQ4:DS55">_xlfn.LET(_xlpm.bill_hours,_xlfn.VSTACK('MS:NCA9'!$E$47:$AN$47),_xlfn.HSTACK(
_xlfn.BYROW(_xlpm.bill_hours,_xlfn.LAMBDA(_xlpm.row,SUM(_xlfn.CHOOSECOLS(_xlpm.row,_xlfn.SEQUENCE(12,1,DQ$2))))),
_xlfn.BYROW(_xlpm.bill_hours,_xlfn.LAMBDA(_xlpm.row,SUM(_xlfn.CHOOSECOLS(_xlpm.row,_xlfn.SEQUENCE(12,1,DR$2))))),
_xlfn.BYROW(_xlpm.bill_hours,_xlfn.LAMBDA(_xlpm.row,SUM(_xlfn.CHOOSECOLS(_xlpm.row,_xlfn.SEQUENCE(12,1,DS$2)))))))</f>
        <v>0</v>
      </c>
      <c r="DR4" s="53">
        <v>0</v>
      </c>
      <c r="DS4" s="53">
        <v>0</v>
      </c>
      <c r="DU4" s="53" cm="1">
        <f t="array" ref="DU4:DW55">_xlfn.LET(_xlpm.bill_hours,_xlfn.VSTACK('MS:NCA9'!$E$48:$AN$48),_xlfn.HSTACK(
_xlfn.BYROW(_xlpm.bill_hours,_xlfn.LAMBDA(_xlpm.row,SUM(_xlfn.CHOOSECOLS(_xlpm.row,_xlfn.SEQUENCE(12,1,DU$2))))),
_xlfn.BYROW(_xlpm.bill_hours,_xlfn.LAMBDA(_xlpm.row,SUM(_xlfn.CHOOSECOLS(_xlpm.row,_xlfn.SEQUENCE(12,1,DV$2))))),
_xlfn.BYROW(_xlpm.bill_hours,_xlfn.LAMBDA(_xlpm.row,SUM(_xlfn.CHOOSECOLS(_xlpm.row,_xlfn.SEQUENCE(12,1,DW$2)))))))</f>
        <v>0</v>
      </c>
      <c r="DV4" s="53">
        <v>0</v>
      </c>
      <c r="DW4" s="53">
        <v>0</v>
      </c>
      <c r="DY4" s="53" cm="1">
        <f t="array" ref="DY4:EA55">_xlfn.LET(_xlpm.bill_hours,_xlfn.VSTACK('MS:NCA9'!$E$49:$AN$49),_xlfn.HSTACK(
_xlfn.BYROW(_xlpm.bill_hours,_xlfn.LAMBDA(_xlpm.row,SUM(_xlfn.CHOOSECOLS(_xlpm.row,_xlfn.SEQUENCE(12,1,DY$2))))),
_xlfn.BYROW(_xlpm.bill_hours,_xlfn.LAMBDA(_xlpm.row,SUM(_xlfn.CHOOSECOLS(_xlpm.row,_xlfn.SEQUENCE(12,1,DZ$2))))),
_xlfn.BYROW(_xlpm.bill_hours,_xlfn.LAMBDA(_xlpm.row,SUM(_xlfn.CHOOSECOLS(_xlpm.row,_xlfn.SEQUENCE(12,1,EA$2)))))))</f>
        <v>0</v>
      </c>
      <c r="DZ4" s="53">
        <v>0</v>
      </c>
      <c r="EA4" s="53">
        <v>0</v>
      </c>
      <c r="EC4" s="53" cm="1">
        <f t="array" ref="EC4:EE55">_xlfn.LET(_xlpm.bill_hours,_xlfn.VSTACK('MS:NCA9'!$E$41:$AN$41),_xlfn.HSTACK(
_xlfn.BYROW(_xlpm.bill_hours,_xlfn.LAMBDA(_xlpm.row,SUM(_xlfn.CHOOSECOLS(_xlpm.row,_xlfn.SEQUENCE(12,1,EC$2))))),
_xlfn.BYROW(_xlpm.bill_hours,_xlfn.LAMBDA(_xlpm.row,SUM(_xlfn.CHOOSECOLS(_xlpm.row,_xlfn.SEQUENCE(12,1,ED$2))))),
_xlfn.BYROW(_xlpm.bill_hours,_xlfn.LAMBDA(_xlpm.row,SUM(_xlfn.CHOOSECOLS(_xlpm.row,_xlfn.SEQUENCE(12,1,EE$2)))))))</f>
        <v>19105996.800000001</v>
      </c>
      <c r="ED4" s="53">
        <v>26428723.199999996</v>
      </c>
      <c r="EE4" s="53">
        <v>27878400</v>
      </c>
      <c r="EG4" s="53" cm="1">
        <f t="array" ref="EG4:EI55">_xlfn.LET(_xlpm.bill_hours,_xlfn.VSTACK('MS:NCA9'!$E$56:$AN$56),_xlfn.HSTACK(
_xlfn.BYROW(_xlpm.bill_hours,_xlfn.LAMBDA(_xlpm.row,SUM(_xlfn.CHOOSECOLS(_xlpm.row,_xlfn.SEQUENCE(12,1,EG$2))))),
_xlfn.BYROW(_xlpm.bill_hours,_xlfn.LAMBDA(_xlpm.row,SUM(_xlfn.CHOOSECOLS(_xlpm.row,_xlfn.SEQUENCE(12,1,EH$2))))),
_xlfn.BYROW(_xlpm.bill_hours,_xlfn.LAMBDA(_xlpm.row,SUM(_xlfn.CHOOSECOLS(_xlpm.row,_xlfn.SEQUENCE(12,1,EI$2)))))))</f>
        <v>-24687576.086037327</v>
      </c>
      <c r="EH4" s="53">
        <v>-35174032.286162876</v>
      </c>
      <c r="EI4" s="53">
        <v>-37103409.584559999</v>
      </c>
      <c r="EK4" s="53" cm="1">
        <f t="array" ref="EK4:EM55">_xlfn.LET(_xlpm.bill_hours,_xlfn.VSTACK(All!$E$54:$AN$54),_xlpm.result,_xlfn.HSTACK(
_xlfn.BYROW(_xlpm.bill_hours,_xlfn.LAMBDA(_xlpm.row,SUM(_xlfn.CHOOSECOLS(_xlpm.row,_xlfn.SEQUENCE(12,1,EK$2))))),
_xlfn.BYROW(_xlpm.bill_hours,_xlfn.LAMBDA(_xlpm.row,SUM(_xlfn.CHOOSECOLS(_xlpm.row,_xlfn.SEQUENCE(12,1,EL$2))))),
_xlfn.BYROW(_xlpm.bill_hours,_xlfn.LAMBDA(_xlpm.row,SUM(_xlfn.CHOOSECOLS(_xlpm.row,_xlfn.SEQUENCE(12,1,EM$2)))))),
_xlpm.result*_xlfn.ANCHORARRAY(E4)/_xlfn.VSTACK(_xlfn.BYCOL(_xlfn.ANCHORARRAY(E4),_xlfn.LAMBDA(_xlpm.cols,(SUM(_xlpm.cols))))))</f>
        <v>518704.84749760607</v>
      </c>
      <c r="EL4" s="53">
        <v>812987.10715575714</v>
      </c>
      <c r="EM4" s="53">
        <v>952755.89556925441</v>
      </c>
      <c r="EO4" s="53" cm="1">
        <f t="array" ref="EO4:EQ55">_xlfn.LET(_xlpm.bill_hours,_xlfn.VSTACK('MS:NCA9'!$E$69:$AN$69),_xlfn.HSTACK(
_xlfn.BYROW(_xlpm.bill_hours,_xlfn.LAMBDA(_xlpm.row,MAX(_xlfn.CHOOSECOLS(_xlpm.row,_xlfn.SEQUENCE(12,1,EO$2))))),
_xlfn.BYROW(_xlpm.bill_hours,_xlfn.LAMBDA(_xlpm.row,MAX(_xlfn.CHOOSECOLS(_xlpm.row,_xlfn.SEQUENCE(12,1,EP$2))))),
_xlfn.BYROW(_xlpm.bill_hours,_xlfn.LAMBDA(_xlpm.row,MAX(_xlfn.CHOOSECOLS(_xlpm.row,_xlfn.SEQUENCE(12,1,EQ$2)))))))</f>
        <v>0</v>
      </c>
      <c r="EP4" s="53">
        <v>0</v>
      </c>
      <c r="EQ4" s="53">
        <v>0</v>
      </c>
      <c r="ES4" s="53" cm="1">
        <f t="array" ref="ES4:EU55">_xlfn.LET(_xlpm.bill_hours,_xlfn.VSTACK('MS:NCA9'!$E$70:$AN$70),_xlfn.HSTACK(
_xlfn.BYROW(_xlpm.bill_hours,_xlfn.LAMBDA(_xlpm.row,MAX(_xlfn.CHOOSECOLS(_xlpm.row,_xlfn.SEQUENCE(12,1,ES$2))))),
_xlfn.BYROW(_xlpm.bill_hours,_xlfn.LAMBDA(_xlpm.row,MAX(_xlfn.CHOOSECOLS(_xlpm.row,_xlfn.SEQUENCE(12,1,ET$2))))),
_xlfn.BYROW(_xlpm.bill_hours,_xlfn.LAMBDA(_xlpm.row,MAX(_xlfn.CHOOSECOLS(_xlpm.row,_xlfn.SEQUENCE(12,1,EU$2)))))))</f>
        <v>0</v>
      </c>
      <c r="ET4" s="53">
        <v>0</v>
      </c>
      <c r="EU4" s="53">
        <v>0</v>
      </c>
      <c r="EW4" s="53" cm="1">
        <f t="array" ref="EW4:EY55">_xlfn.LET(_xlpm.bill_hours,_xlfn.VSTACK('MS:NCA9'!$E$20:$AN$20),_xlfn.HSTACK(
_xlfn.BYROW(_xlpm.bill_hours,_xlfn.LAMBDA(_xlpm.row,MAX(_xlfn.CHOOSECOLS(_xlpm.row,_xlfn.SEQUENCE(12,1,EW$2))))),
_xlfn.BYROW(_xlpm.bill_hours,_xlfn.LAMBDA(_xlpm.row,MAX(_xlfn.CHOOSECOLS(_xlpm.row,_xlfn.SEQUENCE(12,1,EX$2))))),
_xlfn.BYROW(_xlpm.bill_hours,_xlfn.LAMBDA(_xlpm.row,MAX(_xlfn.CHOOSECOLS(_xlpm.row,_xlfn.SEQUENCE(12,1,EY$2)))))))</f>
        <v>0</v>
      </c>
      <c r="EX4" s="53">
        <v>0</v>
      </c>
      <c r="EY4" s="53">
        <v>0</v>
      </c>
    </row>
    <row r="5" spans="1:155" x14ac:dyDescent="0.25">
      <c r="A5" s="114"/>
      <c r="B5" t="str">
        <v>JV1</v>
      </c>
      <c r="C5" t="str">
        <v>M&amp;A</v>
      </c>
      <c r="D5" t="str">
        <v>M&amp;A</v>
      </c>
      <c r="E5" s="53">
        <v>6917.9733333333324</v>
      </c>
      <c r="F5" s="53">
        <v>92308.479999999996</v>
      </c>
      <c r="G5" s="53">
        <v>135674.87999999998</v>
      </c>
      <c r="I5" s="53">
        <v>0</v>
      </c>
      <c r="J5" s="53">
        <v>0</v>
      </c>
      <c r="K5" s="53">
        <v>0</v>
      </c>
      <c r="M5" s="53">
        <v>0</v>
      </c>
      <c r="N5" s="53">
        <v>0</v>
      </c>
      <c r="O5" s="53">
        <v>0</v>
      </c>
      <c r="Q5" s="53">
        <v>0</v>
      </c>
      <c r="R5" s="53">
        <v>0</v>
      </c>
      <c r="S5" s="53">
        <v>0</v>
      </c>
      <c r="U5" s="53">
        <v>0</v>
      </c>
      <c r="V5" s="53">
        <v>0</v>
      </c>
      <c r="W5" s="53">
        <v>0</v>
      </c>
      <c r="Y5" s="53">
        <v>67</v>
      </c>
      <c r="Z5" s="53">
        <v>184</v>
      </c>
      <c r="AA5" s="53">
        <v>240</v>
      </c>
      <c r="AC5" s="53">
        <v>0</v>
      </c>
      <c r="AD5" s="53">
        <v>0</v>
      </c>
      <c r="AE5" s="53">
        <v>0</v>
      </c>
      <c r="AG5" s="53">
        <v>0</v>
      </c>
      <c r="AH5" s="53">
        <v>0</v>
      </c>
      <c r="AI5" s="53">
        <v>0</v>
      </c>
      <c r="AK5" s="53">
        <v>67</v>
      </c>
      <c r="AL5" s="53">
        <v>184</v>
      </c>
      <c r="AM5" s="53">
        <v>240</v>
      </c>
      <c r="AO5" s="53">
        <v>400000</v>
      </c>
      <c r="AP5" s="53">
        <v>100000</v>
      </c>
      <c r="AQ5" s="53">
        <v>0</v>
      </c>
      <c r="AS5" s="53">
        <v>1252346.803333333</v>
      </c>
      <c r="AT5" s="53">
        <v>17211731.0962</v>
      </c>
      <c r="AU5" s="53">
        <v>25297779.262199998</v>
      </c>
      <c r="AW5" s="53">
        <v>1102065.1869333331</v>
      </c>
      <c r="AX5" s="53">
        <v>15146323.364655999</v>
      </c>
      <c r="AY5" s="53">
        <v>22262045.750735991</v>
      </c>
      <c r="BA5" s="53">
        <v>-150281.61639999994</v>
      </c>
      <c r="BB5" s="53">
        <v>-2065407.7315439996</v>
      </c>
      <c r="BC5" s="53">
        <v>-3035733.5114639997</v>
      </c>
      <c r="BE5" s="53">
        <v>1060814.1266666665</v>
      </c>
      <c r="BF5" s="53">
        <v>14579386.0316</v>
      </c>
      <c r="BG5" s="53">
        <v>21428762.019599997</v>
      </c>
      <c r="BI5" s="53">
        <v>0</v>
      </c>
      <c r="BJ5" s="53">
        <v>0</v>
      </c>
      <c r="BK5" s="53">
        <v>0</v>
      </c>
      <c r="BM5" s="53">
        <v>141396.39799999996</v>
      </c>
      <c r="BN5" s="53">
        <v>1943293.0030799997</v>
      </c>
      <c r="BO5" s="53">
        <v>2856249.4474799996</v>
      </c>
      <c r="BQ5" s="53">
        <v>21753.292000000001</v>
      </c>
      <c r="BR5" s="53">
        <v>298968.15431999997</v>
      </c>
      <c r="BS5" s="53">
        <v>439422.99192</v>
      </c>
      <c r="BU5" s="53">
        <v>28382.986666666664</v>
      </c>
      <c r="BV5" s="53">
        <v>390083.90719999996</v>
      </c>
      <c r="BW5" s="53">
        <v>573344.80319999997</v>
      </c>
      <c r="BY5" s="53">
        <v>0</v>
      </c>
      <c r="BZ5" s="53">
        <v>0</v>
      </c>
      <c r="CA5" s="53">
        <v>0</v>
      </c>
      <c r="CC5" s="53">
        <v>0</v>
      </c>
      <c r="CD5" s="53">
        <v>0</v>
      </c>
      <c r="CE5" s="53">
        <v>0</v>
      </c>
      <c r="CG5" s="53">
        <v>0</v>
      </c>
      <c r="CH5" s="53">
        <v>0</v>
      </c>
      <c r="CI5" s="53">
        <v>0</v>
      </c>
      <c r="CK5" s="53">
        <v>0</v>
      </c>
      <c r="CL5" s="53">
        <v>0</v>
      </c>
      <c r="CM5" s="53">
        <v>0</v>
      </c>
      <c r="CO5" s="53">
        <v>0</v>
      </c>
      <c r="CP5" s="53">
        <v>0</v>
      </c>
      <c r="CQ5" s="53">
        <v>0</v>
      </c>
      <c r="CS5" s="53">
        <v>0</v>
      </c>
      <c r="CT5" s="53">
        <v>0</v>
      </c>
      <c r="CU5" s="53">
        <v>0</v>
      </c>
      <c r="CW5" s="53">
        <v>0</v>
      </c>
      <c r="CX5" s="53">
        <v>0</v>
      </c>
      <c r="CY5" s="53">
        <v>0</v>
      </c>
      <c r="DA5" s="53">
        <v>0</v>
      </c>
      <c r="DB5" s="53">
        <v>0</v>
      </c>
      <c r="DC5" s="53">
        <v>0</v>
      </c>
      <c r="DE5" s="53">
        <v>0</v>
      </c>
      <c r="DF5" s="53">
        <v>0</v>
      </c>
      <c r="DG5" s="53">
        <v>0</v>
      </c>
      <c r="DI5" s="53">
        <v>0</v>
      </c>
      <c r="DJ5" s="53">
        <v>0</v>
      </c>
      <c r="DK5" s="53">
        <v>0</v>
      </c>
      <c r="DM5" s="53">
        <v>0</v>
      </c>
      <c r="DN5" s="53">
        <v>0</v>
      </c>
      <c r="DO5" s="53">
        <v>0</v>
      </c>
      <c r="DQ5" s="53">
        <v>0</v>
      </c>
      <c r="DR5" s="53">
        <v>0</v>
      </c>
      <c r="DS5" s="53">
        <v>0</v>
      </c>
      <c r="DU5" s="53">
        <v>0</v>
      </c>
      <c r="DV5" s="53">
        <v>0</v>
      </c>
      <c r="DW5" s="53">
        <v>0</v>
      </c>
      <c r="DY5" s="53">
        <v>0</v>
      </c>
      <c r="DZ5" s="53">
        <v>0</v>
      </c>
      <c r="EA5" s="53">
        <v>0</v>
      </c>
      <c r="EC5" s="53">
        <v>622617.59999999986</v>
      </c>
      <c r="ED5" s="53">
        <v>8307763.1999999993</v>
      </c>
      <c r="EE5" s="53">
        <v>12210739.199999999</v>
      </c>
      <c r="EG5" s="53">
        <v>-804507.58646133309</v>
      </c>
      <c r="EH5" s="53">
        <v>-11056816.05619888</v>
      </c>
      <c r="EI5" s="53">
        <v>-16251293.398037279</v>
      </c>
      <c r="EK5" s="53">
        <v>16903.319446663234</v>
      </c>
      <c r="EL5" s="53">
        <v>255559.23832533296</v>
      </c>
      <c r="EM5" s="53">
        <v>417307.0822593334</v>
      </c>
      <c r="EO5" s="53">
        <v>0</v>
      </c>
      <c r="EP5" s="53">
        <v>0</v>
      </c>
      <c r="EQ5" s="53">
        <v>0</v>
      </c>
      <c r="ES5" s="53">
        <v>0</v>
      </c>
      <c r="ET5" s="53">
        <v>0</v>
      </c>
      <c r="EU5" s="53">
        <v>0</v>
      </c>
      <c r="EW5" s="53">
        <v>0</v>
      </c>
      <c r="EX5" s="53">
        <v>0</v>
      </c>
      <c r="EY5" s="53">
        <v>0</v>
      </c>
    </row>
    <row r="6" spans="1:155" x14ac:dyDescent="0.25">
      <c r="A6" s="114"/>
      <c r="B6" t="str">
        <v>JV1</v>
      </c>
      <c r="C6" t="str">
        <v>M&amp;A</v>
      </c>
      <c r="D6" t="str">
        <v>M&amp;A</v>
      </c>
      <c r="E6" s="53">
        <v>0</v>
      </c>
      <c r="F6" s="53">
        <v>71606.186666666661</v>
      </c>
      <c r="G6" s="53">
        <v>126123.94666666664</v>
      </c>
      <c r="I6" s="53">
        <v>0</v>
      </c>
      <c r="J6" s="53">
        <v>0</v>
      </c>
      <c r="K6" s="53">
        <v>0</v>
      </c>
      <c r="M6" s="53">
        <v>0</v>
      </c>
      <c r="N6" s="53">
        <v>0</v>
      </c>
      <c r="O6" s="53">
        <v>0</v>
      </c>
      <c r="Q6" s="53">
        <v>0</v>
      </c>
      <c r="R6" s="53">
        <v>0</v>
      </c>
      <c r="S6" s="53">
        <v>0</v>
      </c>
      <c r="U6" s="53">
        <v>0</v>
      </c>
      <c r="V6" s="53">
        <v>0</v>
      </c>
      <c r="W6" s="53">
        <v>0</v>
      </c>
      <c r="Y6" s="53">
        <v>0</v>
      </c>
      <c r="Z6" s="53">
        <v>167</v>
      </c>
      <c r="AA6" s="53">
        <v>234</v>
      </c>
      <c r="AC6" s="53">
        <v>0</v>
      </c>
      <c r="AD6" s="53">
        <v>0</v>
      </c>
      <c r="AE6" s="53">
        <v>0</v>
      </c>
      <c r="AG6" s="53">
        <v>0</v>
      </c>
      <c r="AH6" s="53">
        <v>0</v>
      </c>
      <c r="AI6" s="53">
        <v>0</v>
      </c>
      <c r="AK6" s="53">
        <v>0</v>
      </c>
      <c r="AL6" s="53">
        <v>167</v>
      </c>
      <c r="AM6" s="53">
        <v>234</v>
      </c>
      <c r="AO6" s="53">
        <v>100000</v>
      </c>
      <c r="AP6" s="53">
        <v>400000</v>
      </c>
      <c r="AQ6" s="53">
        <v>0</v>
      </c>
      <c r="AS6" s="53">
        <v>0</v>
      </c>
      <c r="AT6" s="53">
        <v>13351605.721716665</v>
      </c>
      <c r="AU6" s="53">
        <v>23516923.416116662</v>
      </c>
      <c r="AW6" s="53">
        <v>0</v>
      </c>
      <c r="AX6" s="53">
        <v>11749413.035110667</v>
      </c>
      <c r="AY6" s="53">
        <v>20694892.606182665</v>
      </c>
      <c r="BA6" s="53">
        <v>0</v>
      </c>
      <c r="BB6" s="53">
        <v>-1602192.6866059999</v>
      </c>
      <c r="BC6" s="53">
        <v>-2822030.8099339996</v>
      </c>
      <c r="BE6" s="53">
        <v>0</v>
      </c>
      <c r="BF6" s="53">
        <v>11309624.399233332</v>
      </c>
      <c r="BG6" s="53">
        <v>19920268.498433329</v>
      </c>
      <c r="BI6" s="53">
        <v>0</v>
      </c>
      <c r="BJ6" s="53">
        <v>0</v>
      </c>
      <c r="BK6" s="53">
        <v>0</v>
      </c>
      <c r="BM6" s="53">
        <v>0</v>
      </c>
      <c r="BN6" s="53">
        <v>1507464.9861699999</v>
      </c>
      <c r="BO6" s="53">
        <v>2655181.6591299991</v>
      </c>
      <c r="BQ6" s="53">
        <v>0</v>
      </c>
      <c r="BR6" s="53">
        <v>231917.69017999998</v>
      </c>
      <c r="BS6" s="53">
        <v>408489.48601999995</v>
      </c>
      <c r="BU6" s="53">
        <v>0</v>
      </c>
      <c r="BV6" s="53">
        <v>302598.64613333333</v>
      </c>
      <c r="BW6" s="53">
        <v>532983.77253333328</v>
      </c>
      <c r="BY6" s="53">
        <v>0</v>
      </c>
      <c r="BZ6" s="53">
        <v>0</v>
      </c>
      <c r="CA6" s="53">
        <v>0</v>
      </c>
      <c r="CC6" s="53">
        <v>0</v>
      </c>
      <c r="CD6" s="53">
        <v>0</v>
      </c>
      <c r="CE6" s="53">
        <v>0</v>
      </c>
      <c r="CG6" s="53">
        <v>0</v>
      </c>
      <c r="CH6" s="53">
        <v>0</v>
      </c>
      <c r="CI6" s="53">
        <v>0</v>
      </c>
      <c r="CK6" s="53">
        <v>0</v>
      </c>
      <c r="CL6" s="53">
        <v>0</v>
      </c>
      <c r="CM6" s="53">
        <v>0</v>
      </c>
      <c r="CO6" s="53">
        <v>0</v>
      </c>
      <c r="CP6" s="53">
        <v>0</v>
      </c>
      <c r="CQ6" s="53">
        <v>0</v>
      </c>
      <c r="CS6" s="53">
        <v>0</v>
      </c>
      <c r="CT6" s="53">
        <v>127599.99999999999</v>
      </c>
      <c r="CU6" s="53">
        <v>140360.00000000003</v>
      </c>
      <c r="CW6" s="53">
        <v>0</v>
      </c>
      <c r="CX6" s="53">
        <v>0</v>
      </c>
      <c r="CY6" s="53">
        <v>0</v>
      </c>
      <c r="DA6" s="53">
        <v>0</v>
      </c>
      <c r="DB6" s="53">
        <v>0</v>
      </c>
      <c r="DC6" s="53">
        <v>0</v>
      </c>
      <c r="DE6" s="53">
        <v>0</v>
      </c>
      <c r="DF6" s="53">
        <v>0</v>
      </c>
      <c r="DG6" s="53">
        <v>0</v>
      </c>
      <c r="DI6" s="53">
        <v>0</v>
      </c>
      <c r="DJ6" s="53">
        <v>0</v>
      </c>
      <c r="DK6" s="53">
        <v>0</v>
      </c>
      <c r="DM6" s="53">
        <v>0</v>
      </c>
      <c r="DN6" s="53">
        <v>0</v>
      </c>
      <c r="DO6" s="53">
        <v>0</v>
      </c>
      <c r="DQ6" s="53">
        <v>0</v>
      </c>
      <c r="DR6" s="53">
        <v>0</v>
      </c>
      <c r="DS6" s="53">
        <v>0</v>
      </c>
      <c r="DU6" s="53">
        <v>0</v>
      </c>
      <c r="DV6" s="53">
        <v>0</v>
      </c>
      <c r="DW6" s="53">
        <v>0</v>
      </c>
      <c r="DY6" s="53">
        <v>0</v>
      </c>
      <c r="DZ6" s="53">
        <v>0</v>
      </c>
      <c r="EA6" s="53">
        <v>0</v>
      </c>
      <c r="EC6" s="53">
        <v>0</v>
      </c>
      <c r="ED6" s="53">
        <v>6444556.7999999989</v>
      </c>
      <c r="EE6" s="53">
        <v>11351155.199999999</v>
      </c>
      <c r="EG6" s="53">
        <v>0</v>
      </c>
      <c r="EH6" s="53">
        <v>-8577071.5156307854</v>
      </c>
      <c r="EI6" s="53">
        <v>-15107271.602513343</v>
      </c>
      <c r="EK6" s="53">
        <v>0</v>
      </c>
      <c r="EL6" s="53">
        <v>198244.21899174317</v>
      </c>
      <c r="EM6" s="53">
        <v>387930.44214594801</v>
      </c>
      <c r="EO6" s="53">
        <v>0</v>
      </c>
      <c r="EP6" s="53">
        <v>0</v>
      </c>
      <c r="EQ6" s="53">
        <v>0</v>
      </c>
      <c r="ES6" s="53">
        <v>0</v>
      </c>
      <c r="ET6" s="53">
        <v>0</v>
      </c>
      <c r="EU6" s="53">
        <v>0</v>
      </c>
      <c r="EW6" s="53">
        <v>0</v>
      </c>
      <c r="EX6" s="53">
        <v>0</v>
      </c>
      <c r="EY6" s="53">
        <v>0</v>
      </c>
    </row>
    <row r="7" spans="1:155" x14ac:dyDescent="0.25">
      <c r="A7" s="114"/>
      <c r="B7" t="str">
        <v>JV1</v>
      </c>
      <c r="C7" t="str">
        <v>M&amp;A</v>
      </c>
      <c r="D7" t="str">
        <v>M&amp;A</v>
      </c>
      <c r="E7" s="53">
        <v>0</v>
      </c>
      <c r="F7" s="53">
        <v>0</v>
      </c>
      <c r="G7" s="53">
        <v>71606.186666666661</v>
      </c>
      <c r="I7" s="53">
        <v>0</v>
      </c>
      <c r="J7" s="53">
        <v>0</v>
      </c>
      <c r="K7" s="53">
        <v>0</v>
      </c>
      <c r="M7" s="53">
        <v>0</v>
      </c>
      <c r="N7" s="53">
        <v>0</v>
      </c>
      <c r="O7" s="53">
        <v>0</v>
      </c>
      <c r="Q7" s="53">
        <v>0</v>
      </c>
      <c r="R7" s="53">
        <v>0</v>
      </c>
      <c r="S7" s="53">
        <v>0</v>
      </c>
      <c r="U7" s="53">
        <v>0</v>
      </c>
      <c r="V7" s="53">
        <v>0</v>
      </c>
      <c r="W7" s="53">
        <v>0</v>
      </c>
      <c r="Y7" s="53">
        <v>0</v>
      </c>
      <c r="Z7" s="53">
        <v>0</v>
      </c>
      <c r="AA7" s="53">
        <v>167</v>
      </c>
      <c r="AC7" s="53">
        <v>0</v>
      </c>
      <c r="AD7" s="53">
        <v>0</v>
      </c>
      <c r="AE7" s="53">
        <v>0</v>
      </c>
      <c r="AG7" s="53">
        <v>0</v>
      </c>
      <c r="AH7" s="53">
        <v>0</v>
      </c>
      <c r="AI7" s="53">
        <v>0</v>
      </c>
      <c r="AK7" s="53">
        <v>0</v>
      </c>
      <c r="AL7" s="53">
        <v>0</v>
      </c>
      <c r="AM7" s="53">
        <v>167</v>
      </c>
      <c r="AO7" s="53">
        <v>0</v>
      </c>
      <c r="AP7" s="53">
        <v>100000</v>
      </c>
      <c r="AQ7" s="53">
        <v>400000</v>
      </c>
      <c r="AS7" s="53">
        <v>0</v>
      </c>
      <c r="AT7" s="53">
        <v>0</v>
      </c>
      <c r="AU7" s="53">
        <v>13351605.721716665</v>
      </c>
      <c r="AW7" s="53">
        <v>0</v>
      </c>
      <c r="AX7" s="53">
        <v>0</v>
      </c>
      <c r="AY7" s="53">
        <v>11749413.035110667</v>
      </c>
      <c r="BA7" s="53">
        <v>0</v>
      </c>
      <c r="BB7" s="53">
        <v>0</v>
      </c>
      <c r="BC7" s="53">
        <v>-1602192.6866059999</v>
      </c>
      <c r="BE7" s="53">
        <v>0</v>
      </c>
      <c r="BF7" s="53">
        <v>0</v>
      </c>
      <c r="BG7" s="53">
        <v>11309624.399233332</v>
      </c>
      <c r="BI7" s="53">
        <v>0</v>
      </c>
      <c r="BJ7" s="53">
        <v>0</v>
      </c>
      <c r="BK7" s="53">
        <v>0</v>
      </c>
      <c r="BM7" s="53">
        <v>0</v>
      </c>
      <c r="BN7" s="53">
        <v>0</v>
      </c>
      <c r="BO7" s="53">
        <v>1507464.9861699999</v>
      </c>
      <c r="BQ7" s="53">
        <v>0</v>
      </c>
      <c r="BR7" s="53">
        <v>0</v>
      </c>
      <c r="BS7" s="53">
        <v>231917.69017999998</v>
      </c>
      <c r="BU7" s="53">
        <v>0</v>
      </c>
      <c r="BV7" s="53">
        <v>0</v>
      </c>
      <c r="BW7" s="53">
        <v>302598.64613333333</v>
      </c>
      <c r="BY7" s="53">
        <v>0</v>
      </c>
      <c r="BZ7" s="53">
        <v>0</v>
      </c>
      <c r="CA7" s="53">
        <v>0</v>
      </c>
      <c r="CC7" s="53">
        <v>0</v>
      </c>
      <c r="CD7" s="53">
        <v>0</v>
      </c>
      <c r="CE7" s="53">
        <v>0</v>
      </c>
      <c r="CG7" s="53">
        <v>0</v>
      </c>
      <c r="CH7" s="53">
        <v>0</v>
      </c>
      <c r="CI7" s="53">
        <v>0</v>
      </c>
      <c r="CK7" s="53">
        <v>0</v>
      </c>
      <c r="CL7" s="53">
        <v>0</v>
      </c>
      <c r="CM7" s="53">
        <v>0</v>
      </c>
      <c r="CO7" s="53">
        <v>0</v>
      </c>
      <c r="CP7" s="53">
        <v>0</v>
      </c>
      <c r="CQ7" s="53">
        <v>0</v>
      </c>
      <c r="CS7" s="53">
        <v>0</v>
      </c>
      <c r="CT7" s="53">
        <v>0</v>
      </c>
      <c r="CU7" s="53">
        <v>140360.00000000003</v>
      </c>
      <c r="CW7" s="53">
        <v>0</v>
      </c>
      <c r="CX7" s="53">
        <v>0</v>
      </c>
      <c r="CY7" s="53">
        <v>0</v>
      </c>
      <c r="DA7" s="53">
        <v>0</v>
      </c>
      <c r="DB7" s="53">
        <v>0</v>
      </c>
      <c r="DC7" s="53">
        <v>0</v>
      </c>
      <c r="DE7" s="53">
        <v>0</v>
      </c>
      <c r="DF7" s="53">
        <v>0</v>
      </c>
      <c r="DG7" s="53">
        <v>0</v>
      </c>
      <c r="DI7" s="53">
        <v>0</v>
      </c>
      <c r="DJ7" s="53">
        <v>0</v>
      </c>
      <c r="DK7" s="53">
        <v>0</v>
      </c>
      <c r="DM7" s="53">
        <v>0</v>
      </c>
      <c r="DN7" s="53">
        <v>0</v>
      </c>
      <c r="DO7" s="53">
        <v>0</v>
      </c>
      <c r="DQ7" s="53">
        <v>0</v>
      </c>
      <c r="DR7" s="53">
        <v>0</v>
      </c>
      <c r="DS7" s="53">
        <v>0</v>
      </c>
      <c r="DU7" s="53">
        <v>0</v>
      </c>
      <c r="DV7" s="53">
        <v>0</v>
      </c>
      <c r="DW7" s="53">
        <v>0</v>
      </c>
      <c r="DY7" s="53">
        <v>0</v>
      </c>
      <c r="DZ7" s="53">
        <v>0</v>
      </c>
      <c r="EA7" s="53">
        <v>0</v>
      </c>
      <c r="EC7" s="53">
        <v>0</v>
      </c>
      <c r="ED7" s="53">
        <v>0</v>
      </c>
      <c r="EE7" s="53">
        <v>6444556.7999999989</v>
      </c>
      <c r="EG7" s="53">
        <v>0</v>
      </c>
      <c r="EH7" s="53">
        <v>0</v>
      </c>
      <c r="EI7" s="53">
        <v>-8577071.5156307854</v>
      </c>
      <c r="EK7" s="53">
        <v>0</v>
      </c>
      <c r="EL7" s="53">
        <v>0</v>
      </c>
      <c r="EM7" s="53">
        <v>220245.40452575931</v>
      </c>
      <c r="EO7" s="53">
        <v>0</v>
      </c>
      <c r="EP7" s="53">
        <v>0</v>
      </c>
      <c r="EQ7" s="53">
        <v>0</v>
      </c>
      <c r="ES7" s="53">
        <v>0</v>
      </c>
      <c r="ET7" s="53">
        <v>0</v>
      </c>
      <c r="EU7" s="53">
        <v>0</v>
      </c>
      <c r="EW7" s="53">
        <v>0</v>
      </c>
      <c r="EX7" s="53">
        <v>0</v>
      </c>
      <c r="EY7" s="53">
        <v>0</v>
      </c>
    </row>
    <row r="8" spans="1:155" x14ac:dyDescent="0.25">
      <c r="A8" s="114"/>
      <c r="B8" t="str">
        <v>JV2</v>
      </c>
      <c r="C8" t="str">
        <v>Center</v>
      </c>
      <c r="D8" t="str">
        <v>Maryland</v>
      </c>
      <c r="E8" s="53">
        <v>65528.320000000014</v>
      </c>
      <c r="F8" s="53">
        <v>65528.320000000014</v>
      </c>
      <c r="G8" s="53">
        <v>65528.320000000014</v>
      </c>
      <c r="I8" s="53">
        <v>44.58</v>
      </c>
      <c r="J8" s="53">
        <v>44.58</v>
      </c>
      <c r="K8" s="53">
        <v>44.58</v>
      </c>
      <c r="M8" s="53">
        <v>7.43</v>
      </c>
      <c r="N8" s="53">
        <v>7.43</v>
      </c>
      <c r="O8" s="53">
        <v>7.43</v>
      </c>
      <c r="Q8" s="53">
        <v>52</v>
      </c>
      <c r="R8" s="53">
        <v>52</v>
      </c>
      <c r="S8" s="53">
        <v>52</v>
      </c>
      <c r="U8" s="53">
        <v>10</v>
      </c>
      <c r="V8" s="53">
        <v>10</v>
      </c>
      <c r="W8" s="53">
        <v>10</v>
      </c>
      <c r="Y8" s="53">
        <v>52</v>
      </c>
      <c r="Z8" s="53">
        <v>52</v>
      </c>
      <c r="AA8" s="53">
        <v>52</v>
      </c>
      <c r="AC8" s="53">
        <v>48</v>
      </c>
      <c r="AD8" s="53">
        <v>48</v>
      </c>
      <c r="AE8" s="53">
        <v>48</v>
      </c>
      <c r="AG8" s="53">
        <v>48</v>
      </c>
      <c r="AH8" s="53">
        <v>48</v>
      </c>
      <c r="AI8" s="53">
        <v>48</v>
      </c>
      <c r="AK8" s="53">
        <v>100</v>
      </c>
      <c r="AL8" s="53">
        <v>100</v>
      </c>
      <c r="AM8" s="53">
        <v>100</v>
      </c>
      <c r="AO8" s="53">
        <v>0</v>
      </c>
      <c r="AP8" s="53">
        <v>0</v>
      </c>
      <c r="AQ8" s="53">
        <v>0</v>
      </c>
      <c r="AS8" s="53">
        <v>6522591.6612480013</v>
      </c>
      <c r="AT8" s="53">
        <v>6718269.4110854408</v>
      </c>
      <c r="AU8" s="53">
        <v>6718269.4110854408</v>
      </c>
      <c r="AW8" s="53">
        <v>5692009.4277862394</v>
      </c>
      <c r="AX8" s="53">
        <v>5862769.7106198259</v>
      </c>
      <c r="AY8" s="53">
        <v>5862769.7106198259</v>
      </c>
      <c r="BA8" s="53">
        <v>-818833.65173375991</v>
      </c>
      <c r="BB8" s="53">
        <v>-843398.6612857728</v>
      </c>
      <c r="BC8" s="53">
        <v>-843398.6612857728</v>
      </c>
      <c r="BE8" s="53">
        <v>4738071.4318080004</v>
      </c>
      <c r="BF8" s="53">
        <v>4880213.5747622401</v>
      </c>
      <c r="BG8" s="53">
        <v>4880213.5747622401</v>
      </c>
      <c r="BI8" s="53">
        <v>312770.68492799992</v>
      </c>
      <c r="BJ8" s="53">
        <v>322153.80547583988</v>
      </c>
      <c r="BK8" s="53">
        <v>322153.80547583988</v>
      </c>
      <c r="BM8" s="53">
        <v>1292201.2995840001</v>
      </c>
      <c r="BN8" s="53">
        <v>1330967.3385715203</v>
      </c>
      <c r="BO8" s="53">
        <v>1330967.3385715203</v>
      </c>
      <c r="BQ8" s="53">
        <v>54211.165631999982</v>
      </c>
      <c r="BR8" s="53">
        <v>55837.500600960011</v>
      </c>
      <c r="BS8" s="53">
        <v>55837.500600960011</v>
      </c>
      <c r="BU8" s="53">
        <v>125337.07929599997</v>
      </c>
      <c r="BV8" s="53">
        <v>129097.19167487997</v>
      </c>
      <c r="BW8" s="53">
        <v>129097.19167487997</v>
      </c>
      <c r="BY8" s="53">
        <v>277618.46133964794</v>
      </c>
      <c r="BZ8" s="53">
        <v>285947.01517983741</v>
      </c>
      <c r="CA8" s="53">
        <v>285947.01517983741</v>
      </c>
      <c r="CC8" s="53">
        <v>77666.415230975996</v>
      </c>
      <c r="CD8" s="53">
        <v>79996.407687905303</v>
      </c>
      <c r="CE8" s="53">
        <v>79996.407687905303</v>
      </c>
      <c r="CG8" s="53">
        <v>301022.10319999995</v>
      </c>
      <c r="CH8" s="53">
        <v>310052.76629599993</v>
      </c>
      <c r="CI8" s="53">
        <v>310052.76629599993</v>
      </c>
      <c r="CK8" s="53">
        <v>265276.9761607679</v>
      </c>
      <c r="CL8" s="53">
        <v>273235.28544559103</v>
      </c>
      <c r="CM8" s="53">
        <v>273235.28544559103</v>
      </c>
      <c r="CO8" s="53">
        <v>0</v>
      </c>
      <c r="CP8" s="53">
        <v>0</v>
      </c>
      <c r="CQ8" s="53">
        <v>0</v>
      </c>
      <c r="CS8" s="53">
        <v>3596487.75165935</v>
      </c>
      <c r="CT8" s="53">
        <v>3956136.5268252851</v>
      </c>
      <c r="CU8" s="53">
        <v>4351750.1795078162</v>
      </c>
      <c r="CW8" s="53">
        <v>171508.43999999997</v>
      </c>
      <c r="CX8" s="53">
        <v>176653.69320000007</v>
      </c>
      <c r="CY8" s="53">
        <v>181953.303996</v>
      </c>
      <c r="DA8" s="53">
        <v>50400</v>
      </c>
      <c r="DB8" s="53">
        <v>52416</v>
      </c>
      <c r="DC8" s="53">
        <v>54512.640000000007</v>
      </c>
      <c r="DE8" s="53">
        <v>16617.880799999995</v>
      </c>
      <c r="DF8" s="53">
        <v>17282.596031999998</v>
      </c>
      <c r="DG8" s="53">
        <v>17973.899873279999</v>
      </c>
      <c r="DI8" s="53">
        <v>51000</v>
      </c>
      <c r="DJ8" s="53">
        <v>52020</v>
      </c>
      <c r="DK8" s="53">
        <v>53060.399999999987</v>
      </c>
      <c r="DM8" s="53">
        <v>205680</v>
      </c>
      <c r="DN8" s="53">
        <v>209793.59999999998</v>
      </c>
      <c r="DO8" s="53">
        <v>213989.47200000004</v>
      </c>
      <c r="DQ8" s="53">
        <v>53400</v>
      </c>
      <c r="DR8" s="53">
        <v>56070</v>
      </c>
      <c r="DS8" s="53">
        <v>58873.5</v>
      </c>
      <c r="DU8" s="53">
        <v>0</v>
      </c>
      <c r="DV8" s="53">
        <v>0</v>
      </c>
      <c r="DW8" s="53">
        <v>0</v>
      </c>
      <c r="DY8" s="53">
        <v>1299675.6891867034</v>
      </c>
      <c r="DZ8" s="53">
        <v>761011.56627883099</v>
      </c>
      <c r="EA8" s="53">
        <v>645481.83818738791</v>
      </c>
      <c r="EC8" s="53">
        <v>0</v>
      </c>
      <c r="ED8" s="53">
        <v>0</v>
      </c>
      <c r="EE8" s="53">
        <v>0</v>
      </c>
      <c r="EG8" s="53">
        <v>-853801.41416793584</v>
      </c>
      <c r="EH8" s="53">
        <v>-868742.93891587458</v>
      </c>
      <c r="EI8" s="53">
        <v>-879415.45659297367</v>
      </c>
      <c r="EK8" s="53">
        <v>160111.36100021176</v>
      </c>
      <c r="EL8" s="53">
        <v>181417.43367390175</v>
      </c>
      <c r="EM8" s="53">
        <v>201551.1789990596</v>
      </c>
      <c r="EO8" s="53">
        <v>1</v>
      </c>
      <c r="EP8" s="53">
        <v>1</v>
      </c>
      <c r="EQ8" s="53">
        <v>1</v>
      </c>
      <c r="ES8" s="53">
        <v>1</v>
      </c>
      <c r="ET8" s="53">
        <v>1</v>
      </c>
      <c r="EU8" s="53">
        <v>1</v>
      </c>
      <c r="EW8" s="53">
        <v>1</v>
      </c>
      <c r="EX8" s="53">
        <v>1</v>
      </c>
      <c r="EY8" s="53">
        <v>1</v>
      </c>
    </row>
    <row r="9" spans="1:155" x14ac:dyDescent="0.25">
      <c r="A9" s="114"/>
      <c r="B9" t="str">
        <v>JV2</v>
      </c>
      <c r="C9" t="str">
        <v>Remote</v>
      </c>
      <c r="D9" t="str">
        <v>Maryland</v>
      </c>
      <c r="E9" s="53">
        <v>22302.720000000001</v>
      </c>
      <c r="F9" s="53">
        <v>22302.720000000001</v>
      </c>
      <c r="G9" s="53">
        <v>22302.720000000001</v>
      </c>
      <c r="I9" s="53">
        <v>14.79</v>
      </c>
      <c r="J9" s="53">
        <v>14.79</v>
      </c>
      <c r="K9" s="53">
        <v>14.79</v>
      </c>
      <c r="M9" s="53">
        <v>3</v>
      </c>
      <c r="N9" s="53">
        <v>3</v>
      </c>
      <c r="O9" s="53">
        <v>3</v>
      </c>
      <c r="Q9" s="53">
        <v>18</v>
      </c>
      <c r="R9" s="53">
        <v>18</v>
      </c>
      <c r="S9" s="53">
        <v>18</v>
      </c>
      <c r="U9" s="53">
        <v>3</v>
      </c>
      <c r="V9" s="53">
        <v>3</v>
      </c>
      <c r="W9" s="53">
        <v>3</v>
      </c>
      <c r="Y9" s="53">
        <v>36</v>
      </c>
      <c r="Z9" s="53">
        <v>36</v>
      </c>
      <c r="AA9" s="53">
        <v>36</v>
      </c>
      <c r="AC9" s="53">
        <v>24</v>
      </c>
      <c r="AD9" s="53">
        <v>24</v>
      </c>
      <c r="AE9" s="53">
        <v>24</v>
      </c>
      <c r="AG9" s="53">
        <v>24</v>
      </c>
      <c r="AH9" s="53">
        <v>24</v>
      </c>
      <c r="AI9" s="53">
        <v>24</v>
      </c>
      <c r="AK9" s="53">
        <v>60</v>
      </c>
      <c r="AL9" s="53">
        <v>60</v>
      </c>
      <c r="AM9" s="53">
        <v>60</v>
      </c>
      <c r="AO9" s="53">
        <v>0</v>
      </c>
      <c r="AP9" s="53">
        <v>0</v>
      </c>
      <c r="AQ9" s="53">
        <v>0</v>
      </c>
      <c r="AS9" s="53">
        <v>2286254.8054079991</v>
      </c>
      <c r="AT9" s="53">
        <v>2354842.4495702395</v>
      </c>
      <c r="AU9" s="53">
        <v>2354842.4495702395</v>
      </c>
      <c r="AW9" s="53">
        <v>2011904.2287590394</v>
      </c>
      <c r="AX9" s="53">
        <v>2072261.3556218112</v>
      </c>
      <c r="AY9" s="53">
        <v>2072261.3556218112</v>
      </c>
      <c r="BA9" s="53">
        <v>-274350.57664895995</v>
      </c>
      <c r="BB9" s="53">
        <v>-282581.09394842881</v>
      </c>
      <c r="BC9" s="53">
        <v>-282581.09394842881</v>
      </c>
      <c r="BE9" s="53">
        <v>1714651.7244479994</v>
      </c>
      <c r="BF9" s="53">
        <v>1766091.2761814401</v>
      </c>
      <c r="BG9" s="53">
        <v>1766091.2761814401</v>
      </c>
      <c r="BI9" s="53">
        <v>0</v>
      </c>
      <c r="BJ9" s="53">
        <v>0</v>
      </c>
      <c r="BK9" s="53">
        <v>0</v>
      </c>
      <c r="BM9" s="53">
        <v>447300.44985599996</v>
      </c>
      <c r="BN9" s="53">
        <v>460719.46335167997</v>
      </c>
      <c r="BO9" s="53">
        <v>460719.46335167997</v>
      </c>
      <c r="BQ9" s="53">
        <v>37530.806976</v>
      </c>
      <c r="BR9" s="53">
        <v>38656.731185280012</v>
      </c>
      <c r="BS9" s="53">
        <v>38656.731185280012</v>
      </c>
      <c r="BU9" s="53">
        <v>86771.824127999993</v>
      </c>
      <c r="BV9" s="53">
        <v>89374.978851840002</v>
      </c>
      <c r="BW9" s="53">
        <v>89374.978851840002</v>
      </c>
      <c r="BY9" s="53">
        <v>0</v>
      </c>
      <c r="BZ9" s="53">
        <v>0</v>
      </c>
      <c r="CA9" s="53">
        <v>0</v>
      </c>
      <c r="CC9" s="53">
        <v>0</v>
      </c>
      <c r="CD9" s="53">
        <v>0</v>
      </c>
      <c r="CE9" s="53">
        <v>0</v>
      </c>
      <c r="CG9" s="53">
        <v>0</v>
      </c>
      <c r="CH9" s="53">
        <v>0</v>
      </c>
      <c r="CI9" s="53">
        <v>0</v>
      </c>
      <c r="CK9" s="53">
        <v>0</v>
      </c>
      <c r="CL9" s="53">
        <v>0</v>
      </c>
      <c r="CM9" s="53">
        <v>0</v>
      </c>
      <c r="CO9" s="53">
        <v>0</v>
      </c>
      <c r="CP9" s="53">
        <v>0</v>
      </c>
      <c r="CQ9" s="53">
        <v>0</v>
      </c>
      <c r="CS9" s="53">
        <v>877597.6237010156</v>
      </c>
      <c r="CT9" s="53">
        <v>965357.38607111748</v>
      </c>
      <c r="CU9" s="53">
        <v>1061893.1246782294</v>
      </c>
      <c r="CW9" s="53">
        <v>0</v>
      </c>
      <c r="CX9" s="53">
        <v>0</v>
      </c>
      <c r="CY9" s="53">
        <v>0</v>
      </c>
      <c r="DA9" s="53">
        <v>0</v>
      </c>
      <c r="DB9" s="53">
        <v>0</v>
      </c>
      <c r="DC9" s="53">
        <v>0</v>
      </c>
      <c r="DE9" s="53">
        <v>12776.764800000003</v>
      </c>
      <c r="DF9" s="53">
        <v>13287.835392000001</v>
      </c>
      <c r="DG9" s="53">
        <v>13819.348807680004</v>
      </c>
      <c r="DI9" s="53">
        <v>0</v>
      </c>
      <c r="DJ9" s="53">
        <v>0</v>
      </c>
      <c r="DK9" s="53">
        <v>0</v>
      </c>
      <c r="DM9" s="53">
        <v>79169.999999999985</v>
      </c>
      <c r="DN9" s="53">
        <v>80753.39999999998</v>
      </c>
      <c r="DO9" s="53">
        <v>82368.467999999993</v>
      </c>
      <c r="DQ9" s="53">
        <v>0</v>
      </c>
      <c r="DR9" s="53">
        <v>0</v>
      </c>
      <c r="DS9" s="53">
        <v>0</v>
      </c>
      <c r="DU9" s="53">
        <v>0</v>
      </c>
      <c r="DV9" s="53">
        <v>0</v>
      </c>
      <c r="DW9" s="53">
        <v>0</v>
      </c>
      <c r="DY9" s="53">
        <v>459384.87071463186</v>
      </c>
      <c r="DZ9" s="53">
        <v>268988.02747176675</v>
      </c>
      <c r="EA9" s="53">
        <v>228152.7563002368</v>
      </c>
      <c r="EC9" s="53">
        <v>0</v>
      </c>
      <c r="ED9" s="53">
        <v>0</v>
      </c>
      <c r="EE9" s="53">
        <v>0</v>
      </c>
      <c r="EG9" s="53">
        <v>-301785.63431385596</v>
      </c>
      <c r="EH9" s="53">
        <v>-307066.88291434839</v>
      </c>
      <c r="EI9" s="53">
        <v>-310839.20334327157</v>
      </c>
      <c r="EK9" s="53">
        <v>54494.283589242666</v>
      </c>
      <c r="EL9" s="53">
        <v>61745.856239677763</v>
      </c>
      <c r="EM9" s="53">
        <v>68598.42448098633</v>
      </c>
      <c r="EO9" s="53">
        <v>0</v>
      </c>
      <c r="EP9" s="53">
        <v>0</v>
      </c>
      <c r="EQ9" s="53">
        <v>0</v>
      </c>
      <c r="ES9" s="53">
        <v>0</v>
      </c>
      <c r="ET9" s="53">
        <v>0</v>
      </c>
      <c r="EU9" s="53">
        <v>0</v>
      </c>
      <c r="EW9" s="53">
        <v>0</v>
      </c>
      <c r="EX9" s="53">
        <v>0</v>
      </c>
      <c r="EY9" s="53">
        <v>0</v>
      </c>
    </row>
    <row r="10" spans="1:155" x14ac:dyDescent="0.25">
      <c r="A10" s="114"/>
      <c r="B10" t="str">
        <v>JV2</v>
      </c>
      <c r="C10" t="str">
        <v>Center</v>
      </c>
      <c r="D10" t="str">
        <v>Maryland</v>
      </c>
      <c r="E10" s="53">
        <v>46625.919999999991</v>
      </c>
      <c r="F10" s="53">
        <v>46625.919999999991</v>
      </c>
      <c r="G10" s="53">
        <v>46625.919999999991</v>
      </c>
      <c r="I10" s="53">
        <v>31.720000000000002</v>
      </c>
      <c r="J10" s="53">
        <v>31.720000000000002</v>
      </c>
      <c r="K10" s="53">
        <v>31.720000000000002</v>
      </c>
      <c r="M10" s="53">
        <v>5.29</v>
      </c>
      <c r="N10" s="53">
        <v>5.29</v>
      </c>
      <c r="O10" s="53">
        <v>5.29</v>
      </c>
      <c r="Q10" s="53">
        <v>37</v>
      </c>
      <c r="R10" s="53">
        <v>37</v>
      </c>
      <c r="S10" s="53">
        <v>37</v>
      </c>
      <c r="U10" s="53">
        <v>8</v>
      </c>
      <c r="V10" s="53">
        <v>8</v>
      </c>
      <c r="W10" s="53">
        <v>8</v>
      </c>
      <c r="Y10" s="53">
        <v>37</v>
      </c>
      <c r="Z10" s="53">
        <v>37</v>
      </c>
      <c r="AA10" s="53">
        <v>37</v>
      </c>
      <c r="AC10" s="53">
        <v>43.333333333333329</v>
      </c>
      <c r="AD10" s="53">
        <v>48</v>
      </c>
      <c r="AE10" s="53">
        <v>48</v>
      </c>
      <c r="AG10" s="53">
        <v>43.333333333333329</v>
      </c>
      <c r="AH10" s="53">
        <v>48</v>
      </c>
      <c r="AI10" s="53">
        <v>48</v>
      </c>
      <c r="AK10" s="53">
        <v>80.333333333333329</v>
      </c>
      <c r="AL10" s="53">
        <v>85</v>
      </c>
      <c r="AM10" s="53">
        <v>85</v>
      </c>
      <c r="AO10" s="53">
        <v>0</v>
      </c>
      <c r="AP10" s="53">
        <v>0</v>
      </c>
      <c r="AQ10" s="53">
        <v>0</v>
      </c>
      <c r="AS10" s="53">
        <v>4641074.8358880002</v>
      </c>
      <c r="AT10" s="53">
        <v>4780307.0809646407</v>
      </c>
      <c r="AU10" s="53">
        <v>4780307.0809646407</v>
      </c>
      <c r="AW10" s="53">
        <v>4126496.9344294393</v>
      </c>
      <c r="AX10" s="53">
        <v>4250291.8424623245</v>
      </c>
      <c r="AY10" s="53">
        <v>4250291.8424623245</v>
      </c>
      <c r="BA10" s="53">
        <v>-593051.63269056007</v>
      </c>
      <c r="BB10" s="53">
        <v>-610843.1816712768</v>
      </c>
      <c r="BC10" s="53">
        <v>-610843.1816712768</v>
      </c>
      <c r="BE10" s="53">
        <v>3371320.0572479996</v>
      </c>
      <c r="BF10" s="53">
        <v>3472459.6589654409</v>
      </c>
      <c r="BG10" s="53">
        <v>3472459.6589654409</v>
      </c>
      <c r="BI10" s="53">
        <v>222548.37196800005</v>
      </c>
      <c r="BJ10" s="53">
        <v>229224.82312704003</v>
      </c>
      <c r="BK10" s="53">
        <v>229224.82312704003</v>
      </c>
      <c r="BM10" s="53">
        <v>919450.924704</v>
      </c>
      <c r="BN10" s="53">
        <v>947034.45244511974</v>
      </c>
      <c r="BO10" s="53">
        <v>947034.45244511974</v>
      </c>
      <c r="BQ10" s="53">
        <v>38573.329391999992</v>
      </c>
      <c r="BR10" s="53">
        <v>39730.529273759988</v>
      </c>
      <c r="BS10" s="53">
        <v>39730.529273759988</v>
      </c>
      <c r="BU10" s="53">
        <v>89182.152576000022</v>
      </c>
      <c r="BV10" s="53">
        <v>91857.617153280007</v>
      </c>
      <c r="BW10" s="53">
        <v>91857.617153280007</v>
      </c>
      <c r="BY10" s="53">
        <v>197536.21287628787</v>
      </c>
      <c r="BZ10" s="53">
        <v>203462.29926257662</v>
      </c>
      <c r="CA10" s="53">
        <v>203462.29926257662</v>
      </c>
      <c r="CC10" s="53">
        <v>55262.64160665599</v>
      </c>
      <c r="CD10" s="53">
        <v>56920.520854855684</v>
      </c>
      <c r="CE10" s="53">
        <v>56920.520854855684</v>
      </c>
      <c r="CG10" s="53">
        <v>301022.10319999995</v>
      </c>
      <c r="CH10" s="53">
        <v>310052.76629599993</v>
      </c>
      <c r="CI10" s="53">
        <v>310052.76629599993</v>
      </c>
      <c r="CK10" s="53">
        <v>188754.77149900794</v>
      </c>
      <c r="CL10" s="53">
        <v>194417.41464397815</v>
      </c>
      <c r="CM10" s="53">
        <v>194417.41464397815</v>
      </c>
      <c r="CO10" s="53">
        <v>0</v>
      </c>
      <c r="CP10" s="53">
        <v>0</v>
      </c>
      <c r="CQ10" s="53">
        <v>0</v>
      </c>
      <c r="CS10" s="53">
        <v>2675211.65328582</v>
      </c>
      <c r="CT10" s="53">
        <v>2950410.0852810699</v>
      </c>
      <c r="CU10" s="53">
        <v>3245451.0938091758</v>
      </c>
      <c r="CW10" s="53">
        <v>58685.16</v>
      </c>
      <c r="CX10" s="53">
        <v>60445.714799999994</v>
      </c>
      <c r="CY10" s="53">
        <v>62259.086244000013</v>
      </c>
      <c r="DA10" s="53">
        <v>64335.120000000017</v>
      </c>
      <c r="DB10" s="53">
        <v>66908.524800000028</v>
      </c>
      <c r="DC10" s="53">
        <v>69584.865791999997</v>
      </c>
      <c r="DE10" s="53">
        <v>14323.319399999997</v>
      </c>
      <c r="DF10" s="53">
        <v>15264.190655999999</v>
      </c>
      <c r="DG10" s="53">
        <v>15874.758282239998</v>
      </c>
      <c r="DI10" s="53">
        <v>51000</v>
      </c>
      <c r="DJ10" s="53">
        <v>52020</v>
      </c>
      <c r="DK10" s="53">
        <v>53060.399999999987</v>
      </c>
      <c r="DM10" s="53">
        <v>208780.5</v>
      </c>
      <c r="DN10" s="53">
        <v>213330.96000000008</v>
      </c>
      <c r="DO10" s="53">
        <v>217597.57919999995</v>
      </c>
      <c r="DQ10" s="53">
        <v>53400</v>
      </c>
      <c r="DR10" s="53">
        <v>56070</v>
      </c>
      <c r="DS10" s="53">
        <v>58873.5</v>
      </c>
      <c r="DU10" s="53">
        <v>0</v>
      </c>
      <c r="DV10" s="53">
        <v>0</v>
      </c>
      <c r="DW10" s="53">
        <v>0</v>
      </c>
      <c r="DY10" s="53">
        <v>942216.94732280925</v>
      </c>
      <c r="DZ10" s="53">
        <v>551705.32219871716</v>
      </c>
      <c r="EA10" s="53">
        <v>467950.52965083846</v>
      </c>
      <c r="EC10" s="53">
        <v>0</v>
      </c>
      <c r="ED10" s="53">
        <v>0</v>
      </c>
      <c r="EE10" s="53">
        <v>0</v>
      </c>
      <c r="EG10" s="53">
        <v>-618974.54016441607</v>
      </c>
      <c r="EH10" s="53">
        <v>-629806.59461729333</v>
      </c>
      <c r="EI10" s="53">
        <v>-637543.77636934863</v>
      </c>
      <c r="EK10" s="53">
        <v>113925.39148091985</v>
      </c>
      <c r="EL10" s="53">
        <v>129085.4816525839</v>
      </c>
      <c r="EM10" s="53">
        <v>143411.41582625388</v>
      </c>
      <c r="EO10" s="53">
        <v>1</v>
      </c>
      <c r="EP10" s="53">
        <v>1</v>
      </c>
      <c r="EQ10" s="53">
        <v>1</v>
      </c>
      <c r="ES10" s="53">
        <v>1</v>
      </c>
      <c r="ET10" s="53">
        <v>1</v>
      </c>
      <c r="EU10" s="53">
        <v>1</v>
      </c>
      <c r="EW10" s="53">
        <v>1</v>
      </c>
      <c r="EX10" s="53">
        <v>1</v>
      </c>
      <c r="EY10" s="53">
        <v>1</v>
      </c>
    </row>
    <row r="11" spans="1:155" x14ac:dyDescent="0.25">
      <c r="A11" s="114"/>
      <c r="B11" t="str">
        <v>JV2</v>
      </c>
      <c r="C11" t="str">
        <v>Remote</v>
      </c>
      <c r="D11" t="str">
        <v>Maryland</v>
      </c>
      <c r="E11" s="53">
        <v>22302.720000000001</v>
      </c>
      <c r="F11" s="53">
        <v>22302.720000000001</v>
      </c>
      <c r="G11" s="53">
        <v>22302.720000000001</v>
      </c>
      <c r="I11" s="53">
        <v>14.79</v>
      </c>
      <c r="J11" s="53">
        <v>14.79</v>
      </c>
      <c r="K11" s="53">
        <v>14.79</v>
      </c>
      <c r="M11" s="53">
        <v>3</v>
      </c>
      <c r="N11" s="53">
        <v>3</v>
      </c>
      <c r="O11" s="53">
        <v>3</v>
      </c>
      <c r="Q11" s="53">
        <v>18</v>
      </c>
      <c r="R11" s="53">
        <v>18</v>
      </c>
      <c r="S11" s="53">
        <v>18</v>
      </c>
      <c r="U11" s="53">
        <v>3</v>
      </c>
      <c r="V11" s="53">
        <v>3</v>
      </c>
      <c r="W11" s="53">
        <v>3</v>
      </c>
      <c r="Y11" s="53">
        <v>36</v>
      </c>
      <c r="Z11" s="53">
        <v>36</v>
      </c>
      <c r="AA11" s="53">
        <v>36</v>
      </c>
      <c r="AC11" s="53">
        <v>24</v>
      </c>
      <c r="AD11" s="53">
        <v>24</v>
      </c>
      <c r="AE11" s="53">
        <v>24</v>
      </c>
      <c r="AG11" s="53">
        <v>24</v>
      </c>
      <c r="AH11" s="53">
        <v>24</v>
      </c>
      <c r="AI11" s="53">
        <v>24</v>
      </c>
      <c r="AK11" s="53">
        <v>60</v>
      </c>
      <c r="AL11" s="53">
        <v>60</v>
      </c>
      <c r="AM11" s="53">
        <v>60</v>
      </c>
      <c r="AO11" s="53">
        <v>0</v>
      </c>
      <c r="AP11" s="53">
        <v>0</v>
      </c>
      <c r="AQ11" s="53">
        <v>0</v>
      </c>
      <c r="AS11" s="53">
        <v>2286254.8054079991</v>
      </c>
      <c r="AT11" s="53">
        <v>2354842.4495702395</v>
      </c>
      <c r="AU11" s="53">
        <v>2354842.4495702395</v>
      </c>
      <c r="AW11" s="53">
        <v>2011904.2287590394</v>
      </c>
      <c r="AX11" s="53">
        <v>2072261.3556218112</v>
      </c>
      <c r="AY11" s="53">
        <v>2072261.3556218112</v>
      </c>
      <c r="BA11" s="53">
        <v>-274350.57664895995</v>
      </c>
      <c r="BB11" s="53">
        <v>-282581.09394842881</v>
      </c>
      <c r="BC11" s="53">
        <v>-282581.09394842881</v>
      </c>
      <c r="BE11" s="53">
        <v>1714651.7244479994</v>
      </c>
      <c r="BF11" s="53">
        <v>1766091.2761814401</v>
      </c>
      <c r="BG11" s="53">
        <v>1766091.2761814401</v>
      </c>
      <c r="BI11" s="53">
        <v>0</v>
      </c>
      <c r="BJ11" s="53">
        <v>0</v>
      </c>
      <c r="BK11" s="53">
        <v>0</v>
      </c>
      <c r="BM11" s="53">
        <v>447300.44985599996</v>
      </c>
      <c r="BN11" s="53">
        <v>460719.46335167997</v>
      </c>
      <c r="BO11" s="53">
        <v>460719.46335167997</v>
      </c>
      <c r="BQ11" s="53">
        <v>37530.806976</v>
      </c>
      <c r="BR11" s="53">
        <v>38656.731185280012</v>
      </c>
      <c r="BS11" s="53">
        <v>38656.731185280012</v>
      </c>
      <c r="BU11" s="53">
        <v>86771.824127999993</v>
      </c>
      <c r="BV11" s="53">
        <v>89374.978851840002</v>
      </c>
      <c r="BW11" s="53">
        <v>89374.978851840002</v>
      </c>
      <c r="BY11" s="53">
        <v>0</v>
      </c>
      <c r="BZ11" s="53">
        <v>0</v>
      </c>
      <c r="CA11" s="53">
        <v>0</v>
      </c>
      <c r="CC11" s="53">
        <v>0</v>
      </c>
      <c r="CD11" s="53">
        <v>0</v>
      </c>
      <c r="CE11" s="53">
        <v>0</v>
      </c>
      <c r="CG11" s="53">
        <v>0</v>
      </c>
      <c r="CH11" s="53">
        <v>0</v>
      </c>
      <c r="CI11" s="53">
        <v>0</v>
      </c>
      <c r="CK11" s="53">
        <v>0</v>
      </c>
      <c r="CL11" s="53">
        <v>0</v>
      </c>
      <c r="CM11" s="53">
        <v>0</v>
      </c>
      <c r="CO11" s="53">
        <v>0</v>
      </c>
      <c r="CP11" s="53">
        <v>0</v>
      </c>
      <c r="CQ11" s="53">
        <v>0</v>
      </c>
      <c r="CS11" s="53">
        <v>877597.6237010156</v>
      </c>
      <c r="CT11" s="53">
        <v>965357.38607111748</v>
      </c>
      <c r="CU11" s="53">
        <v>1061893.1246782294</v>
      </c>
      <c r="CW11" s="53">
        <v>0</v>
      </c>
      <c r="CX11" s="53">
        <v>0</v>
      </c>
      <c r="CY11" s="53">
        <v>0</v>
      </c>
      <c r="DA11" s="53">
        <v>0</v>
      </c>
      <c r="DB11" s="53">
        <v>0</v>
      </c>
      <c r="DC11" s="53">
        <v>0</v>
      </c>
      <c r="DE11" s="53">
        <v>12776.764800000003</v>
      </c>
      <c r="DF11" s="53">
        <v>13287.835392000001</v>
      </c>
      <c r="DG11" s="53">
        <v>13819.348807680004</v>
      </c>
      <c r="DI11" s="53">
        <v>0</v>
      </c>
      <c r="DJ11" s="53">
        <v>0</v>
      </c>
      <c r="DK11" s="53">
        <v>0</v>
      </c>
      <c r="DM11" s="53">
        <v>79169.999999999985</v>
      </c>
      <c r="DN11" s="53">
        <v>80753.39999999998</v>
      </c>
      <c r="DO11" s="53">
        <v>82368.467999999993</v>
      </c>
      <c r="DQ11" s="53">
        <v>0</v>
      </c>
      <c r="DR11" s="53">
        <v>0</v>
      </c>
      <c r="DS11" s="53">
        <v>0</v>
      </c>
      <c r="DU11" s="53">
        <v>0</v>
      </c>
      <c r="DV11" s="53">
        <v>0</v>
      </c>
      <c r="DW11" s="53">
        <v>0</v>
      </c>
      <c r="DY11" s="53">
        <v>459384.87071463186</v>
      </c>
      <c r="DZ11" s="53">
        <v>268988.02747176675</v>
      </c>
      <c r="EA11" s="53">
        <v>228152.7563002368</v>
      </c>
      <c r="EC11" s="53">
        <v>0</v>
      </c>
      <c r="ED11" s="53">
        <v>0</v>
      </c>
      <c r="EE11" s="53">
        <v>0</v>
      </c>
      <c r="EG11" s="53">
        <v>-301785.63431385596</v>
      </c>
      <c r="EH11" s="53">
        <v>-307066.88291434839</v>
      </c>
      <c r="EI11" s="53">
        <v>-310839.20334327157</v>
      </c>
      <c r="EK11" s="53">
        <v>54494.283589242666</v>
      </c>
      <c r="EL11" s="53">
        <v>61745.856239677763</v>
      </c>
      <c r="EM11" s="53">
        <v>68598.42448098633</v>
      </c>
      <c r="EO11" s="53">
        <v>0</v>
      </c>
      <c r="EP11" s="53">
        <v>0</v>
      </c>
      <c r="EQ11" s="53">
        <v>0</v>
      </c>
      <c r="ES11" s="53">
        <v>0</v>
      </c>
      <c r="ET11" s="53">
        <v>0</v>
      </c>
      <c r="EU11" s="53">
        <v>0</v>
      </c>
      <c r="EW11" s="53">
        <v>0</v>
      </c>
      <c r="EX11" s="53">
        <v>0</v>
      </c>
      <c r="EY11" s="53">
        <v>0</v>
      </c>
    </row>
    <row r="12" spans="1:155" x14ac:dyDescent="0.25">
      <c r="A12" s="114"/>
      <c r="B12" t="str">
        <v>JV2</v>
      </c>
      <c r="C12" t="str">
        <v>Center</v>
      </c>
      <c r="D12" t="str">
        <v>North Carolina</v>
      </c>
      <c r="E12" s="53">
        <v>42005.333333333314</v>
      </c>
      <c r="F12" s="53">
        <v>42845.439999999981</v>
      </c>
      <c r="G12" s="53">
        <v>42845.439999999981</v>
      </c>
      <c r="I12" s="53">
        <v>29.150000000000002</v>
      </c>
      <c r="J12" s="53">
        <v>29.150000000000002</v>
      </c>
      <c r="K12" s="53">
        <v>29.150000000000002</v>
      </c>
      <c r="M12" s="53">
        <v>4.8599999999999994</v>
      </c>
      <c r="N12" s="53">
        <v>4.8599999999999994</v>
      </c>
      <c r="O12" s="53">
        <v>4.8599999999999994</v>
      </c>
      <c r="Q12" s="53">
        <v>34</v>
      </c>
      <c r="R12" s="53">
        <v>34</v>
      </c>
      <c r="S12" s="53">
        <v>34</v>
      </c>
      <c r="U12" s="53">
        <v>8</v>
      </c>
      <c r="V12" s="53">
        <v>8</v>
      </c>
      <c r="W12" s="53">
        <v>8</v>
      </c>
      <c r="Y12" s="53">
        <v>34</v>
      </c>
      <c r="Z12" s="53">
        <v>34</v>
      </c>
      <c r="AA12" s="53">
        <v>34</v>
      </c>
      <c r="AC12" s="53">
        <v>37.857142857142854</v>
      </c>
      <c r="AD12" s="53">
        <v>47.833333333333336</v>
      </c>
      <c r="AE12" s="53">
        <v>48</v>
      </c>
      <c r="AG12" s="53">
        <v>33</v>
      </c>
      <c r="AH12" s="53">
        <v>47.833333333333336</v>
      </c>
      <c r="AI12" s="53">
        <v>48</v>
      </c>
      <c r="AK12" s="53">
        <v>67</v>
      </c>
      <c r="AL12" s="53">
        <v>81.833333333333343</v>
      </c>
      <c r="AM12" s="53">
        <v>82</v>
      </c>
      <c r="AO12" s="53">
        <v>0</v>
      </c>
      <c r="AP12" s="53">
        <v>0</v>
      </c>
      <c r="AQ12" s="53">
        <v>0</v>
      </c>
      <c r="AS12" s="53">
        <v>4127066.2500266656</v>
      </c>
      <c r="AT12" s="53">
        <v>4335895.8022780148</v>
      </c>
      <c r="AU12" s="53">
        <v>4335895.8022780148</v>
      </c>
      <c r="AW12" s="53">
        <v>3331830.4650368006</v>
      </c>
      <c r="AX12" s="53">
        <v>3495252.0861230544</v>
      </c>
      <c r="AY12" s="53">
        <v>3495252.0861230544</v>
      </c>
      <c r="BA12" s="53">
        <v>-529464.63432319986</v>
      </c>
      <c r="BB12" s="53">
        <v>-555550.68112296169</v>
      </c>
      <c r="BC12" s="53">
        <v>-555550.68112296169</v>
      </c>
      <c r="BE12" s="53">
        <v>2873366.2214399991</v>
      </c>
      <c r="BF12" s="53">
        <v>3018758.552244863</v>
      </c>
      <c r="BG12" s="53">
        <v>3018758.552244863</v>
      </c>
      <c r="BI12" s="53">
        <v>550910.18666666653</v>
      </c>
      <c r="BJ12" s="53">
        <v>578786.24211199989</v>
      </c>
      <c r="BK12" s="53">
        <v>578786.24211199989</v>
      </c>
      <c r="BM12" s="53">
        <v>606656.71872</v>
      </c>
      <c r="BN12" s="53">
        <v>637353.54868723219</v>
      </c>
      <c r="BO12" s="53">
        <v>637353.54868723219</v>
      </c>
      <c r="BQ12" s="53">
        <v>34325.9424</v>
      </c>
      <c r="BR12" s="53">
        <v>36062.835085439998</v>
      </c>
      <c r="BS12" s="53">
        <v>36062.835085439998</v>
      </c>
      <c r="BU12" s="53">
        <v>61807.180800000009</v>
      </c>
      <c r="BV12" s="53">
        <v>64934.624148480005</v>
      </c>
      <c r="BW12" s="53">
        <v>64934.624148480005</v>
      </c>
      <c r="BY12" s="53">
        <v>174360.41891840001</v>
      </c>
      <c r="BZ12" s="53">
        <v>183183.05611567106</v>
      </c>
      <c r="CA12" s="53">
        <v>183183.05611567106</v>
      </c>
      <c r="CC12" s="53">
        <v>47145.873561600019</v>
      </c>
      <c r="CD12" s="53">
        <v>49531.454763816968</v>
      </c>
      <c r="CE12" s="53">
        <v>49531.454763816968</v>
      </c>
      <c r="CG12" s="53">
        <v>285139.03600000002</v>
      </c>
      <c r="CH12" s="53">
        <v>293693.20708000002</v>
      </c>
      <c r="CI12" s="53">
        <v>293693.20708000002</v>
      </c>
      <c r="CK12" s="53">
        <v>129953.04058880001</v>
      </c>
      <c r="CL12" s="53">
        <v>136528.66444259329</v>
      </c>
      <c r="CM12" s="53">
        <v>136528.66444259329</v>
      </c>
      <c r="CO12" s="53">
        <v>0</v>
      </c>
      <c r="CP12" s="53">
        <v>0</v>
      </c>
      <c r="CQ12" s="53">
        <v>0</v>
      </c>
      <c r="CS12" s="53">
        <v>2505131.1187559939</v>
      </c>
      <c r="CT12" s="53">
        <v>2814965.422790892</v>
      </c>
      <c r="CU12" s="53">
        <v>3096701.746736649</v>
      </c>
      <c r="CW12" s="53">
        <v>80556</v>
      </c>
      <c r="CX12" s="53">
        <v>82972.680000000008</v>
      </c>
      <c r="CY12" s="53">
        <v>85461.86039999999</v>
      </c>
      <c r="DA12" s="53">
        <v>67200</v>
      </c>
      <c r="DB12" s="53">
        <v>69888</v>
      </c>
      <c r="DC12" s="53">
        <v>72683.520000000004</v>
      </c>
      <c r="DE12" s="53">
        <v>13646.070000000002</v>
      </c>
      <c r="DF12" s="53">
        <v>15001.377455999998</v>
      </c>
      <c r="DG12" s="53">
        <v>15612.365583360004</v>
      </c>
      <c r="DI12" s="53">
        <v>72000</v>
      </c>
      <c r="DJ12" s="53">
        <v>73440</v>
      </c>
      <c r="DK12" s="53">
        <v>74908.800000000003</v>
      </c>
      <c r="DM12" s="53">
        <v>191137</v>
      </c>
      <c r="DN12" s="53">
        <v>198926.01</v>
      </c>
      <c r="DO12" s="53">
        <v>202915.45440000002</v>
      </c>
      <c r="DQ12" s="53">
        <v>57000</v>
      </c>
      <c r="DR12" s="53">
        <v>59850</v>
      </c>
      <c r="DS12" s="53">
        <v>62842.5</v>
      </c>
      <c r="DU12" s="53">
        <v>0</v>
      </c>
      <c r="DV12" s="53">
        <v>0</v>
      </c>
      <c r="DW12" s="53">
        <v>0</v>
      </c>
      <c r="DY12" s="53">
        <v>754883.05621386576</v>
      </c>
      <c r="DZ12" s="53">
        <v>453698.06352476403</v>
      </c>
      <c r="EA12" s="53">
        <v>384821.82532127609</v>
      </c>
      <c r="EC12" s="53">
        <v>0</v>
      </c>
      <c r="ED12" s="53">
        <v>0</v>
      </c>
      <c r="EE12" s="53">
        <v>0</v>
      </c>
      <c r="EG12" s="53">
        <v>-470891.0561928</v>
      </c>
      <c r="EH12" s="53">
        <v>-517925.09674226306</v>
      </c>
      <c r="EI12" s="53">
        <v>-524287.8129184579</v>
      </c>
      <c r="EK12" s="53">
        <v>102635.4878206485</v>
      </c>
      <c r="EL12" s="53">
        <v>118619.09124832031</v>
      </c>
      <c r="EM12" s="53">
        <v>131783.46319169272</v>
      </c>
      <c r="EO12" s="53">
        <v>1</v>
      </c>
      <c r="EP12" s="53">
        <v>1</v>
      </c>
      <c r="EQ12" s="53">
        <v>1</v>
      </c>
      <c r="ES12" s="53">
        <v>1</v>
      </c>
      <c r="ET12" s="53">
        <v>1</v>
      </c>
      <c r="EU12" s="53">
        <v>1</v>
      </c>
      <c r="EW12" s="53">
        <v>1</v>
      </c>
      <c r="EX12" s="53">
        <v>1</v>
      </c>
      <c r="EY12" s="53">
        <v>1</v>
      </c>
    </row>
    <row r="13" spans="1:155" x14ac:dyDescent="0.25">
      <c r="A13" s="114"/>
      <c r="B13" t="str">
        <v>JV2</v>
      </c>
      <c r="C13" t="str">
        <v>Remote</v>
      </c>
      <c r="D13" t="str">
        <v>North Carolina</v>
      </c>
      <c r="E13" s="53">
        <v>70625.279999999999</v>
      </c>
      <c r="F13" s="53">
        <v>91121.066666666666</v>
      </c>
      <c r="G13" s="53">
        <v>111668.48</v>
      </c>
      <c r="I13" s="53">
        <v>52.989999999999995</v>
      </c>
      <c r="J13" s="53">
        <v>66.540000000000006</v>
      </c>
      <c r="K13" s="53">
        <v>80.09</v>
      </c>
      <c r="M13" s="53">
        <v>11.73</v>
      </c>
      <c r="N13" s="53">
        <v>14.73</v>
      </c>
      <c r="O13" s="53">
        <v>17.73</v>
      </c>
      <c r="Q13" s="53">
        <v>65</v>
      </c>
      <c r="R13" s="53">
        <v>81</v>
      </c>
      <c r="S13" s="53">
        <v>98</v>
      </c>
      <c r="U13" s="53">
        <v>6</v>
      </c>
      <c r="V13" s="53">
        <v>7</v>
      </c>
      <c r="W13" s="53">
        <v>7</v>
      </c>
      <c r="Y13" s="53">
        <v>129</v>
      </c>
      <c r="Z13" s="53">
        <v>162</v>
      </c>
      <c r="AA13" s="53">
        <v>195</v>
      </c>
      <c r="AC13" s="53">
        <v>81.103448275862078</v>
      </c>
      <c r="AD13" s="53">
        <v>81.103448275862078</v>
      </c>
      <c r="AE13" s="53">
        <v>81.103448275862078</v>
      </c>
      <c r="AG13" s="53">
        <v>48</v>
      </c>
      <c r="AH13" s="53">
        <v>48</v>
      </c>
      <c r="AI13" s="53">
        <v>48</v>
      </c>
      <c r="AK13" s="53">
        <v>177</v>
      </c>
      <c r="AL13" s="53">
        <v>210</v>
      </c>
      <c r="AM13" s="53">
        <v>243</v>
      </c>
      <c r="AO13" s="53">
        <v>0</v>
      </c>
      <c r="AP13" s="53">
        <v>0</v>
      </c>
      <c r="AQ13" s="53">
        <v>0</v>
      </c>
      <c r="AS13" s="53">
        <v>6502953.4289568001</v>
      </c>
      <c r="AT13" s="53">
        <v>8641845.1653304193</v>
      </c>
      <c r="AU13" s="53">
        <v>10590544.528390765</v>
      </c>
      <c r="AW13" s="53">
        <v>5722599.0174819846</v>
      </c>
      <c r="AX13" s="53">
        <v>7604823.7454907699</v>
      </c>
      <c r="AY13" s="53">
        <v>9319679.1849838737</v>
      </c>
      <c r="BA13" s="53">
        <v>-780354.41147481604</v>
      </c>
      <c r="BB13" s="53">
        <v>-1037021.4198396504</v>
      </c>
      <c r="BC13" s="53">
        <v>-1270865.3434068919</v>
      </c>
      <c r="BE13" s="53">
        <v>5136795.1586015997</v>
      </c>
      <c r="BF13" s="53">
        <v>6826342.6597805396</v>
      </c>
      <c r="BG13" s="53">
        <v>8365653.9224392679</v>
      </c>
      <c r="BI13" s="53">
        <v>0</v>
      </c>
      <c r="BJ13" s="53">
        <v>0</v>
      </c>
      <c r="BK13" s="53">
        <v>0</v>
      </c>
      <c r="BM13" s="53">
        <v>1037382.9890111999</v>
      </c>
      <c r="BN13" s="53">
        <v>1378589.4772462801</v>
      </c>
      <c r="BO13" s="53">
        <v>1689455.5463363761</v>
      </c>
      <c r="BQ13" s="53">
        <v>117394.72300800002</v>
      </c>
      <c r="BR13" s="53">
        <v>156007.11746519999</v>
      </c>
      <c r="BS13" s="53">
        <v>191186.05953383996</v>
      </c>
      <c r="BU13" s="53">
        <v>211380.55833600002</v>
      </c>
      <c r="BV13" s="53">
        <v>280905.91083840001</v>
      </c>
      <c r="BW13" s="53">
        <v>344249.00008128001</v>
      </c>
      <c r="BY13" s="53">
        <v>0</v>
      </c>
      <c r="BZ13" s="53">
        <v>0</v>
      </c>
      <c r="CA13" s="53">
        <v>0</v>
      </c>
      <c r="CC13" s="53">
        <v>0</v>
      </c>
      <c r="CD13" s="53">
        <v>0</v>
      </c>
      <c r="CE13" s="53">
        <v>0</v>
      </c>
      <c r="CG13" s="53">
        <v>0</v>
      </c>
      <c r="CH13" s="53">
        <v>0</v>
      </c>
      <c r="CI13" s="53">
        <v>0</v>
      </c>
      <c r="CK13" s="53">
        <v>0</v>
      </c>
      <c r="CL13" s="53">
        <v>0</v>
      </c>
      <c r="CM13" s="53">
        <v>0</v>
      </c>
      <c r="CO13" s="53">
        <v>0</v>
      </c>
      <c r="CP13" s="53">
        <v>0</v>
      </c>
      <c r="CQ13" s="53">
        <v>0</v>
      </c>
      <c r="CS13" s="53">
        <v>2447395.3827309934</v>
      </c>
      <c r="CT13" s="53">
        <v>3378112.2120169029</v>
      </c>
      <c r="CU13" s="53">
        <v>4472703.3213006193</v>
      </c>
      <c r="CW13" s="53">
        <v>0</v>
      </c>
      <c r="CX13" s="53">
        <v>0</v>
      </c>
      <c r="CY13" s="53">
        <v>0</v>
      </c>
      <c r="DA13" s="53">
        <v>0</v>
      </c>
      <c r="DB13" s="53">
        <v>0</v>
      </c>
      <c r="DC13" s="53">
        <v>0</v>
      </c>
      <c r="DE13" s="53">
        <v>23114.084000000003</v>
      </c>
      <c r="DF13" s="53">
        <v>26677.291888000003</v>
      </c>
      <c r="DG13" s="53">
        <v>30503.151244800007</v>
      </c>
      <c r="DI13" s="53">
        <v>0</v>
      </c>
      <c r="DJ13" s="53">
        <v>0</v>
      </c>
      <c r="DK13" s="53">
        <v>0</v>
      </c>
      <c r="DM13" s="53">
        <v>393785</v>
      </c>
      <c r="DN13" s="53">
        <v>507057.30000000005</v>
      </c>
      <c r="DO13" s="53">
        <v>624989.08800000011</v>
      </c>
      <c r="DQ13" s="53">
        <v>0</v>
      </c>
      <c r="DR13" s="53">
        <v>0</v>
      </c>
      <c r="DS13" s="53">
        <v>0</v>
      </c>
      <c r="DU13" s="53">
        <v>0</v>
      </c>
      <c r="DV13" s="53">
        <v>0</v>
      </c>
      <c r="DW13" s="53">
        <v>0</v>
      </c>
      <c r="DY13" s="53">
        <v>1280565.4953761003</v>
      </c>
      <c r="DZ13" s="53">
        <v>980697.49147438293</v>
      </c>
      <c r="EA13" s="53">
        <v>1023078.9943742432</v>
      </c>
      <c r="EC13" s="53">
        <v>0</v>
      </c>
      <c r="ED13" s="53">
        <v>0</v>
      </c>
      <c r="EE13" s="53">
        <v>0</v>
      </c>
      <c r="EG13" s="53">
        <v>-781210.063241784</v>
      </c>
      <c r="EH13" s="53">
        <v>-1021803.9383813802</v>
      </c>
      <c r="EI13" s="53">
        <v>-1291311.9980303592</v>
      </c>
      <c r="EK13" s="53">
        <v>172565.23136593509</v>
      </c>
      <c r="EL13" s="53">
        <v>252271.84320146122</v>
      </c>
      <c r="EM13" s="53">
        <v>343468.50035271619</v>
      </c>
      <c r="EO13" s="53">
        <v>0</v>
      </c>
      <c r="EP13" s="53">
        <v>0</v>
      </c>
      <c r="EQ13" s="53">
        <v>0</v>
      </c>
      <c r="ES13" s="53">
        <v>0</v>
      </c>
      <c r="ET13" s="53">
        <v>0</v>
      </c>
      <c r="EU13" s="53">
        <v>0</v>
      </c>
      <c r="EW13" s="53">
        <v>0</v>
      </c>
      <c r="EX13" s="53">
        <v>0</v>
      </c>
      <c r="EY13" s="53">
        <v>0</v>
      </c>
    </row>
    <row r="14" spans="1:155" x14ac:dyDescent="0.25">
      <c r="A14" s="114"/>
      <c r="B14" t="str">
        <v>JV2</v>
      </c>
      <c r="C14" t="str">
        <v>Remote</v>
      </c>
      <c r="D14" t="str">
        <v>Arizona</v>
      </c>
      <c r="E14" s="53">
        <v>22302.720000000001</v>
      </c>
      <c r="F14" s="53">
        <v>22302.720000000001</v>
      </c>
      <c r="G14" s="53">
        <v>22302.720000000001</v>
      </c>
      <c r="I14" s="53">
        <v>14.79</v>
      </c>
      <c r="J14" s="53">
        <v>14.79</v>
      </c>
      <c r="K14" s="53">
        <v>14.79</v>
      </c>
      <c r="M14" s="53">
        <v>3.28</v>
      </c>
      <c r="N14" s="53">
        <v>3.28</v>
      </c>
      <c r="O14" s="53">
        <v>3.28</v>
      </c>
      <c r="Q14" s="53">
        <v>18</v>
      </c>
      <c r="R14" s="53">
        <v>18</v>
      </c>
      <c r="S14" s="53">
        <v>18</v>
      </c>
      <c r="U14" s="53">
        <v>3</v>
      </c>
      <c r="V14" s="53">
        <v>3</v>
      </c>
      <c r="W14" s="53">
        <v>3</v>
      </c>
      <c r="Y14" s="53">
        <v>36</v>
      </c>
      <c r="Z14" s="53">
        <v>36</v>
      </c>
      <c r="AA14" s="53">
        <v>36</v>
      </c>
      <c r="AC14" s="53">
        <v>24</v>
      </c>
      <c r="AD14" s="53">
        <v>24</v>
      </c>
      <c r="AE14" s="53">
        <v>24</v>
      </c>
      <c r="AG14" s="53">
        <v>24</v>
      </c>
      <c r="AH14" s="53">
        <v>24</v>
      </c>
      <c r="AI14" s="53">
        <v>24</v>
      </c>
      <c r="AK14" s="53">
        <v>60</v>
      </c>
      <c r="AL14" s="53">
        <v>60</v>
      </c>
      <c r="AM14" s="53">
        <v>60</v>
      </c>
      <c r="AO14" s="53">
        <v>0</v>
      </c>
      <c r="AP14" s="53">
        <v>0</v>
      </c>
      <c r="AQ14" s="53">
        <v>0</v>
      </c>
      <c r="AS14" s="53">
        <v>2314161.0967679988</v>
      </c>
      <c r="AT14" s="53">
        <v>2383585.9296710389</v>
      </c>
      <c r="AU14" s="53">
        <v>2383585.9296710389</v>
      </c>
      <c r="AW14" s="53">
        <v>2036461.76515584</v>
      </c>
      <c r="AX14" s="53">
        <v>2097555.6181105142</v>
      </c>
      <c r="AY14" s="53">
        <v>2097555.6181105142</v>
      </c>
      <c r="BA14" s="53">
        <v>-277699.33161215991</v>
      </c>
      <c r="BB14" s="53">
        <v>-286030.3115605248</v>
      </c>
      <c r="BC14" s="53">
        <v>-286030.3115605248</v>
      </c>
      <c r="BE14" s="53">
        <v>1811251.8215999992</v>
      </c>
      <c r="BF14" s="53">
        <v>1865589.376247999</v>
      </c>
      <c r="BG14" s="53">
        <v>1865589.376247999</v>
      </c>
      <c r="BI14" s="53">
        <v>0</v>
      </c>
      <c r="BJ14" s="53">
        <v>0</v>
      </c>
      <c r="BK14" s="53">
        <v>0</v>
      </c>
      <c r="BM14" s="53">
        <v>365750.36783999996</v>
      </c>
      <c r="BN14" s="53">
        <v>376722.8788752</v>
      </c>
      <c r="BO14" s="53">
        <v>376722.8788752</v>
      </c>
      <c r="BQ14" s="53">
        <v>56269.28735999998</v>
      </c>
      <c r="BR14" s="53">
        <v>57957.365980799979</v>
      </c>
      <c r="BS14" s="53">
        <v>57957.365980799979</v>
      </c>
      <c r="BU14" s="53">
        <v>80889.619967999985</v>
      </c>
      <c r="BV14" s="53">
        <v>83316.308567039974</v>
      </c>
      <c r="BW14" s="53">
        <v>83316.308567039974</v>
      </c>
      <c r="BY14" s="53">
        <v>0</v>
      </c>
      <c r="BZ14" s="53">
        <v>0</v>
      </c>
      <c r="CA14" s="53">
        <v>0</v>
      </c>
      <c r="CC14" s="53">
        <v>0</v>
      </c>
      <c r="CD14" s="53">
        <v>0</v>
      </c>
      <c r="CE14" s="53">
        <v>0</v>
      </c>
      <c r="CG14" s="53">
        <v>0</v>
      </c>
      <c r="CH14" s="53">
        <v>0</v>
      </c>
      <c r="CI14" s="53">
        <v>0</v>
      </c>
      <c r="CK14" s="53">
        <v>0</v>
      </c>
      <c r="CL14" s="53">
        <v>0</v>
      </c>
      <c r="CM14" s="53">
        <v>0</v>
      </c>
      <c r="CO14" s="53">
        <v>0</v>
      </c>
      <c r="CP14" s="53">
        <v>0</v>
      </c>
      <c r="CQ14" s="53">
        <v>0</v>
      </c>
      <c r="CS14" s="53">
        <v>893018.13590101583</v>
      </c>
      <c r="CT14" s="53">
        <v>982319.94949111703</v>
      </c>
      <c r="CU14" s="53">
        <v>1080551.9444402291</v>
      </c>
      <c r="CW14" s="53">
        <v>0</v>
      </c>
      <c r="CX14" s="53">
        <v>0</v>
      </c>
      <c r="CY14" s="53">
        <v>0</v>
      </c>
      <c r="DA14" s="53">
        <v>0</v>
      </c>
      <c r="DB14" s="53">
        <v>0</v>
      </c>
      <c r="DC14" s="53">
        <v>0</v>
      </c>
      <c r="DE14" s="53">
        <v>12776.764800000003</v>
      </c>
      <c r="DF14" s="53">
        <v>13287.835392000001</v>
      </c>
      <c r="DG14" s="53">
        <v>13819.348807680004</v>
      </c>
      <c r="DI14" s="53">
        <v>54000</v>
      </c>
      <c r="DJ14" s="53">
        <v>55080</v>
      </c>
      <c r="DK14" s="53">
        <v>56181.600000000013</v>
      </c>
      <c r="DM14" s="53">
        <v>143699.99999999997</v>
      </c>
      <c r="DN14" s="53">
        <v>146574</v>
      </c>
      <c r="DO14" s="53">
        <v>149505.47999999998</v>
      </c>
      <c r="DQ14" s="53">
        <v>23400</v>
      </c>
      <c r="DR14" s="53">
        <v>24570</v>
      </c>
      <c r="DS14" s="53">
        <v>25798.5</v>
      </c>
      <c r="DU14" s="53">
        <v>0</v>
      </c>
      <c r="DV14" s="53">
        <v>0</v>
      </c>
      <c r="DW14" s="53">
        <v>0</v>
      </c>
      <c r="DY14" s="53">
        <v>464992.17573514581</v>
      </c>
      <c r="DZ14" s="53">
        <v>272271.32653765508</v>
      </c>
      <c r="EA14" s="53">
        <v>230937.61530932054</v>
      </c>
      <c r="EC14" s="53">
        <v>0</v>
      </c>
      <c r="ED14" s="53">
        <v>0</v>
      </c>
      <c r="EE14" s="53">
        <v>0</v>
      </c>
      <c r="EG14" s="53">
        <v>-305469.26477337588</v>
      </c>
      <c r="EH14" s="53">
        <v>-310814.97690691007</v>
      </c>
      <c r="EI14" s="53">
        <v>-314633.34271657723</v>
      </c>
      <c r="EK14" s="53">
        <v>54494.283589242666</v>
      </c>
      <c r="EL14" s="53">
        <v>61745.856239677763</v>
      </c>
      <c r="EM14" s="53">
        <v>68598.42448098633</v>
      </c>
      <c r="EO14" s="53">
        <v>0</v>
      </c>
      <c r="EP14" s="53">
        <v>0</v>
      </c>
      <c r="EQ14" s="53">
        <v>0</v>
      </c>
      <c r="ES14" s="53">
        <v>0</v>
      </c>
      <c r="ET14" s="53">
        <v>0</v>
      </c>
      <c r="EU14" s="53">
        <v>0</v>
      </c>
      <c r="EW14" s="53">
        <v>0</v>
      </c>
      <c r="EX14" s="53">
        <v>0</v>
      </c>
      <c r="EY14" s="53">
        <v>0</v>
      </c>
    </row>
    <row r="15" spans="1:155" x14ac:dyDescent="0.25">
      <c r="A15" s="114"/>
      <c r="B15" t="str">
        <v>JV1</v>
      </c>
      <c r="C15" t="str">
        <v>Center</v>
      </c>
      <c r="D15" t="str">
        <v>New Jersey</v>
      </c>
      <c r="E15" s="53">
        <v>28353.599999999995</v>
      </c>
      <c r="F15" s="53">
        <v>52926.719999999979</v>
      </c>
      <c r="G15" s="53">
        <v>52926.719999999979</v>
      </c>
      <c r="I15" s="53">
        <v>36.71</v>
      </c>
      <c r="J15" s="53">
        <v>39.53</v>
      </c>
      <c r="K15" s="53">
        <v>39.53</v>
      </c>
      <c r="M15" s="53">
        <v>5.58</v>
      </c>
      <c r="N15" s="53">
        <v>6</v>
      </c>
      <c r="O15" s="53">
        <v>6</v>
      </c>
      <c r="Q15" s="53">
        <v>42</v>
      </c>
      <c r="R15" s="53">
        <v>46</v>
      </c>
      <c r="S15" s="53">
        <v>46</v>
      </c>
      <c r="U15" s="53">
        <v>9</v>
      </c>
      <c r="V15" s="53">
        <v>8</v>
      </c>
      <c r="W15" s="53">
        <v>8</v>
      </c>
      <c r="Y15" s="53">
        <v>39</v>
      </c>
      <c r="Z15" s="53">
        <v>42</v>
      </c>
      <c r="AA15" s="53">
        <v>42</v>
      </c>
      <c r="AC15" s="53">
        <v>49</v>
      </c>
      <c r="AD15" s="53">
        <v>37</v>
      </c>
      <c r="AE15" s="53">
        <v>48</v>
      </c>
      <c r="AG15" s="53">
        <v>13</v>
      </c>
      <c r="AH15" s="53">
        <v>37</v>
      </c>
      <c r="AI15" s="53">
        <v>48</v>
      </c>
      <c r="AK15" s="53">
        <v>52</v>
      </c>
      <c r="AL15" s="53">
        <v>79</v>
      </c>
      <c r="AM15" s="53">
        <v>90</v>
      </c>
      <c r="AO15" s="53">
        <v>710500</v>
      </c>
      <c r="AP15" s="53">
        <v>0</v>
      </c>
      <c r="AQ15" s="53">
        <v>0</v>
      </c>
      <c r="AS15" s="53">
        <v>4999640.0399999991</v>
      </c>
      <c r="AT15" s="53">
        <v>9612641.2502399962</v>
      </c>
      <c r="AU15" s="53">
        <v>9612641.2502399962</v>
      </c>
      <c r="AW15" s="53">
        <v>4433552.1871999996</v>
      </c>
      <c r="AX15" s="53">
        <v>8279986.7743711965</v>
      </c>
      <c r="AY15" s="53">
        <v>8279986.7743711965</v>
      </c>
      <c r="BA15" s="53">
        <v>-637269.35279999999</v>
      </c>
      <c r="BB15" s="53">
        <v>-1191948.8744687994</v>
      </c>
      <c r="BC15" s="53">
        <v>-1191948.8744687994</v>
      </c>
      <c r="BE15" s="53">
        <v>4089056.4</v>
      </c>
      <c r="BF15" s="53">
        <v>7861892.4383999966</v>
      </c>
      <c r="BG15" s="53">
        <v>7861892.4383999966</v>
      </c>
      <c r="BI15" s="53">
        <v>239756.39999999997</v>
      </c>
      <c r="BJ15" s="53">
        <v>460971.63840000011</v>
      </c>
      <c r="BK15" s="53">
        <v>460971.63840000011</v>
      </c>
      <c r="BM15" s="53">
        <v>569806.37999999989</v>
      </c>
      <c r="BN15" s="53">
        <v>1095547.7332799996</v>
      </c>
      <c r="BO15" s="53">
        <v>1095547.7332799996</v>
      </c>
      <c r="BQ15" s="53">
        <v>43831.26</v>
      </c>
      <c r="BR15" s="53">
        <v>84272.902560000002</v>
      </c>
      <c r="BS15" s="53">
        <v>84272.902560000002</v>
      </c>
      <c r="BU15" s="53">
        <v>57189.599999999991</v>
      </c>
      <c r="BV15" s="53">
        <v>109956.53760000003</v>
      </c>
      <c r="BW15" s="53">
        <v>109956.53760000003</v>
      </c>
      <c r="BY15" s="53">
        <v>259904.37040888314</v>
      </c>
      <c r="BZ15" s="53">
        <v>499709.46950614615</v>
      </c>
      <c r="CA15" s="53">
        <v>499709.46950614615</v>
      </c>
      <c r="CC15" s="53">
        <v>34728.414655334404</v>
      </c>
      <c r="CD15" s="53">
        <v>66771.165243989599</v>
      </c>
      <c r="CE15" s="53">
        <v>66771.165243989599</v>
      </c>
      <c r="CG15" s="53">
        <v>310937.89999999997</v>
      </c>
      <c r="CH15" s="53">
        <v>320266.03700000001</v>
      </c>
      <c r="CI15" s="53">
        <v>320266.03700000001</v>
      </c>
      <c r="CK15" s="53">
        <v>211207.46810042876</v>
      </c>
      <c r="CL15" s="53">
        <v>406081.55866775778</v>
      </c>
      <c r="CM15" s="53">
        <v>406081.55866775778</v>
      </c>
      <c r="CO15" s="53">
        <v>0</v>
      </c>
      <c r="CP15" s="53">
        <v>0</v>
      </c>
      <c r="CQ15" s="53">
        <v>0</v>
      </c>
      <c r="CS15" s="53">
        <v>2178375.8122269628</v>
      </c>
      <c r="CT15" s="53">
        <v>4019910.7631824748</v>
      </c>
      <c r="CU15" s="53">
        <v>4444525.5321673909</v>
      </c>
      <c r="CW15" s="53">
        <v>225000</v>
      </c>
      <c r="CX15" s="53">
        <v>231750</v>
      </c>
      <c r="CY15" s="53">
        <v>238702.5</v>
      </c>
      <c r="DA15" s="53">
        <v>72000</v>
      </c>
      <c r="DB15" s="53">
        <v>74880</v>
      </c>
      <c r="DC15" s="53">
        <v>77875.199999999997</v>
      </c>
      <c r="DE15" s="53">
        <v>13656.1782</v>
      </c>
      <c r="DF15" s="53">
        <v>14787.622719999999</v>
      </c>
      <c r="DG15" s="53">
        <v>16312.079447040001</v>
      </c>
      <c r="DI15" s="53">
        <v>90000</v>
      </c>
      <c r="DJ15" s="53">
        <v>91800</v>
      </c>
      <c r="DK15" s="53">
        <v>93636</v>
      </c>
      <c r="DM15" s="53">
        <v>149039</v>
      </c>
      <c r="DN15" s="53">
        <v>251487.12000000005</v>
      </c>
      <c r="DO15" s="53">
        <v>257449.06080000006</v>
      </c>
      <c r="DQ15" s="53">
        <v>72000</v>
      </c>
      <c r="DR15" s="53">
        <v>75600</v>
      </c>
      <c r="DS15" s="53">
        <v>79380</v>
      </c>
      <c r="DU15" s="53">
        <v>0</v>
      </c>
      <c r="DV15" s="53">
        <v>0</v>
      </c>
      <c r="DW15" s="53">
        <v>0</v>
      </c>
      <c r="DY15" s="53">
        <v>906802.39662468806</v>
      </c>
      <c r="DZ15" s="53">
        <v>1074776.2601894962</v>
      </c>
      <c r="EA15" s="53">
        <v>911613.68211465026</v>
      </c>
      <c r="EC15" s="53">
        <v>0</v>
      </c>
      <c r="ED15" s="53">
        <v>0</v>
      </c>
      <c r="EE15" s="53">
        <v>0</v>
      </c>
      <c r="EG15" s="53">
        <v>-940912.58615333319</v>
      </c>
      <c r="EH15" s="53">
        <v>-1122927.0538174799</v>
      </c>
      <c r="EI15" s="53">
        <v>-1241998.0161556797</v>
      </c>
      <c r="EK15" s="53">
        <v>69278.954278937745</v>
      </c>
      <c r="EL15" s="53">
        <v>146529.4656596898</v>
      </c>
      <c r="EM15" s="53">
        <v>162791.33688385572</v>
      </c>
      <c r="EO15" s="53">
        <v>1</v>
      </c>
      <c r="EP15" s="53">
        <v>1</v>
      </c>
      <c r="EQ15" s="53">
        <v>1</v>
      </c>
      <c r="ES15" s="53">
        <v>1</v>
      </c>
      <c r="ET15" s="53">
        <v>1</v>
      </c>
      <c r="EU15" s="53">
        <v>1</v>
      </c>
      <c r="EW15" s="53">
        <v>1</v>
      </c>
      <c r="EX15" s="53">
        <v>1</v>
      </c>
      <c r="EY15" s="53">
        <v>1</v>
      </c>
    </row>
    <row r="16" spans="1:155" x14ac:dyDescent="0.25">
      <c r="A16" s="114"/>
      <c r="B16" t="str">
        <v>JV1</v>
      </c>
      <c r="C16" t="str">
        <v>Center</v>
      </c>
      <c r="D16" t="str">
        <v>New Jersey</v>
      </c>
      <c r="E16" s="53">
        <v>28353.599999999995</v>
      </c>
      <c r="F16" s="53">
        <v>52926.719999999979</v>
      </c>
      <c r="G16" s="53">
        <v>52926.719999999979</v>
      </c>
      <c r="I16" s="53">
        <v>36.71</v>
      </c>
      <c r="J16" s="53">
        <v>39.53</v>
      </c>
      <c r="K16" s="53">
        <v>39.53</v>
      </c>
      <c r="M16" s="53">
        <v>5.58</v>
      </c>
      <c r="N16" s="53">
        <v>6</v>
      </c>
      <c r="O16" s="53">
        <v>6</v>
      </c>
      <c r="Q16" s="53">
        <v>42</v>
      </c>
      <c r="R16" s="53">
        <v>46</v>
      </c>
      <c r="S16" s="53">
        <v>46</v>
      </c>
      <c r="U16" s="53">
        <v>9</v>
      </c>
      <c r="V16" s="53">
        <v>8</v>
      </c>
      <c r="W16" s="53">
        <v>8</v>
      </c>
      <c r="Y16" s="53">
        <v>39</v>
      </c>
      <c r="Z16" s="53">
        <v>42</v>
      </c>
      <c r="AA16" s="53">
        <v>42</v>
      </c>
      <c r="AC16" s="53">
        <v>49</v>
      </c>
      <c r="AD16" s="53">
        <v>37</v>
      </c>
      <c r="AE16" s="53">
        <v>48</v>
      </c>
      <c r="AG16" s="53">
        <v>13</v>
      </c>
      <c r="AH16" s="53">
        <v>37</v>
      </c>
      <c r="AI16" s="53">
        <v>48</v>
      </c>
      <c r="AK16" s="53">
        <v>52</v>
      </c>
      <c r="AL16" s="53">
        <v>79</v>
      </c>
      <c r="AM16" s="53">
        <v>90</v>
      </c>
      <c r="AO16" s="53">
        <v>710500</v>
      </c>
      <c r="AP16" s="53">
        <v>0</v>
      </c>
      <c r="AQ16" s="53">
        <v>0</v>
      </c>
      <c r="AS16" s="53">
        <v>4999640.0399999991</v>
      </c>
      <c r="AT16" s="53">
        <v>9612641.2502399962</v>
      </c>
      <c r="AU16" s="53">
        <v>9612641.2502399962</v>
      </c>
      <c r="AW16" s="53">
        <v>4433552.1871999996</v>
      </c>
      <c r="AX16" s="53">
        <v>8279986.7743711965</v>
      </c>
      <c r="AY16" s="53">
        <v>8279986.7743711965</v>
      </c>
      <c r="BA16" s="53">
        <v>-637269.35279999999</v>
      </c>
      <c r="BB16" s="53">
        <v>-1191948.8744687994</v>
      </c>
      <c r="BC16" s="53">
        <v>-1191948.8744687994</v>
      </c>
      <c r="BE16" s="53">
        <v>4089056.4</v>
      </c>
      <c r="BF16" s="53">
        <v>7861892.4383999966</v>
      </c>
      <c r="BG16" s="53">
        <v>7861892.4383999966</v>
      </c>
      <c r="BI16" s="53">
        <v>239756.39999999997</v>
      </c>
      <c r="BJ16" s="53">
        <v>460971.63840000011</v>
      </c>
      <c r="BK16" s="53">
        <v>460971.63840000011</v>
      </c>
      <c r="BM16" s="53">
        <v>569806.37999999989</v>
      </c>
      <c r="BN16" s="53">
        <v>1095547.7332799996</v>
      </c>
      <c r="BO16" s="53">
        <v>1095547.7332799996</v>
      </c>
      <c r="BQ16" s="53">
        <v>43831.26</v>
      </c>
      <c r="BR16" s="53">
        <v>84272.902560000002</v>
      </c>
      <c r="BS16" s="53">
        <v>84272.902560000002</v>
      </c>
      <c r="BU16" s="53">
        <v>57189.599999999991</v>
      </c>
      <c r="BV16" s="53">
        <v>109956.53760000003</v>
      </c>
      <c r="BW16" s="53">
        <v>109956.53760000003</v>
      </c>
      <c r="BY16" s="53">
        <v>259904.37040888314</v>
      </c>
      <c r="BZ16" s="53">
        <v>499709.46950614615</v>
      </c>
      <c r="CA16" s="53">
        <v>499709.46950614615</v>
      </c>
      <c r="CC16" s="53">
        <v>34728.414655334404</v>
      </c>
      <c r="CD16" s="53">
        <v>66771.165243989599</v>
      </c>
      <c r="CE16" s="53">
        <v>66771.165243989599</v>
      </c>
      <c r="CG16" s="53">
        <v>310937.89999999997</v>
      </c>
      <c r="CH16" s="53">
        <v>320266.03700000001</v>
      </c>
      <c r="CI16" s="53">
        <v>320266.03700000001</v>
      </c>
      <c r="CK16" s="53">
        <v>211207.46810042876</v>
      </c>
      <c r="CL16" s="53">
        <v>406081.55866775778</v>
      </c>
      <c r="CM16" s="53">
        <v>406081.55866775778</v>
      </c>
      <c r="CO16" s="53">
        <v>0</v>
      </c>
      <c r="CP16" s="53">
        <v>0</v>
      </c>
      <c r="CQ16" s="53">
        <v>0</v>
      </c>
      <c r="CS16" s="53">
        <v>2178375.8122269628</v>
      </c>
      <c r="CT16" s="53">
        <v>4019910.7631824748</v>
      </c>
      <c r="CU16" s="53">
        <v>4444525.5321673909</v>
      </c>
      <c r="CW16" s="53">
        <v>120000</v>
      </c>
      <c r="CX16" s="53">
        <v>123600</v>
      </c>
      <c r="CY16" s="53">
        <v>127308</v>
      </c>
      <c r="DA16" s="53">
        <v>100800</v>
      </c>
      <c r="DB16" s="53">
        <v>104832</v>
      </c>
      <c r="DC16" s="53">
        <v>109025.28000000001</v>
      </c>
      <c r="DE16" s="53">
        <v>13656.1782</v>
      </c>
      <c r="DF16" s="53">
        <v>14787.622719999999</v>
      </c>
      <c r="DG16" s="53">
        <v>16312.079447040001</v>
      </c>
      <c r="DI16" s="53">
        <v>90000</v>
      </c>
      <c r="DJ16" s="53">
        <v>91800</v>
      </c>
      <c r="DK16" s="53">
        <v>93636</v>
      </c>
      <c r="DM16" s="53">
        <v>149039</v>
      </c>
      <c r="DN16" s="53">
        <v>251487.12000000005</v>
      </c>
      <c r="DO16" s="53">
        <v>257449.06080000006</v>
      </c>
      <c r="DQ16" s="53">
        <v>72000</v>
      </c>
      <c r="DR16" s="53">
        <v>75600</v>
      </c>
      <c r="DS16" s="53">
        <v>79380</v>
      </c>
      <c r="DU16" s="53">
        <v>0</v>
      </c>
      <c r="DV16" s="53">
        <v>0</v>
      </c>
      <c r="DW16" s="53">
        <v>0</v>
      </c>
      <c r="DY16" s="53">
        <v>906802.39662468806</v>
      </c>
      <c r="DZ16" s="53">
        <v>1074776.2601894962</v>
      </c>
      <c r="EA16" s="53">
        <v>911613.68211465026</v>
      </c>
      <c r="EC16" s="53">
        <v>0</v>
      </c>
      <c r="ED16" s="53">
        <v>0</v>
      </c>
      <c r="EE16" s="53">
        <v>0</v>
      </c>
      <c r="EG16" s="53">
        <v>-940912.58615333319</v>
      </c>
      <c r="EH16" s="53">
        <v>-1122927.0538174799</v>
      </c>
      <c r="EI16" s="53">
        <v>-1241998.0161556797</v>
      </c>
      <c r="EK16" s="53">
        <v>69278.954278937745</v>
      </c>
      <c r="EL16" s="53">
        <v>146529.4656596898</v>
      </c>
      <c r="EM16" s="53">
        <v>162791.33688385572</v>
      </c>
      <c r="EO16" s="53">
        <v>1</v>
      </c>
      <c r="EP16" s="53">
        <v>1</v>
      </c>
      <c r="EQ16" s="53">
        <v>1</v>
      </c>
      <c r="ES16" s="53">
        <v>1</v>
      </c>
      <c r="ET16" s="53">
        <v>1</v>
      </c>
      <c r="EU16" s="53">
        <v>1</v>
      </c>
      <c r="EW16" s="53">
        <v>1</v>
      </c>
      <c r="EX16" s="53">
        <v>1</v>
      </c>
      <c r="EY16" s="53">
        <v>1</v>
      </c>
    </row>
    <row r="17" spans="1:155" x14ac:dyDescent="0.25">
      <c r="A17" s="114"/>
      <c r="B17" t="str">
        <v>JV1</v>
      </c>
      <c r="C17" t="str">
        <v>Center</v>
      </c>
      <c r="D17" t="str">
        <v>New Jersey</v>
      </c>
      <c r="E17" s="53">
        <v>17327.199999999997</v>
      </c>
      <c r="F17" s="53">
        <v>51036.479999999981</v>
      </c>
      <c r="G17" s="53">
        <v>52926.719999999979</v>
      </c>
      <c r="I17" s="53">
        <v>28.240000000000002</v>
      </c>
      <c r="J17" s="53">
        <v>39.53</v>
      </c>
      <c r="K17" s="53">
        <v>39.53</v>
      </c>
      <c r="M17" s="53">
        <v>4.29</v>
      </c>
      <c r="N17" s="53">
        <v>6</v>
      </c>
      <c r="O17" s="53">
        <v>6</v>
      </c>
      <c r="Q17" s="53">
        <v>33</v>
      </c>
      <c r="R17" s="53">
        <v>46</v>
      </c>
      <c r="S17" s="53">
        <v>46</v>
      </c>
      <c r="U17" s="53">
        <v>8</v>
      </c>
      <c r="V17" s="53">
        <v>9</v>
      </c>
      <c r="W17" s="53">
        <v>8</v>
      </c>
      <c r="Y17" s="53">
        <v>30</v>
      </c>
      <c r="Z17" s="53">
        <v>42</v>
      </c>
      <c r="AA17" s="53">
        <v>42</v>
      </c>
      <c r="AC17" s="53">
        <v>34.5</v>
      </c>
      <c r="AD17" s="53">
        <v>40</v>
      </c>
      <c r="AE17" s="53">
        <v>47.5</v>
      </c>
      <c r="AG17" s="53">
        <v>7.5</v>
      </c>
      <c r="AH17" s="53">
        <v>31</v>
      </c>
      <c r="AI17" s="53">
        <v>47.5</v>
      </c>
      <c r="AK17" s="53">
        <v>37.5</v>
      </c>
      <c r="AL17" s="53">
        <v>73</v>
      </c>
      <c r="AM17" s="53">
        <v>89.5</v>
      </c>
      <c r="AO17" s="53">
        <v>1421000</v>
      </c>
      <c r="AP17" s="53">
        <v>0</v>
      </c>
      <c r="AQ17" s="53">
        <v>0</v>
      </c>
      <c r="AS17" s="53">
        <v>3055335.5799999996</v>
      </c>
      <c r="AT17" s="53">
        <v>9269332.6341599971</v>
      </c>
      <c r="AU17" s="53">
        <v>9612641.2502399962</v>
      </c>
      <c r="AW17" s="53">
        <v>2770198.6370666665</v>
      </c>
      <c r="AX17" s="53">
        <v>7994338.4650207972</v>
      </c>
      <c r="AY17" s="53">
        <v>8279986.7743711965</v>
      </c>
      <c r="BA17" s="53">
        <v>-397734.05959999998</v>
      </c>
      <c r="BB17" s="53">
        <v>-1150751.8405391995</v>
      </c>
      <c r="BC17" s="53">
        <v>-1191948.8744687994</v>
      </c>
      <c r="BE17" s="53">
        <v>2498867.7999999998</v>
      </c>
      <c r="BF17" s="53">
        <v>7581110.5655999966</v>
      </c>
      <c r="BG17" s="53">
        <v>7861892.4383999966</v>
      </c>
      <c r="BI17" s="53">
        <v>146517.79999999999</v>
      </c>
      <c r="BJ17" s="53">
        <v>444508.36560000008</v>
      </c>
      <c r="BK17" s="53">
        <v>460971.63840000011</v>
      </c>
      <c r="BM17" s="53">
        <v>348215.00999999989</v>
      </c>
      <c r="BN17" s="53">
        <v>1056421.0285199995</v>
      </c>
      <c r="BO17" s="53">
        <v>1095547.7332799996</v>
      </c>
      <c r="BQ17" s="53">
        <v>26785.77</v>
      </c>
      <c r="BR17" s="53">
        <v>81263.156040000002</v>
      </c>
      <c r="BS17" s="53">
        <v>84272.902560000002</v>
      </c>
      <c r="BU17" s="53">
        <v>34949.199999999997</v>
      </c>
      <c r="BV17" s="53">
        <v>106029.51840000002</v>
      </c>
      <c r="BW17" s="53">
        <v>109956.53760000003</v>
      </c>
      <c r="BY17" s="53">
        <v>158830.44858320637</v>
      </c>
      <c r="BZ17" s="53">
        <v>481862.70273806958</v>
      </c>
      <c r="CA17" s="53">
        <v>499709.46950614615</v>
      </c>
      <c r="CC17" s="53">
        <v>21222.920067148803</v>
      </c>
      <c r="CD17" s="53">
        <v>64386.480770989976</v>
      </c>
      <c r="CE17" s="53">
        <v>66771.165243989599</v>
      </c>
      <c r="CG17" s="53">
        <v>259114.91666666666</v>
      </c>
      <c r="CH17" s="53">
        <v>320266.03700000001</v>
      </c>
      <c r="CI17" s="53">
        <v>320266.03700000001</v>
      </c>
      <c r="CK17" s="53">
        <v>129071.2305058176</v>
      </c>
      <c r="CL17" s="53">
        <v>391578.64585819503</v>
      </c>
      <c r="CM17" s="53">
        <v>406081.55866775778</v>
      </c>
      <c r="CO17" s="53">
        <v>0</v>
      </c>
      <c r="CP17" s="53">
        <v>0</v>
      </c>
      <c r="CQ17" s="53">
        <v>0</v>
      </c>
      <c r="CS17" s="53">
        <v>1414310.9151535141</v>
      </c>
      <c r="CT17" s="53">
        <v>3899168.4797507199</v>
      </c>
      <c r="CU17" s="53">
        <v>4443500.9041673904</v>
      </c>
      <c r="CW17" s="53">
        <v>150000</v>
      </c>
      <c r="CX17" s="53">
        <v>185400</v>
      </c>
      <c r="CY17" s="53">
        <v>190962</v>
      </c>
      <c r="DA17" s="53">
        <v>87000</v>
      </c>
      <c r="DB17" s="53">
        <v>108576</v>
      </c>
      <c r="DC17" s="53">
        <v>112919.03999999999</v>
      </c>
      <c r="DE17" s="53">
        <v>10172.2186</v>
      </c>
      <c r="DF17" s="53">
        <v>14910.26888</v>
      </c>
      <c r="DG17" s="53">
        <v>16268.34733056</v>
      </c>
      <c r="DI17" s="53">
        <v>75000</v>
      </c>
      <c r="DJ17" s="53">
        <v>91800</v>
      </c>
      <c r="DK17" s="53">
        <v>93636</v>
      </c>
      <c r="DM17" s="53">
        <v>98077.5</v>
      </c>
      <c r="DN17" s="53">
        <v>244015.11000000004</v>
      </c>
      <c r="DO17" s="53">
        <v>257405.36400000009</v>
      </c>
      <c r="DQ17" s="53">
        <v>60000</v>
      </c>
      <c r="DR17" s="53">
        <v>75600</v>
      </c>
      <c r="DS17" s="53">
        <v>79380</v>
      </c>
      <c r="DU17" s="53">
        <v>129000</v>
      </c>
      <c r="DV17" s="53">
        <v>0</v>
      </c>
      <c r="DW17" s="53">
        <v>0</v>
      </c>
      <c r="DY17" s="53">
        <v>527530.59404001688</v>
      </c>
      <c r="DZ17" s="53">
        <v>1031729.3660137635</v>
      </c>
      <c r="EA17" s="53">
        <v>911613.68211465026</v>
      </c>
      <c r="EC17" s="53">
        <v>0</v>
      </c>
      <c r="ED17" s="53">
        <v>0</v>
      </c>
      <c r="EE17" s="53">
        <v>0</v>
      </c>
      <c r="EG17" s="53">
        <v>-812694.4641973332</v>
      </c>
      <c r="EH17" s="53">
        <v>-976081.63653491996</v>
      </c>
      <c r="EI17" s="53">
        <v>-1241998.0161556797</v>
      </c>
      <c r="EK17" s="53">
        <v>42337.138726017518</v>
      </c>
      <c r="EL17" s="53">
        <v>141296.27045755801</v>
      </c>
      <c r="EM17" s="53">
        <v>162791.33688385572</v>
      </c>
      <c r="EO17" s="53">
        <v>1</v>
      </c>
      <c r="EP17" s="53">
        <v>1</v>
      </c>
      <c r="EQ17" s="53">
        <v>1</v>
      </c>
      <c r="ES17" s="53">
        <v>1</v>
      </c>
      <c r="ET17" s="53">
        <v>1</v>
      </c>
      <c r="EU17" s="53">
        <v>1</v>
      </c>
      <c r="EW17" s="53">
        <v>1</v>
      </c>
      <c r="EX17" s="53">
        <v>1</v>
      </c>
      <c r="EY17" s="53">
        <v>1</v>
      </c>
    </row>
    <row r="18" spans="1:155" x14ac:dyDescent="0.25">
      <c r="A18" s="114"/>
      <c r="B18" t="str">
        <v>JV1</v>
      </c>
      <c r="C18" t="str">
        <v>Remote</v>
      </c>
      <c r="D18" t="str">
        <v>New Jersey</v>
      </c>
      <c r="E18" s="53">
        <v>3629.5599999999995</v>
      </c>
      <c r="F18" s="53">
        <v>13374.680000000002</v>
      </c>
      <c r="G18" s="53">
        <v>14319.360000000002</v>
      </c>
      <c r="I18" s="53">
        <v>6.4799999999999995</v>
      </c>
      <c r="J18" s="53">
        <v>10.36</v>
      </c>
      <c r="K18" s="53">
        <v>10.36</v>
      </c>
      <c r="M18" s="53">
        <v>1.37</v>
      </c>
      <c r="N18" s="53">
        <v>2.19</v>
      </c>
      <c r="O18" s="53">
        <v>2.19</v>
      </c>
      <c r="Q18" s="53">
        <v>8</v>
      </c>
      <c r="R18" s="53">
        <v>13</v>
      </c>
      <c r="S18" s="53">
        <v>13</v>
      </c>
      <c r="U18" s="53">
        <v>3</v>
      </c>
      <c r="V18" s="53">
        <v>4</v>
      </c>
      <c r="W18" s="53">
        <v>2</v>
      </c>
      <c r="Y18" s="53">
        <v>15</v>
      </c>
      <c r="Z18" s="53">
        <v>24</v>
      </c>
      <c r="AA18" s="53">
        <v>24</v>
      </c>
      <c r="AC18" s="53">
        <v>19.714285714285712</v>
      </c>
      <c r="AD18" s="53">
        <v>29.857142857142858</v>
      </c>
      <c r="AE18" s="53">
        <v>24</v>
      </c>
      <c r="AG18" s="53">
        <v>6</v>
      </c>
      <c r="AH18" s="53">
        <v>23</v>
      </c>
      <c r="AI18" s="53">
        <v>24</v>
      </c>
      <c r="AK18" s="53">
        <v>21</v>
      </c>
      <c r="AL18" s="53">
        <v>47</v>
      </c>
      <c r="AM18" s="53">
        <v>48</v>
      </c>
      <c r="AO18" s="53">
        <v>0</v>
      </c>
      <c r="AP18" s="53">
        <v>0</v>
      </c>
      <c r="AQ18" s="53">
        <v>0</v>
      </c>
      <c r="AS18" s="53">
        <v>657122.27499999979</v>
      </c>
      <c r="AT18" s="53">
        <v>2494094.0922499998</v>
      </c>
      <c r="AU18" s="53">
        <v>2670256.8719999995</v>
      </c>
      <c r="AW18" s="53">
        <v>578267.60199999996</v>
      </c>
      <c r="AX18" s="53">
        <v>2194802.8011800004</v>
      </c>
      <c r="AY18" s="53">
        <v>2349826.0473600007</v>
      </c>
      <c r="BA18" s="53">
        <v>-78854.672999999981</v>
      </c>
      <c r="BB18" s="53">
        <v>-299291.29107000004</v>
      </c>
      <c r="BC18" s="53">
        <v>-320430.82464000001</v>
      </c>
      <c r="BE18" s="53">
        <v>552779.84666666656</v>
      </c>
      <c r="BF18" s="53">
        <v>2098064.5495333332</v>
      </c>
      <c r="BG18" s="53">
        <v>2246254.9823999996</v>
      </c>
      <c r="BI18" s="53">
        <v>0</v>
      </c>
      <c r="BJ18" s="53">
        <v>0</v>
      </c>
      <c r="BK18" s="53">
        <v>0</v>
      </c>
      <c r="BM18" s="53">
        <v>77029.380999999965</v>
      </c>
      <c r="BN18" s="53">
        <v>292363.43278999982</v>
      </c>
      <c r="BO18" s="53">
        <v>313013.63807999983</v>
      </c>
      <c r="BQ18" s="53">
        <v>11850.673999999999</v>
      </c>
      <c r="BR18" s="53">
        <v>44978.989660000007</v>
      </c>
      <c r="BS18" s="53">
        <v>48155.944320000002</v>
      </c>
      <c r="BU18" s="53">
        <v>15462.373333333331</v>
      </c>
      <c r="BV18" s="53">
        <v>58687.120266666672</v>
      </c>
      <c r="BW18" s="53">
        <v>62832.307200000003</v>
      </c>
      <c r="BY18" s="53">
        <v>0</v>
      </c>
      <c r="BZ18" s="53">
        <v>0</v>
      </c>
      <c r="CA18" s="53">
        <v>0</v>
      </c>
      <c r="CC18" s="53">
        <v>0</v>
      </c>
      <c r="CD18" s="53">
        <v>0</v>
      </c>
      <c r="CE18" s="53">
        <v>0</v>
      </c>
      <c r="CG18" s="53">
        <v>0</v>
      </c>
      <c r="CH18" s="53">
        <v>0</v>
      </c>
      <c r="CI18" s="53">
        <v>0</v>
      </c>
      <c r="CK18" s="53">
        <v>0</v>
      </c>
      <c r="CL18" s="53">
        <v>0</v>
      </c>
      <c r="CM18" s="53">
        <v>0</v>
      </c>
      <c r="CO18" s="53">
        <v>0</v>
      </c>
      <c r="CP18" s="53">
        <v>0</v>
      </c>
      <c r="CQ18" s="53">
        <v>0</v>
      </c>
      <c r="CS18" s="53">
        <v>316513.191876792</v>
      </c>
      <c r="CT18" s="53">
        <v>852657.07482433028</v>
      </c>
      <c r="CU18" s="53">
        <v>972001.26309081947</v>
      </c>
      <c r="CW18" s="53">
        <v>0</v>
      </c>
      <c r="CX18" s="53">
        <v>0</v>
      </c>
      <c r="CY18" s="53">
        <v>0</v>
      </c>
      <c r="DA18" s="53">
        <v>0</v>
      </c>
      <c r="DB18" s="53">
        <v>0</v>
      </c>
      <c r="DC18" s="53">
        <v>0</v>
      </c>
      <c r="DE18" s="53">
        <v>7773.2057999999997</v>
      </c>
      <c r="DF18" s="53">
        <v>12688.621295999999</v>
      </c>
      <c r="DG18" s="53">
        <v>12857.242245120004</v>
      </c>
      <c r="DI18" s="53">
        <v>0</v>
      </c>
      <c r="DJ18" s="53">
        <v>0</v>
      </c>
      <c r="DK18" s="53">
        <v>0</v>
      </c>
      <c r="DM18" s="53">
        <v>42890</v>
      </c>
      <c r="DN18" s="53">
        <v>106845.00000000001</v>
      </c>
      <c r="DO18" s="53">
        <v>113674.10400000004</v>
      </c>
      <c r="DQ18" s="53">
        <v>0</v>
      </c>
      <c r="DR18" s="53">
        <v>0</v>
      </c>
      <c r="DS18" s="53">
        <v>0</v>
      </c>
      <c r="DU18" s="53">
        <v>0</v>
      </c>
      <c r="DV18" s="53">
        <v>0</v>
      </c>
      <c r="DW18" s="53">
        <v>0</v>
      </c>
      <c r="DY18" s="53">
        <v>105722.5300572556</v>
      </c>
      <c r="DZ18" s="53">
        <v>282012.61348075909</v>
      </c>
      <c r="EA18" s="53">
        <v>258712.19770462046</v>
      </c>
      <c r="EC18" s="53">
        <v>0</v>
      </c>
      <c r="ED18" s="53">
        <v>0</v>
      </c>
      <c r="EE18" s="53">
        <v>0</v>
      </c>
      <c r="EG18" s="53">
        <v>-17823.316499999997</v>
      </c>
      <c r="EH18" s="53">
        <v>-251273.11601700002</v>
      </c>
      <c r="EI18" s="53">
        <v>-352473.90710399998</v>
      </c>
      <c r="EK18" s="53">
        <v>8868.4372105362745</v>
      </c>
      <c r="EL18" s="53">
        <v>37028.266889944076</v>
      </c>
      <c r="EM18" s="53">
        <v>44043.306626996906</v>
      </c>
      <c r="EO18" s="53">
        <v>0</v>
      </c>
      <c r="EP18" s="53">
        <v>0</v>
      </c>
      <c r="EQ18" s="53">
        <v>0</v>
      </c>
      <c r="ES18" s="53">
        <v>0</v>
      </c>
      <c r="ET18" s="53">
        <v>0</v>
      </c>
      <c r="EU18" s="53">
        <v>0</v>
      </c>
      <c r="EW18" s="53">
        <v>0</v>
      </c>
      <c r="EX18" s="53">
        <v>0</v>
      </c>
      <c r="EY18" s="53">
        <v>0</v>
      </c>
    </row>
    <row r="19" spans="1:155" x14ac:dyDescent="0.25">
      <c r="A19" s="114"/>
      <c r="B19" t="str">
        <v>JV1</v>
      </c>
      <c r="C19" t="str">
        <v>Center</v>
      </c>
      <c r="D19" t="str">
        <v>New Jersey</v>
      </c>
      <c r="E19" s="53">
        <v>50616.426666666652</v>
      </c>
      <c r="F19" s="53">
        <v>52926.719999999979</v>
      </c>
      <c r="G19" s="53">
        <v>52926.719999999979</v>
      </c>
      <c r="I19" s="53">
        <v>39.53</v>
      </c>
      <c r="J19" s="53">
        <v>39.53</v>
      </c>
      <c r="K19" s="53">
        <v>39.53</v>
      </c>
      <c r="M19" s="53">
        <v>6</v>
      </c>
      <c r="N19" s="53">
        <v>6</v>
      </c>
      <c r="O19" s="53">
        <v>6</v>
      </c>
      <c r="Q19" s="53">
        <v>46</v>
      </c>
      <c r="R19" s="53">
        <v>46</v>
      </c>
      <c r="S19" s="53">
        <v>46</v>
      </c>
      <c r="U19" s="53">
        <v>9</v>
      </c>
      <c r="V19" s="53">
        <v>8</v>
      </c>
      <c r="W19" s="53">
        <v>8</v>
      </c>
      <c r="Y19" s="53">
        <v>42</v>
      </c>
      <c r="Z19" s="53">
        <v>42</v>
      </c>
      <c r="AA19" s="53">
        <v>42</v>
      </c>
      <c r="AC19" s="53">
        <v>37.499999999999993</v>
      </c>
      <c r="AD19" s="53">
        <v>46.333333333333336</v>
      </c>
      <c r="AE19" s="53">
        <v>48</v>
      </c>
      <c r="AG19" s="53">
        <v>27</v>
      </c>
      <c r="AH19" s="53">
        <v>46.333333333333336</v>
      </c>
      <c r="AI19" s="53">
        <v>48</v>
      </c>
      <c r="AK19" s="53">
        <v>69</v>
      </c>
      <c r="AL19" s="53">
        <v>88.333333333333343</v>
      </c>
      <c r="AM19" s="53">
        <v>90</v>
      </c>
      <c r="AO19" s="53">
        <v>0</v>
      </c>
      <c r="AP19" s="53">
        <v>0</v>
      </c>
      <c r="AQ19" s="53">
        <v>0</v>
      </c>
      <c r="AS19" s="53">
        <v>8925283.3306666631</v>
      </c>
      <c r="AT19" s="53">
        <v>9612641.2502399962</v>
      </c>
      <c r="AU19" s="53">
        <v>9612641.2502399962</v>
      </c>
      <c r="AW19" s="53">
        <v>7699865.1096533304</v>
      </c>
      <c r="AX19" s="53">
        <v>8279986.7743711965</v>
      </c>
      <c r="AY19" s="53">
        <v>8279986.7743711965</v>
      </c>
      <c r="BA19" s="53">
        <v>-1108346.5476799996</v>
      </c>
      <c r="BB19" s="53">
        <v>-1191948.8744687994</v>
      </c>
      <c r="BC19" s="53">
        <v>-1191948.8744687994</v>
      </c>
      <c r="BE19" s="53">
        <v>7299722.9066666644</v>
      </c>
      <c r="BF19" s="53">
        <v>7861892.4383999966</v>
      </c>
      <c r="BG19" s="53">
        <v>7861892.4383999966</v>
      </c>
      <c r="BI19" s="53">
        <v>428009.5733333333</v>
      </c>
      <c r="BJ19" s="53">
        <v>460971.63840000011</v>
      </c>
      <c r="BK19" s="53">
        <v>460971.63840000011</v>
      </c>
      <c r="BM19" s="53">
        <v>1017209.9079999996</v>
      </c>
      <c r="BN19" s="53">
        <v>1095547.7332799996</v>
      </c>
      <c r="BO19" s="53">
        <v>1095547.7332799996</v>
      </c>
      <c r="BQ19" s="53">
        <v>78246.915999999983</v>
      </c>
      <c r="BR19" s="53">
        <v>84272.902560000002</v>
      </c>
      <c r="BS19" s="53">
        <v>84272.902560000002</v>
      </c>
      <c r="BU19" s="53">
        <v>102094.02666666669</v>
      </c>
      <c r="BV19" s="53">
        <v>109956.53760000003</v>
      </c>
      <c r="BW19" s="53">
        <v>109956.53760000003</v>
      </c>
      <c r="BY19" s="53">
        <v>463977.43161882111</v>
      </c>
      <c r="BZ19" s="53">
        <v>499709.46950614615</v>
      </c>
      <c r="CA19" s="53">
        <v>499709.46950614615</v>
      </c>
      <c r="CC19" s="53">
        <v>61996.651347671068</v>
      </c>
      <c r="CD19" s="53">
        <v>66771.165243989599</v>
      </c>
      <c r="CE19" s="53">
        <v>66771.165243989599</v>
      </c>
      <c r="CG19" s="53">
        <v>310937.89999999997</v>
      </c>
      <c r="CH19" s="53">
        <v>320266.03700000001</v>
      </c>
      <c r="CI19" s="53">
        <v>320266.03700000001</v>
      </c>
      <c r="CK19" s="53">
        <v>377044.44305335794</v>
      </c>
      <c r="CL19" s="53">
        <v>406081.55866775778</v>
      </c>
      <c r="CM19" s="53">
        <v>406081.55866775778</v>
      </c>
      <c r="CO19" s="53">
        <v>0</v>
      </c>
      <c r="CP19" s="53">
        <v>0</v>
      </c>
      <c r="CQ19" s="53">
        <v>0</v>
      </c>
      <c r="CS19" s="53">
        <v>4396523.1642343067</v>
      </c>
      <c r="CT19" s="53">
        <v>5007054.1365158074</v>
      </c>
      <c r="CU19" s="53">
        <v>5511261.53216739</v>
      </c>
      <c r="CW19" s="53">
        <v>268937.87999999995</v>
      </c>
      <c r="CX19" s="53">
        <v>277006.01640000002</v>
      </c>
      <c r="CY19" s="53">
        <v>285316.19689200009</v>
      </c>
      <c r="DA19" s="53">
        <v>91940.04</v>
      </c>
      <c r="DB19" s="53">
        <v>95617.641600000032</v>
      </c>
      <c r="DC19" s="53">
        <v>99442.347263999996</v>
      </c>
      <c r="DE19" s="53">
        <v>14127.894200000001</v>
      </c>
      <c r="DF19" s="53">
        <v>15544.524735999999</v>
      </c>
      <c r="DG19" s="53">
        <v>16312.079447040001</v>
      </c>
      <c r="DI19" s="53">
        <v>90000</v>
      </c>
      <c r="DJ19" s="53">
        <v>91800</v>
      </c>
      <c r="DK19" s="53">
        <v>93636</v>
      </c>
      <c r="DM19" s="53">
        <v>237351</v>
      </c>
      <c r="DN19" s="53">
        <v>252258.24000000008</v>
      </c>
      <c r="DO19" s="53">
        <v>257449.06080000006</v>
      </c>
      <c r="DQ19" s="53">
        <v>72000</v>
      </c>
      <c r="DR19" s="53">
        <v>75600</v>
      </c>
      <c r="DS19" s="53">
        <v>79380</v>
      </c>
      <c r="DU19" s="53">
        <v>0</v>
      </c>
      <c r="DV19" s="53">
        <v>0</v>
      </c>
      <c r="DW19" s="53">
        <v>0</v>
      </c>
      <c r="DY19" s="53">
        <v>1728348.0857214394</v>
      </c>
      <c r="DZ19" s="53">
        <v>1074776.2601894962</v>
      </c>
      <c r="EA19" s="53">
        <v>911613.68211465026</v>
      </c>
      <c r="EC19" s="53">
        <v>0</v>
      </c>
      <c r="ED19" s="53">
        <v>0</v>
      </c>
      <c r="EE19" s="53">
        <v>0</v>
      </c>
      <c r="EG19" s="53">
        <v>-1027870.890928</v>
      </c>
      <c r="EH19" s="53">
        <v>-1226925.2246974797</v>
      </c>
      <c r="EI19" s="53">
        <v>-1241998.0161556797</v>
      </c>
      <c r="EK19" s="53">
        <v>123675.76282388145</v>
      </c>
      <c r="EL19" s="53">
        <v>146529.4656596898</v>
      </c>
      <c r="EM19" s="53">
        <v>162791.33688385572</v>
      </c>
      <c r="EO19" s="53">
        <v>1</v>
      </c>
      <c r="EP19" s="53">
        <v>1</v>
      </c>
      <c r="EQ19" s="53">
        <v>1</v>
      </c>
      <c r="ES19" s="53">
        <v>1</v>
      </c>
      <c r="ET19" s="53">
        <v>1</v>
      </c>
      <c r="EU19" s="53">
        <v>1</v>
      </c>
      <c r="EW19" s="53">
        <v>1</v>
      </c>
      <c r="EX19" s="53">
        <v>1</v>
      </c>
      <c r="EY19" s="53">
        <v>1</v>
      </c>
    </row>
    <row r="20" spans="1:155" x14ac:dyDescent="0.25">
      <c r="A20" s="114"/>
      <c r="B20" t="str">
        <v>JV1</v>
      </c>
      <c r="C20" t="str">
        <v>Remote</v>
      </c>
      <c r="D20" t="str">
        <v>New Jersey</v>
      </c>
      <c r="E20" s="53">
        <v>14248.960000000003</v>
      </c>
      <c r="F20" s="53">
        <v>14868.480000000003</v>
      </c>
      <c r="G20" s="53">
        <v>14868.480000000003</v>
      </c>
      <c r="I20" s="53">
        <v>10.83</v>
      </c>
      <c r="J20" s="53">
        <v>10.83</v>
      </c>
      <c r="K20" s="53">
        <v>10.83</v>
      </c>
      <c r="M20" s="53">
        <v>2.19</v>
      </c>
      <c r="N20" s="53">
        <v>2.19</v>
      </c>
      <c r="O20" s="53">
        <v>2.19</v>
      </c>
      <c r="Q20" s="53">
        <v>13</v>
      </c>
      <c r="R20" s="53">
        <v>13</v>
      </c>
      <c r="S20" s="53">
        <v>13</v>
      </c>
      <c r="U20" s="53">
        <v>3</v>
      </c>
      <c r="V20" s="53">
        <v>3</v>
      </c>
      <c r="W20" s="53">
        <v>3</v>
      </c>
      <c r="Y20" s="53">
        <v>24</v>
      </c>
      <c r="Z20" s="53">
        <v>24</v>
      </c>
      <c r="AA20" s="53">
        <v>24</v>
      </c>
      <c r="AC20" s="53">
        <v>28.333333333333336</v>
      </c>
      <c r="AD20" s="53">
        <v>24</v>
      </c>
      <c r="AE20" s="53">
        <v>24</v>
      </c>
      <c r="AG20" s="53">
        <v>22.333333333333332</v>
      </c>
      <c r="AH20" s="53">
        <v>24</v>
      </c>
      <c r="AI20" s="53">
        <v>24</v>
      </c>
      <c r="AK20" s="53">
        <v>46.333333333333329</v>
      </c>
      <c r="AL20" s="53">
        <v>48</v>
      </c>
      <c r="AM20" s="53">
        <v>48</v>
      </c>
      <c r="AO20" s="53">
        <v>0</v>
      </c>
      <c r="AP20" s="53">
        <v>0</v>
      </c>
      <c r="AQ20" s="53">
        <v>0</v>
      </c>
      <c r="AS20" s="53">
        <v>2579460.5800000005</v>
      </c>
      <c r="AT20" s="53">
        <v>2772359.3711999999</v>
      </c>
      <c r="AU20" s="53">
        <v>2772359.3711999999</v>
      </c>
      <c r="AW20" s="53">
        <v>2269925.3104000003</v>
      </c>
      <c r="AX20" s="53">
        <v>2439676.2466559992</v>
      </c>
      <c r="AY20" s="53">
        <v>2439676.2466559992</v>
      </c>
      <c r="BA20" s="53">
        <v>-309535.2696</v>
      </c>
      <c r="BB20" s="53">
        <v>-332683.12454399996</v>
      </c>
      <c r="BC20" s="53">
        <v>-332683.12454399996</v>
      </c>
      <c r="BE20" s="53">
        <v>2184960.4400000004</v>
      </c>
      <c r="BF20" s="53">
        <v>2348357.4816000001</v>
      </c>
      <c r="BG20" s="53">
        <v>2348357.4816000001</v>
      </c>
      <c r="BI20" s="53">
        <v>0</v>
      </c>
      <c r="BJ20" s="53">
        <v>0</v>
      </c>
      <c r="BK20" s="53">
        <v>0</v>
      </c>
      <c r="BM20" s="53">
        <v>291234.37199999997</v>
      </c>
      <c r="BN20" s="53">
        <v>313013.63807999983</v>
      </c>
      <c r="BO20" s="53">
        <v>313013.63807999983</v>
      </c>
      <c r="BQ20" s="53">
        <v>44805.288</v>
      </c>
      <c r="BR20" s="53">
        <v>48155.944320000002</v>
      </c>
      <c r="BS20" s="53">
        <v>48155.944320000002</v>
      </c>
      <c r="BU20" s="53">
        <v>58460.479999999981</v>
      </c>
      <c r="BV20" s="53">
        <v>62832.307200000003</v>
      </c>
      <c r="BW20" s="53">
        <v>62832.307200000003</v>
      </c>
      <c r="BY20" s="53">
        <v>0</v>
      </c>
      <c r="BZ20" s="53">
        <v>0</v>
      </c>
      <c r="CA20" s="53">
        <v>0</v>
      </c>
      <c r="CC20" s="53">
        <v>0</v>
      </c>
      <c r="CD20" s="53">
        <v>0</v>
      </c>
      <c r="CE20" s="53">
        <v>0</v>
      </c>
      <c r="CG20" s="53">
        <v>0</v>
      </c>
      <c r="CH20" s="53">
        <v>0</v>
      </c>
      <c r="CI20" s="53">
        <v>0</v>
      </c>
      <c r="CK20" s="53">
        <v>0</v>
      </c>
      <c r="CL20" s="53">
        <v>0</v>
      </c>
      <c r="CM20" s="53">
        <v>0</v>
      </c>
      <c r="CO20" s="53">
        <v>0</v>
      </c>
      <c r="CP20" s="53">
        <v>0</v>
      </c>
      <c r="CQ20" s="53">
        <v>0</v>
      </c>
      <c r="CS20" s="53">
        <v>803172.38788120414</v>
      </c>
      <c r="CT20" s="53">
        <v>902837.01603407832</v>
      </c>
      <c r="CU20" s="53">
        <v>993120.71763748594</v>
      </c>
      <c r="CW20" s="53">
        <v>0</v>
      </c>
      <c r="CX20" s="53">
        <v>0</v>
      </c>
      <c r="CY20" s="53">
        <v>0</v>
      </c>
      <c r="DA20" s="53">
        <v>0</v>
      </c>
      <c r="DB20" s="53">
        <v>0</v>
      </c>
      <c r="DC20" s="53">
        <v>0</v>
      </c>
      <c r="DE20" s="53">
        <v>12129.840000000002</v>
      </c>
      <c r="DF20" s="53">
        <v>12362.732927999999</v>
      </c>
      <c r="DG20" s="53">
        <v>12857.242245120004</v>
      </c>
      <c r="DI20" s="53">
        <v>0</v>
      </c>
      <c r="DJ20" s="53">
        <v>0</v>
      </c>
      <c r="DK20" s="53">
        <v>0</v>
      </c>
      <c r="DM20" s="53">
        <v>109175</v>
      </c>
      <c r="DN20" s="53">
        <v>114321.60000000002</v>
      </c>
      <c r="DO20" s="53">
        <v>116608.03199999996</v>
      </c>
      <c r="DQ20" s="53">
        <v>0</v>
      </c>
      <c r="DR20" s="53">
        <v>0</v>
      </c>
      <c r="DS20" s="53">
        <v>0</v>
      </c>
      <c r="DU20" s="53">
        <v>0</v>
      </c>
      <c r="DV20" s="53">
        <v>0</v>
      </c>
      <c r="DW20" s="53">
        <v>0</v>
      </c>
      <c r="DY20" s="53">
        <v>509584.6379711568</v>
      </c>
      <c r="DZ20" s="53">
        <v>316679.98801280826</v>
      </c>
      <c r="EA20" s="53">
        <v>268604.56507801905</v>
      </c>
      <c r="EC20" s="53">
        <v>0</v>
      </c>
      <c r="ED20" s="53">
        <v>0</v>
      </c>
      <c r="EE20" s="53">
        <v>0</v>
      </c>
      <c r="EG20" s="53">
        <v>-303479.14475999994</v>
      </c>
      <c r="EH20" s="53">
        <v>-361510.2787823999</v>
      </c>
      <c r="EI20" s="53">
        <v>-365951.43699839985</v>
      </c>
      <c r="EK20" s="53">
        <v>34815.792293127262</v>
      </c>
      <c r="EL20" s="53">
        <v>41163.904159785183</v>
      </c>
      <c r="EM20" s="53">
        <v>45732.282987324223</v>
      </c>
      <c r="EO20" s="53">
        <v>0</v>
      </c>
      <c r="EP20" s="53">
        <v>0</v>
      </c>
      <c r="EQ20" s="53">
        <v>0</v>
      </c>
      <c r="ES20" s="53">
        <v>0</v>
      </c>
      <c r="ET20" s="53">
        <v>0</v>
      </c>
      <c r="EU20" s="53">
        <v>0</v>
      </c>
      <c r="EW20" s="53">
        <v>0</v>
      </c>
      <c r="EX20" s="53">
        <v>0</v>
      </c>
      <c r="EY20" s="53">
        <v>0</v>
      </c>
    </row>
    <row r="21" spans="1:155" x14ac:dyDescent="0.25">
      <c r="A21" s="114"/>
      <c r="B21" t="str">
        <v>JV1</v>
      </c>
      <c r="C21" t="str">
        <v>Center</v>
      </c>
      <c r="D21" t="str">
        <v>New Jersey</v>
      </c>
      <c r="E21" s="53">
        <v>14176.799999999997</v>
      </c>
      <c r="F21" s="53">
        <v>49776.319999999978</v>
      </c>
      <c r="G21" s="53">
        <v>52926.719999999979</v>
      </c>
      <c r="I21" s="53">
        <v>25.42</v>
      </c>
      <c r="J21" s="53">
        <v>39.53</v>
      </c>
      <c r="K21" s="53">
        <v>39.53</v>
      </c>
      <c r="M21" s="53">
        <v>3.86</v>
      </c>
      <c r="N21" s="53">
        <v>6</v>
      </c>
      <c r="O21" s="53">
        <v>6</v>
      </c>
      <c r="Q21" s="53">
        <v>29</v>
      </c>
      <c r="R21" s="53">
        <v>46</v>
      </c>
      <c r="S21" s="53">
        <v>46</v>
      </c>
      <c r="U21" s="53">
        <v>8</v>
      </c>
      <c r="V21" s="53">
        <v>9</v>
      </c>
      <c r="W21" s="53">
        <v>8</v>
      </c>
      <c r="Y21" s="53">
        <v>27</v>
      </c>
      <c r="Z21" s="53">
        <v>42</v>
      </c>
      <c r="AA21" s="53">
        <v>42</v>
      </c>
      <c r="AC21" s="53">
        <v>30</v>
      </c>
      <c r="AD21" s="53">
        <v>41</v>
      </c>
      <c r="AE21" s="53">
        <v>47</v>
      </c>
      <c r="AG21" s="53">
        <v>6</v>
      </c>
      <c r="AH21" s="53">
        <v>29</v>
      </c>
      <c r="AI21" s="53">
        <v>47</v>
      </c>
      <c r="AK21" s="53">
        <v>33</v>
      </c>
      <c r="AL21" s="53">
        <v>71</v>
      </c>
      <c r="AM21" s="53">
        <v>89</v>
      </c>
      <c r="AO21" s="53">
        <v>1411000</v>
      </c>
      <c r="AP21" s="53">
        <v>0</v>
      </c>
      <c r="AQ21" s="53">
        <v>0</v>
      </c>
      <c r="AS21" s="53">
        <v>2499820.0199999996</v>
      </c>
      <c r="AT21" s="53">
        <v>9040460.2234399971</v>
      </c>
      <c r="AU21" s="53">
        <v>9612641.2502399962</v>
      </c>
      <c r="AW21" s="53">
        <v>2285182.4315999998</v>
      </c>
      <c r="AX21" s="53">
        <v>7803906.2587871971</v>
      </c>
      <c r="AY21" s="53">
        <v>8279986.7743711965</v>
      </c>
      <c r="BA21" s="53">
        <v>-327962.81339999998</v>
      </c>
      <c r="BB21" s="53">
        <v>-1123287.1512527994</v>
      </c>
      <c r="BC21" s="53">
        <v>-1191948.8744687994</v>
      </c>
      <c r="BE21" s="53">
        <v>2044528.1999999997</v>
      </c>
      <c r="BF21" s="53">
        <v>7393922.6503999978</v>
      </c>
      <c r="BG21" s="53">
        <v>7861892.4383999966</v>
      </c>
      <c r="BI21" s="53">
        <v>119878.19999999998</v>
      </c>
      <c r="BJ21" s="53">
        <v>433532.85040000005</v>
      </c>
      <c r="BK21" s="53">
        <v>460971.63840000011</v>
      </c>
      <c r="BM21" s="53">
        <v>284903.18999999994</v>
      </c>
      <c r="BN21" s="53">
        <v>1030336.5586799996</v>
      </c>
      <c r="BO21" s="53">
        <v>1095547.7332799996</v>
      </c>
      <c r="BQ21" s="53">
        <v>21915.63</v>
      </c>
      <c r="BR21" s="53">
        <v>79256.658360000001</v>
      </c>
      <c r="BS21" s="53">
        <v>84272.902560000002</v>
      </c>
      <c r="BU21" s="53">
        <v>28594.799999999999</v>
      </c>
      <c r="BV21" s="53">
        <v>103411.50560000002</v>
      </c>
      <c r="BW21" s="53">
        <v>109956.53760000003</v>
      </c>
      <c r="BY21" s="53">
        <v>129952.18520444157</v>
      </c>
      <c r="BZ21" s="53">
        <v>469964.85822601838</v>
      </c>
      <c r="CA21" s="53">
        <v>499709.46950614615</v>
      </c>
      <c r="CC21" s="53">
        <v>17364.207327667202</v>
      </c>
      <c r="CD21" s="53">
        <v>62796.691122323558</v>
      </c>
      <c r="CE21" s="53">
        <v>66771.165243989599</v>
      </c>
      <c r="CG21" s="53">
        <v>233203.42499999999</v>
      </c>
      <c r="CH21" s="53">
        <v>320266.03700000001</v>
      </c>
      <c r="CI21" s="53">
        <v>320266.03700000001</v>
      </c>
      <c r="CK21" s="53">
        <v>105603.73405021439</v>
      </c>
      <c r="CL21" s="53">
        <v>381910.03731848649</v>
      </c>
      <c r="CM21" s="53">
        <v>406081.55866775778</v>
      </c>
      <c r="CO21" s="53">
        <v>0</v>
      </c>
      <c r="CP21" s="53">
        <v>0</v>
      </c>
      <c r="CQ21" s="53">
        <v>0</v>
      </c>
      <c r="CS21" s="53">
        <v>1184222.3387134813</v>
      </c>
      <c r="CT21" s="53">
        <v>3816530.2574584382</v>
      </c>
      <c r="CU21" s="53">
        <v>4442432.9985007234</v>
      </c>
      <c r="CW21" s="53">
        <v>135000</v>
      </c>
      <c r="CX21" s="53">
        <v>185400</v>
      </c>
      <c r="CY21" s="53">
        <v>190962</v>
      </c>
      <c r="DA21" s="53">
        <v>78300</v>
      </c>
      <c r="DB21" s="53">
        <v>108576</v>
      </c>
      <c r="DC21" s="53">
        <v>112919.03999999999</v>
      </c>
      <c r="DE21" s="53">
        <v>8959.2345999999998</v>
      </c>
      <c r="DF21" s="53">
        <v>14906.764703999999</v>
      </c>
      <c r="DG21" s="53">
        <v>16224.61521408</v>
      </c>
      <c r="DI21" s="53">
        <v>67500</v>
      </c>
      <c r="DJ21" s="53">
        <v>91800</v>
      </c>
      <c r="DK21" s="53">
        <v>93636</v>
      </c>
      <c r="DM21" s="53">
        <v>82472</v>
      </c>
      <c r="DN21" s="53">
        <v>238942.14</v>
      </c>
      <c r="DO21" s="53">
        <v>257361.66720000008</v>
      </c>
      <c r="DQ21" s="53">
        <v>54000</v>
      </c>
      <c r="DR21" s="53">
        <v>75600</v>
      </c>
      <c r="DS21" s="53">
        <v>79380</v>
      </c>
      <c r="DU21" s="53">
        <v>151234.47</v>
      </c>
      <c r="DV21" s="53">
        <v>0</v>
      </c>
      <c r="DW21" s="53">
        <v>0</v>
      </c>
      <c r="DY21" s="53">
        <v>424128.92757016735</v>
      </c>
      <c r="DZ21" s="53">
        <v>1003978.8103236929</v>
      </c>
      <c r="EA21" s="53">
        <v>911613.68211465026</v>
      </c>
      <c r="EC21" s="53">
        <v>0</v>
      </c>
      <c r="ED21" s="53">
        <v>0</v>
      </c>
      <c r="EE21" s="53">
        <v>0</v>
      </c>
      <c r="EG21" s="53">
        <v>-597087.69337199978</v>
      </c>
      <c r="EH21" s="53">
        <v>-912850.74863987998</v>
      </c>
      <c r="EI21" s="53">
        <v>-1241998.0161556797</v>
      </c>
      <c r="EK21" s="53">
        <v>34639.477139468872</v>
      </c>
      <c r="EL21" s="53">
        <v>137807.4736561368</v>
      </c>
      <c r="EM21" s="53">
        <v>162791.33688385572</v>
      </c>
      <c r="EO21" s="53">
        <v>1</v>
      </c>
      <c r="EP21" s="53">
        <v>1</v>
      </c>
      <c r="EQ21" s="53">
        <v>1</v>
      </c>
      <c r="ES21" s="53">
        <v>1</v>
      </c>
      <c r="ET21" s="53">
        <v>1</v>
      </c>
      <c r="EU21" s="53">
        <v>1</v>
      </c>
      <c r="EW21" s="53">
        <v>1</v>
      </c>
      <c r="EX21" s="53">
        <v>1</v>
      </c>
      <c r="EY21" s="53">
        <v>1</v>
      </c>
    </row>
    <row r="22" spans="1:155" x14ac:dyDescent="0.25">
      <c r="A22" s="114"/>
      <c r="B22" t="str">
        <v>JV1</v>
      </c>
      <c r="C22" t="str">
        <v>Remote</v>
      </c>
      <c r="D22" t="str">
        <v>New Jersey</v>
      </c>
      <c r="E22" s="53">
        <v>2994.3466666666664</v>
      </c>
      <c r="F22" s="53">
        <v>13422.933333333334</v>
      </c>
      <c r="G22" s="53">
        <v>14868.480000000003</v>
      </c>
      <c r="I22" s="53">
        <v>5.87</v>
      </c>
      <c r="J22" s="53">
        <v>10.83</v>
      </c>
      <c r="K22" s="53">
        <v>10.83</v>
      </c>
      <c r="M22" s="53">
        <v>1.19</v>
      </c>
      <c r="N22" s="53">
        <v>2.19</v>
      </c>
      <c r="O22" s="53">
        <v>2.19</v>
      </c>
      <c r="Q22" s="53">
        <v>7</v>
      </c>
      <c r="R22" s="53">
        <v>13</v>
      </c>
      <c r="S22" s="53">
        <v>13</v>
      </c>
      <c r="U22" s="53">
        <v>3</v>
      </c>
      <c r="V22" s="53">
        <v>3</v>
      </c>
      <c r="W22" s="53">
        <v>3</v>
      </c>
      <c r="Y22" s="53">
        <v>13</v>
      </c>
      <c r="Z22" s="53">
        <v>24</v>
      </c>
      <c r="AA22" s="53">
        <v>24</v>
      </c>
      <c r="AC22" s="53">
        <v>16.666666666666664</v>
      </c>
      <c r="AD22" s="53">
        <v>30.904761904761905</v>
      </c>
      <c r="AE22" s="53">
        <v>24</v>
      </c>
      <c r="AG22" s="53">
        <v>4.666666666666667</v>
      </c>
      <c r="AH22" s="53">
        <v>22.333333333333332</v>
      </c>
      <c r="AI22" s="53">
        <v>24</v>
      </c>
      <c r="AK22" s="53">
        <v>17.666666666666668</v>
      </c>
      <c r="AL22" s="53">
        <v>46.333333333333329</v>
      </c>
      <c r="AM22" s="53">
        <v>48</v>
      </c>
      <c r="AO22" s="53">
        <v>0</v>
      </c>
      <c r="AP22" s="53">
        <v>0</v>
      </c>
      <c r="AQ22" s="53">
        <v>0</v>
      </c>
      <c r="AS22" s="53">
        <v>542060.55666666664</v>
      </c>
      <c r="AT22" s="53">
        <v>2502824.4323333334</v>
      </c>
      <c r="AU22" s="53">
        <v>2772359.3711999999</v>
      </c>
      <c r="AW22" s="53">
        <v>477013.2898666666</v>
      </c>
      <c r="AX22" s="53">
        <v>2202485.5004533324</v>
      </c>
      <c r="AY22" s="53">
        <v>2439676.2466559992</v>
      </c>
      <c r="BA22" s="53">
        <v>-65047.266799999998</v>
      </c>
      <c r="BB22" s="53">
        <v>-300338.93187999999</v>
      </c>
      <c r="BC22" s="53">
        <v>-332683.12454399996</v>
      </c>
      <c r="BE22" s="53">
        <v>459158.35333333327</v>
      </c>
      <c r="BF22" s="53">
        <v>2120044.9486666666</v>
      </c>
      <c r="BG22" s="53">
        <v>2348357.4816000001</v>
      </c>
      <c r="BI22" s="53">
        <v>0</v>
      </c>
      <c r="BJ22" s="53">
        <v>0</v>
      </c>
      <c r="BK22" s="53">
        <v>0</v>
      </c>
      <c r="BM22" s="53">
        <v>61201.425999999978</v>
      </c>
      <c r="BN22" s="53">
        <v>282581.75659999985</v>
      </c>
      <c r="BO22" s="53">
        <v>313013.63807999983</v>
      </c>
      <c r="BQ22" s="53">
        <v>9415.6039999999994</v>
      </c>
      <c r="BR22" s="53">
        <v>43474.116399999999</v>
      </c>
      <c r="BS22" s="53">
        <v>48155.944320000002</v>
      </c>
      <c r="BU22" s="53">
        <v>12285.173333333332</v>
      </c>
      <c r="BV22" s="53">
        <v>56723.610666666667</v>
      </c>
      <c r="BW22" s="53">
        <v>62832.307200000003</v>
      </c>
      <c r="BY22" s="53">
        <v>0</v>
      </c>
      <c r="BZ22" s="53">
        <v>0</v>
      </c>
      <c r="CA22" s="53">
        <v>0</v>
      </c>
      <c r="CC22" s="53">
        <v>0</v>
      </c>
      <c r="CD22" s="53">
        <v>0</v>
      </c>
      <c r="CE22" s="53">
        <v>0</v>
      </c>
      <c r="CG22" s="53">
        <v>0</v>
      </c>
      <c r="CH22" s="53">
        <v>0</v>
      </c>
      <c r="CI22" s="53">
        <v>0</v>
      </c>
      <c r="CK22" s="53">
        <v>0</v>
      </c>
      <c r="CL22" s="53">
        <v>0</v>
      </c>
      <c r="CM22" s="53">
        <v>0</v>
      </c>
      <c r="CO22" s="53">
        <v>0</v>
      </c>
      <c r="CP22" s="53">
        <v>0</v>
      </c>
      <c r="CQ22" s="53">
        <v>0</v>
      </c>
      <c r="CS22" s="53">
        <v>269237.64616634004</v>
      </c>
      <c r="CT22" s="53">
        <v>852205.82688965416</v>
      </c>
      <c r="CU22" s="53">
        <v>993120.71763748594</v>
      </c>
      <c r="CW22" s="53">
        <v>0</v>
      </c>
      <c r="CX22" s="53">
        <v>0</v>
      </c>
      <c r="CY22" s="53">
        <v>0</v>
      </c>
      <c r="DA22" s="53">
        <v>0</v>
      </c>
      <c r="DB22" s="53">
        <v>0</v>
      </c>
      <c r="DC22" s="53">
        <v>0</v>
      </c>
      <c r="DE22" s="53">
        <v>6765.7551999999996</v>
      </c>
      <c r="DF22" s="53">
        <v>12706.142175999999</v>
      </c>
      <c r="DG22" s="53">
        <v>12857.242245120004</v>
      </c>
      <c r="DI22" s="53">
        <v>0</v>
      </c>
      <c r="DJ22" s="53">
        <v>0</v>
      </c>
      <c r="DK22" s="53">
        <v>0</v>
      </c>
      <c r="DM22" s="53">
        <v>36680</v>
      </c>
      <c r="DN22" s="53">
        <v>107064.30000000002</v>
      </c>
      <c r="DO22" s="53">
        <v>116608.03199999996</v>
      </c>
      <c r="DQ22" s="53">
        <v>0</v>
      </c>
      <c r="DR22" s="53">
        <v>0</v>
      </c>
      <c r="DS22" s="53">
        <v>0</v>
      </c>
      <c r="DU22" s="53">
        <v>0</v>
      </c>
      <c r="DV22" s="53">
        <v>0</v>
      </c>
      <c r="DW22" s="53">
        <v>0</v>
      </c>
      <c r="DY22" s="53">
        <v>85115.887916585576</v>
      </c>
      <c r="DZ22" s="53">
        <v>281924.33478043287</v>
      </c>
      <c r="EA22" s="53">
        <v>268604.56507801905</v>
      </c>
      <c r="EC22" s="53">
        <v>0</v>
      </c>
      <c r="ED22" s="53">
        <v>0</v>
      </c>
      <c r="EE22" s="53">
        <v>0</v>
      </c>
      <c r="EG22" s="53">
        <v>-11102.895539999998</v>
      </c>
      <c r="EH22" s="53">
        <v>-238342.15759199997</v>
      </c>
      <c r="EI22" s="53">
        <v>-365951.43699839985</v>
      </c>
      <c r="EK22" s="53">
        <v>7316.3621485557278</v>
      </c>
      <c r="EL22" s="53">
        <v>37161.857922028292</v>
      </c>
      <c r="EM22" s="53">
        <v>45732.282987324223</v>
      </c>
      <c r="EO22" s="53">
        <v>0</v>
      </c>
      <c r="EP22" s="53">
        <v>0</v>
      </c>
      <c r="EQ22" s="53">
        <v>0</v>
      </c>
      <c r="ES22" s="53">
        <v>0</v>
      </c>
      <c r="ET22" s="53">
        <v>0</v>
      </c>
      <c r="EU22" s="53">
        <v>0</v>
      </c>
      <c r="EW22" s="53">
        <v>0</v>
      </c>
      <c r="EX22" s="53">
        <v>0</v>
      </c>
      <c r="EY22" s="53">
        <v>0</v>
      </c>
    </row>
    <row r="23" spans="1:155" x14ac:dyDescent="0.25">
      <c r="A23" s="114"/>
      <c r="B23" t="str">
        <v>JV1</v>
      </c>
      <c r="C23" t="str">
        <v>Center</v>
      </c>
      <c r="D23" t="str">
        <v>New Jersey</v>
      </c>
      <c r="E23" s="53">
        <v>17327.199999999997</v>
      </c>
      <c r="F23" s="53">
        <v>51036.479999999981</v>
      </c>
      <c r="G23" s="53">
        <v>52926.719999999979</v>
      </c>
      <c r="I23" s="53">
        <v>28.240000000000002</v>
      </c>
      <c r="J23" s="53">
        <v>39.53</v>
      </c>
      <c r="K23" s="53">
        <v>39.53</v>
      </c>
      <c r="M23" s="53">
        <v>4.29</v>
      </c>
      <c r="N23" s="53">
        <v>6</v>
      </c>
      <c r="O23" s="53">
        <v>6</v>
      </c>
      <c r="Q23" s="53">
        <v>33</v>
      </c>
      <c r="R23" s="53">
        <v>46</v>
      </c>
      <c r="S23" s="53">
        <v>46</v>
      </c>
      <c r="U23" s="53">
        <v>8</v>
      </c>
      <c r="V23" s="53">
        <v>9</v>
      </c>
      <c r="W23" s="53">
        <v>8</v>
      </c>
      <c r="Y23" s="53">
        <v>30</v>
      </c>
      <c r="Z23" s="53">
        <v>42</v>
      </c>
      <c r="AA23" s="53">
        <v>42</v>
      </c>
      <c r="AC23" s="53">
        <v>34.5</v>
      </c>
      <c r="AD23" s="53">
        <v>40</v>
      </c>
      <c r="AE23" s="53">
        <v>47.5</v>
      </c>
      <c r="AG23" s="53">
        <v>7.5</v>
      </c>
      <c r="AH23" s="53">
        <v>31</v>
      </c>
      <c r="AI23" s="53">
        <v>47.5</v>
      </c>
      <c r="AK23" s="53">
        <v>37.5</v>
      </c>
      <c r="AL23" s="53">
        <v>73</v>
      </c>
      <c r="AM23" s="53">
        <v>89.5</v>
      </c>
      <c r="AO23" s="53">
        <v>1411000</v>
      </c>
      <c r="AP23" s="53">
        <v>0</v>
      </c>
      <c r="AQ23" s="53">
        <v>0</v>
      </c>
      <c r="AS23" s="53">
        <v>3055335.5799999996</v>
      </c>
      <c r="AT23" s="53">
        <v>9269332.6341599971</v>
      </c>
      <c r="AU23" s="53">
        <v>9612641.2502399962</v>
      </c>
      <c r="AW23" s="53">
        <v>2770198.6370666665</v>
      </c>
      <c r="AX23" s="53">
        <v>7994338.4650207972</v>
      </c>
      <c r="AY23" s="53">
        <v>8279986.7743711965</v>
      </c>
      <c r="BA23" s="53">
        <v>-397734.05959999998</v>
      </c>
      <c r="BB23" s="53">
        <v>-1150751.8405391995</v>
      </c>
      <c r="BC23" s="53">
        <v>-1191948.8744687994</v>
      </c>
      <c r="BE23" s="53">
        <v>2498867.7999999998</v>
      </c>
      <c r="BF23" s="53">
        <v>7581110.5655999966</v>
      </c>
      <c r="BG23" s="53">
        <v>7861892.4383999966</v>
      </c>
      <c r="BI23" s="53">
        <v>146517.79999999999</v>
      </c>
      <c r="BJ23" s="53">
        <v>444508.36560000008</v>
      </c>
      <c r="BK23" s="53">
        <v>460971.63840000011</v>
      </c>
      <c r="BM23" s="53">
        <v>348215.00999999989</v>
      </c>
      <c r="BN23" s="53">
        <v>1056421.0285199995</v>
      </c>
      <c r="BO23" s="53">
        <v>1095547.7332799996</v>
      </c>
      <c r="BQ23" s="53">
        <v>26785.77</v>
      </c>
      <c r="BR23" s="53">
        <v>81263.156040000002</v>
      </c>
      <c r="BS23" s="53">
        <v>84272.902560000002</v>
      </c>
      <c r="BU23" s="53">
        <v>34949.199999999997</v>
      </c>
      <c r="BV23" s="53">
        <v>106029.51840000002</v>
      </c>
      <c r="BW23" s="53">
        <v>109956.53760000003</v>
      </c>
      <c r="BY23" s="53">
        <v>158830.44858320637</v>
      </c>
      <c r="BZ23" s="53">
        <v>481862.70273806958</v>
      </c>
      <c r="CA23" s="53">
        <v>499709.46950614615</v>
      </c>
      <c r="CC23" s="53">
        <v>21222.920067148803</v>
      </c>
      <c r="CD23" s="53">
        <v>64386.480770989976</v>
      </c>
      <c r="CE23" s="53">
        <v>66771.165243989599</v>
      </c>
      <c r="CG23" s="53">
        <v>259114.91666666666</v>
      </c>
      <c r="CH23" s="53">
        <v>320266.03700000001</v>
      </c>
      <c r="CI23" s="53">
        <v>320266.03700000001</v>
      </c>
      <c r="CK23" s="53">
        <v>129071.2305058176</v>
      </c>
      <c r="CL23" s="53">
        <v>391578.64585819503</v>
      </c>
      <c r="CM23" s="53">
        <v>406081.55866775778</v>
      </c>
      <c r="CO23" s="53">
        <v>0</v>
      </c>
      <c r="CP23" s="53">
        <v>0</v>
      </c>
      <c r="CQ23" s="53">
        <v>0</v>
      </c>
      <c r="CS23" s="53">
        <v>1414310.9151535141</v>
      </c>
      <c r="CT23" s="53">
        <v>3899168.4797507199</v>
      </c>
      <c r="CU23" s="53">
        <v>4443500.9041673904</v>
      </c>
      <c r="CW23" s="53">
        <v>150000</v>
      </c>
      <c r="CX23" s="53">
        <v>185400</v>
      </c>
      <c r="CY23" s="53">
        <v>190962</v>
      </c>
      <c r="DA23" s="53">
        <v>87000</v>
      </c>
      <c r="DB23" s="53">
        <v>108576</v>
      </c>
      <c r="DC23" s="53">
        <v>112919.03999999999</v>
      </c>
      <c r="DE23" s="53">
        <v>10172.2186</v>
      </c>
      <c r="DF23" s="53">
        <v>14910.26888</v>
      </c>
      <c r="DG23" s="53">
        <v>16268.34733056</v>
      </c>
      <c r="DI23" s="53">
        <v>75000</v>
      </c>
      <c r="DJ23" s="53">
        <v>91800</v>
      </c>
      <c r="DK23" s="53">
        <v>93636</v>
      </c>
      <c r="DM23" s="53">
        <v>98077.5</v>
      </c>
      <c r="DN23" s="53">
        <v>244015.11000000004</v>
      </c>
      <c r="DO23" s="53">
        <v>257405.36400000009</v>
      </c>
      <c r="DQ23" s="53">
        <v>60000</v>
      </c>
      <c r="DR23" s="53">
        <v>75600</v>
      </c>
      <c r="DS23" s="53">
        <v>79380</v>
      </c>
      <c r="DU23" s="53">
        <v>151234.47</v>
      </c>
      <c r="DV23" s="53">
        <v>0</v>
      </c>
      <c r="DW23" s="53">
        <v>0</v>
      </c>
      <c r="DY23" s="53">
        <v>527530.59404001688</v>
      </c>
      <c r="DZ23" s="53">
        <v>1031729.3660137635</v>
      </c>
      <c r="EA23" s="53">
        <v>911613.68211465026</v>
      </c>
      <c r="EC23" s="53">
        <v>0</v>
      </c>
      <c r="ED23" s="53">
        <v>0</v>
      </c>
      <c r="EE23" s="53">
        <v>0</v>
      </c>
      <c r="EG23" s="53">
        <v>-812694.4641973332</v>
      </c>
      <c r="EH23" s="53">
        <v>-976081.63653491996</v>
      </c>
      <c r="EI23" s="53">
        <v>-1241998.0161556797</v>
      </c>
      <c r="EK23" s="53">
        <v>42337.138726017518</v>
      </c>
      <c r="EL23" s="53">
        <v>141296.27045755801</v>
      </c>
      <c r="EM23" s="53">
        <v>162791.33688385572</v>
      </c>
      <c r="EO23" s="53">
        <v>1</v>
      </c>
      <c r="EP23" s="53">
        <v>1</v>
      </c>
      <c r="EQ23" s="53">
        <v>1</v>
      </c>
      <c r="ES23" s="53">
        <v>1</v>
      </c>
      <c r="ET23" s="53">
        <v>1</v>
      </c>
      <c r="EU23" s="53">
        <v>1</v>
      </c>
      <c r="EW23" s="53">
        <v>1</v>
      </c>
      <c r="EX23" s="53">
        <v>1</v>
      </c>
      <c r="EY23" s="53">
        <v>1</v>
      </c>
    </row>
    <row r="24" spans="1:155" x14ac:dyDescent="0.25">
      <c r="A24" s="114"/>
      <c r="B24" t="str">
        <v>JV1</v>
      </c>
      <c r="C24" t="str">
        <v>Center</v>
      </c>
      <c r="D24" t="str">
        <v>New Jersey</v>
      </c>
      <c r="E24" s="53">
        <v>945.11999999999989</v>
      </c>
      <c r="F24" s="53">
        <v>32134.079999999994</v>
      </c>
      <c r="G24" s="53">
        <v>52926.719999999979</v>
      </c>
      <c r="I24" s="53">
        <v>5.6499999999999995</v>
      </c>
      <c r="J24" s="53">
        <v>39.53</v>
      </c>
      <c r="K24" s="53">
        <v>39.53</v>
      </c>
      <c r="M24" s="53">
        <v>0.86</v>
      </c>
      <c r="N24" s="53">
        <v>6</v>
      </c>
      <c r="O24" s="53">
        <v>6</v>
      </c>
      <c r="Q24" s="53">
        <v>7</v>
      </c>
      <c r="R24" s="53">
        <v>46</v>
      </c>
      <c r="S24" s="53">
        <v>46</v>
      </c>
      <c r="U24" s="53">
        <v>4</v>
      </c>
      <c r="V24" s="53">
        <v>9</v>
      </c>
      <c r="W24" s="53">
        <v>8</v>
      </c>
      <c r="Y24" s="53">
        <v>6</v>
      </c>
      <c r="Z24" s="53">
        <v>42</v>
      </c>
      <c r="AA24" s="53">
        <v>42</v>
      </c>
      <c r="AC24" s="53">
        <v>3.1666666666666665</v>
      </c>
      <c r="AD24" s="53">
        <v>48</v>
      </c>
      <c r="AE24" s="53">
        <v>38.833333333333329</v>
      </c>
      <c r="AG24" s="53">
        <v>0.16666666666666666</v>
      </c>
      <c r="AH24" s="53">
        <v>15</v>
      </c>
      <c r="AI24" s="53">
        <v>38.833333333333329</v>
      </c>
      <c r="AK24" s="53">
        <v>6.166666666666667</v>
      </c>
      <c r="AL24" s="53">
        <v>57</v>
      </c>
      <c r="AM24" s="53">
        <v>80.833333333333329</v>
      </c>
      <c r="AO24" s="53">
        <v>940666.66666666663</v>
      </c>
      <c r="AP24" s="53">
        <v>470333.33333333331</v>
      </c>
      <c r="AQ24" s="53">
        <v>0</v>
      </c>
      <c r="AS24" s="53">
        <v>166654.66800000001</v>
      </c>
      <c r="AT24" s="53">
        <v>5836246.4733600002</v>
      </c>
      <c r="AU24" s="53">
        <v>9612641.2502399962</v>
      </c>
      <c r="AW24" s="53">
        <v>184268.45317333337</v>
      </c>
      <c r="AX24" s="53">
        <v>5137855.3715167996</v>
      </c>
      <c r="AY24" s="53">
        <v>8279986.7743711965</v>
      </c>
      <c r="BA24" s="53">
        <v>-26217.318159999999</v>
      </c>
      <c r="BB24" s="53">
        <v>-738781.50124319992</v>
      </c>
      <c r="BC24" s="53">
        <v>-1191948.8744687994</v>
      </c>
      <c r="BE24" s="53">
        <v>136301.88</v>
      </c>
      <c r="BF24" s="53">
        <v>4773291.8376000002</v>
      </c>
      <c r="BG24" s="53">
        <v>7861892.4383999966</v>
      </c>
      <c r="BI24" s="53">
        <v>7991.8799999999992</v>
      </c>
      <c r="BJ24" s="53">
        <v>279875.63759999996</v>
      </c>
      <c r="BK24" s="53">
        <v>460971.63840000011</v>
      </c>
      <c r="BM24" s="53">
        <v>18993.545999999995</v>
      </c>
      <c r="BN24" s="53">
        <v>665153.98091999977</v>
      </c>
      <c r="BO24" s="53">
        <v>1095547.7332799996</v>
      </c>
      <c r="BQ24" s="53">
        <v>1461.0419999999999</v>
      </c>
      <c r="BR24" s="53">
        <v>51165.690840000003</v>
      </c>
      <c r="BS24" s="53">
        <v>84272.902560000002</v>
      </c>
      <c r="BU24" s="53">
        <v>1906.3199999999997</v>
      </c>
      <c r="BV24" s="53">
        <v>66759.326400000005</v>
      </c>
      <c r="BW24" s="53">
        <v>109956.53760000003</v>
      </c>
      <c r="BY24" s="53">
        <v>8663.4790136294378</v>
      </c>
      <c r="BZ24" s="53">
        <v>303395.03505730297</v>
      </c>
      <c r="CA24" s="53">
        <v>499709.46950614615</v>
      </c>
      <c r="CC24" s="53">
        <v>1157.6138218444803</v>
      </c>
      <c r="CD24" s="53">
        <v>40539.636040993697</v>
      </c>
      <c r="CE24" s="53">
        <v>66771.165243989599</v>
      </c>
      <c r="CG24" s="53">
        <v>51822.98333333333</v>
      </c>
      <c r="CH24" s="53">
        <v>320266.03700000001</v>
      </c>
      <c r="CI24" s="53">
        <v>320266.03700000001</v>
      </c>
      <c r="CK24" s="53">
        <v>7040.2489366809586</v>
      </c>
      <c r="CL24" s="53">
        <v>246549.51776256718</v>
      </c>
      <c r="CM24" s="53">
        <v>406081.55866775778</v>
      </c>
      <c r="CO24" s="53">
        <v>0</v>
      </c>
      <c r="CP24" s="53">
        <v>0</v>
      </c>
      <c r="CQ24" s="53">
        <v>0</v>
      </c>
      <c r="CS24" s="53">
        <v>118034.8743053432</v>
      </c>
      <c r="CT24" s="53">
        <v>2775192.5236731688</v>
      </c>
      <c r="CU24" s="53">
        <v>4566071.4438340571</v>
      </c>
      <c r="CW24" s="53">
        <v>30000</v>
      </c>
      <c r="CX24" s="53">
        <v>185400</v>
      </c>
      <c r="CY24" s="53">
        <v>190962</v>
      </c>
      <c r="DA24" s="53">
        <v>17400</v>
      </c>
      <c r="DB24" s="53">
        <v>108576</v>
      </c>
      <c r="DC24" s="53">
        <v>112919.03999999999</v>
      </c>
      <c r="DE24" s="53">
        <v>1327.5436</v>
      </c>
      <c r="DF24" s="53">
        <v>14356.609071999999</v>
      </c>
      <c r="DG24" s="53">
        <v>15535.834379520003</v>
      </c>
      <c r="DI24" s="53">
        <v>15000</v>
      </c>
      <c r="DJ24" s="53">
        <v>91800</v>
      </c>
      <c r="DK24" s="53">
        <v>93636</v>
      </c>
      <c r="DM24" s="53">
        <v>8933.4999999999982</v>
      </c>
      <c r="DN24" s="53">
        <v>167392.19999999998</v>
      </c>
      <c r="DO24" s="53">
        <v>256673.44260000004</v>
      </c>
      <c r="DQ24" s="53">
        <v>12000</v>
      </c>
      <c r="DR24" s="53">
        <v>75600</v>
      </c>
      <c r="DS24" s="53">
        <v>79380</v>
      </c>
      <c r="DU24" s="53">
        <v>151234.47</v>
      </c>
      <c r="DV24" s="53">
        <v>0</v>
      </c>
      <c r="DW24" s="53">
        <v>0</v>
      </c>
      <c r="DY24" s="53">
        <v>29037.903843918793</v>
      </c>
      <c r="DZ24" s="53">
        <v>641142.6674315501</v>
      </c>
      <c r="EA24" s="53">
        <v>911613.68211465026</v>
      </c>
      <c r="EC24" s="53">
        <v>0</v>
      </c>
      <c r="ED24" s="53">
        <v>0</v>
      </c>
      <c r="EE24" s="53">
        <v>0</v>
      </c>
      <c r="EG24" s="53">
        <v>0</v>
      </c>
      <c r="EH24" s="53">
        <v>-883662.8376087998</v>
      </c>
      <c r="EI24" s="53">
        <v>-1170585.9388180799</v>
      </c>
      <c r="EK24" s="53">
        <v>2309.2984759645919</v>
      </c>
      <c r="EL24" s="53">
        <v>88964.318436240254</v>
      </c>
      <c r="EM24" s="53">
        <v>162791.33688385572</v>
      </c>
      <c r="EO24" s="53">
        <v>0</v>
      </c>
      <c r="EP24" s="53">
        <v>1</v>
      </c>
      <c r="EQ24" s="53">
        <v>1</v>
      </c>
      <c r="ES24" s="53">
        <v>0</v>
      </c>
      <c r="ET24" s="53">
        <v>1</v>
      </c>
      <c r="EU24" s="53">
        <v>1</v>
      </c>
      <c r="EW24" s="53">
        <v>1</v>
      </c>
      <c r="EX24" s="53">
        <v>1</v>
      </c>
      <c r="EY24" s="53">
        <v>1</v>
      </c>
    </row>
    <row r="25" spans="1:155" x14ac:dyDescent="0.25">
      <c r="A25" s="114"/>
      <c r="B25" t="str">
        <v>JV1</v>
      </c>
      <c r="C25" t="str">
        <v>Remote</v>
      </c>
      <c r="D25" t="str">
        <v>New Jersey</v>
      </c>
      <c r="E25" s="53">
        <v>206.50666666666666</v>
      </c>
      <c r="F25" s="53">
        <v>8776.5333333333328</v>
      </c>
      <c r="G25" s="53">
        <v>14868.480000000003</v>
      </c>
      <c r="I25" s="53">
        <v>1.36</v>
      </c>
      <c r="J25" s="53">
        <v>10.83</v>
      </c>
      <c r="K25" s="53">
        <v>10.83</v>
      </c>
      <c r="M25" s="53">
        <v>0.28000000000000003</v>
      </c>
      <c r="N25" s="53">
        <v>2.19</v>
      </c>
      <c r="O25" s="53">
        <v>2.19</v>
      </c>
      <c r="Q25" s="53">
        <v>2</v>
      </c>
      <c r="R25" s="53">
        <v>13</v>
      </c>
      <c r="S25" s="53">
        <v>13</v>
      </c>
      <c r="U25" s="53">
        <v>2</v>
      </c>
      <c r="V25" s="53">
        <v>3</v>
      </c>
      <c r="W25" s="53">
        <v>3</v>
      </c>
      <c r="Y25" s="53">
        <v>3</v>
      </c>
      <c r="Z25" s="53">
        <v>24</v>
      </c>
      <c r="AA25" s="53">
        <v>24</v>
      </c>
      <c r="AC25" s="53">
        <v>1.8809523809523809</v>
      </c>
      <c r="AD25" s="53">
        <v>33.69047619047619</v>
      </c>
      <c r="AE25" s="53">
        <v>24</v>
      </c>
      <c r="AG25" s="53">
        <v>0.16666666666666666</v>
      </c>
      <c r="AH25" s="53">
        <v>14.833333333333334</v>
      </c>
      <c r="AI25" s="53">
        <v>24</v>
      </c>
      <c r="AK25" s="53">
        <v>3.1666666666666665</v>
      </c>
      <c r="AL25" s="53">
        <v>38.833333333333336</v>
      </c>
      <c r="AM25" s="53">
        <v>48</v>
      </c>
      <c r="AO25" s="53">
        <v>0</v>
      </c>
      <c r="AP25" s="53">
        <v>0</v>
      </c>
      <c r="AQ25" s="53">
        <v>0</v>
      </c>
      <c r="AS25" s="53">
        <v>37383.486666666664</v>
      </c>
      <c r="AT25" s="53">
        <v>1636462.1288333333</v>
      </c>
      <c r="AU25" s="53">
        <v>2772359.3711999999</v>
      </c>
      <c r="AW25" s="53">
        <v>32897.468266666663</v>
      </c>
      <c r="AX25" s="53">
        <v>1440086.6733733332</v>
      </c>
      <c r="AY25" s="53">
        <v>2439676.2466559992</v>
      </c>
      <c r="BA25" s="53">
        <v>-4486.0183999999999</v>
      </c>
      <c r="BB25" s="53">
        <v>-196375.45545999997</v>
      </c>
      <c r="BC25" s="53">
        <v>-332683.12454399996</v>
      </c>
      <c r="BE25" s="53">
        <v>31666.093333333331</v>
      </c>
      <c r="BF25" s="53">
        <v>1386183.2356666666</v>
      </c>
      <c r="BG25" s="53">
        <v>2348357.4816000001</v>
      </c>
      <c r="BI25" s="53">
        <v>0</v>
      </c>
      <c r="BJ25" s="53">
        <v>0</v>
      </c>
      <c r="BK25" s="53">
        <v>0</v>
      </c>
      <c r="BM25" s="53">
        <v>4220.7879999999986</v>
      </c>
      <c r="BN25" s="53">
        <v>184764.99469999998</v>
      </c>
      <c r="BO25" s="53">
        <v>313013.63807999983</v>
      </c>
      <c r="BQ25" s="53">
        <v>649.35199999999998</v>
      </c>
      <c r="BR25" s="53">
        <v>28425.3838</v>
      </c>
      <c r="BS25" s="53">
        <v>48155.944320000002</v>
      </c>
      <c r="BU25" s="53">
        <v>847.25333333333322</v>
      </c>
      <c r="BV25" s="53">
        <v>37088.514666666662</v>
      </c>
      <c r="BW25" s="53">
        <v>62832.307200000003</v>
      </c>
      <c r="BY25" s="53">
        <v>0</v>
      </c>
      <c r="BZ25" s="53">
        <v>0</v>
      </c>
      <c r="CA25" s="53">
        <v>0</v>
      </c>
      <c r="CC25" s="53">
        <v>0</v>
      </c>
      <c r="CD25" s="53">
        <v>0</v>
      </c>
      <c r="CE25" s="53">
        <v>0</v>
      </c>
      <c r="CG25" s="53">
        <v>0</v>
      </c>
      <c r="CH25" s="53">
        <v>0</v>
      </c>
      <c r="CI25" s="53">
        <v>0</v>
      </c>
      <c r="CK25" s="53">
        <v>0</v>
      </c>
      <c r="CL25" s="53">
        <v>0</v>
      </c>
      <c r="CM25" s="53">
        <v>0</v>
      </c>
      <c r="CO25" s="53">
        <v>0</v>
      </c>
      <c r="CP25" s="53">
        <v>0</v>
      </c>
      <c r="CQ25" s="53">
        <v>0</v>
      </c>
      <c r="CS25" s="53">
        <v>37566.221395379776</v>
      </c>
      <c r="CT25" s="53">
        <v>655625.88612067117</v>
      </c>
      <c r="CU25" s="53">
        <v>993120.71763748594</v>
      </c>
      <c r="CW25" s="53">
        <v>0</v>
      </c>
      <c r="CX25" s="53">
        <v>0</v>
      </c>
      <c r="CY25" s="53">
        <v>0</v>
      </c>
      <c r="DA25" s="53">
        <v>0</v>
      </c>
      <c r="DB25" s="53">
        <v>0</v>
      </c>
      <c r="DC25" s="53">
        <v>0</v>
      </c>
      <c r="DE25" s="53">
        <v>1199.5064</v>
      </c>
      <c r="DF25" s="53">
        <v>12313.674464</v>
      </c>
      <c r="DG25" s="53">
        <v>12857.242245120004</v>
      </c>
      <c r="DI25" s="53">
        <v>0</v>
      </c>
      <c r="DJ25" s="53">
        <v>0</v>
      </c>
      <c r="DK25" s="53">
        <v>0</v>
      </c>
      <c r="DM25" s="53">
        <v>5600</v>
      </c>
      <c r="DN25" s="53">
        <v>81605.100000000006</v>
      </c>
      <c r="DO25" s="53">
        <v>116608.03199999996</v>
      </c>
      <c r="DQ25" s="53">
        <v>0</v>
      </c>
      <c r="DR25" s="53">
        <v>0</v>
      </c>
      <c r="DS25" s="53">
        <v>0</v>
      </c>
      <c r="DU25" s="53">
        <v>0</v>
      </c>
      <c r="DV25" s="53">
        <v>0</v>
      </c>
      <c r="DW25" s="53">
        <v>0</v>
      </c>
      <c r="DY25" s="53">
        <v>5146.4155693951234</v>
      </c>
      <c r="DZ25" s="53">
        <v>179013.87191445951</v>
      </c>
      <c r="EA25" s="53">
        <v>268604.56507801905</v>
      </c>
      <c r="EC25" s="53">
        <v>0</v>
      </c>
      <c r="ED25" s="53">
        <v>0</v>
      </c>
      <c r="EE25" s="53">
        <v>0</v>
      </c>
      <c r="EG25" s="53">
        <v>0</v>
      </c>
      <c r="EH25" s="53">
        <v>-92610.485354199976</v>
      </c>
      <c r="EI25" s="53">
        <v>-341808.80747419992</v>
      </c>
      <c r="EK25" s="53">
        <v>504.57669990039506</v>
      </c>
      <c r="EL25" s="53">
        <v>24298.137872095416</v>
      </c>
      <c r="EM25" s="53">
        <v>45732.282987324223</v>
      </c>
      <c r="EO25" s="53">
        <v>0</v>
      </c>
      <c r="EP25" s="53">
        <v>0</v>
      </c>
      <c r="EQ25" s="53">
        <v>0</v>
      </c>
      <c r="ES25" s="53">
        <v>0</v>
      </c>
      <c r="ET25" s="53">
        <v>0</v>
      </c>
      <c r="EU25" s="53">
        <v>0</v>
      </c>
      <c r="EW25" s="53">
        <v>0</v>
      </c>
      <c r="EX25" s="53">
        <v>0</v>
      </c>
      <c r="EY25" s="53">
        <v>0</v>
      </c>
    </row>
    <row r="26" spans="1:155" x14ac:dyDescent="0.25">
      <c r="A26" s="114"/>
      <c r="B26" t="str">
        <v>JV1</v>
      </c>
      <c r="C26" t="str">
        <v>Center</v>
      </c>
      <c r="D26" t="str">
        <v>New Jersey</v>
      </c>
      <c r="E26" s="53">
        <v>3150.3999999999996</v>
      </c>
      <c r="F26" s="53">
        <v>38749.919999999991</v>
      </c>
      <c r="G26" s="53">
        <v>52926.719999999979</v>
      </c>
      <c r="I26" s="53">
        <v>11.299999999999999</v>
      </c>
      <c r="J26" s="53">
        <v>39.53</v>
      </c>
      <c r="K26" s="53">
        <v>39.53</v>
      </c>
      <c r="M26" s="53">
        <v>1.72</v>
      </c>
      <c r="N26" s="53">
        <v>6</v>
      </c>
      <c r="O26" s="53">
        <v>6</v>
      </c>
      <c r="Q26" s="53">
        <v>13</v>
      </c>
      <c r="R26" s="53">
        <v>46</v>
      </c>
      <c r="S26" s="53">
        <v>46</v>
      </c>
      <c r="U26" s="53">
        <v>5</v>
      </c>
      <c r="V26" s="53">
        <v>9</v>
      </c>
      <c r="W26" s="53">
        <v>8</v>
      </c>
      <c r="Y26" s="53">
        <v>12</v>
      </c>
      <c r="Z26" s="53">
        <v>42</v>
      </c>
      <c r="AA26" s="53">
        <v>42</v>
      </c>
      <c r="AC26" s="53">
        <v>10</v>
      </c>
      <c r="AD26" s="53">
        <v>46</v>
      </c>
      <c r="AE26" s="53">
        <v>42</v>
      </c>
      <c r="AG26" s="53">
        <v>1</v>
      </c>
      <c r="AH26" s="53">
        <v>19</v>
      </c>
      <c r="AI26" s="53">
        <v>42</v>
      </c>
      <c r="AK26" s="53">
        <v>13</v>
      </c>
      <c r="AL26" s="53">
        <v>61</v>
      </c>
      <c r="AM26" s="53">
        <v>84</v>
      </c>
      <c r="AO26" s="53">
        <v>1411000</v>
      </c>
      <c r="AP26" s="53">
        <v>0</v>
      </c>
      <c r="AQ26" s="53">
        <v>0</v>
      </c>
      <c r="AS26" s="53">
        <v>555515.55999999994</v>
      </c>
      <c r="AT26" s="53">
        <v>7037826.6296399981</v>
      </c>
      <c r="AU26" s="53">
        <v>9612641.2502399962</v>
      </c>
      <c r="AW26" s="53">
        <v>553422.54346666671</v>
      </c>
      <c r="AX26" s="53">
        <v>6137624.454243199</v>
      </c>
      <c r="AY26" s="53">
        <v>8279986.7743711965</v>
      </c>
      <c r="BA26" s="53">
        <v>-79099.383199999997</v>
      </c>
      <c r="BB26" s="53">
        <v>-882971.11999679974</v>
      </c>
      <c r="BC26" s="53">
        <v>-1191948.8744687994</v>
      </c>
      <c r="BE26" s="53">
        <v>454339.6</v>
      </c>
      <c r="BF26" s="53">
        <v>5756028.3923999984</v>
      </c>
      <c r="BG26" s="53">
        <v>7861892.4383999966</v>
      </c>
      <c r="BI26" s="53">
        <v>26639.599999999999</v>
      </c>
      <c r="BJ26" s="53">
        <v>337497.09240000002</v>
      </c>
      <c r="BK26" s="53">
        <v>460971.63840000011</v>
      </c>
      <c r="BM26" s="53">
        <v>63311.819999999978</v>
      </c>
      <c r="BN26" s="53">
        <v>802097.44757999969</v>
      </c>
      <c r="BO26" s="53">
        <v>1095547.7332799996</v>
      </c>
      <c r="BQ26" s="53">
        <v>4870.1399999999994</v>
      </c>
      <c r="BR26" s="53">
        <v>61699.803660000005</v>
      </c>
      <c r="BS26" s="53">
        <v>84272.902560000002</v>
      </c>
      <c r="BU26" s="53">
        <v>6354.4</v>
      </c>
      <c r="BV26" s="53">
        <v>80503.89360000001</v>
      </c>
      <c r="BW26" s="53">
        <v>109956.53760000003</v>
      </c>
      <c r="BY26" s="53">
        <v>21156.236907519993</v>
      </c>
      <c r="BZ26" s="53">
        <v>268028.36538137082</v>
      </c>
      <c r="CA26" s="53">
        <v>366087.5234477261</v>
      </c>
      <c r="CC26" s="53">
        <v>2826.8957798400006</v>
      </c>
      <c r="CD26" s="53">
        <v>35813.942634792969</v>
      </c>
      <c r="CE26" s="53">
        <v>48916.604574351368</v>
      </c>
      <c r="CG26" s="53">
        <v>103645.96666666666</v>
      </c>
      <c r="CH26" s="53">
        <v>320266.03700000001</v>
      </c>
      <c r="CI26" s="53">
        <v>320266.03700000001</v>
      </c>
      <c r="CK26" s="53">
        <v>17192.30509568</v>
      </c>
      <c r="CL26" s="53">
        <v>217809.31325716991</v>
      </c>
      <c r="CM26" s="53">
        <v>297495.64737564669</v>
      </c>
      <c r="CO26" s="53">
        <v>0</v>
      </c>
      <c r="CP26" s="53">
        <v>0</v>
      </c>
      <c r="CQ26" s="53">
        <v>0</v>
      </c>
      <c r="CS26" s="53">
        <v>332473.78114003281</v>
      </c>
      <c r="CT26" s="53">
        <v>3185301.4031473109</v>
      </c>
      <c r="CU26" s="53">
        <v>4579566.9988828544</v>
      </c>
      <c r="CW26" s="53">
        <v>60000</v>
      </c>
      <c r="CX26" s="53">
        <v>185400</v>
      </c>
      <c r="CY26" s="53">
        <v>190962</v>
      </c>
      <c r="DA26" s="53">
        <v>34800</v>
      </c>
      <c r="DB26" s="53">
        <v>108576</v>
      </c>
      <c r="DC26" s="53">
        <v>112919.03999999999</v>
      </c>
      <c r="DE26" s="53">
        <v>3345.8141999999998</v>
      </c>
      <c r="DF26" s="53">
        <v>14615.918095999999</v>
      </c>
      <c r="DG26" s="53">
        <v>15801.871421440001</v>
      </c>
      <c r="DI26" s="53">
        <v>30000</v>
      </c>
      <c r="DJ26" s="53">
        <v>91800</v>
      </c>
      <c r="DK26" s="53">
        <v>93636</v>
      </c>
      <c r="DM26" s="53">
        <v>23561.499999999996</v>
      </c>
      <c r="DN26" s="53">
        <v>194277.87</v>
      </c>
      <c r="DO26" s="53">
        <v>256939.26480000006</v>
      </c>
      <c r="DQ26" s="53">
        <v>24000</v>
      </c>
      <c r="DR26" s="53">
        <v>75600</v>
      </c>
      <c r="DS26" s="53">
        <v>79380</v>
      </c>
      <c r="DU26" s="53">
        <v>151234.47</v>
      </c>
      <c r="DV26" s="53">
        <v>0</v>
      </c>
      <c r="DW26" s="53">
        <v>0</v>
      </c>
      <c r="DY26" s="53">
        <v>91284.617597961624</v>
      </c>
      <c r="DZ26" s="53">
        <v>773365.55844781734</v>
      </c>
      <c r="EA26" s="53">
        <v>911613.68211465026</v>
      </c>
      <c r="EC26" s="53">
        <v>0</v>
      </c>
      <c r="ED26" s="53">
        <v>0</v>
      </c>
      <c r="EE26" s="53">
        <v>0</v>
      </c>
      <c r="EG26" s="53">
        <v>-81965.853478666671</v>
      </c>
      <c r="EH26" s="53">
        <v>-960437.7990974132</v>
      </c>
      <c r="EI26" s="53">
        <v>-1220574.3929543998</v>
      </c>
      <c r="EK26" s="53">
        <v>7697.6615865486401</v>
      </c>
      <c r="EL26" s="53">
        <v>107280.50164370147</v>
      </c>
      <c r="EM26" s="53">
        <v>162791.33688385572</v>
      </c>
      <c r="EO26" s="53">
        <v>0</v>
      </c>
      <c r="EP26" s="53">
        <v>1</v>
      </c>
      <c r="EQ26" s="53">
        <v>1</v>
      </c>
      <c r="ES26" s="53">
        <v>0</v>
      </c>
      <c r="ET26" s="53">
        <v>1</v>
      </c>
      <c r="EU26" s="53">
        <v>1</v>
      </c>
      <c r="EW26" s="53">
        <v>1</v>
      </c>
      <c r="EX26" s="53">
        <v>1</v>
      </c>
      <c r="EY26" s="53">
        <v>1</v>
      </c>
    </row>
    <row r="27" spans="1:155" x14ac:dyDescent="0.25">
      <c r="A27" s="114"/>
      <c r="B27" t="str">
        <v>JV1</v>
      </c>
      <c r="C27" t="str">
        <v>Remote</v>
      </c>
      <c r="D27" t="str">
        <v>New Jersey</v>
      </c>
      <c r="E27" s="53">
        <v>464.64</v>
      </c>
      <c r="F27" s="53">
        <v>9757.4400000000023</v>
      </c>
      <c r="G27" s="53">
        <v>14868.480000000003</v>
      </c>
      <c r="I27" s="53">
        <v>2.2599999999999998</v>
      </c>
      <c r="J27" s="53">
        <v>10.83</v>
      </c>
      <c r="K27" s="53">
        <v>10.83</v>
      </c>
      <c r="M27" s="53">
        <v>0.46</v>
      </c>
      <c r="N27" s="53">
        <v>2.19</v>
      </c>
      <c r="O27" s="53">
        <v>2.19</v>
      </c>
      <c r="Q27" s="53">
        <v>3</v>
      </c>
      <c r="R27" s="53">
        <v>13</v>
      </c>
      <c r="S27" s="53">
        <v>13</v>
      </c>
      <c r="U27" s="53">
        <v>2</v>
      </c>
      <c r="V27" s="53">
        <v>3</v>
      </c>
      <c r="W27" s="53">
        <v>3</v>
      </c>
      <c r="Y27" s="53">
        <v>5</v>
      </c>
      <c r="Z27" s="53">
        <v>24</v>
      </c>
      <c r="AA27" s="53">
        <v>24</v>
      </c>
      <c r="AC27" s="53">
        <v>3.9285714285714284</v>
      </c>
      <c r="AD27" s="53">
        <v>33.642857142857139</v>
      </c>
      <c r="AE27" s="53">
        <v>24</v>
      </c>
      <c r="AG27" s="53">
        <v>0.5</v>
      </c>
      <c r="AH27" s="53">
        <v>16.5</v>
      </c>
      <c r="AI27" s="53">
        <v>24</v>
      </c>
      <c r="AK27" s="53">
        <v>5.5</v>
      </c>
      <c r="AL27" s="53">
        <v>40.5</v>
      </c>
      <c r="AM27" s="53">
        <v>48</v>
      </c>
      <c r="AO27" s="53">
        <v>0</v>
      </c>
      <c r="AP27" s="53">
        <v>0</v>
      </c>
      <c r="AQ27" s="53">
        <v>0</v>
      </c>
      <c r="AS27" s="53">
        <v>84112.845000000001</v>
      </c>
      <c r="AT27" s="53">
        <v>1819360.8373499999</v>
      </c>
      <c r="AU27" s="53">
        <v>2772359.3711999999</v>
      </c>
      <c r="AW27" s="53">
        <v>74019.303599999985</v>
      </c>
      <c r="AX27" s="53">
        <v>1601037.5368679997</v>
      </c>
      <c r="AY27" s="53">
        <v>2439676.2466559992</v>
      </c>
      <c r="BA27" s="53">
        <v>-10093.541399999998</v>
      </c>
      <c r="BB27" s="53">
        <v>-218323.30048199996</v>
      </c>
      <c r="BC27" s="53">
        <v>-332683.12454399996</v>
      </c>
      <c r="BE27" s="53">
        <v>71248.709999999992</v>
      </c>
      <c r="BF27" s="53">
        <v>1541109.5973</v>
      </c>
      <c r="BG27" s="53">
        <v>2348357.4816000001</v>
      </c>
      <c r="BI27" s="53">
        <v>0</v>
      </c>
      <c r="BJ27" s="53">
        <v>0</v>
      </c>
      <c r="BK27" s="53">
        <v>0</v>
      </c>
      <c r="BM27" s="53">
        <v>9496.7729999999974</v>
      </c>
      <c r="BN27" s="53">
        <v>205415.19998999994</v>
      </c>
      <c r="BO27" s="53">
        <v>313013.63807999983</v>
      </c>
      <c r="BQ27" s="53">
        <v>1461.0419999999999</v>
      </c>
      <c r="BR27" s="53">
        <v>31602.338460000003</v>
      </c>
      <c r="BS27" s="53">
        <v>48155.944320000002</v>
      </c>
      <c r="BU27" s="53">
        <v>1906.3199999999997</v>
      </c>
      <c r="BV27" s="53">
        <v>41233.701599999993</v>
      </c>
      <c r="BW27" s="53">
        <v>62832.307200000003</v>
      </c>
      <c r="BY27" s="53">
        <v>0</v>
      </c>
      <c r="BZ27" s="53">
        <v>0</v>
      </c>
      <c r="CA27" s="53">
        <v>0</v>
      </c>
      <c r="CC27" s="53">
        <v>0</v>
      </c>
      <c r="CD27" s="53">
        <v>0</v>
      </c>
      <c r="CE27" s="53">
        <v>0</v>
      </c>
      <c r="CG27" s="53">
        <v>0</v>
      </c>
      <c r="CH27" s="53">
        <v>0</v>
      </c>
      <c r="CI27" s="53">
        <v>0</v>
      </c>
      <c r="CK27" s="53">
        <v>0</v>
      </c>
      <c r="CL27" s="53">
        <v>0</v>
      </c>
      <c r="CM27" s="53">
        <v>0</v>
      </c>
      <c r="CO27" s="53">
        <v>0</v>
      </c>
      <c r="CP27" s="53">
        <v>0</v>
      </c>
      <c r="CQ27" s="53">
        <v>0</v>
      </c>
      <c r="CS27" s="53">
        <v>67490.445039604499</v>
      </c>
      <c r="CT27" s="53">
        <v>704102.02475986385</v>
      </c>
      <c r="CU27" s="53">
        <v>1002968.4243634861</v>
      </c>
      <c r="CW27" s="53">
        <v>0</v>
      </c>
      <c r="CX27" s="53">
        <v>0</v>
      </c>
      <c r="CY27" s="53">
        <v>0</v>
      </c>
      <c r="DA27" s="53">
        <v>0</v>
      </c>
      <c r="DB27" s="53">
        <v>0</v>
      </c>
      <c r="DC27" s="53">
        <v>0</v>
      </c>
      <c r="DE27" s="53">
        <v>2065.4422</v>
      </c>
      <c r="DF27" s="53">
        <v>12443.328975999999</v>
      </c>
      <c r="DG27" s="53">
        <v>12857.242245120004</v>
      </c>
      <c r="DI27" s="53">
        <v>0</v>
      </c>
      <c r="DJ27" s="53">
        <v>0</v>
      </c>
      <c r="DK27" s="53">
        <v>0</v>
      </c>
      <c r="DM27" s="53">
        <v>9605</v>
      </c>
      <c r="DN27" s="53">
        <v>87046.8</v>
      </c>
      <c r="DO27" s="53">
        <v>116608.03199999996</v>
      </c>
      <c r="DQ27" s="53">
        <v>0</v>
      </c>
      <c r="DR27" s="53">
        <v>0</v>
      </c>
      <c r="DS27" s="53">
        <v>0</v>
      </c>
      <c r="DU27" s="53">
        <v>0</v>
      </c>
      <c r="DV27" s="53">
        <v>0</v>
      </c>
      <c r="DW27" s="53">
        <v>0</v>
      </c>
      <c r="DY27" s="53">
        <v>11803.925362521128</v>
      </c>
      <c r="DZ27" s="53">
        <v>200035.26206898139</v>
      </c>
      <c r="EA27" s="53">
        <v>268604.56507801905</v>
      </c>
      <c r="EC27" s="53">
        <v>0</v>
      </c>
      <c r="ED27" s="53">
        <v>0</v>
      </c>
      <c r="EE27" s="53">
        <v>0</v>
      </c>
      <c r="EG27" s="53">
        <v>0</v>
      </c>
      <c r="EH27" s="53">
        <v>-114026.73719579997</v>
      </c>
      <c r="EI27" s="53">
        <v>-350703.46045679989</v>
      </c>
      <c r="EK27" s="53">
        <v>1135.2975747758887</v>
      </c>
      <c r="EL27" s="53">
        <v>27013.812104859029</v>
      </c>
      <c r="EM27" s="53">
        <v>45732.282987324223</v>
      </c>
      <c r="EO27" s="53">
        <v>0</v>
      </c>
      <c r="EP27" s="53">
        <v>0</v>
      </c>
      <c r="EQ27" s="53">
        <v>0</v>
      </c>
      <c r="ES27" s="53">
        <v>0</v>
      </c>
      <c r="ET27" s="53">
        <v>0</v>
      </c>
      <c r="EU27" s="53">
        <v>0</v>
      </c>
      <c r="EW27" s="53">
        <v>0</v>
      </c>
      <c r="EX27" s="53">
        <v>0</v>
      </c>
      <c r="EY27" s="53">
        <v>0</v>
      </c>
    </row>
    <row r="28" spans="1:155" x14ac:dyDescent="0.25">
      <c r="A28" s="114"/>
      <c r="B28" t="str">
        <v>JV1</v>
      </c>
      <c r="C28" t="str">
        <v>Center</v>
      </c>
      <c r="D28" t="str">
        <v>New Jersey</v>
      </c>
      <c r="E28" s="53">
        <v>6615.8399999999992</v>
      </c>
      <c r="F28" s="53">
        <v>44105.599999999991</v>
      </c>
      <c r="G28" s="53">
        <v>52926.719999999979</v>
      </c>
      <c r="I28" s="53">
        <v>16.950000000000003</v>
      </c>
      <c r="J28" s="53">
        <v>39.53</v>
      </c>
      <c r="K28" s="53">
        <v>39.53</v>
      </c>
      <c r="M28" s="53">
        <v>2.5799999999999996</v>
      </c>
      <c r="N28" s="53">
        <v>6</v>
      </c>
      <c r="O28" s="53">
        <v>6</v>
      </c>
      <c r="Q28" s="53">
        <v>20</v>
      </c>
      <c r="R28" s="53">
        <v>46</v>
      </c>
      <c r="S28" s="53">
        <v>46</v>
      </c>
      <c r="U28" s="53">
        <v>6</v>
      </c>
      <c r="V28" s="53">
        <v>9</v>
      </c>
      <c r="W28" s="53">
        <v>8</v>
      </c>
      <c r="Y28" s="53">
        <v>18</v>
      </c>
      <c r="Z28" s="53">
        <v>42</v>
      </c>
      <c r="AA28" s="53">
        <v>42</v>
      </c>
      <c r="AC28" s="53">
        <v>17.5</v>
      </c>
      <c r="AD28" s="53">
        <v>44</v>
      </c>
      <c r="AE28" s="53">
        <v>44.5</v>
      </c>
      <c r="AG28" s="53">
        <v>2.5</v>
      </c>
      <c r="AH28" s="53">
        <v>23</v>
      </c>
      <c r="AI28" s="53">
        <v>44.5</v>
      </c>
      <c r="AK28" s="53">
        <v>20.5</v>
      </c>
      <c r="AL28" s="53">
        <v>65</v>
      </c>
      <c r="AM28" s="53">
        <v>86.5</v>
      </c>
      <c r="AO28" s="53">
        <v>1411000</v>
      </c>
      <c r="AP28" s="53">
        <v>0</v>
      </c>
      <c r="AQ28" s="53">
        <v>0</v>
      </c>
      <c r="AS28" s="53">
        <v>1166582.676</v>
      </c>
      <c r="AT28" s="53">
        <v>8010534.3751999969</v>
      </c>
      <c r="AU28" s="53">
        <v>9612641.2502399962</v>
      </c>
      <c r="AW28" s="53">
        <v>1107462.27088</v>
      </c>
      <c r="AX28" s="53">
        <v>6946961.3307359982</v>
      </c>
      <c r="AY28" s="53">
        <v>8279986.7743711965</v>
      </c>
      <c r="BA28" s="53">
        <v>-158646.19511999999</v>
      </c>
      <c r="BB28" s="53">
        <v>-999696.04946399957</v>
      </c>
      <c r="BC28" s="53">
        <v>-1191948.8744687994</v>
      </c>
      <c r="BE28" s="53">
        <v>954113.15999999992</v>
      </c>
      <c r="BF28" s="53">
        <v>6551577.0319999978</v>
      </c>
      <c r="BG28" s="53">
        <v>7861892.4383999966</v>
      </c>
      <c r="BI28" s="53">
        <v>55943.159999999989</v>
      </c>
      <c r="BJ28" s="53">
        <v>384143.03200000006</v>
      </c>
      <c r="BK28" s="53">
        <v>460971.63840000011</v>
      </c>
      <c r="BM28" s="53">
        <v>132954.82199999996</v>
      </c>
      <c r="BN28" s="53">
        <v>912956.44439999957</v>
      </c>
      <c r="BO28" s="53">
        <v>1095547.7332799996</v>
      </c>
      <c r="BQ28" s="53">
        <v>10227.294</v>
      </c>
      <c r="BR28" s="53">
        <v>70227.418799999999</v>
      </c>
      <c r="BS28" s="53">
        <v>84272.902560000002</v>
      </c>
      <c r="BU28" s="53">
        <v>13344.239999999998</v>
      </c>
      <c r="BV28" s="53">
        <v>91630.448000000019</v>
      </c>
      <c r="BW28" s="53">
        <v>109956.53760000003</v>
      </c>
      <c r="BY28" s="53">
        <v>44428.097505791986</v>
      </c>
      <c r="BZ28" s="53">
        <v>305072.93620643835</v>
      </c>
      <c r="CA28" s="53">
        <v>366087.5234477261</v>
      </c>
      <c r="CC28" s="53">
        <v>5936.4811376640009</v>
      </c>
      <c r="CD28" s="53">
        <v>40763.837145292811</v>
      </c>
      <c r="CE28" s="53">
        <v>48916.604574351368</v>
      </c>
      <c r="CG28" s="53">
        <v>155468.94999999998</v>
      </c>
      <c r="CH28" s="53">
        <v>320266.03700000001</v>
      </c>
      <c r="CI28" s="53">
        <v>320266.03700000001</v>
      </c>
      <c r="CK28" s="53">
        <v>36103.840700927998</v>
      </c>
      <c r="CL28" s="53">
        <v>247913.03947970559</v>
      </c>
      <c r="CM28" s="53">
        <v>297495.64737564669</v>
      </c>
      <c r="CO28" s="53">
        <v>0</v>
      </c>
      <c r="CP28" s="53">
        <v>0</v>
      </c>
      <c r="CQ28" s="53">
        <v>0</v>
      </c>
      <c r="CS28" s="53">
        <v>625696.694314069</v>
      </c>
      <c r="CT28" s="53">
        <v>3553824.7358098393</v>
      </c>
      <c r="CU28" s="53">
        <v>4584708.8535495214</v>
      </c>
      <c r="CW28" s="53">
        <v>90000</v>
      </c>
      <c r="CX28" s="53">
        <v>185400</v>
      </c>
      <c r="CY28" s="53">
        <v>190962</v>
      </c>
      <c r="DA28" s="53">
        <v>52200</v>
      </c>
      <c r="DB28" s="53">
        <v>108576</v>
      </c>
      <c r="DC28" s="53">
        <v>112919.03999999999</v>
      </c>
      <c r="DE28" s="53">
        <v>5495.4913999999999</v>
      </c>
      <c r="DF28" s="53">
        <v>14791.126896000002</v>
      </c>
      <c r="DG28" s="53">
        <v>16013.243317760001</v>
      </c>
      <c r="DI28" s="53">
        <v>45000</v>
      </c>
      <c r="DJ28" s="53">
        <v>91800</v>
      </c>
      <c r="DK28" s="53">
        <v>93636</v>
      </c>
      <c r="DM28" s="53">
        <v>43299.499999999993</v>
      </c>
      <c r="DN28" s="53">
        <v>216004.89000000004</v>
      </c>
      <c r="DO28" s="53">
        <v>257150.46600000007</v>
      </c>
      <c r="DQ28" s="53">
        <v>36000</v>
      </c>
      <c r="DR28" s="53">
        <v>75600</v>
      </c>
      <c r="DS28" s="53">
        <v>79380</v>
      </c>
      <c r="DU28" s="53">
        <v>151234.47</v>
      </c>
      <c r="DV28" s="53">
        <v>0</v>
      </c>
      <c r="DW28" s="53">
        <v>0</v>
      </c>
      <c r="DY28" s="53">
        <v>191102.43379948733</v>
      </c>
      <c r="DZ28" s="53">
        <v>883299.01747570024</v>
      </c>
      <c r="EA28" s="53">
        <v>911613.68211465026</v>
      </c>
      <c r="EC28" s="53">
        <v>0</v>
      </c>
      <c r="ED28" s="53">
        <v>0</v>
      </c>
      <c r="EE28" s="53">
        <v>0</v>
      </c>
      <c r="EG28" s="53">
        <v>-267899.01863999991</v>
      </c>
      <c r="EH28" s="53">
        <v>-953813.06710371992</v>
      </c>
      <c r="EI28" s="53">
        <v>-1241998.0161556797</v>
      </c>
      <c r="EK28" s="53">
        <v>16165.089331752144</v>
      </c>
      <c r="EL28" s="53">
        <v>122107.88804974152</v>
      </c>
      <c r="EM28" s="53">
        <v>162791.33688385572</v>
      </c>
      <c r="EO28" s="53">
        <v>0</v>
      </c>
      <c r="EP28" s="53">
        <v>1</v>
      </c>
      <c r="EQ28" s="53">
        <v>1</v>
      </c>
      <c r="ES28" s="53">
        <v>0</v>
      </c>
      <c r="ET28" s="53">
        <v>1</v>
      </c>
      <c r="EU28" s="53">
        <v>1</v>
      </c>
      <c r="EW28" s="53">
        <v>1</v>
      </c>
      <c r="EX28" s="53">
        <v>1</v>
      </c>
      <c r="EY28" s="53">
        <v>1</v>
      </c>
    </row>
    <row r="29" spans="1:155" x14ac:dyDescent="0.25">
      <c r="A29" s="114"/>
      <c r="B29" t="str">
        <v>JV1</v>
      </c>
      <c r="C29" t="str">
        <v>Remote</v>
      </c>
      <c r="D29" t="str">
        <v>New Jersey</v>
      </c>
      <c r="E29" s="53">
        <v>0</v>
      </c>
      <c r="F29" s="53">
        <v>5575.6799999999994</v>
      </c>
      <c r="G29" s="53">
        <v>14558.720000000005</v>
      </c>
      <c r="I29" s="53">
        <v>0</v>
      </c>
      <c r="J29" s="53">
        <v>8.1199999999999992</v>
      </c>
      <c r="K29" s="53">
        <v>10.83</v>
      </c>
      <c r="M29" s="53">
        <v>0</v>
      </c>
      <c r="N29" s="53">
        <v>1.64</v>
      </c>
      <c r="O29" s="53">
        <v>2.19</v>
      </c>
      <c r="Q29" s="53">
        <v>0</v>
      </c>
      <c r="R29" s="53">
        <v>10</v>
      </c>
      <c r="S29" s="53">
        <v>13</v>
      </c>
      <c r="U29" s="53">
        <v>0</v>
      </c>
      <c r="V29" s="53">
        <v>3</v>
      </c>
      <c r="W29" s="53">
        <v>3</v>
      </c>
      <c r="Y29" s="53">
        <v>0</v>
      </c>
      <c r="Z29" s="53">
        <v>18</v>
      </c>
      <c r="AA29" s="53">
        <v>24</v>
      </c>
      <c r="AC29" s="53">
        <v>0</v>
      </c>
      <c r="AD29" s="53">
        <v>26.309523809523807</v>
      </c>
      <c r="AE29" s="53">
        <v>27.261904761904763</v>
      </c>
      <c r="AG29" s="53">
        <v>0</v>
      </c>
      <c r="AH29" s="53">
        <v>9.1666666666666661</v>
      </c>
      <c r="AI29" s="53">
        <v>23.833333333333332</v>
      </c>
      <c r="AK29" s="53">
        <v>0</v>
      </c>
      <c r="AL29" s="53">
        <v>27.166666666666664</v>
      </c>
      <c r="AM29" s="53">
        <v>47.833333333333329</v>
      </c>
      <c r="AO29" s="53">
        <v>0</v>
      </c>
      <c r="AP29" s="53">
        <v>0</v>
      </c>
      <c r="AQ29" s="53">
        <v>0</v>
      </c>
      <c r="AS29" s="53">
        <v>0</v>
      </c>
      <c r="AT29" s="53">
        <v>1039634.7642</v>
      </c>
      <c r="AU29" s="53">
        <v>2714601.8842999996</v>
      </c>
      <c r="AW29" s="53">
        <v>0</v>
      </c>
      <c r="AX29" s="53">
        <v>914878.592496</v>
      </c>
      <c r="AY29" s="53">
        <v>2388849.6581839989</v>
      </c>
      <c r="BA29" s="53">
        <v>0</v>
      </c>
      <c r="BB29" s="53">
        <v>-124756.17170399999</v>
      </c>
      <c r="BC29" s="53">
        <v>-325752.22611599998</v>
      </c>
      <c r="BE29" s="53">
        <v>0</v>
      </c>
      <c r="BF29" s="53">
        <v>880634.05559999996</v>
      </c>
      <c r="BG29" s="53">
        <v>2299433.3673999999</v>
      </c>
      <c r="BI29" s="53">
        <v>0</v>
      </c>
      <c r="BJ29" s="53">
        <v>0</v>
      </c>
      <c r="BK29" s="53">
        <v>0</v>
      </c>
      <c r="BM29" s="53">
        <v>0</v>
      </c>
      <c r="BN29" s="53">
        <v>117380.11427999997</v>
      </c>
      <c r="BO29" s="53">
        <v>306492.52061999979</v>
      </c>
      <c r="BQ29" s="53">
        <v>0</v>
      </c>
      <c r="BR29" s="53">
        <v>18058.47912</v>
      </c>
      <c r="BS29" s="53">
        <v>47152.695480000002</v>
      </c>
      <c r="BU29" s="53">
        <v>0</v>
      </c>
      <c r="BV29" s="53">
        <v>23562.115199999997</v>
      </c>
      <c r="BW29" s="53">
        <v>61523.300800000005</v>
      </c>
      <c r="BY29" s="53">
        <v>0</v>
      </c>
      <c r="BZ29" s="53">
        <v>0</v>
      </c>
      <c r="CA29" s="53">
        <v>0</v>
      </c>
      <c r="CC29" s="53">
        <v>0</v>
      </c>
      <c r="CD29" s="53">
        <v>0</v>
      </c>
      <c r="CE29" s="53">
        <v>0</v>
      </c>
      <c r="CG29" s="53">
        <v>0</v>
      </c>
      <c r="CH29" s="53">
        <v>0</v>
      </c>
      <c r="CI29" s="53">
        <v>0</v>
      </c>
      <c r="CK29" s="53">
        <v>0</v>
      </c>
      <c r="CL29" s="53">
        <v>0</v>
      </c>
      <c r="CM29" s="53">
        <v>0</v>
      </c>
      <c r="CO29" s="53">
        <v>0</v>
      </c>
      <c r="CP29" s="53">
        <v>0</v>
      </c>
      <c r="CQ29" s="53">
        <v>0</v>
      </c>
      <c r="CS29" s="53">
        <v>0</v>
      </c>
      <c r="CT29" s="53">
        <v>482410.96606722375</v>
      </c>
      <c r="CU29" s="53">
        <v>994169.21930214949</v>
      </c>
      <c r="CW29" s="53">
        <v>0</v>
      </c>
      <c r="CX29" s="53">
        <v>0</v>
      </c>
      <c r="CY29" s="53">
        <v>0</v>
      </c>
      <c r="DA29" s="53">
        <v>0</v>
      </c>
      <c r="DB29" s="53">
        <v>0</v>
      </c>
      <c r="DC29" s="53">
        <v>0</v>
      </c>
      <c r="DE29" s="53">
        <v>0</v>
      </c>
      <c r="DF29" s="53">
        <v>10260.227327999999</v>
      </c>
      <c r="DG29" s="53">
        <v>13075.902827520003</v>
      </c>
      <c r="DI29" s="53">
        <v>0</v>
      </c>
      <c r="DJ29" s="53">
        <v>0</v>
      </c>
      <c r="DK29" s="53">
        <v>0</v>
      </c>
      <c r="DM29" s="53">
        <v>0</v>
      </c>
      <c r="DN29" s="53">
        <v>60098.399999999994</v>
      </c>
      <c r="DO29" s="53">
        <v>115219.09799999997</v>
      </c>
      <c r="DQ29" s="53">
        <v>0</v>
      </c>
      <c r="DR29" s="53">
        <v>0</v>
      </c>
      <c r="DS29" s="53">
        <v>0</v>
      </c>
      <c r="DU29" s="53">
        <v>0</v>
      </c>
      <c r="DV29" s="53">
        <v>0</v>
      </c>
      <c r="DW29" s="53">
        <v>0</v>
      </c>
      <c r="DY29" s="53">
        <v>0</v>
      </c>
      <c r="DZ29" s="53">
        <v>110963.41051746486</v>
      </c>
      <c r="EA29" s="53">
        <v>262539.68034710665</v>
      </c>
      <c r="EC29" s="53">
        <v>0</v>
      </c>
      <c r="ED29" s="53">
        <v>0</v>
      </c>
      <c r="EE29" s="53">
        <v>0</v>
      </c>
      <c r="EG29" s="53">
        <v>0</v>
      </c>
      <c r="EH29" s="53">
        <v>-41931.935489399992</v>
      </c>
      <c r="EI29" s="53">
        <v>-301147.53669659997</v>
      </c>
      <c r="EK29" s="53">
        <v>0</v>
      </c>
      <c r="EL29" s="53">
        <v>15436.464059919439</v>
      </c>
      <c r="EM29" s="53">
        <v>44779.527091754971</v>
      </c>
      <c r="EO29" s="53">
        <v>0</v>
      </c>
      <c r="EP29" s="53">
        <v>0</v>
      </c>
      <c r="EQ29" s="53">
        <v>0</v>
      </c>
      <c r="ES29" s="53">
        <v>0</v>
      </c>
      <c r="ET29" s="53">
        <v>0</v>
      </c>
      <c r="EU29" s="53">
        <v>0</v>
      </c>
      <c r="EW29" s="53">
        <v>0</v>
      </c>
      <c r="EX29" s="53">
        <v>0</v>
      </c>
      <c r="EY29" s="53">
        <v>0</v>
      </c>
    </row>
    <row r="30" spans="1:155" x14ac:dyDescent="0.25">
      <c r="A30" s="114"/>
      <c r="B30" t="str">
        <v>JV1</v>
      </c>
      <c r="C30" t="str">
        <v>Center</v>
      </c>
      <c r="D30" t="str">
        <v>New Jersey</v>
      </c>
      <c r="E30" s="53">
        <v>0</v>
      </c>
      <c r="F30" s="53">
        <v>17327.199999999997</v>
      </c>
      <c r="G30" s="53">
        <v>51036.479999999981</v>
      </c>
      <c r="I30" s="53">
        <v>0</v>
      </c>
      <c r="J30" s="53">
        <v>28.240000000000002</v>
      </c>
      <c r="K30" s="53">
        <v>39.53</v>
      </c>
      <c r="M30" s="53">
        <v>0</v>
      </c>
      <c r="N30" s="53">
        <v>4.29</v>
      </c>
      <c r="O30" s="53">
        <v>6</v>
      </c>
      <c r="Q30" s="53">
        <v>0</v>
      </c>
      <c r="R30" s="53">
        <v>33</v>
      </c>
      <c r="S30" s="53">
        <v>46</v>
      </c>
      <c r="U30" s="53">
        <v>0</v>
      </c>
      <c r="V30" s="53">
        <v>8</v>
      </c>
      <c r="W30" s="53">
        <v>9</v>
      </c>
      <c r="Y30" s="53">
        <v>0</v>
      </c>
      <c r="Z30" s="53">
        <v>30</v>
      </c>
      <c r="AA30" s="53">
        <v>42</v>
      </c>
      <c r="AC30" s="53">
        <v>0</v>
      </c>
      <c r="AD30" s="53">
        <v>34.5</v>
      </c>
      <c r="AE30" s="53">
        <v>40</v>
      </c>
      <c r="AG30" s="53">
        <v>0</v>
      </c>
      <c r="AH30" s="53">
        <v>7.5</v>
      </c>
      <c r="AI30" s="53">
        <v>31</v>
      </c>
      <c r="AK30" s="53">
        <v>0</v>
      </c>
      <c r="AL30" s="53">
        <v>37.5</v>
      </c>
      <c r="AM30" s="53">
        <v>73</v>
      </c>
      <c r="AO30" s="53">
        <v>0</v>
      </c>
      <c r="AP30" s="53">
        <v>1411000</v>
      </c>
      <c r="AQ30" s="53">
        <v>0</v>
      </c>
      <c r="AS30" s="53">
        <v>0</v>
      </c>
      <c r="AT30" s="53">
        <v>3146995.6473999997</v>
      </c>
      <c r="AU30" s="53">
        <v>9269332.6341599971</v>
      </c>
      <c r="AW30" s="53">
        <v>0</v>
      </c>
      <c r="AX30" s="53">
        <v>2853304.5961786667</v>
      </c>
      <c r="AY30" s="53">
        <v>7994338.4650207972</v>
      </c>
      <c r="BA30" s="53">
        <v>0</v>
      </c>
      <c r="BB30" s="53">
        <v>-409666.08138799993</v>
      </c>
      <c r="BC30" s="53">
        <v>-1150751.8405391995</v>
      </c>
      <c r="BE30" s="53">
        <v>0</v>
      </c>
      <c r="BF30" s="53">
        <v>2573833.8339999998</v>
      </c>
      <c r="BG30" s="53">
        <v>7581110.5655999966</v>
      </c>
      <c r="BI30" s="53">
        <v>0</v>
      </c>
      <c r="BJ30" s="53">
        <v>150913.334</v>
      </c>
      <c r="BK30" s="53">
        <v>444508.36560000008</v>
      </c>
      <c r="BM30" s="53">
        <v>0</v>
      </c>
      <c r="BN30" s="53">
        <v>358661.46029999986</v>
      </c>
      <c r="BO30" s="53">
        <v>1056421.0285199995</v>
      </c>
      <c r="BQ30" s="53">
        <v>0</v>
      </c>
      <c r="BR30" s="53">
        <v>27589.343100000002</v>
      </c>
      <c r="BS30" s="53">
        <v>81263.156040000002</v>
      </c>
      <c r="BU30" s="53">
        <v>0</v>
      </c>
      <c r="BV30" s="53">
        <v>35997.675999999999</v>
      </c>
      <c r="BW30" s="53">
        <v>106029.51840000002</v>
      </c>
      <c r="BY30" s="53">
        <v>0</v>
      </c>
      <c r="BZ30" s="53">
        <v>119850.08208110077</v>
      </c>
      <c r="CA30" s="53">
        <v>353012.96903887874</v>
      </c>
      <c r="CC30" s="53">
        <v>0</v>
      </c>
      <c r="CD30" s="53">
        <v>16014.364592793603</v>
      </c>
      <c r="CE30" s="53">
        <v>47169.582982410247</v>
      </c>
      <c r="CG30" s="53">
        <v>0</v>
      </c>
      <c r="CH30" s="53">
        <v>266888.36416666664</v>
      </c>
      <c r="CI30" s="53">
        <v>320266.03700000001</v>
      </c>
      <c r="CK30" s="53">
        <v>0</v>
      </c>
      <c r="CL30" s="53">
        <v>97394.408367027194</v>
      </c>
      <c r="CM30" s="53">
        <v>286870.80282651645</v>
      </c>
      <c r="CO30" s="53">
        <v>0</v>
      </c>
      <c r="CP30" s="53">
        <v>0</v>
      </c>
      <c r="CQ30" s="53">
        <v>0</v>
      </c>
      <c r="CS30" s="53">
        <v>0</v>
      </c>
      <c r="CT30" s="53">
        <v>1599604.4891238655</v>
      </c>
      <c r="CU30" s="53">
        <v>4431199.7708799914</v>
      </c>
      <c r="CW30" s="53">
        <v>0</v>
      </c>
      <c r="CX30" s="53">
        <v>154500</v>
      </c>
      <c r="CY30" s="53">
        <v>190962</v>
      </c>
      <c r="DA30" s="53">
        <v>0</v>
      </c>
      <c r="DB30" s="53">
        <v>90480</v>
      </c>
      <c r="DC30" s="53">
        <v>112919.03999999999</v>
      </c>
      <c r="DE30" s="53">
        <v>0</v>
      </c>
      <c r="DF30" s="53">
        <v>10579.107344</v>
      </c>
      <c r="DG30" s="53">
        <v>15506.679635200004</v>
      </c>
      <c r="DI30" s="53">
        <v>0</v>
      </c>
      <c r="DJ30" s="53">
        <v>76500</v>
      </c>
      <c r="DK30" s="53">
        <v>93636</v>
      </c>
      <c r="DM30" s="53">
        <v>0</v>
      </c>
      <c r="DN30" s="53">
        <v>100039.04999999999</v>
      </c>
      <c r="DO30" s="53">
        <v>248895.41220000005</v>
      </c>
      <c r="DQ30" s="53">
        <v>0</v>
      </c>
      <c r="DR30" s="53">
        <v>63000</v>
      </c>
      <c r="DS30" s="53">
        <v>79380</v>
      </c>
      <c r="DU30" s="53">
        <v>0</v>
      </c>
      <c r="DV30" s="53">
        <v>151234.47</v>
      </c>
      <c r="DW30" s="53">
        <v>0</v>
      </c>
      <c r="DY30" s="53">
        <v>0</v>
      </c>
      <c r="DZ30" s="53">
        <v>344752.04974263068</v>
      </c>
      <c r="EA30" s="53">
        <v>877711.00636291283</v>
      </c>
      <c r="EC30" s="53">
        <v>0</v>
      </c>
      <c r="ED30" s="53">
        <v>0</v>
      </c>
      <c r="EE30" s="53">
        <v>0</v>
      </c>
      <c r="EG30" s="53">
        <v>0</v>
      </c>
      <c r="EH30" s="53">
        <v>-654229.28924895986</v>
      </c>
      <c r="EI30" s="53">
        <v>-984914.53774032008</v>
      </c>
      <c r="EK30" s="53">
        <v>0</v>
      </c>
      <c r="EL30" s="53">
        <v>47970.956019541314</v>
      </c>
      <c r="EM30" s="53">
        <v>156977.36056657517</v>
      </c>
      <c r="EO30" s="53">
        <v>0</v>
      </c>
      <c r="EP30" s="53">
        <v>1</v>
      </c>
      <c r="EQ30" s="53">
        <v>1</v>
      </c>
      <c r="ES30" s="53">
        <v>0</v>
      </c>
      <c r="ET30" s="53">
        <v>1</v>
      </c>
      <c r="EU30" s="53">
        <v>1</v>
      </c>
      <c r="EW30" s="53">
        <v>0</v>
      </c>
      <c r="EX30" s="53">
        <v>1</v>
      </c>
      <c r="EY30" s="53">
        <v>1</v>
      </c>
    </row>
    <row r="31" spans="1:155" x14ac:dyDescent="0.25">
      <c r="A31" s="114"/>
      <c r="B31" t="str">
        <v>JV1</v>
      </c>
      <c r="C31" t="str">
        <v>Remote</v>
      </c>
      <c r="D31" t="str">
        <v>New Jersey</v>
      </c>
      <c r="E31" s="53">
        <v>0</v>
      </c>
      <c r="F31" s="53">
        <v>2323.1999999999998</v>
      </c>
      <c r="G31" s="53">
        <v>12855.04</v>
      </c>
      <c r="I31" s="53">
        <v>0</v>
      </c>
      <c r="J31" s="53">
        <v>5.42</v>
      </c>
      <c r="K31" s="53">
        <v>10.83</v>
      </c>
      <c r="M31" s="53">
        <v>0</v>
      </c>
      <c r="N31" s="53">
        <v>1.1000000000000001</v>
      </c>
      <c r="O31" s="53">
        <v>2.19</v>
      </c>
      <c r="Q31" s="53">
        <v>0</v>
      </c>
      <c r="R31" s="53">
        <v>7</v>
      </c>
      <c r="S31" s="53">
        <v>13</v>
      </c>
      <c r="U31" s="53">
        <v>0</v>
      </c>
      <c r="V31" s="53">
        <v>3</v>
      </c>
      <c r="W31" s="53">
        <v>3</v>
      </c>
      <c r="Y31" s="53">
        <v>0</v>
      </c>
      <c r="Z31" s="53">
        <v>12</v>
      </c>
      <c r="AA31" s="53">
        <v>24</v>
      </c>
      <c r="AC31" s="53">
        <v>0</v>
      </c>
      <c r="AD31" s="53">
        <v>13.785714285714285</v>
      </c>
      <c r="AE31" s="53">
        <v>31.785714285714285</v>
      </c>
      <c r="AG31" s="53">
        <v>0</v>
      </c>
      <c r="AH31" s="53">
        <v>3.5</v>
      </c>
      <c r="AI31" s="53">
        <v>21.5</v>
      </c>
      <c r="AK31" s="53">
        <v>0</v>
      </c>
      <c r="AL31" s="53">
        <v>15.5</v>
      </c>
      <c r="AM31" s="53">
        <v>45.5</v>
      </c>
      <c r="AO31" s="53">
        <v>0</v>
      </c>
      <c r="AP31" s="53">
        <v>0</v>
      </c>
      <c r="AQ31" s="53">
        <v>0</v>
      </c>
      <c r="AS31" s="53">
        <v>0</v>
      </c>
      <c r="AT31" s="53">
        <v>433181.15174999996</v>
      </c>
      <c r="AU31" s="53">
        <v>2396935.7063500001</v>
      </c>
      <c r="AW31" s="53">
        <v>0</v>
      </c>
      <c r="AX31" s="53">
        <v>381199.41353999998</v>
      </c>
      <c r="AY31" s="53">
        <v>2109303.4215879994</v>
      </c>
      <c r="BA31" s="53">
        <v>0</v>
      </c>
      <c r="BB31" s="53">
        <v>-51981.738209999996</v>
      </c>
      <c r="BC31" s="53">
        <v>-287632.28476199997</v>
      </c>
      <c r="BE31" s="53">
        <v>0</v>
      </c>
      <c r="BF31" s="53">
        <v>366930.85649999999</v>
      </c>
      <c r="BG31" s="53">
        <v>2030350.7393000002</v>
      </c>
      <c r="BI31" s="53">
        <v>0</v>
      </c>
      <c r="BJ31" s="53">
        <v>0</v>
      </c>
      <c r="BK31" s="53">
        <v>0</v>
      </c>
      <c r="BM31" s="53">
        <v>0</v>
      </c>
      <c r="BN31" s="53">
        <v>48908.380949999984</v>
      </c>
      <c r="BO31" s="53">
        <v>270626.37458999985</v>
      </c>
      <c r="BQ31" s="53">
        <v>0</v>
      </c>
      <c r="BR31" s="53">
        <v>7524.3662999999997</v>
      </c>
      <c r="BS31" s="53">
        <v>41634.826860000001</v>
      </c>
      <c r="BU31" s="53">
        <v>0</v>
      </c>
      <c r="BV31" s="53">
        <v>9817.5479999999989</v>
      </c>
      <c r="BW31" s="53">
        <v>54323.765599999999</v>
      </c>
      <c r="BY31" s="53">
        <v>0</v>
      </c>
      <c r="BZ31" s="53">
        <v>0</v>
      </c>
      <c r="CA31" s="53">
        <v>0</v>
      </c>
      <c r="CC31" s="53">
        <v>0</v>
      </c>
      <c r="CD31" s="53">
        <v>0</v>
      </c>
      <c r="CE31" s="53">
        <v>0</v>
      </c>
      <c r="CG31" s="53">
        <v>0</v>
      </c>
      <c r="CH31" s="53">
        <v>0</v>
      </c>
      <c r="CI31" s="53">
        <v>0</v>
      </c>
      <c r="CK31" s="53">
        <v>0</v>
      </c>
      <c r="CL31" s="53">
        <v>0</v>
      </c>
      <c r="CM31" s="53">
        <v>0</v>
      </c>
      <c r="CO31" s="53">
        <v>0</v>
      </c>
      <c r="CP31" s="53">
        <v>0</v>
      </c>
      <c r="CQ31" s="53">
        <v>0</v>
      </c>
      <c r="CS31" s="53">
        <v>0</v>
      </c>
      <c r="CT31" s="53">
        <v>243854.41923115804</v>
      </c>
      <c r="CU31" s="53">
        <v>912204.040482493</v>
      </c>
      <c r="CW31" s="53">
        <v>0</v>
      </c>
      <c r="CX31" s="53">
        <v>0</v>
      </c>
      <c r="CY31" s="53">
        <v>0</v>
      </c>
      <c r="DA31" s="53">
        <v>0</v>
      </c>
      <c r="DB31" s="53">
        <v>0</v>
      </c>
      <c r="DC31" s="53">
        <v>0</v>
      </c>
      <c r="DE31" s="53">
        <v>0</v>
      </c>
      <c r="DF31" s="53">
        <v>6009.6618399999998</v>
      </c>
      <c r="DG31" s="53">
        <v>13210.743520000004</v>
      </c>
      <c r="DI31" s="53">
        <v>0</v>
      </c>
      <c r="DJ31" s="53">
        <v>0</v>
      </c>
      <c r="DK31" s="53">
        <v>0</v>
      </c>
      <c r="DM31" s="53">
        <v>0</v>
      </c>
      <c r="DN31" s="53">
        <v>30931.5</v>
      </c>
      <c r="DO31" s="53">
        <v>106099.99199999998</v>
      </c>
      <c r="DQ31" s="53">
        <v>0</v>
      </c>
      <c r="DR31" s="53">
        <v>0</v>
      </c>
      <c r="DS31" s="53">
        <v>0</v>
      </c>
      <c r="DU31" s="53">
        <v>0</v>
      </c>
      <c r="DV31" s="53">
        <v>0</v>
      </c>
      <c r="DW31" s="53">
        <v>0</v>
      </c>
      <c r="DY31" s="53">
        <v>0</v>
      </c>
      <c r="DZ31" s="53">
        <v>44557.948053084197</v>
      </c>
      <c r="EA31" s="53">
        <v>230011.54379188817</v>
      </c>
      <c r="EC31" s="53">
        <v>0</v>
      </c>
      <c r="ED31" s="53">
        <v>0</v>
      </c>
      <c r="EE31" s="53">
        <v>0</v>
      </c>
      <c r="EG31" s="53">
        <v>0</v>
      </c>
      <c r="EH31" s="53">
        <v>-5082.6588471999985</v>
      </c>
      <c r="EI31" s="53">
        <v>-216013.00100599995</v>
      </c>
      <c r="EK31" s="53">
        <v>0</v>
      </c>
      <c r="EL31" s="53">
        <v>6431.8600249664332</v>
      </c>
      <c r="EM31" s="53">
        <v>39539.369666124068</v>
      </c>
      <c r="EO31" s="53">
        <v>0</v>
      </c>
      <c r="EP31" s="53">
        <v>0</v>
      </c>
      <c r="EQ31" s="53">
        <v>0</v>
      </c>
      <c r="ES31" s="53">
        <v>0</v>
      </c>
      <c r="ET31" s="53">
        <v>0</v>
      </c>
      <c r="EU31" s="53">
        <v>0</v>
      </c>
      <c r="EW31" s="53">
        <v>0</v>
      </c>
      <c r="EX31" s="53">
        <v>0</v>
      </c>
      <c r="EY31" s="53">
        <v>0</v>
      </c>
    </row>
    <row r="32" spans="1:155" x14ac:dyDescent="0.25">
      <c r="A32" s="114"/>
      <c r="B32" t="str">
        <v>JV1</v>
      </c>
      <c r="C32" t="str">
        <v>Center</v>
      </c>
      <c r="D32" t="str">
        <v>New Jersey</v>
      </c>
      <c r="E32" s="53">
        <v>0</v>
      </c>
      <c r="F32" s="53">
        <v>4725.5999999999995</v>
      </c>
      <c r="G32" s="53">
        <v>41585.279999999992</v>
      </c>
      <c r="I32" s="53">
        <v>0</v>
      </c>
      <c r="J32" s="53">
        <v>14.12</v>
      </c>
      <c r="K32" s="53">
        <v>39.53</v>
      </c>
      <c r="M32" s="53">
        <v>0</v>
      </c>
      <c r="N32" s="53">
        <v>2.15</v>
      </c>
      <c r="O32" s="53">
        <v>6</v>
      </c>
      <c r="Q32" s="53">
        <v>0</v>
      </c>
      <c r="R32" s="53">
        <v>16</v>
      </c>
      <c r="S32" s="53">
        <v>46</v>
      </c>
      <c r="U32" s="53">
        <v>0</v>
      </c>
      <c r="V32" s="53">
        <v>6</v>
      </c>
      <c r="W32" s="53">
        <v>9</v>
      </c>
      <c r="Y32" s="53">
        <v>0</v>
      </c>
      <c r="Z32" s="53">
        <v>15</v>
      </c>
      <c r="AA32" s="53">
        <v>42</v>
      </c>
      <c r="AC32" s="53">
        <v>0</v>
      </c>
      <c r="AD32" s="53">
        <v>13.666666666666666</v>
      </c>
      <c r="AE32" s="53">
        <v>44.999999999999993</v>
      </c>
      <c r="AG32" s="53">
        <v>0</v>
      </c>
      <c r="AH32" s="53">
        <v>1.6666666666666665</v>
      </c>
      <c r="AI32" s="53">
        <v>21.000000000000004</v>
      </c>
      <c r="AK32" s="53">
        <v>0</v>
      </c>
      <c r="AL32" s="53">
        <v>16.666666666666668</v>
      </c>
      <c r="AM32" s="53">
        <v>63</v>
      </c>
      <c r="AO32" s="53">
        <v>0</v>
      </c>
      <c r="AP32" s="53">
        <v>1411000</v>
      </c>
      <c r="AQ32" s="53">
        <v>0</v>
      </c>
      <c r="AS32" s="53">
        <v>0</v>
      </c>
      <c r="AT32" s="53">
        <v>858271.54019999993</v>
      </c>
      <c r="AU32" s="53">
        <v>7552789.5537599977</v>
      </c>
      <c r="AW32" s="53">
        <v>0</v>
      </c>
      <c r="AX32" s="53">
        <v>831551.65360933333</v>
      </c>
      <c r="AY32" s="53">
        <v>6566096.9182687979</v>
      </c>
      <c r="BA32" s="53">
        <v>0</v>
      </c>
      <c r="BB32" s="53">
        <v>-119005.88667399998</v>
      </c>
      <c r="BC32" s="53">
        <v>-944766.67089119973</v>
      </c>
      <c r="BE32" s="53">
        <v>0</v>
      </c>
      <c r="BF32" s="53">
        <v>701954.68200000003</v>
      </c>
      <c r="BG32" s="53">
        <v>6177201.2015999984</v>
      </c>
      <c r="BI32" s="53">
        <v>0</v>
      </c>
      <c r="BJ32" s="53">
        <v>41158.182000000001</v>
      </c>
      <c r="BK32" s="53">
        <v>362192.00160000008</v>
      </c>
      <c r="BM32" s="53">
        <v>0</v>
      </c>
      <c r="BN32" s="53">
        <v>97816.761899999969</v>
      </c>
      <c r="BO32" s="53">
        <v>860787.50471999962</v>
      </c>
      <c r="BQ32" s="53">
        <v>0</v>
      </c>
      <c r="BR32" s="53">
        <v>7524.3662999999997</v>
      </c>
      <c r="BS32" s="53">
        <v>66214.423439999999</v>
      </c>
      <c r="BU32" s="53">
        <v>0</v>
      </c>
      <c r="BV32" s="53">
        <v>9817.5479999999989</v>
      </c>
      <c r="BW32" s="53">
        <v>86394.42240000001</v>
      </c>
      <c r="BY32" s="53">
        <v>0</v>
      </c>
      <c r="BZ32" s="53">
        <v>32686.386022118393</v>
      </c>
      <c r="CA32" s="53">
        <v>287640.19699464191</v>
      </c>
      <c r="CC32" s="53">
        <v>0</v>
      </c>
      <c r="CD32" s="53">
        <v>4367.5539798528007</v>
      </c>
      <c r="CE32" s="53">
        <v>38434.475022704646</v>
      </c>
      <c r="CG32" s="53">
        <v>0</v>
      </c>
      <c r="CH32" s="53">
        <v>133444.18208333332</v>
      </c>
      <c r="CI32" s="53">
        <v>320266.03700000001</v>
      </c>
      <c r="CK32" s="53">
        <v>0</v>
      </c>
      <c r="CL32" s="53">
        <v>26562.111372825599</v>
      </c>
      <c r="CM32" s="53">
        <v>233746.58008086527</v>
      </c>
      <c r="CO32" s="53">
        <v>0</v>
      </c>
      <c r="CP32" s="53">
        <v>0</v>
      </c>
      <c r="CQ32" s="53">
        <v>0</v>
      </c>
      <c r="CS32" s="53">
        <v>0</v>
      </c>
      <c r="CT32" s="53">
        <v>515744.28720105422</v>
      </c>
      <c r="CU32" s="53">
        <v>3718723.026821672</v>
      </c>
      <c r="CW32" s="53">
        <v>0</v>
      </c>
      <c r="CX32" s="53">
        <v>77250</v>
      </c>
      <c r="CY32" s="53">
        <v>190962</v>
      </c>
      <c r="DA32" s="53">
        <v>0</v>
      </c>
      <c r="DB32" s="53">
        <v>45240</v>
      </c>
      <c r="DC32" s="53">
        <v>112919.03999999999</v>
      </c>
      <c r="DE32" s="53">
        <v>0</v>
      </c>
      <c r="DF32" s="53">
        <v>4576.4538560000001</v>
      </c>
      <c r="DG32" s="53">
        <v>15306.240768000005</v>
      </c>
      <c r="DI32" s="53">
        <v>0</v>
      </c>
      <c r="DJ32" s="53">
        <v>33150</v>
      </c>
      <c r="DK32" s="53">
        <v>81151.200000000012</v>
      </c>
      <c r="DM32" s="53">
        <v>0</v>
      </c>
      <c r="DN32" s="53">
        <v>33442.229999999996</v>
      </c>
      <c r="DO32" s="53">
        <v>209906.9424</v>
      </c>
      <c r="DQ32" s="53">
        <v>0</v>
      </c>
      <c r="DR32" s="53">
        <v>31500</v>
      </c>
      <c r="DS32" s="53">
        <v>79380</v>
      </c>
      <c r="DU32" s="53">
        <v>0</v>
      </c>
      <c r="DV32" s="53">
        <v>151234.47</v>
      </c>
      <c r="DW32" s="53">
        <v>0</v>
      </c>
      <c r="DY32" s="53">
        <v>0</v>
      </c>
      <c r="DZ32" s="53">
        <v>96072.345295366074</v>
      </c>
      <c r="EA32" s="53">
        <v>713263.34801758348</v>
      </c>
      <c r="EC32" s="53">
        <v>0</v>
      </c>
      <c r="ED32" s="53">
        <v>0</v>
      </c>
      <c r="EE32" s="53">
        <v>0</v>
      </c>
      <c r="EG32" s="53">
        <v>0</v>
      </c>
      <c r="EH32" s="53">
        <v>-177196.95967539996</v>
      </c>
      <c r="EI32" s="53">
        <v>-951588.90164944006</v>
      </c>
      <c r="EK32" s="53">
        <v>0</v>
      </c>
      <c r="EL32" s="53">
        <v>13082.988005329449</v>
      </c>
      <c r="EM32" s="53">
        <v>127907.47898017238</v>
      </c>
      <c r="EO32" s="53">
        <v>0</v>
      </c>
      <c r="EP32" s="53">
        <v>0</v>
      </c>
      <c r="EQ32" s="53">
        <v>1</v>
      </c>
      <c r="ES32" s="53">
        <v>0</v>
      </c>
      <c r="ET32" s="53">
        <v>0</v>
      </c>
      <c r="EU32" s="53">
        <v>1</v>
      </c>
      <c r="EW32" s="53">
        <v>0</v>
      </c>
      <c r="EX32" s="53">
        <v>1</v>
      </c>
      <c r="EY32" s="53">
        <v>1</v>
      </c>
    </row>
    <row r="33" spans="1:155" x14ac:dyDescent="0.25">
      <c r="A33" s="114"/>
      <c r="B33" t="str">
        <v>JV1</v>
      </c>
      <c r="C33" t="str">
        <v>Remote</v>
      </c>
      <c r="D33" t="str">
        <v>New Jersey</v>
      </c>
      <c r="E33" s="53">
        <v>0</v>
      </c>
      <c r="F33" s="53">
        <v>464.64</v>
      </c>
      <c r="G33" s="53">
        <v>9757.4400000000023</v>
      </c>
      <c r="I33" s="53">
        <v>0</v>
      </c>
      <c r="J33" s="53">
        <v>2.2599999999999998</v>
      </c>
      <c r="K33" s="53">
        <v>10.83</v>
      </c>
      <c r="M33" s="53">
        <v>0</v>
      </c>
      <c r="N33" s="53">
        <v>0.46</v>
      </c>
      <c r="O33" s="53">
        <v>2.19</v>
      </c>
      <c r="Q33" s="53">
        <v>0</v>
      </c>
      <c r="R33" s="53">
        <v>3</v>
      </c>
      <c r="S33" s="53">
        <v>13</v>
      </c>
      <c r="U33" s="53">
        <v>0</v>
      </c>
      <c r="V33" s="53">
        <v>2</v>
      </c>
      <c r="W33" s="53">
        <v>3</v>
      </c>
      <c r="Y33" s="53">
        <v>0</v>
      </c>
      <c r="Z33" s="53">
        <v>5</v>
      </c>
      <c r="AA33" s="53">
        <v>24</v>
      </c>
      <c r="AC33" s="53">
        <v>0</v>
      </c>
      <c r="AD33" s="53">
        <v>3.9285714285714284</v>
      </c>
      <c r="AE33" s="53">
        <v>33.642857142857139</v>
      </c>
      <c r="AG33" s="53">
        <v>0</v>
      </c>
      <c r="AH33" s="53">
        <v>0.5</v>
      </c>
      <c r="AI33" s="53">
        <v>16.5</v>
      </c>
      <c r="AK33" s="53">
        <v>0</v>
      </c>
      <c r="AL33" s="53">
        <v>5.5</v>
      </c>
      <c r="AM33" s="53">
        <v>40.5</v>
      </c>
      <c r="AO33" s="53">
        <v>0</v>
      </c>
      <c r="AP33" s="53">
        <v>0</v>
      </c>
      <c r="AQ33" s="53">
        <v>0</v>
      </c>
      <c r="AS33" s="53">
        <v>0</v>
      </c>
      <c r="AT33" s="53">
        <v>86636.230349999983</v>
      </c>
      <c r="AU33" s="53">
        <v>1819360.8373499999</v>
      </c>
      <c r="AW33" s="53">
        <v>0</v>
      </c>
      <c r="AX33" s="53">
        <v>76239.88270799999</v>
      </c>
      <c r="AY33" s="53">
        <v>1601037.5368679997</v>
      </c>
      <c r="BA33" s="53">
        <v>0</v>
      </c>
      <c r="BB33" s="53">
        <v>-10396.347641999997</v>
      </c>
      <c r="BC33" s="53">
        <v>-218323.30048199996</v>
      </c>
      <c r="BE33" s="53">
        <v>0</v>
      </c>
      <c r="BF33" s="53">
        <v>73386.171299999987</v>
      </c>
      <c r="BG33" s="53">
        <v>1541109.5973</v>
      </c>
      <c r="BI33" s="53">
        <v>0</v>
      </c>
      <c r="BJ33" s="53">
        <v>0</v>
      </c>
      <c r="BK33" s="53">
        <v>0</v>
      </c>
      <c r="BM33" s="53">
        <v>0</v>
      </c>
      <c r="BN33" s="53">
        <v>9781.6761899999965</v>
      </c>
      <c r="BO33" s="53">
        <v>205415.19998999994</v>
      </c>
      <c r="BQ33" s="53">
        <v>0</v>
      </c>
      <c r="BR33" s="53">
        <v>1504.8732599999998</v>
      </c>
      <c r="BS33" s="53">
        <v>31602.338460000003</v>
      </c>
      <c r="BU33" s="53">
        <v>0</v>
      </c>
      <c r="BV33" s="53">
        <v>1963.5095999999999</v>
      </c>
      <c r="BW33" s="53">
        <v>41233.701599999993</v>
      </c>
      <c r="BY33" s="53">
        <v>0</v>
      </c>
      <c r="BZ33" s="53">
        <v>0</v>
      </c>
      <c r="CA33" s="53">
        <v>0</v>
      </c>
      <c r="CC33" s="53">
        <v>0</v>
      </c>
      <c r="CD33" s="53">
        <v>0</v>
      </c>
      <c r="CE33" s="53">
        <v>0</v>
      </c>
      <c r="CG33" s="53">
        <v>0</v>
      </c>
      <c r="CH33" s="53">
        <v>0</v>
      </c>
      <c r="CI33" s="53">
        <v>0</v>
      </c>
      <c r="CK33" s="53">
        <v>0</v>
      </c>
      <c r="CL33" s="53">
        <v>0</v>
      </c>
      <c r="CM33" s="53">
        <v>0</v>
      </c>
      <c r="CO33" s="53">
        <v>0</v>
      </c>
      <c r="CP33" s="53">
        <v>0</v>
      </c>
      <c r="CQ33" s="53">
        <v>0</v>
      </c>
      <c r="CS33" s="53">
        <v>0</v>
      </c>
      <c r="CT33" s="53">
        <v>73958.433530231618</v>
      </c>
      <c r="CU33" s="53">
        <v>768049.38554101682</v>
      </c>
      <c r="CW33" s="53">
        <v>0</v>
      </c>
      <c r="CX33" s="53">
        <v>0</v>
      </c>
      <c r="CY33" s="53">
        <v>0</v>
      </c>
      <c r="DA33" s="53">
        <v>0</v>
      </c>
      <c r="DB33" s="53">
        <v>0</v>
      </c>
      <c r="DC33" s="53">
        <v>0</v>
      </c>
      <c r="DE33" s="53">
        <v>0</v>
      </c>
      <c r="DF33" s="53">
        <v>2148.0598880000002</v>
      </c>
      <c r="DG33" s="53">
        <v>12941.062135040002</v>
      </c>
      <c r="DI33" s="53">
        <v>0</v>
      </c>
      <c r="DJ33" s="53">
        <v>0</v>
      </c>
      <c r="DK33" s="53">
        <v>0</v>
      </c>
      <c r="DM33" s="53">
        <v>0</v>
      </c>
      <c r="DN33" s="53">
        <v>9797.0999999999985</v>
      </c>
      <c r="DO33" s="53">
        <v>88787.736000000004</v>
      </c>
      <c r="DQ33" s="53">
        <v>0</v>
      </c>
      <c r="DR33" s="53">
        <v>0</v>
      </c>
      <c r="DS33" s="53">
        <v>0</v>
      </c>
      <c r="DU33" s="53">
        <v>0</v>
      </c>
      <c r="DV33" s="53">
        <v>0</v>
      </c>
      <c r="DW33" s="53">
        <v>0</v>
      </c>
      <c r="DY33" s="53">
        <v>0</v>
      </c>
      <c r="DZ33" s="53">
        <v>8633.7583613415827</v>
      </c>
      <c r="EA33" s="53">
        <v>172636.02799836727</v>
      </c>
      <c r="EC33" s="53">
        <v>0</v>
      </c>
      <c r="ED33" s="53">
        <v>0</v>
      </c>
      <c r="EE33" s="53">
        <v>0</v>
      </c>
      <c r="EG33" s="53">
        <v>0</v>
      </c>
      <c r="EH33" s="53">
        <v>0</v>
      </c>
      <c r="EI33" s="53">
        <v>-114359.82406199997</v>
      </c>
      <c r="EK33" s="53">
        <v>0</v>
      </c>
      <c r="EL33" s="53">
        <v>1286.3720049932867</v>
      </c>
      <c r="EM33" s="53">
        <v>30011.81071043152</v>
      </c>
      <c r="EO33" s="53">
        <v>0</v>
      </c>
      <c r="EP33" s="53">
        <v>0</v>
      </c>
      <c r="EQ33" s="53">
        <v>0</v>
      </c>
      <c r="ES33" s="53">
        <v>0</v>
      </c>
      <c r="ET33" s="53">
        <v>0</v>
      </c>
      <c r="EU33" s="53">
        <v>0</v>
      </c>
      <c r="EW33" s="53">
        <v>0</v>
      </c>
      <c r="EX33" s="53">
        <v>0</v>
      </c>
      <c r="EY33" s="53">
        <v>0</v>
      </c>
    </row>
    <row r="34" spans="1:155" x14ac:dyDescent="0.25">
      <c r="A34" s="114"/>
      <c r="B34" t="str">
        <v>JV1</v>
      </c>
      <c r="C34" t="str">
        <v>Center</v>
      </c>
      <c r="D34" t="str">
        <v>New Jersey</v>
      </c>
      <c r="E34" s="53">
        <v>0</v>
      </c>
      <c r="F34" s="53">
        <v>945.11999999999989</v>
      </c>
      <c r="G34" s="53">
        <v>32134.079999999994</v>
      </c>
      <c r="I34" s="53">
        <v>0</v>
      </c>
      <c r="J34" s="53">
        <v>5.6499999999999995</v>
      </c>
      <c r="K34" s="53">
        <v>39.53</v>
      </c>
      <c r="M34" s="53">
        <v>0</v>
      </c>
      <c r="N34" s="53">
        <v>0.86</v>
      </c>
      <c r="O34" s="53">
        <v>6</v>
      </c>
      <c r="Q34" s="53">
        <v>0</v>
      </c>
      <c r="R34" s="53">
        <v>7</v>
      </c>
      <c r="S34" s="53">
        <v>46</v>
      </c>
      <c r="U34" s="53">
        <v>0</v>
      </c>
      <c r="V34" s="53">
        <v>4</v>
      </c>
      <c r="W34" s="53">
        <v>9</v>
      </c>
      <c r="Y34" s="53">
        <v>0</v>
      </c>
      <c r="Z34" s="53">
        <v>6</v>
      </c>
      <c r="AA34" s="53">
        <v>42</v>
      </c>
      <c r="AC34" s="53">
        <v>0</v>
      </c>
      <c r="AD34" s="53">
        <v>3.1666666666666665</v>
      </c>
      <c r="AE34" s="53">
        <v>48</v>
      </c>
      <c r="AG34" s="53">
        <v>0</v>
      </c>
      <c r="AH34" s="53">
        <v>0.16666666666666666</v>
      </c>
      <c r="AI34" s="53">
        <v>15</v>
      </c>
      <c r="AK34" s="53">
        <v>0</v>
      </c>
      <c r="AL34" s="53">
        <v>6.166666666666667</v>
      </c>
      <c r="AM34" s="53">
        <v>57</v>
      </c>
      <c r="AO34" s="53">
        <v>0</v>
      </c>
      <c r="AP34" s="53">
        <v>940666.66666666663</v>
      </c>
      <c r="AQ34" s="53">
        <v>470333.33333333331</v>
      </c>
      <c r="AS34" s="53">
        <v>0</v>
      </c>
      <c r="AT34" s="53">
        <v>171654.30803999997</v>
      </c>
      <c r="AU34" s="53">
        <v>5836246.4733600002</v>
      </c>
      <c r="AW34" s="53">
        <v>0</v>
      </c>
      <c r="AX34" s="53">
        <v>189796.50676853335</v>
      </c>
      <c r="AY34" s="53">
        <v>5137855.3715167996</v>
      </c>
      <c r="BA34" s="53">
        <v>0</v>
      </c>
      <c r="BB34" s="53">
        <v>-27003.837704799997</v>
      </c>
      <c r="BC34" s="53">
        <v>-738781.50124319992</v>
      </c>
      <c r="BE34" s="53">
        <v>0</v>
      </c>
      <c r="BF34" s="53">
        <v>140390.93640000001</v>
      </c>
      <c r="BG34" s="53">
        <v>4773291.8376000002</v>
      </c>
      <c r="BI34" s="53">
        <v>0</v>
      </c>
      <c r="BJ34" s="53">
        <v>8231.6363999999994</v>
      </c>
      <c r="BK34" s="53">
        <v>279875.63759999996</v>
      </c>
      <c r="BM34" s="53">
        <v>0</v>
      </c>
      <c r="BN34" s="53">
        <v>19563.352379999993</v>
      </c>
      <c r="BO34" s="53">
        <v>665153.98091999977</v>
      </c>
      <c r="BQ34" s="53">
        <v>0</v>
      </c>
      <c r="BR34" s="53">
        <v>1504.8732599999998</v>
      </c>
      <c r="BS34" s="53">
        <v>51165.690840000003</v>
      </c>
      <c r="BU34" s="53">
        <v>0</v>
      </c>
      <c r="BV34" s="53">
        <v>1963.5095999999996</v>
      </c>
      <c r="BW34" s="53">
        <v>66759.326400000005</v>
      </c>
      <c r="BY34" s="53">
        <v>0</v>
      </c>
      <c r="BZ34" s="53">
        <v>6537.2772044236772</v>
      </c>
      <c r="CA34" s="53">
        <v>222267.42495040508</v>
      </c>
      <c r="CC34" s="53">
        <v>0</v>
      </c>
      <c r="CD34" s="53">
        <v>873.51079597056025</v>
      </c>
      <c r="CE34" s="53">
        <v>29699.367062999048</v>
      </c>
      <c r="CG34" s="53">
        <v>0</v>
      </c>
      <c r="CH34" s="53">
        <v>53377.672833333323</v>
      </c>
      <c r="CI34" s="53">
        <v>320266.03700000001</v>
      </c>
      <c r="CK34" s="53">
        <v>0</v>
      </c>
      <c r="CL34" s="53">
        <v>5312.4222745651196</v>
      </c>
      <c r="CM34" s="53">
        <v>180622.3573352141</v>
      </c>
      <c r="CO34" s="53">
        <v>0</v>
      </c>
      <c r="CP34" s="53">
        <v>0</v>
      </c>
      <c r="CQ34" s="53">
        <v>0</v>
      </c>
      <c r="CS34" s="53">
        <v>0</v>
      </c>
      <c r="CT34" s="53">
        <v>132230.86077887748</v>
      </c>
      <c r="CU34" s="53">
        <v>3001831.2402486857</v>
      </c>
      <c r="CW34" s="53">
        <v>0</v>
      </c>
      <c r="CX34" s="53">
        <v>30900</v>
      </c>
      <c r="CY34" s="53">
        <v>190962</v>
      </c>
      <c r="DA34" s="53">
        <v>0</v>
      </c>
      <c r="DB34" s="53">
        <v>18096</v>
      </c>
      <c r="DC34" s="53">
        <v>112919.03999999999</v>
      </c>
      <c r="DE34" s="53">
        <v>0</v>
      </c>
      <c r="DF34" s="53">
        <v>1380.645344</v>
      </c>
      <c r="DG34" s="53">
        <v>14930.873434880003</v>
      </c>
      <c r="DI34" s="53">
        <v>0</v>
      </c>
      <c r="DJ34" s="53">
        <v>13260</v>
      </c>
      <c r="DK34" s="53">
        <v>81151.200000000012</v>
      </c>
      <c r="DM34" s="53">
        <v>0</v>
      </c>
      <c r="DN34" s="53">
        <v>9112.1699999999983</v>
      </c>
      <c r="DO34" s="53">
        <v>170740.04399999999</v>
      </c>
      <c r="DQ34" s="53">
        <v>0</v>
      </c>
      <c r="DR34" s="53">
        <v>12600</v>
      </c>
      <c r="DS34" s="53">
        <v>79380</v>
      </c>
      <c r="DU34" s="53">
        <v>0</v>
      </c>
      <c r="DV34" s="53">
        <v>151234.47</v>
      </c>
      <c r="DW34" s="53">
        <v>0</v>
      </c>
      <c r="DY34" s="53">
        <v>0</v>
      </c>
      <c r="DZ34" s="53">
        <v>21402.572286228264</v>
      </c>
      <c r="EA34" s="53">
        <v>553581.08676387917</v>
      </c>
      <c r="EC34" s="53">
        <v>0</v>
      </c>
      <c r="ED34" s="53">
        <v>0</v>
      </c>
      <c r="EE34" s="53">
        <v>0</v>
      </c>
      <c r="EG34" s="53">
        <v>0</v>
      </c>
      <c r="EH34" s="53">
        <v>0</v>
      </c>
      <c r="EI34" s="53">
        <v>-882557.22688975977</v>
      </c>
      <c r="EK34" s="53">
        <v>0</v>
      </c>
      <c r="EL34" s="53">
        <v>2616.5976010658901</v>
      </c>
      <c r="EM34" s="53">
        <v>98837.597393769567</v>
      </c>
      <c r="EO34" s="53">
        <v>0</v>
      </c>
      <c r="EP34" s="53">
        <v>0</v>
      </c>
      <c r="EQ34" s="53">
        <v>1</v>
      </c>
      <c r="ES34" s="53">
        <v>0</v>
      </c>
      <c r="ET34" s="53">
        <v>0</v>
      </c>
      <c r="EU34" s="53">
        <v>1</v>
      </c>
      <c r="EW34" s="53">
        <v>0</v>
      </c>
      <c r="EX34" s="53">
        <v>1</v>
      </c>
      <c r="EY34" s="53">
        <v>1</v>
      </c>
    </row>
    <row r="35" spans="1:155" x14ac:dyDescent="0.25">
      <c r="B35" t="str">
        <v>JV1</v>
      </c>
      <c r="C35" t="str">
        <v>Center</v>
      </c>
      <c r="D35" t="str">
        <v>New Jersey</v>
      </c>
      <c r="E35" s="53">
        <v>0</v>
      </c>
      <c r="F35" s="53">
        <v>315.03999999999996</v>
      </c>
      <c r="G35" s="53">
        <v>28353.599999999995</v>
      </c>
      <c r="I35" s="53">
        <v>0</v>
      </c>
      <c r="J35" s="53">
        <v>2.8299999999999996</v>
      </c>
      <c r="K35" s="53">
        <v>36.71</v>
      </c>
      <c r="M35" s="53">
        <v>0</v>
      </c>
      <c r="N35" s="53">
        <v>0.43</v>
      </c>
      <c r="O35" s="53">
        <v>5.58</v>
      </c>
      <c r="Q35" s="53">
        <v>0</v>
      </c>
      <c r="R35" s="53">
        <v>3</v>
      </c>
      <c r="S35" s="53">
        <v>42</v>
      </c>
      <c r="U35" s="53">
        <v>0</v>
      </c>
      <c r="V35" s="53">
        <v>3</v>
      </c>
      <c r="W35" s="53">
        <v>9</v>
      </c>
      <c r="Y35" s="53">
        <v>0</v>
      </c>
      <c r="Z35" s="53">
        <v>3</v>
      </c>
      <c r="AA35" s="53">
        <v>39</v>
      </c>
      <c r="AC35" s="53">
        <v>0</v>
      </c>
      <c r="AD35" s="53">
        <v>0</v>
      </c>
      <c r="AE35" s="53">
        <v>49</v>
      </c>
      <c r="AG35" s="53">
        <v>0</v>
      </c>
      <c r="AH35" s="53">
        <v>0</v>
      </c>
      <c r="AI35" s="53">
        <v>13</v>
      </c>
      <c r="AK35" s="53">
        <v>0</v>
      </c>
      <c r="AL35" s="53">
        <v>3</v>
      </c>
      <c r="AM35" s="53">
        <v>52</v>
      </c>
      <c r="AO35" s="53">
        <v>0</v>
      </c>
      <c r="AP35" s="53">
        <v>705500</v>
      </c>
      <c r="AQ35" s="53">
        <v>705500</v>
      </c>
      <c r="AS35" s="53">
        <v>0</v>
      </c>
      <c r="AT35" s="53">
        <v>57218.102679999996</v>
      </c>
      <c r="AU35" s="53">
        <v>5149629.2412</v>
      </c>
      <c r="AW35" s="53">
        <v>0</v>
      </c>
      <c r="AX35" s="53">
        <v>71094.22760506667</v>
      </c>
      <c r="AY35" s="53">
        <v>4566558.752816</v>
      </c>
      <c r="BA35" s="53">
        <v>0</v>
      </c>
      <c r="BB35" s="53">
        <v>-10068.832691599999</v>
      </c>
      <c r="BC35" s="53">
        <v>-656387.43338399997</v>
      </c>
      <c r="BE35" s="53">
        <v>0</v>
      </c>
      <c r="BF35" s="53">
        <v>46796.978800000004</v>
      </c>
      <c r="BG35" s="53">
        <v>4211728.0920000002</v>
      </c>
      <c r="BI35" s="53">
        <v>0</v>
      </c>
      <c r="BJ35" s="53">
        <v>2743.8788</v>
      </c>
      <c r="BK35" s="53">
        <v>246949.09199999998</v>
      </c>
      <c r="BM35" s="53">
        <v>0</v>
      </c>
      <c r="BN35" s="53">
        <v>6521.1174599999977</v>
      </c>
      <c r="BO35" s="53">
        <v>586900.57139999978</v>
      </c>
      <c r="BQ35" s="53">
        <v>0</v>
      </c>
      <c r="BR35" s="53">
        <v>501.62441999999999</v>
      </c>
      <c r="BS35" s="53">
        <v>45146.197800000002</v>
      </c>
      <c r="BU35" s="53">
        <v>0</v>
      </c>
      <c r="BV35" s="53">
        <v>654.50319999999988</v>
      </c>
      <c r="BW35" s="53">
        <v>58905.288</v>
      </c>
      <c r="BY35" s="53">
        <v>0</v>
      </c>
      <c r="BZ35" s="53">
        <v>2179.0924014745592</v>
      </c>
      <c r="CA35" s="53">
        <v>196118.31613271034</v>
      </c>
      <c r="CC35" s="53">
        <v>0</v>
      </c>
      <c r="CD35" s="53">
        <v>291.17026532352008</v>
      </c>
      <c r="CE35" s="53">
        <v>26205.323879116804</v>
      </c>
      <c r="CG35" s="53">
        <v>0</v>
      </c>
      <c r="CH35" s="53">
        <v>26688.836416666662</v>
      </c>
      <c r="CI35" s="53">
        <v>320266.03700000001</v>
      </c>
      <c r="CK35" s="53">
        <v>0</v>
      </c>
      <c r="CL35" s="53">
        <v>1770.8074248550399</v>
      </c>
      <c r="CM35" s="53">
        <v>159372.66823695358</v>
      </c>
      <c r="CO35" s="53">
        <v>0</v>
      </c>
      <c r="CP35" s="53">
        <v>0</v>
      </c>
      <c r="CQ35" s="53">
        <v>0</v>
      </c>
      <c r="CS35" s="53">
        <v>0</v>
      </c>
      <c r="CT35" s="53">
        <v>47974.288916403617</v>
      </c>
      <c r="CU35" s="53">
        <v>2635834.7327946252</v>
      </c>
      <c r="CW35" s="53">
        <v>0</v>
      </c>
      <c r="CX35" s="53">
        <v>15450</v>
      </c>
      <c r="CY35" s="53">
        <v>190962</v>
      </c>
      <c r="DA35" s="53">
        <v>0</v>
      </c>
      <c r="DB35" s="53">
        <v>9048</v>
      </c>
      <c r="DC35" s="53">
        <v>112919.03999999999</v>
      </c>
      <c r="DE35" s="53">
        <v>0</v>
      </c>
      <c r="DF35" s="53">
        <v>378.451008</v>
      </c>
      <c r="DG35" s="53">
        <v>14770.522341120004</v>
      </c>
      <c r="DI35" s="53">
        <v>0</v>
      </c>
      <c r="DJ35" s="53">
        <v>6630</v>
      </c>
      <c r="DK35" s="53">
        <v>81151.200000000012</v>
      </c>
      <c r="DM35" s="53">
        <v>0</v>
      </c>
      <c r="DN35" s="53">
        <v>3604.6799999999994</v>
      </c>
      <c r="DO35" s="53">
        <v>155060.17559999996</v>
      </c>
      <c r="DQ35" s="53">
        <v>0</v>
      </c>
      <c r="DR35" s="53">
        <v>6300</v>
      </c>
      <c r="DS35" s="53">
        <v>79380</v>
      </c>
      <c r="DU35" s="53">
        <v>0</v>
      </c>
      <c r="DV35" s="53">
        <v>151234.47</v>
      </c>
      <c r="DW35" s="53">
        <v>0</v>
      </c>
      <c r="DY35" s="53">
        <v>0</v>
      </c>
      <c r="DZ35" s="53">
        <v>7947.8722462188271</v>
      </c>
      <c r="EA35" s="53">
        <v>490682.21647032909</v>
      </c>
      <c r="EC35" s="53">
        <v>0</v>
      </c>
      <c r="ED35" s="53">
        <v>0</v>
      </c>
      <c r="EE35" s="53">
        <v>0</v>
      </c>
      <c r="EG35" s="53">
        <v>0</v>
      </c>
      <c r="EH35" s="53">
        <v>0</v>
      </c>
      <c r="EI35" s="53">
        <v>-814763.43087891978</v>
      </c>
      <c r="EK35" s="53">
        <v>0</v>
      </c>
      <c r="EL35" s="53">
        <v>872.19920035529663</v>
      </c>
      <c r="EM35" s="53">
        <v>87209.644759208444</v>
      </c>
      <c r="EO35" s="53">
        <v>0</v>
      </c>
      <c r="EP35" s="53">
        <v>0</v>
      </c>
      <c r="EQ35" s="53">
        <v>1</v>
      </c>
      <c r="ES35" s="53">
        <v>0</v>
      </c>
      <c r="ET35" s="53">
        <v>0</v>
      </c>
      <c r="EU35" s="53">
        <v>1</v>
      </c>
      <c r="EW35" s="53">
        <v>0</v>
      </c>
      <c r="EX35" s="53">
        <v>1</v>
      </c>
      <c r="EY35" s="53">
        <v>1</v>
      </c>
    </row>
    <row r="36" spans="1:155" x14ac:dyDescent="0.25">
      <c r="B36" t="str">
        <v>JV1</v>
      </c>
      <c r="C36" t="str">
        <v>Remote</v>
      </c>
      <c r="D36" t="str">
        <v>New Jersey</v>
      </c>
      <c r="E36" s="53">
        <v>0</v>
      </c>
      <c r="F36" s="53">
        <v>0</v>
      </c>
      <c r="G36" s="53">
        <v>4646.3999999999996</v>
      </c>
      <c r="I36" s="53">
        <v>0</v>
      </c>
      <c r="J36" s="53">
        <v>0</v>
      </c>
      <c r="K36" s="53">
        <v>7.67</v>
      </c>
      <c r="M36" s="53">
        <v>0</v>
      </c>
      <c r="N36" s="53">
        <v>0</v>
      </c>
      <c r="O36" s="53">
        <v>1.55</v>
      </c>
      <c r="Q36" s="53">
        <v>0</v>
      </c>
      <c r="R36" s="53">
        <v>0</v>
      </c>
      <c r="S36" s="53">
        <v>9</v>
      </c>
      <c r="U36" s="53">
        <v>0</v>
      </c>
      <c r="V36" s="53">
        <v>0</v>
      </c>
      <c r="W36" s="53">
        <v>3</v>
      </c>
      <c r="Y36" s="53">
        <v>0</v>
      </c>
      <c r="Z36" s="53">
        <v>0</v>
      </c>
      <c r="AA36" s="53">
        <v>17</v>
      </c>
      <c r="AC36" s="53">
        <v>0</v>
      </c>
      <c r="AD36" s="53">
        <v>0</v>
      </c>
      <c r="AE36" s="53">
        <v>22.928571428571427</v>
      </c>
      <c r="AG36" s="53">
        <v>0</v>
      </c>
      <c r="AH36" s="53">
        <v>0</v>
      </c>
      <c r="AI36" s="53">
        <v>7.5</v>
      </c>
      <c r="AK36" s="53">
        <v>0</v>
      </c>
      <c r="AL36" s="53">
        <v>0</v>
      </c>
      <c r="AM36" s="53">
        <v>24.5</v>
      </c>
      <c r="AO36" s="53">
        <v>0</v>
      </c>
      <c r="AP36" s="53">
        <v>0</v>
      </c>
      <c r="AQ36" s="53">
        <v>0</v>
      </c>
      <c r="AS36" s="53">
        <v>0</v>
      </c>
      <c r="AT36" s="53">
        <v>0</v>
      </c>
      <c r="AU36" s="53">
        <v>866362.30349999992</v>
      </c>
      <c r="AW36" s="53">
        <v>0</v>
      </c>
      <c r="AX36" s="53">
        <v>0</v>
      </c>
      <c r="AY36" s="53">
        <v>762398.82707999996</v>
      </c>
      <c r="BA36" s="53">
        <v>0</v>
      </c>
      <c r="BB36" s="53">
        <v>0</v>
      </c>
      <c r="BC36" s="53">
        <v>-103963.47641999999</v>
      </c>
      <c r="BE36" s="53">
        <v>0</v>
      </c>
      <c r="BF36" s="53">
        <v>0</v>
      </c>
      <c r="BG36" s="53">
        <v>733861.71299999999</v>
      </c>
      <c r="BI36" s="53">
        <v>0</v>
      </c>
      <c r="BJ36" s="53">
        <v>0</v>
      </c>
      <c r="BK36" s="53">
        <v>0</v>
      </c>
      <c r="BM36" s="53">
        <v>0</v>
      </c>
      <c r="BN36" s="53">
        <v>0</v>
      </c>
      <c r="BO36" s="53">
        <v>97816.761899999969</v>
      </c>
      <c r="BQ36" s="53">
        <v>0</v>
      </c>
      <c r="BR36" s="53">
        <v>0</v>
      </c>
      <c r="BS36" s="53">
        <v>15048.732600000001</v>
      </c>
      <c r="BU36" s="53">
        <v>0</v>
      </c>
      <c r="BV36" s="53">
        <v>0</v>
      </c>
      <c r="BW36" s="53">
        <v>19635.095999999998</v>
      </c>
      <c r="BY36" s="53">
        <v>0</v>
      </c>
      <c r="BZ36" s="53">
        <v>0</v>
      </c>
      <c r="CA36" s="53">
        <v>0</v>
      </c>
      <c r="CC36" s="53">
        <v>0</v>
      </c>
      <c r="CD36" s="53">
        <v>0</v>
      </c>
      <c r="CE36" s="53">
        <v>0</v>
      </c>
      <c r="CG36" s="53">
        <v>0</v>
      </c>
      <c r="CH36" s="53">
        <v>0</v>
      </c>
      <c r="CI36" s="53">
        <v>0</v>
      </c>
      <c r="CK36" s="53">
        <v>0</v>
      </c>
      <c r="CL36" s="53">
        <v>0</v>
      </c>
      <c r="CM36" s="53">
        <v>0</v>
      </c>
      <c r="CO36" s="53">
        <v>0</v>
      </c>
      <c r="CP36" s="53">
        <v>0</v>
      </c>
      <c r="CQ36" s="53">
        <v>0</v>
      </c>
      <c r="CS36" s="53">
        <v>0</v>
      </c>
      <c r="CT36" s="53">
        <v>0</v>
      </c>
      <c r="CU36" s="53">
        <v>456162.63770988106</v>
      </c>
      <c r="CW36" s="53">
        <v>0</v>
      </c>
      <c r="CX36" s="53">
        <v>0</v>
      </c>
      <c r="CY36" s="53">
        <v>0</v>
      </c>
      <c r="DA36" s="53">
        <v>0</v>
      </c>
      <c r="DB36" s="53">
        <v>0</v>
      </c>
      <c r="DC36" s="53">
        <v>0</v>
      </c>
      <c r="DE36" s="53">
        <v>0</v>
      </c>
      <c r="DF36" s="53">
        <v>0</v>
      </c>
      <c r="DG36" s="53">
        <v>9526.3127065600002</v>
      </c>
      <c r="DI36" s="53">
        <v>0</v>
      </c>
      <c r="DJ36" s="53">
        <v>0</v>
      </c>
      <c r="DK36" s="53">
        <v>0</v>
      </c>
      <c r="DM36" s="53">
        <v>0</v>
      </c>
      <c r="DN36" s="53">
        <v>0</v>
      </c>
      <c r="DO36" s="53">
        <v>53174.844000000012</v>
      </c>
      <c r="DQ36" s="53">
        <v>0</v>
      </c>
      <c r="DR36" s="53">
        <v>0</v>
      </c>
      <c r="DS36" s="53">
        <v>0</v>
      </c>
      <c r="DU36" s="53">
        <v>0</v>
      </c>
      <c r="DV36" s="53">
        <v>0</v>
      </c>
      <c r="DW36" s="53">
        <v>0</v>
      </c>
      <c r="DY36" s="53">
        <v>0</v>
      </c>
      <c r="DZ36" s="53">
        <v>0</v>
      </c>
      <c r="EA36" s="53">
        <v>80420.974190390072</v>
      </c>
      <c r="EC36" s="53">
        <v>0</v>
      </c>
      <c r="ED36" s="53">
        <v>0</v>
      </c>
      <c r="EE36" s="53">
        <v>0</v>
      </c>
      <c r="EG36" s="53">
        <v>0</v>
      </c>
      <c r="EH36" s="53">
        <v>0</v>
      </c>
      <c r="EI36" s="53">
        <v>-29225.288371399995</v>
      </c>
      <c r="EK36" s="53">
        <v>0</v>
      </c>
      <c r="EL36" s="53">
        <v>0</v>
      </c>
      <c r="EM36" s="53">
        <v>14291.338433538815</v>
      </c>
      <c r="EO36" s="53">
        <v>0</v>
      </c>
      <c r="EP36" s="53">
        <v>0</v>
      </c>
      <c r="EQ36" s="53">
        <v>0</v>
      </c>
      <c r="ES36" s="53">
        <v>0</v>
      </c>
      <c r="ET36" s="53">
        <v>0</v>
      </c>
      <c r="EU36" s="53">
        <v>0</v>
      </c>
      <c r="EW36" s="53">
        <v>0</v>
      </c>
      <c r="EX36" s="53">
        <v>0</v>
      </c>
      <c r="EY36" s="53">
        <v>0</v>
      </c>
    </row>
    <row r="37" spans="1:155" x14ac:dyDescent="0.25">
      <c r="B37" t="str">
        <v>JV1</v>
      </c>
      <c r="C37" t="str">
        <v>Center</v>
      </c>
      <c r="D37" t="str">
        <v>New Jersey</v>
      </c>
      <c r="E37" s="53">
        <v>0</v>
      </c>
      <c r="F37" s="53">
        <v>6615.8399999999992</v>
      </c>
      <c r="G37" s="53">
        <v>44105.599999999991</v>
      </c>
      <c r="I37" s="53">
        <v>0</v>
      </c>
      <c r="J37" s="53">
        <v>16.950000000000003</v>
      </c>
      <c r="K37" s="53">
        <v>39.53</v>
      </c>
      <c r="M37" s="53">
        <v>0</v>
      </c>
      <c r="N37" s="53">
        <v>2.5799999999999996</v>
      </c>
      <c r="O37" s="53">
        <v>6</v>
      </c>
      <c r="Q37" s="53">
        <v>0</v>
      </c>
      <c r="R37" s="53">
        <v>20</v>
      </c>
      <c r="S37" s="53">
        <v>46</v>
      </c>
      <c r="U37" s="53">
        <v>0</v>
      </c>
      <c r="V37" s="53">
        <v>6</v>
      </c>
      <c r="W37" s="53">
        <v>9</v>
      </c>
      <c r="Y37" s="53">
        <v>0</v>
      </c>
      <c r="Z37" s="53">
        <v>18</v>
      </c>
      <c r="AA37" s="53">
        <v>42</v>
      </c>
      <c r="AC37" s="53">
        <v>0</v>
      </c>
      <c r="AD37" s="53">
        <v>17.5</v>
      </c>
      <c r="AE37" s="53">
        <v>44</v>
      </c>
      <c r="AG37" s="53">
        <v>0</v>
      </c>
      <c r="AH37" s="53">
        <v>2.5</v>
      </c>
      <c r="AI37" s="53">
        <v>23</v>
      </c>
      <c r="AK37" s="53">
        <v>0</v>
      </c>
      <c r="AL37" s="53">
        <v>20.5</v>
      </c>
      <c r="AM37" s="53">
        <v>65</v>
      </c>
      <c r="AO37" s="53">
        <v>0</v>
      </c>
      <c r="AP37" s="53">
        <v>1411000</v>
      </c>
      <c r="AQ37" s="53">
        <v>0</v>
      </c>
      <c r="AS37" s="53">
        <v>0</v>
      </c>
      <c r="AT37" s="53">
        <v>1201580.1562799998</v>
      </c>
      <c r="AU37" s="53">
        <v>8010534.3751999969</v>
      </c>
      <c r="AW37" s="53">
        <v>0</v>
      </c>
      <c r="AX37" s="53">
        <v>1140686.1390064</v>
      </c>
      <c r="AY37" s="53">
        <v>6946961.3307359982</v>
      </c>
      <c r="BA37" s="53">
        <v>0</v>
      </c>
      <c r="BB37" s="53">
        <v>-163405.58097359998</v>
      </c>
      <c r="BC37" s="53">
        <v>-999696.04946399957</v>
      </c>
      <c r="BE37" s="53">
        <v>0</v>
      </c>
      <c r="BF37" s="53">
        <v>982736.55480000004</v>
      </c>
      <c r="BG37" s="53">
        <v>6551577.0319999978</v>
      </c>
      <c r="BI37" s="53">
        <v>0</v>
      </c>
      <c r="BJ37" s="53">
        <v>57621.4548</v>
      </c>
      <c r="BK37" s="53">
        <v>384143.03200000006</v>
      </c>
      <c r="BM37" s="53">
        <v>0</v>
      </c>
      <c r="BN37" s="53">
        <v>136943.46665999995</v>
      </c>
      <c r="BO37" s="53">
        <v>912956.44439999957</v>
      </c>
      <c r="BQ37" s="53">
        <v>0</v>
      </c>
      <c r="BR37" s="53">
        <v>10534.11282</v>
      </c>
      <c r="BS37" s="53">
        <v>70227.418799999999</v>
      </c>
      <c r="BU37" s="53">
        <v>0</v>
      </c>
      <c r="BV37" s="53">
        <v>13744.567199999998</v>
      </c>
      <c r="BW37" s="53">
        <v>91630.448000000019</v>
      </c>
      <c r="BY37" s="53">
        <v>0</v>
      </c>
      <c r="BZ37" s="53">
        <v>45760.940430965748</v>
      </c>
      <c r="CA37" s="53">
        <v>305072.93620643835</v>
      </c>
      <c r="CC37" s="53">
        <v>0</v>
      </c>
      <c r="CD37" s="53">
        <v>6114.575571793921</v>
      </c>
      <c r="CE37" s="53">
        <v>40763.837145292811</v>
      </c>
      <c r="CG37" s="53">
        <v>0</v>
      </c>
      <c r="CH37" s="53">
        <v>160133.01849999998</v>
      </c>
      <c r="CI37" s="53">
        <v>320266.03700000001</v>
      </c>
      <c r="CK37" s="53">
        <v>0</v>
      </c>
      <c r="CL37" s="53">
        <v>37186.955921955836</v>
      </c>
      <c r="CM37" s="53">
        <v>247913.03947970559</v>
      </c>
      <c r="CO37" s="53">
        <v>0</v>
      </c>
      <c r="CP37" s="53">
        <v>0</v>
      </c>
      <c r="CQ37" s="53">
        <v>0</v>
      </c>
      <c r="CS37" s="53">
        <v>0</v>
      </c>
      <c r="CT37" s="53">
        <v>671518.87044447602</v>
      </c>
      <c r="CU37" s="53">
        <v>3786392.2585168239</v>
      </c>
      <c r="CW37" s="53">
        <v>0</v>
      </c>
      <c r="CX37" s="53">
        <v>92700</v>
      </c>
      <c r="CY37" s="53">
        <v>190962</v>
      </c>
      <c r="DA37" s="53">
        <v>0</v>
      </c>
      <c r="DB37" s="53">
        <v>48048</v>
      </c>
      <c r="DC37" s="53">
        <v>99939.84000000004</v>
      </c>
      <c r="DE37" s="53">
        <v>0</v>
      </c>
      <c r="DF37" s="53">
        <v>5715.3110560000005</v>
      </c>
      <c r="DG37" s="53">
        <v>15382.771971840004</v>
      </c>
      <c r="DI37" s="53">
        <v>0</v>
      </c>
      <c r="DJ37" s="53">
        <v>39780</v>
      </c>
      <c r="DK37" s="53">
        <v>81151.200000000012</v>
      </c>
      <c r="DM37" s="53">
        <v>0</v>
      </c>
      <c r="DN37" s="53">
        <v>44165.49</v>
      </c>
      <c r="DO37" s="53">
        <v>220324.9878</v>
      </c>
      <c r="DQ37" s="53">
        <v>0</v>
      </c>
      <c r="DR37" s="53">
        <v>37800</v>
      </c>
      <c r="DS37" s="53">
        <v>79380</v>
      </c>
      <c r="DU37" s="53">
        <v>0</v>
      </c>
      <c r="DV37" s="53">
        <v>151234.47</v>
      </c>
      <c r="DW37" s="53">
        <v>0</v>
      </c>
      <c r="DY37" s="53">
        <v>0</v>
      </c>
      <c r="DZ37" s="53">
        <v>132903.76279490779</v>
      </c>
      <c r="EA37" s="53">
        <v>756553.93328526441</v>
      </c>
      <c r="EC37" s="53">
        <v>0</v>
      </c>
      <c r="ED37" s="53">
        <v>0</v>
      </c>
      <c r="EE37" s="53">
        <v>0</v>
      </c>
      <c r="EG37" s="53">
        <v>0</v>
      </c>
      <c r="EH37" s="53">
        <v>-275935.9891992</v>
      </c>
      <c r="EI37" s="53">
        <v>-949208.49907151994</v>
      </c>
      <c r="EK37" s="53">
        <v>0</v>
      </c>
      <c r="EL37" s="53">
        <v>18316.183207461228</v>
      </c>
      <c r="EM37" s="53">
        <v>135659.44740321313</v>
      </c>
      <c r="EO37" s="53">
        <v>0</v>
      </c>
      <c r="EP37" s="53">
        <v>0</v>
      </c>
      <c r="EQ37" s="53">
        <v>1</v>
      </c>
      <c r="ES37" s="53">
        <v>0</v>
      </c>
      <c r="ET37" s="53">
        <v>0</v>
      </c>
      <c r="EU37" s="53">
        <v>1</v>
      </c>
      <c r="EW37" s="53">
        <v>0</v>
      </c>
      <c r="EX37" s="53">
        <v>1</v>
      </c>
      <c r="EY37" s="53">
        <v>1</v>
      </c>
    </row>
    <row r="38" spans="1:155" x14ac:dyDescent="0.25">
      <c r="B38" t="str">
        <v>JV1</v>
      </c>
      <c r="C38" t="str">
        <v>Center</v>
      </c>
      <c r="D38" t="str">
        <v>New Jersey</v>
      </c>
      <c r="E38" s="53">
        <v>0</v>
      </c>
      <c r="F38" s="53">
        <v>0</v>
      </c>
      <c r="G38" s="53">
        <v>6615.8399999999992</v>
      </c>
      <c r="I38" s="53">
        <v>0</v>
      </c>
      <c r="J38" s="53">
        <v>0</v>
      </c>
      <c r="K38" s="53">
        <v>16.950000000000003</v>
      </c>
      <c r="M38" s="53">
        <v>0</v>
      </c>
      <c r="N38" s="53">
        <v>0</v>
      </c>
      <c r="O38" s="53">
        <v>2.5799999999999996</v>
      </c>
      <c r="Q38" s="53">
        <v>0</v>
      </c>
      <c r="R38" s="53">
        <v>0</v>
      </c>
      <c r="S38" s="53">
        <v>20</v>
      </c>
      <c r="U38" s="53">
        <v>0</v>
      </c>
      <c r="V38" s="53">
        <v>0</v>
      </c>
      <c r="W38" s="53">
        <v>6</v>
      </c>
      <c r="Y38" s="53">
        <v>0</v>
      </c>
      <c r="Z38" s="53">
        <v>0</v>
      </c>
      <c r="AA38" s="53">
        <v>18</v>
      </c>
      <c r="AC38" s="53">
        <v>0</v>
      </c>
      <c r="AD38" s="53">
        <v>0</v>
      </c>
      <c r="AE38" s="53">
        <v>17.5</v>
      </c>
      <c r="AG38" s="53">
        <v>0</v>
      </c>
      <c r="AH38" s="53">
        <v>0</v>
      </c>
      <c r="AI38" s="53">
        <v>2.5</v>
      </c>
      <c r="AK38" s="53">
        <v>0</v>
      </c>
      <c r="AL38" s="53">
        <v>0</v>
      </c>
      <c r="AM38" s="53">
        <v>20.5</v>
      </c>
      <c r="AO38" s="53">
        <v>0</v>
      </c>
      <c r="AP38" s="53">
        <v>0</v>
      </c>
      <c r="AQ38" s="53">
        <v>1411000</v>
      </c>
      <c r="AS38" s="53">
        <v>0</v>
      </c>
      <c r="AT38" s="53">
        <v>0</v>
      </c>
      <c r="AU38" s="53">
        <v>1201580.1562799998</v>
      </c>
      <c r="AW38" s="53">
        <v>0</v>
      </c>
      <c r="AX38" s="53">
        <v>0</v>
      </c>
      <c r="AY38" s="53">
        <v>1140686.1390064</v>
      </c>
      <c r="BA38" s="53">
        <v>0</v>
      </c>
      <c r="BB38" s="53">
        <v>0</v>
      </c>
      <c r="BC38" s="53">
        <v>-163405.58097359998</v>
      </c>
      <c r="BE38" s="53">
        <v>0</v>
      </c>
      <c r="BF38" s="53">
        <v>0</v>
      </c>
      <c r="BG38" s="53">
        <v>982736.55480000004</v>
      </c>
      <c r="BI38" s="53">
        <v>0</v>
      </c>
      <c r="BJ38" s="53">
        <v>0</v>
      </c>
      <c r="BK38" s="53">
        <v>57621.4548</v>
      </c>
      <c r="BM38" s="53">
        <v>0</v>
      </c>
      <c r="BN38" s="53">
        <v>0</v>
      </c>
      <c r="BO38" s="53">
        <v>136943.46665999995</v>
      </c>
      <c r="BQ38" s="53">
        <v>0</v>
      </c>
      <c r="BR38" s="53">
        <v>0</v>
      </c>
      <c r="BS38" s="53">
        <v>10534.11282</v>
      </c>
      <c r="BU38" s="53">
        <v>0</v>
      </c>
      <c r="BV38" s="53">
        <v>0</v>
      </c>
      <c r="BW38" s="53">
        <v>13744.567199999998</v>
      </c>
      <c r="BY38" s="53">
        <v>0</v>
      </c>
      <c r="BZ38" s="53">
        <v>0</v>
      </c>
      <c r="CA38" s="53">
        <v>45760.940430965748</v>
      </c>
      <c r="CC38" s="53">
        <v>0</v>
      </c>
      <c r="CD38" s="53">
        <v>0</v>
      </c>
      <c r="CE38" s="53">
        <v>6114.575571793921</v>
      </c>
      <c r="CG38" s="53">
        <v>0</v>
      </c>
      <c r="CH38" s="53">
        <v>0</v>
      </c>
      <c r="CI38" s="53">
        <v>160133.01849999998</v>
      </c>
      <c r="CK38" s="53">
        <v>0</v>
      </c>
      <c r="CL38" s="53">
        <v>0</v>
      </c>
      <c r="CM38" s="53">
        <v>37186.955921955836</v>
      </c>
      <c r="CO38" s="53">
        <v>0</v>
      </c>
      <c r="CP38" s="53">
        <v>0</v>
      </c>
      <c r="CQ38" s="53">
        <v>0</v>
      </c>
      <c r="CS38" s="53">
        <v>0</v>
      </c>
      <c r="CT38" s="53">
        <v>0</v>
      </c>
      <c r="CU38" s="53">
        <v>879030.75748892361</v>
      </c>
      <c r="CW38" s="53">
        <v>0</v>
      </c>
      <c r="CX38" s="53">
        <v>0</v>
      </c>
      <c r="CY38" s="53">
        <v>95481</v>
      </c>
      <c r="DA38" s="53">
        <v>0</v>
      </c>
      <c r="DB38" s="53">
        <v>0</v>
      </c>
      <c r="DC38" s="53">
        <v>49969.920000000006</v>
      </c>
      <c r="DE38" s="53">
        <v>0</v>
      </c>
      <c r="DF38" s="53">
        <v>0</v>
      </c>
      <c r="DG38" s="53">
        <v>5943.9234982400012</v>
      </c>
      <c r="DI38" s="53">
        <v>0</v>
      </c>
      <c r="DJ38" s="53">
        <v>0</v>
      </c>
      <c r="DK38" s="53">
        <v>40575.599999999999</v>
      </c>
      <c r="DM38" s="53">
        <v>0</v>
      </c>
      <c r="DN38" s="53">
        <v>0</v>
      </c>
      <c r="DO38" s="53">
        <v>45048.799799999993</v>
      </c>
      <c r="DQ38" s="53">
        <v>0</v>
      </c>
      <c r="DR38" s="53">
        <v>0</v>
      </c>
      <c r="DS38" s="53">
        <v>39690</v>
      </c>
      <c r="DU38" s="53">
        <v>0</v>
      </c>
      <c r="DV38" s="53">
        <v>0</v>
      </c>
      <c r="DW38" s="53">
        <v>151234.47</v>
      </c>
      <c r="DY38" s="53">
        <v>0</v>
      </c>
      <c r="DZ38" s="53">
        <v>0</v>
      </c>
      <c r="EA38" s="53">
        <v>118017.30918538864</v>
      </c>
      <c r="EC38" s="53">
        <v>0</v>
      </c>
      <c r="ED38" s="53">
        <v>0</v>
      </c>
      <c r="EE38" s="53">
        <v>0</v>
      </c>
      <c r="EG38" s="53">
        <v>0</v>
      </c>
      <c r="EH38" s="53">
        <v>0</v>
      </c>
      <c r="EI38" s="53">
        <v>-275935.9891992</v>
      </c>
      <c r="EK38" s="53">
        <v>0</v>
      </c>
      <c r="EL38" s="53">
        <v>0</v>
      </c>
      <c r="EM38" s="53">
        <v>20348.917110481972</v>
      </c>
      <c r="EO38" s="53">
        <v>0</v>
      </c>
      <c r="EP38" s="53">
        <v>0</v>
      </c>
      <c r="EQ38" s="53">
        <v>0</v>
      </c>
      <c r="ES38" s="53">
        <v>0</v>
      </c>
      <c r="ET38" s="53">
        <v>0</v>
      </c>
      <c r="EU38" s="53">
        <v>0</v>
      </c>
      <c r="EW38" s="53">
        <v>0</v>
      </c>
      <c r="EX38" s="53">
        <v>0</v>
      </c>
      <c r="EY38" s="53">
        <v>1</v>
      </c>
    </row>
    <row r="39" spans="1:155" x14ac:dyDescent="0.25">
      <c r="B39" t="str">
        <v>JV1</v>
      </c>
      <c r="C39" t="str">
        <v>Remote</v>
      </c>
      <c r="D39" t="str">
        <v>New Jersey</v>
      </c>
      <c r="E39" s="53">
        <v>0</v>
      </c>
      <c r="F39" s="53">
        <v>0</v>
      </c>
      <c r="G39" s="53">
        <v>2323.1999999999998</v>
      </c>
      <c r="I39" s="53">
        <v>0</v>
      </c>
      <c r="J39" s="53">
        <v>0</v>
      </c>
      <c r="K39" s="53">
        <v>5.42</v>
      </c>
      <c r="M39" s="53">
        <v>0</v>
      </c>
      <c r="N39" s="53">
        <v>0</v>
      </c>
      <c r="O39" s="53">
        <v>1.1000000000000001</v>
      </c>
      <c r="Q39" s="53">
        <v>0</v>
      </c>
      <c r="R39" s="53">
        <v>0</v>
      </c>
      <c r="S39" s="53">
        <v>7</v>
      </c>
      <c r="U39" s="53">
        <v>0</v>
      </c>
      <c r="V39" s="53">
        <v>0</v>
      </c>
      <c r="W39" s="53">
        <v>3</v>
      </c>
      <c r="Y39" s="53">
        <v>0</v>
      </c>
      <c r="Z39" s="53">
        <v>0</v>
      </c>
      <c r="AA39" s="53">
        <v>12</v>
      </c>
      <c r="AC39" s="53">
        <v>0</v>
      </c>
      <c r="AD39" s="53">
        <v>0</v>
      </c>
      <c r="AE39" s="53">
        <v>13.785714285714285</v>
      </c>
      <c r="AG39" s="53">
        <v>0</v>
      </c>
      <c r="AH39" s="53">
        <v>0</v>
      </c>
      <c r="AI39" s="53">
        <v>3.5</v>
      </c>
      <c r="AK39" s="53">
        <v>0</v>
      </c>
      <c r="AL39" s="53">
        <v>0</v>
      </c>
      <c r="AM39" s="53">
        <v>15.5</v>
      </c>
      <c r="AO39" s="53">
        <v>0</v>
      </c>
      <c r="AP39" s="53">
        <v>0</v>
      </c>
      <c r="AQ39" s="53">
        <v>0</v>
      </c>
      <c r="AS39" s="53">
        <v>0</v>
      </c>
      <c r="AT39" s="53">
        <v>0</v>
      </c>
      <c r="AU39" s="53">
        <v>433181.15174999996</v>
      </c>
      <c r="AW39" s="53">
        <v>0</v>
      </c>
      <c r="AX39" s="53">
        <v>0</v>
      </c>
      <c r="AY39" s="53">
        <v>381199.41353999998</v>
      </c>
      <c r="BA39" s="53">
        <v>0</v>
      </c>
      <c r="BB39" s="53">
        <v>0</v>
      </c>
      <c r="BC39" s="53">
        <v>-51981.738209999996</v>
      </c>
      <c r="BE39" s="53">
        <v>0</v>
      </c>
      <c r="BF39" s="53">
        <v>0</v>
      </c>
      <c r="BG39" s="53">
        <v>366930.85649999999</v>
      </c>
      <c r="BI39" s="53">
        <v>0</v>
      </c>
      <c r="BJ39" s="53">
        <v>0</v>
      </c>
      <c r="BK39" s="53">
        <v>0</v>
      </c>
      <c r="BM39" s="53">
        <v>0</v>
      </c>
      <c r="BN39" s="53">
        <v>0</v>
      </c>
      <c r="BO39" s="53">
        <v>48908.380949999984</v>
      </c>
      <c r="BQ39" s="53">
        <v>0</v>
      </c>
      <c r="BR39" s="53">
        <v>0</v>
      </c>
      <c r="BS39" s="53">
        <v>7524.3662999999997</v>
      </c>
      <c r="BU39" s="53">
        <v>0</v>
      </c>
      <c r="BV39" s="53">
        <v>0</v>
      </c>
      <c r="BW39" s="53">
        <v>9817.5479999999989</v>
      </c>
      <c r="BY39" s="53">
        <v>0</v>
      </c>
      <c r="BZ39" s="53">
        <v>0</v>
      </c>
      <c r="CA39" s="53">
        <v>0</v>
      </c>
      <c r="CC39" s="53">
        <v>0</v>
      </c>
      <c r="CD39" s="53">
        <v>0</v>
      </c>
      <c r="CE39" s="53">
        <v>0</v>
      </c>
      <c r="CG39" s="53">
        <v>0</v>
      </c>
      <c r="CH39" s="53">
        <v>0</v>
      </c>
      <c r="CI39" s="53">
        <v>0</v>
      </c>
      <c r="CK39" s="53">
        <v>0</v>
      </c>
      <c r="CL39" s="53">
        <v>0</v>
      </c>
      <c r="CM39" s="53">
        <v>0</v>
      </c>
      <c r="CO39" s="53">
        <v>0</v>
      </c>
      <c r="CP39" s="53">
        <v>0</v>
      </c>
      <c r="CQ39" s="53">
        <v>0</v>
      </c>
      <c r="CS39" s="53">
        <v>0</v>
      </c>
      <c r="CT39" s="53">
        <v>0</v>
      </c>
      <c r="CU39" s="53">
        <v>268239.86115427385</v>
      </c>
      <c r="CW39" s="53">
        <v>0</v>
      </c>
      <c r="CX39" s="53">
        <v>0</v>
      </c>
      <c r="CY39" s="53">
        <v>0</v>
      </c>
      <c r="DA39" s="53">
        <v>0</v>
      </c>
      <c r="DB39" s="53">
        <v>0</v>
      </c>
      <c r="DC39" s="53">
        <v>0</v>
      </c>
      <c r="DE39" s="53">
        <v>0</v>
      </c>
      <c r="DF39" s="53">
        <v>0</v>
      </c>
      <c r="DG39" s="53">
        <v>6250.0483136000003</v>
      </c>
      <c r="DI39" s="53">
        <v>0</v>
      </c>
      <c r="DJ39" s="53">
        <v>0</v>
      </c>
      <c r="DK39" s="53">
        <v>0</v>
      </c>
      <c r="DM39" s="53">
        <v>0</v>
      </c>
      <c r="DN39" s="53">
        <v>0</v>
      </c>
      <c r="DO39" s="53">
        <v>31550.13</v>
      </c>
      <c r="DQ39" s="53">
        <v>0</v>
      </c>
      <c r="DR39" s="53">
        <v>0</v>
      </c>
      <c r="DS39" s="53">
        <v>0</v>
      </c>
      <c r="DU39" s="53">
        <v>0</v>
      </c>
      <c r="DV39" s="53">
        <v>0</v>
      </c>
      <c r="DW39" s="53">
        <v>0</v>
      </c>
      <c r="DY39" s="53">
        <v>0</v>
      </c>
      <c r="DZ39" s="53">
        <v>0</v>
      </c>
      <c r="EA39" s="53">
        <v>39522.512479817102</v>
      </c>
      <c r="EC39" s="53">
        <v>0</v>
      </c>
      <c r="ED39" s="53">
        <v>0</v>
      </c>
      <c r="EE39" s="53">
        <v>0</v>
      </c>
      <c r="EG39" s="53">
        <v>0</v>
      </c>
      <c r="EH39" s="53">
        <v>0</v>
      </c>
      <c r="EI39" s="53">
        <v>-5082.6588471999985</v>
      </c>
      <c r="EK39" s="53">
        <v>0</v>
      </c>
      <c r="EL39" s="53">
        <v>0</v>
      </c>
      <c r="EM39" s="53">
        <v>7145.6692167694073</v>
      </c>
      <c r="EO39" s="53">
        <v>0</v>
      </c>
      <c r="EP39" s="53">
        <v>0</v>
      </c>
      <c r="EQ39" s="53">
        <v>0</v>
      </c>
      <c r="ES39" s="53">
        <v>0</v>
      </c>
      <c r="ET39" s="53">
        <v>0</v>
      </c>
      <c r="EU39" s="53">
        <v>0</v>
      </c>
      <c r="EW39" s="53">
        <v>0</v>
      </c>
      <c r="EX39" s="53">
        <v>0</v>
      </c>
      <c r="EY39" s="53">
        <v>0</v>
      </c>
    </row>
    <row r="40" spans="1:155" x14ac:dyDescent="0.25">
      <c r="B40" t="str">
        <v>JV1</v>
      </c>
      <c r="C40" t="str">
        <v>Center</v>
      </c>
      <c r="D40" t="str">
        <v>New Jersey</v>
      </c>
      <c r="E40" s="53">
        <v>0</v>
      </c>
      <c r="F40" s="53">
        <v>0</v>
      </c>
      <c r="G40" s="53">
        <v>4725.5999999999995</v>
      </c>
      <c r="I40" s="53">
        <v>0</v>
      </c>
      <c r="J40" s="53">
        <v>0</v>
      </c>
      <c r="K40" s="53">
        <v>14.12</v>
      </c>
      <c r="M40" s="53">
        <v>0</v>
      </c>
      <c r="N40" s="53">
        <v>0</v>
      </c>
      <c r="O40" s="53">
        <v>2.15</v>
      </c>
      <c r="Q40" s="53">
        <v>0</v>
      </c>
      <c r="R40" s="53">
        <v>0</v>
      </c>
      <c r="S40" s="53">
        <v>16</v>
      </c>
      <c r="U40" s="53">
        <v>0</v>
      </c>
      <c r="V40" s="53">
        <v>0</v>
      </c>
      <c r="W40" s="53">
        <v>6</v>
      </c>
      <c r="Y40" s="53">
        <v>0</v>
      </c>
      <c r="Z40" s="53">
        <v>0</v>
      </c>
      <c r="AA40" s="53">
        <v>15</v>
      </c>
      <c r="AC40" s="53">
        <v>0</v>
      </c>
      <c r="AD40" s="53">
        <v>0</v>
      </c>
      <c r="AE40" s="53">
        <v>13.666666666666666</v>
      </c>
      <c r="AG40" s="53">
        <v>0</v>
      </c>
      <c r="AH40" s="53">
        <v>0</v>
      </c>
      <c r="AI40" s="53">
        <v>1.6666666666666665</v>
      </c>
      <c r="AK40" s="53">
        <v>0</v>
      </c>
      <c r="AL40" s="53">
        <v>0</v>
      </c>
      <c r="AM40" s="53">
        <v>16.666666666666668</v>
      </c>
      <c r="AO40" s="53">
        <v>0</v>
      </c>
      <c r="AP40" s="53">
        <v>0</v>
      </c>
      <c r="AQ40" s="53">
        <v>1411000</v>
      </c>
      <c r="AS40" s="53">
        <v>0</v>
      </c>
      <c r="AT40" s="53">
        <v>0</v>
      </c>
      <c r="AU40" s="53">
        <v>858271.54019999993</v>
      </c>
      <c r="AW40" s="53">
        <v>0</v>
      </c>
      <c r="AX40" s="53">
        <v>0</v>
      </c>
      <c r="AY40" s="53">
        <v>831551.65360933333</v>
      </c>
      <c r="BA40" s="53">
        <v>0</v>
      </c>
      <c r="BB40" s="53">
        <v>0</v>
      </c>
      <c r="BC40" s="53">
        <v>-119005.88667399998</v>
      </c>
      <c r="BE40" s="53">
        <v>0</v>
      </c>
      <c r="BF40" s="53">
        <v>0</v>
      </c>
      <c r="BG40" s="53">
        <v>701954.68200000003</v>
      </c>
      <c r="BI40" s="53">
        <v>0</v>
      </c>
      <c r="BJ40" s="53">
        <v>0</v>
      </c>
      <c r="BK40" s="53">
        <v>41158.182000000001</v>
      </c>
      <c r="BM40" s="53">
        <v>0</v>
      </c>
      <c r="BN40" s="53">
        <v>0</v>
      </c>
      <c r="BO40" s="53">
        <v>97816.761899999969</v>
      </c>
      <c r="BQ40" s="53">
        <v>0</v>
      </c>
      <c r="BR40" s="53">
        <v>0</v>
      </c>
      <c r="BS40" s="53">
        <v>7524.3662999999997</v>
      </c>
      <c r="BU40" s="53">
        <v>0</v>
      </c>
      <c r="BV40" s="53">
        <v>0</v>
      </c>
      <c r="BW40" s="53">
        <v>9817.5479999999989</v>
      </c>
      <c r="BY40" s="53">
        <v>0</v>
      </c>
      <c r="BZ40" s="53">
        <v>0</v>
      </c>
      <c r="CA40" s="53">
        <v>32686.386022118393</v>
      </c>
      <c r="CC40" s="53">
        <v>0</v>
      </c>
      <c r="CD40" s="53">
        <v>0</v>
      </c>
      <c r="CE40" s="53">
        <v>4367.5539798528007</v>
      </c>
      <c r="CG40" s="53">
        <v>0</v>
      </c>
      <c r="CH40" s="53">
        <v>0</v>
      </c>
      <c r="CI40" s="53">
        <v>133444.18208333332</v>
      </c>
      <c r="CK40" s="53">
        <v>0</v>
      </c>
      <c r="CL40" s="53">
        <v>0</v>
      </c>
      <c r="CM40" s="53">
        <v>26562.111372825599</v>
      </c>
      <c r="CO40" s="53">
        <v>0</v>
      </c>
      <c r="CP40" s="53">
        <v>0</v>
      </c>
      <c r="CQ40" s="53">
        <v>0</v>
      </c>
      <c r="CS40" s="53">
        <v>0</v>
      </c>
      <c r="CT40" s="53">
        <v>0</v>
      </c>
      <c r="CU40" s="53">
        <v>554159.97118465975</v>
      </c>
      <c r="CW40" s="53">
        <v>0</v>
      </c>
      <c r="CX40" s="53">
        <v>0</v>
      </c>
      <c r="CY40" s="53">
        <v>79567.5</v>
      </c>
      <c r="DA40" s="53">
        <v>0</v>
      </c>
      <c r="DB40" s="53">
        <v>0</v>
      </c>
      <c r="DC40" s="53">
        <v>41641.600000000006</v>
      </c>
      <c r="DE40" s="53">
        <v>0</v>
      </c>
      <c r="DF40" s="53">
        <v>0</v>
      </c>
      <c r="DG40" s="53">
        <v>4759.5120102400006</v>
      </c>
      <c r="DI40" s="53">
        <v>0</v>
      </c>
      <c r="DJ40" s="53">
        <v>0</v>
      </c>
      <c r="DK40" s="53">
        <v>33813</v>
      </c>
      <c r="DM40" s="53">
        <v>0</v>
      </c>
      <c r="DN40" s="53">
        <v>0</v>
      </c>
      <c r="DO40" s="53">
        <v>34111.074599999993</v>
      </c>
      <c r="DQ40" s="53">
        <v>0</v>
      </c>
      <c r="DR40" s="53">
        <v>0</v>
      </c>
      <c r="DS40" s="53">
        <v>33075</v>
      </c>
      <c r="DU40" s="53">
        <v>0</v>
      </c>
      <c r="DV40" s="53">
        <v>0</v>
      </c>
      <c r="DW40" s="53">
        <v>151234.47</v>
      </c>
      <c r="DY40" s="53">
        <v>0</v>
      </c>
      <c r="DZ40" s="53">
        <v>0</v>
      </c>
      <c r="EA40" s="53">
        <v>85532.657974942747</v>
      </c>
      <c r="EC40" s="53">
        <v>0</v>
      </c>
      <c r="ED40" s="53">
        <v>0</v>
      </c>
      <c r="EE40" s="53">
        <v>0</v>
      </c>
      <c r="EG40" s="53">
        <v>0</v>
      </c>
      <c r="EH40" s="53">
        <v>0</v>
      </c>
      <c r="EI40" s="53">
        <v>-177196.95967539996</v>
      </c>
      <c r="EK40" s="53">
        <v>0</v>
      </c>
      <c r="EL40" s="53">
        <v>0</v>
      </c>
      <c r="EM40" s="53">
        <v>14534.940793201407</v>
      </c>
      <c r="EO40" s="53">
        <v>0</v>
      </c>
      <c r="EP40" s="53">
        <v>0</v>
      </c>
      <c r="EQ40" s="53">
        <v>0</v>
      </c>
      <c r="ES40" s="53">
        <v>0</v>
      </c>
      <c r="ET40" s="53">
        <v>0</v>
      </c>
      <c r="EU40" s="53">
        <v>0</v>
      </c>
      <c r="EW40" s="53">
        <v>0</v>
      </c>
      <c r="EX40" s="53">
        <v>0</v>
      </c>
      <c r="EY40" s="53">
        <v>1</v>
      </c>
    </row>
    <row r="41" spans="1:155" x14ac:dyDescent="0.25">
      <c r="B41" t="str">
        <v>JV1</v>
      </c>
      <c r="C41" t="str">
        <v>Remote</v>
      </c>
      <c r="D41" t="str">
        <v>New Jersey</v>
      </c>
      <c r="E41" s="53">
        <v>0</v>
      </c>
      <c r="F41" s="53">
        <v>0</v>
      </c>
      <c r="G41" s="53">
        <v>774.4</v>
      </c>
      <c r="I41" s="53">
        <v>0</v>
      </c>
      <c r="J41" s="53">
        <v>0</v>
      </c>
      <c r="K41" s="53">
        <v>2.71</v>
      </c>
      <c r="M41" s="53">
        <v>0</v>
      </c>
      <c r="N41" s="53">
        <v>0</v>
      </c>
      <c r="O41" s="53">
        <v>0.55000000000000004</v>
      </c>
      <c r="Q41" s="53">
        <v>0</v>
      </c>
      <c r="R41" s="53">
        <v>0</v>
      </c>
      <c r="S41" s="53">
        <v>3</v>
      </c>
      <c r="U41" s="53">
        <v>0</v>
      </c>
      <c r="V41" s="53">
        <v>0</v>
      </c>
      <c r="W41" s="53">
        <v>3</v>
      </c>
      <c r="Y41" s="53">
        <v>0</v>
      </c>
      <c r="Z41" s="53">
        <v>0</v>
      </c>
      <c r="AA41" s="53">
        <v>6</v>
      </c>
      <c r="AC41" s="53">
        <v>0</v>
      </c>
      <c r="AD41" s="53">
        <v>0</v>
      </c>
      <c r="AE41" s="53">
        <v>6.1428571428571423</v>
      </c>
      <c r="AG41" s="53">
        <v>0</v>
      </c>
      <c r="AH41" s="53">
        <v>0</v>
      </c>
      <c r="AI41" s="53">
        <v>1</v>
      </c>
      <c r="AK41" s="53">
        <v>0</v>
      </c>
      <c r="AL41" s="53">
        <v>0</v>
      </c>
      <c r="AM41" s="53">
        <v>7</v>
      </c>
      <c r="AO41" s="53">
        <v>0</v>
      </c>
      <c r="AP41" s="53">
        <v>0</v>
      </c>
      <c r="AQ41" s="53">
        <v>0</v>
      </c>
      <c r="AS41" s="53">
        <v>0</v>
      </c>
      <c r="AT41" s="53">
        <v>0</v>
      </c>
      <c r="AU41" s="53">
        <v>144393.71724999999</v>
      </c>
      <c r="AW41" s="53">
        <v>0</v>
      </c>
      <c r="AX41" s="53">
        <v>0</v>
      </c>
      <c r="AY41" s="53">
        <v>127066.47117999998</v>
      </c>
      <c r="BA41" s="53">
        <v>0</v>
      </c>
      <c r="BB41" s="53">
        <v>0</v>
      </c>
      <c r="BC41" s="53">
        <v>-17327.246069999994</v>
      </c>
      <c r="BE41" s="53">
        <v>0</v>
      </c>
      <c r="BF41" s="53">
        <v>0</v>
      </c>
      <c r="BG41" s="53">
        <v>122310.28549999998</v>
      </c>
      <c r="BI41" s="53">
        <v>0</v>
      </c>
      <c r="BJ41" s="53">
        <v>0</v>
      </c>
      <c r="BK41" s="53">
        <v>0</v>
      </c>
      <c r="BM41" s="53">
        <v>0</v>
      </c>
      <c r="BN41" s="53">
        <v>0</v>
      </c>
      <c r="BO41" s="53">
        <v>16302.793649999994</v>
      </c>
      <c r="BQ41" s="53">
        <v>0</v>
      </c>
      <c r="BR41" s="53">
        <v>0</v>
      </c>
      <c r="BS41" s="53">
        <v>2508.1220999999996</v>
      </c>
      <c r="BU41" s="53">
        <v>0</v>
      </c>
      <c r="BV41" s="53">
        <v>0</v>
      </c>
      <c r="BW41" s="53">
        <v>3272.5159999999996</v>
      </c>
      <c r="BY41" s="53">
        <v>0</v>
      </c>
      <c r="BZ41" s="53">
        <v>0</v>
      </c>
      <c r="CA41" s="53">
        <v>0</v>
      </c>
      <c r="CC41" s="53">
        <v>0</v>
      </c>
      <c r="CD41" s="53">
        <v>0</v>
      </c>
      <c r="CE41" s="53">
        <v>0</v>
      </c>
      <c r="CG41" s="53">
        <v>0</v>
      </c>
      <c r="CH41" s="53">
        <v>0</v>
      </c>
      <c r="CI41" s="53">
        <v>0</v>
      </c>
      <c r="CK41" s="53">
        <v>0</v>
      </c>
      <c r="CL41" s="53">
        <v>0</v>
      </c>
      <c r="CM41" s="53">
        <v>0</v>
      </c>
      <c r="CO41" s="53">
        <v>0</v>
      </c>
      <c r="CP41" s="53">
        <v>0</v>
      </c>
      <c r="CQ41" s="53">
        <v>0</v>
      </c>
      <c r="CS41" s="53">
        <v>0</v>
      </c>
      <c r="CT41" s="53">
        <v>0</v>
      </c>
      <c r="CU41" s="53">
        <v>120299.22745053575</v>
      </c>
      <c r="CW41" s="53">
        <v>0</v>
      </c>
      <c r="CX41" s="53">
        <v>0</v>
      </c>
      <c r="CY41" s="53">
        <v>0</v>
      </c>
      <c r="DA41" s="53">
        <v>0</v>
      </c>
      <c r="DB41" s="53">
        <v>0</v>
      </c>
      <c r="DC41" s="53">
        <v>0</v>
      </c>
      <c r="DE41" s="53">
        <v>0</v>
      </c>
      <c r="DF41" s="53">
        <v>0</v>
      </c>
      <c r="DG41" s="53">
        <v>3199.7331891200001</v>
      </c>
      <c r="DI41" s="53">
        <v>0</v>
      </c>
      <c r="DJ41" s="53">
        <v>0</v>
      </c>
      <c r="DK41" s="53">
        <v>0</v>
      </c>
      <c r="DM41" s="53">
        <v>0</v>
      </c>
      <c r="DN41" s="53">
        <v>0</v>
      </c>
      <c r="DO41" s="53">
        <v>14482.368</v>
      </c>
      <c r="DQ41" s="53">
        <v>0</v>
      </c>
      <c r="DR41" s="53">
        <v>0</v>
      </c>
      <c r="DS41" s="53">
        <v>0</v>
      </c>
      <c r="DU41" s="53">
        <v>0</v>
      </c>
      <c r="DV41" s="53">
        <v>0</v>
      </c>
      <c r="DW41" s="53">
        <v>0</v>
      </c>
      <c r="DY41" s="53">
        <v>0</v>
      </c>
      <c r="DZ41" s="53">
        <v>0</v>
      </c>
      <c r="EA41" s="53">
        <v>12962.819615035663</v>
      </c>
      <c r="EC41" s="53">
        <v>0</v>
      </c>
      <c r="ED41" s="53">
        <v>0</v>
      </c>
      <c r="EE41" s="53">
        <v>0</v>
      </c>
      <c r="EG41" s="53">
        <v>0</v>
      </c>
      <c r="EH41" s="53">
        <v>0</v>
      </c>
      <c r="EI41" s="53">
        <v>0</v>
      </c>
      <c r="EK41" s="53">
        <v>0</v>
      </c>
      <c r="EL41" s="53">
        <v>0</v>
      </c>
      <c r="EM41" s="53">
        <v>2381.8897389231361</v>
      </c>
      <c r="EO41" s="53">
        <v>0</v>
      </c>
      <c r="EP41" s="53">
        <v>0</v>
      </c>
      <c r="EQ41" s="53">
        <v>0</v>
      </c>
      <c r="ES41" s="53">
        <v>0</v>
      </c>
      <c r="ET41" s="53">
        <v>0</v>
      </c>
      <c r="EU41" s="53">
        <v>0</v>
      </c>
      <c r="EW41" s="53">
        <v>0</v>
      </c>
      <c r="EX41" s="53">
        <v>0</v>
      </c>
      <c r="EY41" s="53">
        <v>0</v>
      </c>
    </row>
    <row r="42" spans="1:155" x14ac:dyDescent="0.25">
      <c r="B42" t="str">
        <v>JV1</v>
      </c>
      <c r="C42" t="str">
        <v>Center</v>
      </c>
      <c r="D42" t="str">
        <v>New Jersey</v>
      </c>
      <c r="E42" s="53">
        <v>0</v>
      </c>
      <c r="F42" s="53">
        <v>0</v>
      </c>
      <c r="G42" s="53">
        <v>3150.3999999999996</v>
      </c>
      <c r="I42" s="53">
        <v>0</v>
      </c>
      <c r="J42" s="53">
        <v>0</v>
      </c>
      <c r="K42" s="53">
        <v>11.299999999999999</v>
      </c>
      <c r="M42" s="53">
        <v>0</v>
      </c>
      <c r="N42" s="53">
        <v>0</v>
      </c>
      <c r="O42" s="53">
        <v>1.72</v>
      </c>
      <c r="Q42" s="53">
        <v>0</v>
      </c>
      <c r="R42" s="53">
        <v>0</v>
      </c>
      <c r="S42" s="53">
        <v>13</v>
      </c>
      <c r="U42" s="53">
        <v>0</v>
      </c>
      <c r="V42" s="53">
        <v>0</v>
      </c>
      <c r="W42" s="53">
        <v>5</v>
      </c>
      <c r="Y42" s="53">
        <v>0</v>
      </c>
      <c r="Z42" s="53">
        <v>0</v>
      </c>
      <c r="AA42" s="53">
        <v>12</v>
      </c>
      <c r="AC42" s="53">
        <v>0</v>
      </c>
      <c r="AD42" s="53">
        <v>0</v>
      </c>
      <c r="AE42" s="53">
        <v>10</v>
      </c>
      <c r="AG42" s="53">
        <v>0</v>
      </c>
      <c r="AH42" s="53">
        <v>0</v>
      </c>
      <c r="AI42" s="53">
        <v>1</v>
      </c>
      <c r="AK42" s="53">
        <v>0</v>
      </c>
      <c r="AL42" s="53">
        <v>0</v>
      </c>
      <c r="AM42" s="53">
        <v>13</v>
      </c>
      <c r="AO42" s="53">
        <v>0</v>
      </c>
      <c r="AP42" s="53">
        <v>0</v>
      </c>
      <c r="AQ42" s="53">
        <v>1411000</v>
      </c>
      <c r="AS42" s="53">
        <v>0</v>
      </c>
      <c r="AT42" s="53">
        <v>0</v>
      </c>
      <c r="AU42" s="53">
        <v>572181.02679999999</v>
      </c>
      <c r="AW42" s="53">
        <v>0</v>
      </c>
      <c r="AX42" s="53">
        <v>0</v>
      </c>
      <c r="AY42" s="53">
        <v>570025.21977066668</v>
      </c>
      <c r="BA42" s="53">
        <v>0</v>
      </c>
      <c r="BB42" s="53">
        <v>0</v>
      </c>
      <c r="BC42" s="53">
        <v>-81472.36469599999</v>
      </c>
      <c r="BE42" s="53">
        <v>0</v>
      </c>
      <c r="BF42" s="53">
        <v>0</v>
      </c>
      <c r="BG42" s="53">
        <v>467969.78800000006</v>
      </c>
      <c r="BI42" s="53">
        <v>0</v>
      </c>
      <c r="BJ42" s="53">
        <v>0</v>
      </c>
      <c r="BK42" s="53">
        <v>27438.788</v>
      </c>
      <c r="BM42" s="53">
        <v>0</v>
      </c>
      <c r="BN42" s="53">
        <v>0</v>
      </c>
      <c r="BO42" s="53">
        <v>65211.174599999977</v>
      </c>
      <c r="BQ42" s="53">
        <v>0</v>
      </c>
      <c r="BR42" s="53">
        <v>0</v>
      </c>
      <c r="BS42" s="53">
        <v>5016.2441999999992</v>
      </c>
      <c r="BU42" s="53">
        <v>0</v>
      </c>
      <c r="BV42" s="53">
        <v>0</v>
      </c>
      <c r="BW42" s="53">
        <v>6545.0319999999992</v>
      </c>
      <c r="BY42" s="53">
        <v>0</v>
      </c>
      <c r="BZ42" s="53">
        <v>0</v>
      </c>
      <c r="CA42" s="53">
        <v>21790.924014745593</v>
      </c>
      <c r="CC42" s="53">
        <v>0</v>
      </c>
      <c r="CD42" s="53">
        <v>0</v>
      </c>
      <c r="CE42" s="53">
        <v>2911.7026532352006</v>
      </c>
      <c r="CG42" s="53">
        <v>0</v>
      </c>
      <c r="CH42" s="53">
        <v>0</v>
      </c>
      <c r="CI42" s="53">
        <v>106755.34566666665</v>
      </c>
      <c r="CK42" s="53">
        <v>0</v>
      </c>
      <c r="CL42" s="53">
        <v>0</v>
      </c>
      <c r="CM42" s="53">
        <v>17708.074248550398</v>
      </c>
      <c r="CO42" s="53">
        <v>0</v>
      </c>
      <c r="CP42" s="53">
        <v>0</v>
      </c>
      <c r="CQ42" s="53">
        <v>0</v>
      </c>
      <c r="CS42" s="53">
        <v>0</v>
      </c>
      <c r="CT42" s="53">
        <v>0</v>
      </c>
      <c r="CU42" s="53">
        <v>393520.77868843981</v>
      </c>
      <c r="CW42" s="53">
        <v>0</v>
      </c>
      <c r="CX42" s="53">
        <v>0</v>
      </c>
      <c r="CY42" s="53">
        <v>63654</v>
      </c>
      <c r="DA42" s="53">
        <v>0</v>
      </c>
      <c r="DB42" s="53">
        <v>0</v>
      </c>
      <c r="DC42" s="53">
        <v>33313.280000000006</v>
      </c>
      <c r="DE42" s="53">
        <v>0</v>
      </c>
      <c r="DF42" s="53">
        <v>0</v>
      </c>
      <c r="DG42" s="53">
        <v>3618.8326387200004</v>
      </c>
      <c r="DI42" s="53">
        <v>0</v>
      </c>
      <c r="DJ42" s="53">
        <v>0</v>
      </c>
      <c r="DK42" s="53">
        <v>27050.400000000001</v>
      </c>
      <c r="DM42" s="53">
        <v>0</v>
      </c>
      <c r="DN42" s="53">
        <v>0</v>
      </c>
      <c r="DO42" s="53">
        <v>24513.384599999998</v>
      </c>
      <c r="DQ42" s="53">
        <v>0</v>
      </c>
      <c r="DR42" s="53">
        <v>0</v>
      </c>
      <c r="DS42" s="53">
        <v>26460</v>
      </c>
      <c r="DU42" s="53">
        <v>0</v>
      </c>
      <c r="DV42" s="53">
        <v>0</v>
      </c>
      <c r="DW42" s="53">
        <v>151234.47</v>
      </c>
      <c r="DY42" s="53">
        <v>0</v>
      </c>
      <c r="DZ42" s="53">
        <v>0</v>
      </c>
      <c r="EA42" s="53">
        <v>58295.864684628199</v>
      </c>
      <c r="EC42" s="53">
        <v>0</v>
      </c>
      <c r="ED42" s="53">
        <v>0</v>
      </c>
      <c r="EE42" s="53">
        <v>0</v>
      </c>
      <c r="EG42" s="53">
        <v>0</v>
      </c>
      <c r="EH42" s="53">
        <v>0</v>
      </c>
      <c r="EI42" s="53">
        <v>-84424.829083026663</v>
      </c>
      <c r="EK42" s="53">
        <v>0</v>
      </c>
      <c r="EL42" s="53">
        <v>0</v>
      </c>
      <c r="EM42" s="53">
        <v>9689.9605288009388</v>
      </c>
      <c r="EO42" s="53">
        <v>0</v>
      </c>
      <c r="EP42" s="53">
        <v>0</v>
      </c>
      <c r="EQ42" s="53">
        <v>0</v>
      </c>
      <c r="ES42" s="53">
        <v>0</v>
      </c>
      <c r="ET42" s="53">
        <v>0</v>
      </c>
      <c r="EU42" s="53">
        <v>0</v>
      </c>
      <c r="EW42" s="53">
        <v>0</v>
      </c>
      <c r="EX42" s="53">
        <v>0</v>
      </c>
      <c r="EY42" s="53">
        <v>1</v>
      </c>
    </row>
    <row r="43" spans="1:155" x14ac:dyDescent="0.25">
      <c r="B43" t="str">
        <v>JV1</v>
      </c>
      <c r="C43" t="str">
        <v>Center</v>
      </c>
      <c r="D43" t="str">
        <v>New Jersey</v>
      </c>
      <c r="E43" s="53">
        <v>0</v>
      </c>
      <c r="F43" s="53">
        <v>0</v>
      </c>
      <c r="G43" s="53">
        <v>1890.2399999999998</v>
      </c>
      <c r="I43" s="53">
        <v>0</v>
      </c>
      <c r="J43" s="53">
        <v>0</v>
      </c>
      <c r="K43" s="53">
        <v>8.48</v>
      </c>
      <c r="M43" s="53">
        <v>0</v>
      </c>
      <c r="N43" s="53">
        <v>0</v>
      </c>
      <c r="O43" s="53">
        <v>1.29</v>
      </c>
      <c r="Q43" s="53">
        <v>0</v>
      </c>
      <c r="R43" s="53">
        <v>0</v>
      </c>
      <c r="S43" s="53">
        <v>10</v>
      </c>
      <c r="U43" s="53">
        <v>0</v>
      </c>
      <c r="V43" s="53">
        <v>0</v>
      </c>
      <c r="W43" s="53">
        <v>5</v>
      </c>
      <c r="Y43" s="53">
        <v>0</v>
      </c>
      <c r="Z43" s="53">
        <v>0</v>
      </c>
      <c r="AA43" s="53">
        <v>9</v>
      </c>
      <c r="AC43" s="53">
        <v>0</v>
      </c>
      <c r="AD43" s="53">
        <v>0</v>
      </c>
      <c r="AE43" s="53">
        <v>6.5</v>
      </c>
      <c r="AG43" s="53">
        <v>0</v>
      </c>
      <c r="AH43" s="53">
        <v>0</v>
      </c>
      <c r="AI43" s="53">
        <v>0.5</v>
      </c>
      <c r="AK43" s="53">
        <v>0</v>
      </c>
      <c r="AL43" s="53">
        <v>0</v>
      </c>
      <c r="AM43" s="53">
        <v>9.5</v>
      </c>
      <c r="AO43" s="53">
        <v>0</v>
      </c>
      <c r="AP43" s="53">
        <v>0</v>
      </c>
      <c r="AQ43" s="53">
        <v>1175833.3333333333</v>
      </c>
      <c r="AS43" s="53">
        <v>0</v>
      </c>
      <c r="AT43" s="53">
        <v>0</v>
      </c>
      <c r="AU43" s="53">
        <v>343308.61607999995</v>
      </c>
      <c r="AW43" s="53">
        <v>0</v>
      </c>
      <c r="AX43" s="53">
        <v>0</v>
      </c>
      <c r="AY43" s="53">
        <v>356106.83749040001</v>
      </c>
      <c r="BA43" s="53">
        <v>0</v>
      </c>
      <c r="BB43" s="53">
        <v>0</v>
      </c>
      <c r="BC43" s="53">
        <v>-50805.015039599995</v>
      </c>
      <c r="BE43" s="53">
        <v>0</v>
      </c>
      <c r="BF43" s="53">
        <v>0</v>
      </c>
      <c r="BG43" s="53">
        <v>280781.87280000001</v>
      </c>
      <c r="BI43" s="53">
        <v>0</v>
      </c>
      <c r="BJ43" s="53">
        <v>0</v>
      </c>
      <c r="BK43" s="53">
        <v>16463.272799999999</v>
      </c>
      <c r="BM43" s="53">
        <v>0</v>
      </c>
      <c r="BN43" s="53">
        <v>0</v>
      </c>
      <c r="BO43" s="53">
        <v>39126.704759999986</v>
      </c>
      <c r="BQ43" s="53">
        <v>0</v>
      </c>
      <c r="BR43" s="53">
        <v>0</v>
      </c>
      <c r="BS43" s="53">
        <v>3009.7465199999997</v>
      </c>
      <c r="BU43" s="53">
        <v>0</v>
      </c>
      <c r="BV43" s="53">
        <v>0</v>
      </c>
      <c r="BW43" s="53">
        <v>3927.0191999999997</v>
      </c>
      <c r="BY43" s="53">
        <v>0</v>
      </c>
      <c r="BZ43" s="53">
        <v>0</v>
      </c>
      <c r="CA43" s="53">
        <v>13074.554408847354</v>
      </c>
      <c r="CC43" s="53">
        <v>0</v>
      </c>
      <c r="CD43" s="53">
        <v>0</v>
      </c>
      <c r="CE43" s="53">
        <v>1747.0215919411203</v>
      </c>
      <c r="CG43" s="53">
        <v>0</v>
      </c>
      <c r="CH43" s="53">
        <v>0</v>
      </c>
      <c r="CI43" s="53">
        <v>80066.509249999988</v>
      </c>
      <c r="CK43" s="53">
        <v>0</v>
      </c>
      <c r="CL43" s="53">
        <v>0</v>
      </c>
      <c r="CM43" s="53">
        <v>10624.844549130239</v>
      </c>
      <c r="CO43" s="53">
        <v>0</v>
      </c>
      <c r="CP43" s="53">
        <v>0</v>
      </c>
      <c r="CQ43" s="53">
        <v>0</v>
      </c>
      <c r="CS43" s="53">
        <v>0</v>
      </c>
      <c r="CT43" s="53">
        <v>0</v>
      </c>
      <c r="CU43" s="53">
        <v>256421.44381893057</v>
      </c>
      <c r="CW43" s="53">
        <v>0</v>
      </c>
      <c r="CX43" s="53">
        <v>0</v>
      </c>
      <c r="CY43" s="53">
        <v>47740.5</v>
      </c>
      <c r="DA43" s="53">
        <v>0</v>
      </c>
      <c r="DB43" s="53">
        <v>0</v>
      </c>
      <c r="DC43" s="53">
        <v>24984.960000000006</v>
      </c>
      <c r="DE43" s="53">
        <v>0</v>
      </c>
      <c r="DF43" s="53">
        <v>0</v>
      </c>
      <c r="DG43" s="53">
        <v>2510.9523545600005</v>
      </c>
      <c r="DI43" s="53">
        <v>0</v>
      </c>
      <c r="DJ43" s="53">
        <v>0</v>
      </c>
      <c r="DK43" s="53">
        <v>20287.800000000003</v>
      </c>
      <c r="DM43" s="53">
        <v>0</v>
      </c>
      <c r="DN43" s="53">
        <v>0</v>
      </c>
      <c r="DO43" s="53">
        <v>16241.164199999997</v>
      </c>
      <c r="DQ43" s="53">
        <v>0</v>
      </c>
      <c r="DR43" s="53">
        <v>0</v>
      </c>
      <c r="DS43" s="53">
        <v>19845</v>
      </c>
      <c r="DU43" s="53">
        <v>0</v>
      </c>
      <c r="DV43" s="53">
        <v>0</v>
      </c>
      <c r="DW43" s="53">
        <v>151234.47</v>
      </c>
      <c r="DY43" s="53">
        <v>0</v>
      </c>
      <c r="DZ43" s="53">
        <v>0</v>
      </c>
      <c r="EA43" s="53">
        <v>36210.018076396089</v>
      </c>
      <c r="EC43" s="53">
        <v>0</v>
      </c>
      <c r="ED43" s="53">
        <v>0</v>
      </c>
      <c r="EE43" s="53">
        <v>0</v>
      </c>
      <c r="EG43" s="53">
        <v>0</v>
      </c>
      <c r="EH43" s="53">
        <v>0</v>
      </c>
      <c r="EI43" s="53">
        <v>0</v>
      </c>
      <c r="EK43" s="53">
        <v>0</v>
      </c>
      <c r="EL43" s="53">
        <v>0</v>
      </c>
      <c r="EM43" s="53">
        <v>5813.9763172805642</v>
      </c>
      <c r="EO43" s="53">
        <v>0</v>
      </c>
      <c r="EP43" s="53">
        <v>0</v>
      </c>
      <c r="EQ43" s="53">
        <v>0</v>
      </c>
      <c r="ES43" s="53">
        <v>0</v>
      </c>
      <c r="ET43" s="53">
        <v>0</v>
      </c>
      <c r="EU43" s="53">
        <v>0</v>
      </c>
      <c r="EW43" s="53">
        <v>0</v>
      </c>
      <c r="EX43" s="53">
        <v>0</v>
      </c>
      <c r="EY43" s="53">
        <v>1</v>
      </c>
    </row>
    <row r="44" spans="1:155" x14ac:dyDescent="0.25">
      <c r="B44" t="str">
        <v>JV1</v>
      </c>
      <c r="C44" t="str">
        <v>Center</v>
      </c>
      <c r="D44" t="str">
        <v>New Jersey</v>
      </c>
      <c r="E44" s="53">
        <v>0</v>
      </c>
      <c r="F44" s="53">
        <v>0</v>
      </c>
      <c r="G44" s="53">
        <v>945.11999999999989</v>
      </c>
      <c r="I44" s="53">
        <v>0</v>
      </c>
      <c r="J44" s="53">
        <v>0</v>
      </c>
      <c r="K44" s="53">
        <v>5.6499999999999995</v>
      </c>
      <c r="M44" s="53">
        <v>0</v>
      </c>
      <c r="N44" s="53">
        <v>0</v>
      </c>
      <c r="O44" s="53">
        <v>0.86</v>
      </c>
      <c r="Q44" s="53">
        <v>0</v>
      </c>
      <c r="R44" s="53">
        <v>0</v>
      </c>
      <c r="S44" s="53">
        <v>7</v>
      </c>
      <c r="U44" s="53">
        <v>0</v>
      </c>
      <c r="V44" s="53">
        <v>0</v>
      </c>
      <c r="W44" s="53">
        <v>4</v>
      </c>
      <c r="Y44" s="53">
        <v>0</v>
      </c>
      <c r="Z44" s="53">
        <v>0</v>
      </c>
      <c r="AA44" s="53">
        <v>6</v>
      </c>
      <c r="AC44" s="53">
        <v>0</v>
      </c>
      <c r="AD44" s="53">
        <v>0</v>
      </c>
      <c r="AE44" s="53">
        <v>3.1666666666666665</v>
      </c>
      <c r="AG44" s="53">
        <v>0</v>
      </c>
      <c r="AH44" s="53">
        <v>0</v>
      </c>
      <c r="AI44" s="53">
        <v>0.16666666666666666</v>
      </c>
      <c r="AK44" s="53">
        <v>0</v>
      </c>
      <c r="AL44" s="53">
        <v>0</v>
      </c>
      <c r="AM44" s="53">
        <v>6.166666666666667</v>
      </c>
      <c r="AO44" s="53">
        <v>0</v>
      </c>
      <c r="AP44" s="53">
        <v>0</v>
      </c>
      <c r="AQ44" s="53">
        <v>940666.66666666663</v>
      </c>
      <c r="AS44" s="53">
        <v>0</v>
      </c>
      <c r="AT44" s="53">
        <v>0</v>
      </c>
      <c r="AU44" s="53">
        <v>171654.30803999997</v>
      </c>
      <c r="AW44" s="53">
        <v>0</v>
      </c>
      <c r="AX44" s="53">
        <v>0</v>
      </c>
      <c r="AY44" s="53">
        <v>189796.50676853335</v>
      </c>
      <c r="BA44" s="53">
        <v>0</v>
      </c>
      <c r="BB44" s="53">
        <v>0</v>
      </c>
      <c r="BC44" s="53">
        <v>-27003.837704799997</v>
      </c>
      <c r="BE44" s="53">
        <v>0</v>
      </c>
      <c r="BF44" s="53">
        <v>0</v>
      </c>
      <c r="BG44" s="53">
        <v>140390.93640000001</v>
      </c>
      <c r="BI44" s="53">
        <v>0</v>
      </c>
      <c r="BJ44" s="53">
        <v>0</v>
      </c>
      <c r="BK44" s="53">
        <v>8231.6363999999994</v>
      </c>
      <c r="BM44" s="53">
        <v>0</v>
      </c>
      <c r="BN44" s="53">
        <v>0</v>
      </c>
      <c r="BO44" s="53">
        <v>19563.352379999993</v>
      </c>
      <c r="BQ44" s="53">
        <v>0</v>
      </c>
      <c r="BR44" s="53">
        <v>0</v>
      </c>
      <c r="BS44" s="53">
        <v>1504.8732599999998</v>
      </c>
      <c r="BU44" s="53">
        <v>0</v>
      </c>
      <c r="BV44" s="53">
        <v>0</v>
      </c>
      <c r="BW44" s="53">
        <v>1963.5095999999996</v>
      </c>
      <c r="BY44" s="53">
        <v>0</v>
      </c>
      <c r="BZ44" s="53">
        <v>0</v>
      </c>
      <c r="CA44" s="53">
        <v>6537.2772044236772</v>
      </c>
      <c r="CC44" s="53">
        <v>0</v>
      </c>
      <c r="CD44" s="53">
        <v>0</v>
      </c>
      <c r="CE44" s="53">
        <v>873.51079597056025</v>
      </c>
      <c r="CG44" s="53">
        <v>0</v>
      </c>
      <c r="CH44" s="53">
        <v>0</v>
      </c>
      <c r="CI44" s="53">
        <v>53377.672833333323</v>
      </c>
      <c r="CK44" s="53">
        <v>0</v>
      </c>
      <c r="CL44" s="53">
        <v>0</v>
      </c>
      <c r="CM44" s="53">
        <v>5312.4222745651196</v>
      </c>
      <c r="CO44" s="53">
        <v>0</v>
      </c>
      <c r="CP44" s="53">
        <v>0</v>
      </c>
      <c r="CQ44" s="53">
        <v>0</v>
      </c>
      <c r="CS44" s="53">
        <v>0</v>
      </c>
      <c r="CT44" s="53">
        <v>0</v>
      </c>
      <c r="CU44" s="53">
        <v>142822.19790946529</v>
      </c>
      <c r="CW44" s="53">
        <v>0</v>
      </c>
      <c r="CX44" s="53">
        <v>0</v>
      </c>
      <c r="CY44" s="53">
        <v>31827</v>
      </c>
      <c r="DA44" s="53">
        <v>0</v>
      </c>
      <c r="DB44" s="53">
        <v>0</v>
      </c>
      <c r="DC44" s="53">
        <v>16656.640000000003</v>
      </c>
      <c r="DE44" s="53">
        <v>0</v>
      </c>
      <c r="DF44" s="53">
        <v>0</v>
      </c>
      <c r="DG44" s="53">
        <v>1435.8711577600002</v>
      </c>
      <c r="DI44" s="53">
        <v>0</v>
      </c>
      <c r="DJ44" s="53">
        <v>0</v>
      </c>
      <c r="DK44" s="53">
        <v>13525.2</v>
      </c>
      <c r="DM44" s="53">
        <v>0</v>
      </c>
      <c r="DN44" s="53">
        <v>0</v>
      </c>
      <c r="DO44" s="53">
        <v>9294.4133999999976</v>
      </c>
      <c r="DQ44" s="53">
        <v>0</v>
      </c>
      <c r="DR44" s="53">
        <v>0</v>
      </c>
      <c r="DS44" s="53">
        <v>13230</v>
      </c>
      <c r="DU44" s="53">
        <v>0</v>
      </c>
      <c r="DV44" s="53">
        <v>0</v>
      </c>
      <c r="DW44" s="53">
        <v>151234.47</v>
      </c>
      <c r="DY44" s="53">
        <v>0</v>
      </c>
      <c r="DZ44" s="53">
        <v>0</v>
      </c>
      <c r="EA44" s="53">
        <v>19185.389569712985</v>
      </c>
      <c r="EC44" s="53">
        <v>0</v>
      </c>
      <c r="ED44" s="53">
        <v>0</v>
      </c>
      <c r="EE44" s="53">
        <v>0</v>
      </c>
      <c r="EG44" s="53">
        <v>0</v>
      </c>
      <c r="EH44" s="53">
        <v>0</v>
      </c>
      <c r="EI44" s="53">
        <v>0</v>
      </c>
      <c r="EK44" s="53">
        <v>0</v>
      </c>
      <c r="EL44" s="53">
        <v>0</v>
      </c>
      <c r="EM44" s="53">
        <v>2906.9881586402821</v>
      </c>
      <c r="EO44" s="53">
        <v>0</v>
      </c>
      <c r="EP44" s="53">
        <v>0</v>
      </c>
      <c r="EQ44" s="53">
        <v>0</v>
      </c>
      <c r="ES44" s="53">
        <v>0</v>
      </c>
      <c r="ET44" s="53">
        <v>0</v>
      </c>
      <c r="EU44" s="53">
        <v>0</v>
      </c>
      <c r="EW44" s="53">
        <v>0</v>
      </c>
      <c r="EX44" s="53">
        <v>0</v>
      </c>
      <c r="EY44" s="53">
        <v>1</v>
      </c>
    </row>
    <row r="45" spans="1:155" x14ac:dyDescent="0.25">
      <c r="B45" t="str">
        <v>JV1</v>
      </c>
      <c r="C45" t="str">
        <v>Remote</v>
      </c>
      <c r="D45" t="str">
        <v>New Jersey</v>
      </c>
      <c r="E45" s="53">
        <v>0</v>
      </c>
      <c r="F45" s="53">
        <v>0</v>
      </c>
      <c r="G45" s="53">
        <v>51.626666666666658</v>
      </c>
      <c r="I45" s="53">
        <v>0</v>
      </c>
      <c r="J45" s="53">
        <v>0</v>
      </c>
      <c r="K45" s="53">
        <v>0.46</v>
      </c>
      <c r="M45" s="53">
        <v>0</v>
      </c>
      <c r="N45" s="53">
        <v>0</v>
      </c>
      <c r="O45" s="53">
        <v>9.9999999999999992E-2</v>
      </c>
      <c r="Q45" s="53">
        <v>0</v>
      </c>
      <c r="R45" s="53">
        <v>0</v>
      </c>
      <c r="S45" s="53">
        <v>1</v>
      </c>
      <c r="U45" s="53">
        <v>0</v>
      </c>
      <c r="V45" s="53">
        <v>0</v>
      </c>
      <c r="W45" s="53">
        <v>1</v>
      </c>
      <c r="Y45" s="53">
        <v>0</v>
      </c>
      <c r="Z45" s="53">
        <v>0</v>
      </c>
      <c r="AA45" s="53">
        <v>1</v>
      </c>
      <c r="AC45" s="53">
        <v>0</v>
      </c>
      <c r="AD45" s="53">
        <v>0</v>
      </c>
      <c r="AE45" s="53">
        <v>0</v>
      </c>
      <c r="AG45" s="53">
        <v>0</v>
      </c>
      <c r="AH45" s="53">
        <v>0</v>
      </c>
      <c r="AI45" s="53">
        <v>0</v>
      </c>
      <c r="AK45" s="53">
        <v>0</v>
      </c>
      <c r="AL45" s="53">
        <v>0</v>
      </c>
      <c r="AM45" s="53">
        <v>1</v>
      </c>
      <c r="AO45" s="53">
        <v>0</v>
      </c>
      <c r="AP45" s="53">
        <v>0</v>
      </c>
      <c r="AQ45" s="53">
        <v>0</v>
      </c>
      <c r="AS45" s="53">
        <v>0</v>
      </c>
      <c r="AT45" s="53">
        <v>0</v>
      </c>
      <c r="AU45" s="53">
        <v>9626.2478166666679</v>
      </c>
      <c r="AW45" s="53">
        <v>0</v>
      </c>
      <c r="AX45" s="53">
        <v>0</v>
      </c>
      <c r="AY45" s="53">
        <v>8471.0980786666678</v>
      </c>
      <c r="BA45" s="53">
        <v>0</v>
      </c>
      <c r="BB45" s="53">
        <v>0</v>
      </c>
      <c r="BC45" s="53">
        <v>-1155.1497380000001</v>
      </c>
      <c r="BE45" s="53">
        <v>0</v>
      </c>
      <c r="BF45" s="53">
        <v>0</v>
      </c>
      <c r="BG45" s="53">
        <v>8154.019033333333</v>
      </c>
      <c r="BI45" s="53">
        <v>0</v>
      </c>
      <c r="BJ45" s="53">
        <v>0</v>
      </c>
      <c r="BK45" s="53">
        <v>0</v>
      </c>
      <c r="BM45" s="53">
        <v>0</v>
      </c>
      <c r="BN45" s="53">
        <v>0</v>
      </c>
      <c r="BO45" s="53">
        <v>1086.8529099999998</v>
      </c>
      <c r="BQ45" s="53">
        <v>0</v>
      </c>
      <c r="BR45" s="53">
        <v>0</v>
      </c>
      <c r="BS45" s="53">
        <v>167.20813999999999</v>
      </c>
      <c r="BU45" s="53">
        <v>0</v>
      </c>
      <c r="BV45" s="53">
        <v>0</v>
      </c>
      <c r="BW45" s="53">
        <v>218.1677333333333</v>
      </c>
      <c r="BY45" s="53">
        <v>0</v>
      </c>
      <c r="BZ45" s="53">
        <v>0</v>
      </c>
      <c r="CA45" s="53">
        <v>0</v>
      </c>
      <c r="CC45" s="53">
        <v>0</v>
      </c>
      <c r="CD45" s="53">
        <v>0</v>
      </c>
      <c r="CE45" s="53">
        <v>0</v>
      </c>
      <c r="CG45" s="53">
        <v>0</v>
      </c>
      <c r="CH45" s="53">
        <v>0</v>
      </c>
      <c r="CI45" s="53">
        <v>0</v>
      </c>
      <c r="CK45" s="53">
        <v>0</v>
      </c>
      <c r="CL45" s="53">
        <v>0</v>
      </c>
      <c r="CM45" s="53">
        <v>0</v>
      </c>
      <c r="CO45" s="53">
        <v>0</v>
      </c>
      <c r="CP45" s="53">
        <v>0</v>
      </c>
      <c r="CQ45" s="53">
        <v>0</v>
      </c>
      <c r="CS45" s="53">
        <v>0</v>
      </c>
      <c r="CT45" s="53">
        <v>0</v>
      </c>
      <c r="CU45" s="53">
        <v>14500.139038435716</v>
      </c>
      <c r="CW45" s="53">
        <v>0</v>
      </c>
      <c r="CX45" s="53">
        <v>0</v>
      </c>
      <c r="CY45" s="53">
        <v>0</v>
      </c>
      <c r="DA45" s="53">
        <v>0</v>
      </c>
      <c r="DB45" s="53">
        <v>0</v>
      </c>
      <c r="DC45" s="53">
        <v>0</v>
      </c>
      <c r="DE45" s="53">
        <v>0</v>
      </c>
      <c r="DF45" s="53">
        <v>0</v>
      </c>
      <c r="DG45" s="53">
        <v>379.01167616000009</v>
      </c>
      <c r="DI45" s="53">
        <v>0</v>
      </c>
      <c r="DJ45" s="53">
        <v>0</v>
      </c>
      <c r="DK45" s="53">
        <v>0</v>
      </c>
      <c r="DM45" s="53">
        <v>0</v>
      </c>
      <c r="DN45" s="53">
        <v>0</v>
      </c>
      <c r="DO45" s="53">
        <v>2247.2640000000001</v>
      </c>
      <c r="DQ45" s="53">
        <v>0</v>
      </c>
      <c r="DR45" s="53">
        <v>0</v>
      </c>
      <c r="DS45" s="53">
        <v>0</v>
      </c>
      <c r="DU45" s="53">
        <v>0</v>
      </c>
      <c r="DV45" s="53">
        <v>0</v>
      </c>
      <c r="DW45" s="53">
        <v>0</v>
      </c>
      <c r="DY45" s="53">
        <v>0</v>
      </c>
      <c r="DZ45" s="53">
        <v>0</v>
      </c>
      <c r="EA45" s="53">
        <v>851.45101435600213</v>
      </c>
      <c r="EC45" s="53">
        <v>0</v>
      </c>
      <c r="ED45" s="53">
        <v>0</v>
      </c>
      <c r="EE45" s="53">
        <v>0</v>
      </c>
      <c r="EG45" s="53">
        <v>0</v>
      </c>
      <c r="EH45" s="53">
        <v>0</v>
      </c>
      <c r="EI45" s="53">
        <v>0</v>
      </c>
      <c r="EK45" s="53">
        <v>0</v>
      </c>
      <c r="EL45" s="53">
        <v>0</v>
      </c>
      <c r="EM45" s="53">
        <v>158.79264926154238</v>
      </c>
      <c r="EO45" s="53">
        <v>0</v>
      </c>
      <c r="EP45" s="53">
        <v>0</v>
      </c>
      <c r="EQ45" s="53">
        <v>0</v>
      </c>
      <c r="ES45" s="53">
        <v>0</v>
      </c>
      <c r="ET45" s="53">
        <v>0</v>
      </c>
      <c r="EU45" s="53">
        <v>0</v>
      </c>
      <c r="EW45" s="53">
        <v>0</v>
      </c>
      <c r="EX45" s="53">
        <v>0</v>
      </c>
      <c r="EY45" s="53">
        <v>0</v>
      </c>
    </row>
    <row r="46" spans="1:155" x14ac:dyDescent="0.25">
      <c r="B46" t="str">
        <v>JV2</v>
      </c>
      <c r="C46" t="str">
        <v>Center</v>
      </c>
      <c r="D46" t="str">
        <v>Maryland</v>
      </c>
      <c r="E46" s="53">
        <v>7245.9199999999992</v>
      </c>
      <c r="F46" s="53">
        <v>41690.293333333328</v>
      </c>
      <c r="G46" s="53">
        <v>50406.399999999994</v>
      </c>
      <c r="I46" s="53">
        <v>16</v>
      </c>
      <c r="J46" s="53">
        <v>37.65</v>
      </c>
      <c r="K46" s="53">
        <v>37.65</v>
      </c>
      <c r="M46" s="53">
        <v>2.4299999999999997</v>
      </c>
      <c r="N46" s="53">
        <v>5.72</v>
      </c>
      <c r="O46" s="53">
        <v>5.72</v>
      </c>
      <c r="Q46" s="53">
        <v>18</v>
      </c>
      <c r="R46" s="53">
        <v>43</v>
      </c>
      <c r="S46" s="53">
        <v>43</v>
      </c>
      <c r="U46" s="53">
        <v>7</v>
      </c>
      <c r="V46" s="53">
        <v>9</v>
      </c>
      <c r="W46" s="53">
        <v>9</v>
      </c>
      <c r="Y46" s="53">
        <v>17</v>
      </c>
      <c r="Z46" s="53">
        <v>40</v>
      </c>
      <c r="AA46" s="53">
        <v>40</v>
      </c>
      <c r="AC46" s="53">
        <v>34.785714285714285</v>
      </c>
      <c r="AD46" s="53">
        <v>68.000000000000014</v>
      </c>
      <c r="AE46" s="53">
        <v>48</v>
      </c>
      <c r="AG46" s="53">
        <v>20.5</v>
      </c>
      <c r="AH46" s="53">
        <v>48</v>
      </c>
      <c r="AI46" s="53">
        <v>48</v>
      </c>
      <c r="AK46" s="53">
        <v>37.5</v>
      </c>
      <c r="AL46" s="53">
        <v>88</v>
      </c>
      <c r="AM46" s="53">
        <v>88</v>
      </c>
      <c r="AO46" s="53">
        <v>786840</v>
      </c>
      <c r="AP46" s="53">
        <v>0</v>
      </c>
      <c r="AQ46" s="53">
        <v>0</v>
      </c>
      <c r="AS46" s="53">
        <v>722043.87075599993</v>
      </c>
      <c r="AT46" s="53">
        <v>4278999.40856284</v>
      </c>
      <c r="AU46" s="53">
        <v>5173601.3000255991</v>
      </c>
      <c r="AW46" s="53">
        <v>730876.13511328003</v>
      </c>
      <c r="AX46" s="53">
        <v>3828488.7088047396</v>
      </c>
      <c r="AY46" s="53">
        <v>4572887.7869866882</v>
      </c>
      <c r="BA46" s="53">
        <v>-104381.09387472</v>
      </c>
      <c r="BB46" s="53">
        <v>-550015.73755858082</v>
      </c>
      <c r="BC46" s="53">
        <v>-657367.96453411214</v>
      </c>
      <c r="BE46" s="53">
        <v>523921.36024800001</v>
      </c>
      <c r="BF46" s="53">
        <v>3104879.4698407198</v>
      </c>
      <c r="BG46" s="53">
        <v>3754010.4421247994</v>
      </c>
      <c r="BI46" s="53">
        <v>34585.21996799999</v>
      </c>
      <c r="BJ46" s="53">
        <v>204960.03329151991</v>
      </c>
      <c r="BK46" s="53">
        <v>247810.61959679986</v>
      </c>
      <c r="BM46" s="53">
        <v>142887.64370399999</v>
      </c>
      <c r="BN46" s="53">
        <v>846785.30995656003</v>
      </c>
      <c r="BO46" s="53">
        <v>1023821.0296704</v>
      </c>
      <c r="BQ46" s="53">
        <v>5994.5038920000006</v>
      </c>
      <c r="BR46" s="53">
        <v>35524.82009388</v>
      </c>
      <c r="BS46" s="53">
        <v>42951.923539200012</v>
      </c>
      <c r="BU46" s="53">
        <v>14655.142944000001</v>
      </c>
      <c r="BV46" s="53">
        <v>86849.775380160005</v>
      </c>
      <c r="BW46" s="53">
        <v>105007.28509440001</v>
      </c>
      <c r="BY46" s="53">
        <v>30645.523251199993</v>
      </c>
      <c r="BZ46" s="53">
        <v>181612.47699490134</v>
      </c>
      <c r="CA46" s="53">
        <v>219581.83616511998</v>
      </c>
      <c r="CC46" s="53">
        <v>4254.2763648000009</v>
      </c>
      <c r="CD46" s="53">
        <v>25211.828236672005</v>
      </c>
      <c r="CE46" s="53">
        <v>30482.814996480007</v>
      </c>
      <c r="CG46" s="53">
        <v>147798.57819999996</v>
      </c>
      <c r="CH46" s="53">
        <v>304465.07109199994</v>
      </c>
      <c r="CI46" s="53">
        <v>304465.07109199994</v>
      </c>
      <c r="CK46" s="53">
        <v>29266.474704895998</v>
      </c>
      <c r="CL46" s="53">
        <v>173439.9155301307</v>
      </c>
      <c r="CM46" s="53">
        <v>209700.6535376895</v>
      </c>
      <c r="CO46" s="53">
        <v>0</v>
      </c>
      <c r="CP46" s="53">
        <v>0</v>
      </c>
      <c r="CQ46" s="53">
        <v>0</v>
      </c>
      <c r="CS46" s="53">
        <v>586560.87198540894</v>
      </c>
      <c r="CT46" s="53">
        <v>2789882.7620751895</v>
      </c>
      <c r="CU46" s="53">
        <v>3561104.369633704</v>
      </c>
      <c r="CW46" s="53">
        <v>85754.22</v>
      </c>
      <c r="CX46" s="53">
        <v>176653.69320000007</v>
      </c>
      <c r="CY46" s="53">
        <v>181953.303996</v>
      </c>
      <c r="DA46" s="53">
        <v>34200</v>
      </c>
      <c r="DB46" s="53">
        <v>71136</v>
      </c>
      <c r="DC46" s="53">
        <v>73981.440000000017</v>
      </c>
      <c r="DE46" s="53">
        <v>7186.9301999999998</v>
      </c>
      <c r="DF46" s="53">
        <v>16508.173135999998</v>
      </c>
      <c r="DG46" s="53">
        <v>16049.686748160007</v>
      </c>
      <c r="DI46" s="53">
        <v>25500</v>
      </c>
      <c r="DJ46" s="53">
        <v>52020</v>
      </c>
      <c r="DK46" s="53">
        <v>53060.399999999987</v>
      </c>
      <c r="DM46" s="53">
        <v>36632.5</v>
      </c>
      <c r="DN46" s="53">
        <v>154058.24999999997</v>
      </c>
      <c r="DO46" s="53">
        <v>181903.53599999999</v>
      </c>
      <c r="DQ46" s="53">
        <v>34500</v>
      </c>
      <c r="DR46" s="53">
        <v>72450</v>
      </c>
      <c r="DS46" s="53">
        <v>76072.5</v>
      </c>
      <c r="DU46" s="53">
        <v>126877.11</v>
      </c>
      <c r="DV46" s="53">
        <v>0</v>
      </c>
      <c r="DW46" s="53">
        <v>0</v>
      </c>
      <c r="DY46" s="53">
        <v>129337.01115179608</v>
      </c>
      <c r="DZ46" s="53">
        <v>486752.49964495027</v>
      </c>
      <c r="EA46" s="53">
        <v>503467.84203754133</v>
      </c>
      <c r="EC46" s="53">
        <v>0</v>
      </c>
      <c r="ED46" s="53">
        <v>0</v>
      </c>
      <c r="EE46" s="53">
        <v>0</v>
      </c>
      <c r="EG46" s="53">
        <v>-130121.348007664</v>
      </c>
      <c r="EH46" s="53">
        <v>-519107.71086129278</v>
      </c>
      <c r="EI46" s="53">
        <v>-685933.16804800322</v>
      </c>
      <c r="EK46" s="53">
        <v>17704.621649061872</v>
      </c>
      <c r="EL46" s="53">
        <v>115421.02751368425</v>
      </c>
      <c r="EM46" s="53">
        <v>155039.36846081502</v>
      </c>
      <c r="EO46" s="53">
        <v>0</v>
      </c>
      <c r="EP46" s="53">
        <v>1</v>
      </c>
      <c r="EQ46" s="53">
        <v>1</v>
      </c>
      <c r="ES46" s="53">
        <v>0</v>
      </c>
      <c r="ET46" s="53">
        <v>1</v>
      </c>
      <c r="EU46" s="53">
        <v>1</v>
      </c>
      <c r="EW46" s="53">
        <v>1</v>
      </c>
      <c r="EX46" s="53">
        <v>1</v>
      </c>
      <c r="EY46" s="53">
        <v>1</v>
      </c>
    </row>
    <row r="47" spans="1:155" x14ac:dyDescent="0.25">
      <c r="B47" t="str">
        <v>JV2</v>
      </c>
      <c r="C47" t="str">
        <v>Remote</v>
      </c>
      <c r="D47" t="str">
        <v>Maryland</v>
      </c>
      <c r="E47" s="53">
        <v>9189.5466666666671</v>
      </c>
      <c r="F47" s="53">
        <v>17346.560000000001</v>
      </c>
      <c r="G47" s="53">
        <v>17346.560000000001</v>
      </c>
      <c r="I47" s="53">
        <v>12.629999999999999</v>
      </c>
      <c r="J47" s="53">
        <v>12.629999999999999</v>
      </c>
      <c r="K47" s="53">
        <v>12.629999999999999</v>
      </c>
      <c r="M47" s="53">
        <v>4</v>
      </c>
      <c r="N47" s="53">
        <v>4</v>
      </c>
      <c r="O47" s="53">
        <v>4</v>
      </c>
      <c r="Q47" s="53">
        <v>17</v>
      </c>
      <c r="R47" s="53">
        <v>17</v>
      </c>
      <c r="S47" s="53">
        <v>17</v>
      </c>
      <c r="U47" s="53">
        <v>4</v>
      </c>
      <c r="V47" s="53">
        <v>3</v>
      </c>
      <c r="W47" s="53">
        <v>3</v>
      </c>
      <c r="Y47" s="53">
        <v>28</v>
      </c>
      <c r="Z47" s="53">
        <v>28</v>
      </c>
      <c r="AA47" s="53">
        <v>28</v>
      </c>
      <c r="AC47" s="53">
        <v>34.333333333333336</v>
      </c>
      <c r="AD47" s="53">
        <v>35</v>
      </c>
      <c r="AE47" s="53">
        <v>48</v>
      </c>
      <c r="AG47" s="53">
        <v>11</v>
      </c>
      <c r="AH47" s="53">
        <v>35</v>
      </c>
      <c r="AI47" s="53">
        <v>48</v>
      </c>
      <c r="AK47" s="53">
        <v>39</v>
      </c>
      <c r="AL47" s="53">
        <v>63</v>
      </c>
      <c r="AM47" s="53">
        <v>76</v>
      </c>
      <c r="AO47" s="53">
        <v>0</v>
      </c>
      <c r="AP47" s="53">
        <v>0</v>
      </c>
      <c r="AQ47" s="53">
        <v>0</v>
      </c>
      <c r="AS47" s="53">
        <v>942021.65593200002</v>
      </c>
      <c r="AT47" s="53">
        <v>1831544.1274435197</v>
      </c>
      <c r="AU47" s="53">
        <v>1831544.1274435197</v>
      </c>
      <c r="AW47" s="53">
        <v>828979.05722015991</v>
      </c>
      <c r="AX47" s="53">
        <v>1611758.832150297</v>
      </c>
      <c r="AY47" s="53">
        <v>1611758.832150297</v>
      </c>
      <c r="BA47" s="53">
        <v>-113042.59871183999</v>
      </c>
      <c r="BB47" s="53">
        <v>-219785.29529322239</v>
      </c>
      <c r="BC47" s="53">
        <v>-219785.29529322239</v>
      </c>
      <c r="BE47" s="53">
        <v>706500.01609199995</v>
      </c>
      <c r="BF47" s="53">
        <v>1373626.5481411198</v>
      </c>
      <c r="BG47" s="53">
        <v>1373626.5481411198</v>
      </c>
      <c r="BI47" s="53">
        <v>0</v>
      </c>
      <c r="BJ47" s="53">
        <v>0</v>
      </c>
      <c r="BK47" s="53">
        <v>0</v>
      </c>
      <c r="BM47" s="53">
        <v>184304.35202399999</v>
      </c>
      <c r="BN47" s="53">
        <v>358337.36038463988</v>
      </c>
      <c r="BO47" s="53">
        <v>358337.36038463988</v>
      </c>
      <c r="BQ47" s="53">
        <v>15464.082504000002</v>
      </c>
      <c r="BR47" s="53">
        <v>30066.346477439991</v>
      </c>
      <c r="BS47" s="53">
        <v>30066.346477439991</v>
      </c>
      <c r="BU47" s="53">
        <v>35753.205311999998</v>
      </c>
      <c r="BV47" s="53">
        <v>69513.872440319989</v>
      </c>
      <c r="BW47" s="53">
        <v>69513.872440319989</v>
      </c>
      <c r="BY47" s="53">
        <v>0</v>
      </c>
      <c r="BZ47" s="53">
        <v>0</v>
      </c>
      <c r="CA47" s="53">
        <v>0</v>
      </c>
      <c r="CC47" s="53">
        <v>0</v>
      </c>
      <c r="CD47" s="53">
        <v>0</v>
      </c>
      <c r="CE47" s="53">
        <v>0</v>
      </c>
      <c r="CG47" s="53">
        <v>0</v>
      </c>
      <c r="CH47" s="53">
        <v>0</v>
      </c>
      <c r="CI47" s="53">
        <v>0</v>
      </c>
      <c r="CK47" s="53">
        <v>0</v>
      </c>
      <c r="CL47" s="53">
        <v>0</v>
      </c>
      <c r="CM47" s="53">
        <v>0</v>
      </c>
      <c r="CO47" s="53">
        <v>0</v>
      </c>
      <c r="CP47" s="53">
        <v>0</v>
      </c>
      <c r="CQ47" s="53">
        <v>0</v>
      </c>
      <c r="CS47" s="53">
        <v>605803.96184440004</v>
      </c>
      <c r="CT47" s="53">
        <v>1056767.6217030913</v>
      </c>
      <c r="CU47" s="53">
        <v>1186114.5960214005</v>
      </c>
      <c r="CW47" s="53">
        <v>0</v>
      </c>
      <c r="CX47" s="53">
        <v>0</v>
      </c>
      <c r="CY47" s="53">
        <v>0</v>
      </c>
      <c r="DA47" s="53">
        <v>0</v>
      </c>
      <c r="DB47" s="53">
        <v>0</v>
      </c>
      <c r="DC47" s="53">
        <v>0</v>
      </c>
      <c r="DE47" s="53">
        <v>11617.691200000001</v>
      </c>
      <c r="DF47" s="53">
        <v>13564.665296000001</v>
      </c>
      <c r="DG47" s="53">
        <v>15175.044418560001</v>
      </c>
      <c r="DI47" s="53">
        <v>0</v>
      </c>
      <c r="DJ47" s="53">
        <v>0</v>
      </c>
      <c r="DK47" s="53">
        <v>0</v>
      </c>
      <c r="DM47" s="53">
        <v>53795</v>
      </c>
      <c r="DN47" s="53">
        <v>79853.25</v>
      </c>
      <c r="DO47" s="53">
        <v>82212.407999999996</v>
      </c>
      <c r="DQ47" s="53">
        <v>0</v>
      </c>
      <c r="DR47" s="53">
        <v>0</v>
      </c>
      <c r="DS47" s="53">
        <v>0</v>
      </c>
      <c r="DU47" s="53">
        <v>0</v>
      </c>
      <c r="DV47" s="53">
        <v>0</v>
      </c>
      <c r="DW47" s="53">
        <v>0</v>
      </c>
      <c r="DY47" s="53">
        <v>164372.58084650192</v>
      </c>
      <c r="DZ47" s="53">
        <v>209212.91025581857</v>
      </c>
      <c r="EA47" s="53">
        <v>177452.14378907307</v>
      </c>
      <c r="EC47" s="53">
        <v>0</v>
      </c>
      <c r="ED47" s="53">
        <v>0</v>
      </c>
      <c r="EE47" s="53">
        <v>0</v>
      </c>
      <c r="EG47" s="53">
        <v>-50996.183576183998</v>
      </c>
      <c r="EH47" s="53">
        <v>-221365.351392071</v>
      </c>
      <c r="EI47" s="53">
        <v>-241763.82482254459</v>
      </c>
      <c r="EK47" s="53">
        <v>22453.663145567582</v>
      </c>
      <c r="EL47" s="53">
        <v>48024.554853082707</v>
      </c>
      <c r="EM47" s="53">
        <v>53354.330151878254</v>
      </c>
      <c r="EO47" s="53">
        <v>0</v>
      </c>
      <c r="EP47" s="53">
        <v>0</v>
      </c>
      <c r="EQ47" s="53">
        <v>0</v>
      </c>
      <c r="ES47" s="53">
        <v>0</v>
      </c>
      <c r="ET47" s="53">
        <v>0</v>
      </c>
      <c r="EU47" s="53">
        <v>0</v>
      </c>
      <c r="EW47" s="53">
        <v>0</v>
      </c>
      <c r="EX47" s="53">
        <v>0</v>
      </c>
      <c r="EY47" s="53">
        <v>0</v>
      </c>
    </row>
    <row r="48" spans="1:155" x14ac:dyDescent="0.25">
      <c r="B48" t="str">
        <v>JV2</v>
      </c>
      <c r="C48" t="str">
        <v>Center</v>
      </c>
      <c r="D48" t="str">
        <v>Maryland</v>
      </c>
      <c r="E48" s="53">
        <v>0</v>
      </c>
      <c r="F48" s="53">
        <v>4200.5333333333328</v>
      </c>
      <c r="G48" s="53">
        <v>39274.986666666664</v>
      </c>
      <c r="I48" s="53">
        <v>0</v>
      </c>
      <c r="J48" s="53">
        <v>13.18</v>
      </c>
      <c r="K48" s="53">
        <v>37.65</v>
      </c>
      <c r="M48" s="53">
        <v>0</v>
      </c>
      <c r="N48" s="53">
        <v>2</v>
      </c>
      <c r="O48" s="53">
        <v>5.72</v>
      </c>
      <c r="Q48" s="53">
        <v>0</v>
      </c>
      <c r="R48" s="53">
        <v>15</v>
      </c>
      <c r="S48" s="53">
        <v>43</v>
      </c>
      <c r="U48" s="53">
        <v>0</v>
      </c>
      <c r="V48" s="53">
        <v>6</v>
      </c>
      <c r="W48" s="53">
        <v>9</v>
      </c>
      <c r="Y48" s="53">
        <v>0</v>
      </c>
      <c r="Z48" s="53">
        <v>14</v>
      </c>
      <c r="AA48" s="53">
        <v>40</v>
      </c>
      <c r="AC48" s="53">
        <v>0</v>
      </c>
      <c r="AD48" s="53">
        <v>13.095238095238095</v>
      </c>
      <c r="AE48" s="53">
        <v>43.857142857142854</v>
      </c>
      <c r="AG48" s="53">
        <v>0</v>
      </c>
      <c r="AH48" s="53">
        <v>1.6666666666666665</v>
      </c>
      <c r="AI48" s="53">
        <v>21.000000000000004</v>
      </c>
      <c r="AK48" s="53">
        <v>0</v>
      </c>
      <c r="AL48" s="53">
        <v>15.666666666666666</v>
      </c>
      <c r="AM48" s="53">
        <v>61</v>
      </c>
      <c r="AO48" s="53">
        <v>0</v>
      </c>
      <c r="AP48" s="53">
        <v>786840</v>
      </c>
      <c r="AQ48" s="53">
        <v>0</v>
      </c>
      <c r="AS48" s="53">
        <v>0</v>
      </c>
      <c r="AT48" s="53">
        <v>430658.29558239999</v>
      </c>
      <c r="AU48" s="53">
        <v>4026655.0636954396</v>
      </c>
      <c r="AW48" s="53">
        <v>0</v>
      </c>
      <c r="AX48" s="53">
        <v>472014.42945464532</v>
      </c>
      <c r="AY48" s="53">
        <v>3623217.1159566278</v>
      </c>
      <c r="BA48" s="53">
        <v>0</v>
      </c>
      <c r="BB48" s="53">
        <v>-67181.633784687991</v>
      </c>
      <c r="BC48" s="53">
        <v>-520404.93959897279</v>
      </c>
      <c r="BE48" s="53">
        <v>0</v>
      </c>
      <c r="BF48" s="53">
        <v>312834.20351040002</v>
      </c>
      <c r="BG48" s="53">
        <v>2924999.8028222397</v>
      </c>
      <c r="BI48" s="53">
        <v>0</v>
      </c>
      <c r="BJ48" s="53">
        <v>20650.884966399994</v>
      </c>
      <c r="BK48" s="53">
        <v>193085.77443583994</v>
      </c>
      <c r="BM48" s="53">
        <v>0</v>
      </c>
      <c r="BN48" s="53">
        <v>85318.419139200007</v>
      </c>
      <c r="BO48" s="53">
        <v>797727.21895152004</v>
      </c>
      <c r="BQ48" s="53">
        <v>0</v>
      </c>
      <c r="BR48" s="53">
        <v>3579.3269615999998</v>
      </c>
      <c r="BS48" s="53">
        <v>33466.707090960001</v>
      </c>
      <c r="BU48" s="53">
        <v>0</v>
      </c>
      <c r="BV48" s="53">
        <v>8275.4610047999995</v>
      </c>
      <c r="BW48" s="53">
        <v>77375.560394879998</v>
      </c>
      <c r="BY48" s="53">
        <v>0</v>
      </c>
      <c r="BZ48" s="53">
        <v>18329.936870502395</v>
      </c>
      <c r="CA48" s="53">
        <v>171384.90973919738</v>
      </c>
      <c r="CC48" s="53">
        <v>0</v>
      </c>
      <c r="CD48" s="53">
        <v>5127.9748517888002</v>
      </c>
      <c r="CE48" s="53">
        <v>47946.564864225285</v>
      </c>
      <c r="CG48" s="53">
        <v>0</v>
      </c>
      <c r="CH48" s="53">
        <v>129188.6526233333</v>
      </c>
      <c r="CI48" s="53">
        <v>310052.76629599993</v>
      </c>
      <c r="CK48" s="53">
        <v>0</v>
      </c>
      <c r="CL48" s="53">
        <v>17515.082400358398</v>
      </c>
      <c r="CM48" s="53">
        <v>163766.02044335101</v>
      </c>
      <c r="CO48" s="53">
        <v>0</v>
      </c>
      <c r="CP48" s="53">
        <v>0</v>
      </c>
      <c r="CQ48" s="53">
        <v>0</v>
      </c>
      <c r="CS48" s="53">
        <v>0</v>
      </c>
      <c r="CT48" s="53">
        <v>404212.79316982604</v>
      </c>
      <c r="CU48" s="53">
        <v>2878141.2408912615</v>
      </c>
      <c r="CW48" s="53">
        <v>0</v>
      </c>
      <c r="CX48" s="53">
        <v>73605.705500000011</v>
      </c>
      <c r="CY48" s="53">
        <v>181953.303996</v>
      </c>
      <c r="DA48" s="53">
        <v>0</v>
      </c>
      <c r="DB48" s="53">
        <v>29640</v>
      </c>
      <c r="DC48" s="53">
        <v>73981.440000000017</v>
      </c>
      <c r="DE48" s="53">
        <v>0</v>
      </c>
      <c r="DF48" s="53">
        <v>4499.3619840000001</v>
      </c>
      <c r="DG48" s="53">
        <v>15040.203726080006</v>
      </c>
      <c r="DI48" s="53">
        <v>0</v>
      </c>
      <c r="DJ48" s="53">
        <v>21675</v>
      </c>
      <c r="DK48" s="53">
        <v>53060.399999999987</v>
      </c>
      <c r="DM48" s="53">
        <v>0</v>
      </c>
      <c r="DN48" s="53">
        <v>24594.749999999996</v>
      </c>
      <c r="DO48" s="53">
        <v>148535.307</v>
      </c>
      <c r="DQ48" s="53">
        <v>0</v>
      </c>
      <c r="DR48" s="53">
        <v>30187.5</v>
      </c>
      <c r="DS48" s="53">
        <v>76072.5</v>
      </c>
      <c r="DU48" s="53">
        <v>0</v>
      </c>
      <c r="DV48" s="53">
        <v>126877.11</v>
      </c>
      <c r="DW48" s="53">
        <v>0</v>
      </c>
      <c r="DY48" s="53">
        <v>0</v>
      </c>
      <c r="DZ48" s="53">
        <v>54537.541681310388</v>
      </c>
      <c r="EA48" s="53">
        <v>393620.49445676594</v>
      </c>
      <c r="EC48" s="53">
        <v>0</v>
      </c>
      <c r="ED48" s="53">
        <v>0</v>
      </c>
      <c r="EE48" s="53">
        <v>0</v>
      </c>
      <c r="EG48" s="53">
        <v>0</v>
      </c>
      <c r="EH48" s="53">
        <v>-100261.75559322865</v>
      </c>
      <c r="EI48" s="53">
        <v>-521982.86248472729</v>
      </c>
      <c r="EK48" s="53">
        <v>0</v>
      </c>
      <c r="EL48" s="53">
        <v>11629.322671403954</v>
      </c>
      <c r="EM48" s="53">
        <v>120801.50792571837</v>
      </c>
      <c r="EO48" s="53">
        <v>0</v>
      </c>
      <c r="EP48" s="53">
        <v>0</v>
      </c>
      <c r="EQ48" s="53">
        <v>1</v>
      </c>
      <c r="ES48" s="53">
        <v>0</v>
      </c>
      <c r="ET48" s="53">
        <v>0</v>
      </c>
      <c r="EU48" s="53">
        <v>1</v>
      </c>
      <c r="EW48" s="53">
        <v>0</v>
      </c>
      <c r="EX48" s="53">
        <v>1</v>
      </c>
      <c r="EY48" s="53">
        <v>1</v>
      </c>
    </row>
    <row r="49" spans="2:156" x14ac:dyDescent="0.25">
      <c r="B49" t="str">
        <v>JV2</v>
      </c>
      <c r="C49" t="str">
        <v>Center</v>
      </c>
      <c r="D49" t="str">
        <v>Maryland</v>
      </c>
      <c r="E49" s="53">
        <v>0</v>
      </c>
      <c r="F49" s="53">
        <v>0</v>
      </c>
      <c r="G49" s="53">
        <v>8086.0266666666657</v>
      </c>
      <c r="I49" s="53">
        <v>0</v>
      </c>
      <c r="J49" s="53">
        <v>0</v>
      </c>
      <c r="K49" s="53">
        <v>18.830000000000002</v>
      </c>
      <c r="M49" s="53">
        <v>0</v>
      </c>
      <c r="N49" s="53">
        <v>0</v>
      </c>
      <c r="O49" s="53">
        <v>2.86</v>
      </c>
      <c r="Q49" s="53">
        <v>0</v>
      </c>
      <c r="R49" s="53">
        <v>0</v>
      </c>
      <c r="S49" s="53">
        <v>22</v>
      </c>
      <c r="U49" s="53">
        <v>0</v>
      </c>
      <c r="V49" s="53">
        <v>0</v>
      </c>
      <c r="W49" s="53">
        <v>6</v>
      </c>
      <c r="Y49" s="53">
        <v>0</v>
      </c>
      <c r="Z49" s="53">
        <v>0</v>
      </c>
      <c r="AA49" s="53">
        <v>20</v>
      </c>
      <c r="AC49" s="53">
        <v>0</v>
      </c>
      <c r="AD49" s="53">
        <v>0</v>
      </c>
      <c r="AE49" s="53">
        <v>20.642857142857142</v>
      </c>
      <c r="AG49" s="53">
        <v>0</v>
      </c>
      <c r="AH49" s="53">
        <v>0</v>
      </c>
      <c r="AI49" s="53">
        <v>3.5</v>
      </c>
      <c r="AK49" s="53">
        <v>0</v>
      </c>
      <c r="AL49" s="53">
        <v>0</v>
      </c>
      <c r="AM49" s="53">
        <v>23.5</v>
      </c>
      <c r="AO49" s="53">
        <v>0</v>
      </c>
      <c r="AP49" s="53">
        <v>0</v>
      </c>
      <c r="AQ49" s="53">
        <v>786840</v>
      </c>
      <c r="AS49" s="53">
        <v>0</v>
      </c>
      <c r="AT49" s="53">
        <v>0</v>
      </c>
      <c r="AU49" s="53">
        <v>829017.21899612003</v>
      </c>
      <c r="AW49" s="53">
        <v>0</v>
      </c>
      <c r="AX49" s="53">
        <v>0</v>
      </c>
      <c r="AY49" s="53">
        <v>848942.61918821232</v>
      </c>
      <c r="BA49" s="53">
        <v>0</v>
      </c>
      <c r="BB49" s="53">
        <v>0</v>
      </c>
      <c r="BC49" s="53">
        <v>-121185.75992025439</v>
      </c>
      <c r="BE49" s="53">
        <v>0</v>
      </c>
      <c r="BF49" s="53">
        <v>0</v>
      </c>
      <c r="BG49" s="53">
        <v>602205.8417575201</v>
      </c>
      <c r="BI49" s="53">
        <v>0</v>
      </c>
      <c r="BJ49" s="53">
        <v>0</v>
      </c>
      <c r="BK49" s="53">
        <v>39752.953560319991</v>
      </c>
      <c r="BM49" s="53">
        <v>0</v>
      </c>
      <c r="BN49" s="53">
        <v>0</v>
      </c>
      <c r="BO49" s="53">
        <v>164237.95684296</v>
      </c>
      <c r="BQ49" s="53">
        <v>0</v>
      </c>
      <c r="BR49" s="53">
        <v>0</v>
      </c>
      <c r="BS49" s="53">
        <v>6890.20440108</v>
      </c>
      <c r="BU49" s="53">
        <v>0</v>
      </c>
      <c r="BV49" s="53">
        <v>0</v>
      </c>
      <c r="BW49" s="53">
        <v>15930.262434239999</v>
      </c>
      <c r="BY49" s="53">
        <v>0</v>
      </c>
      <c r="BZ49" s="53">
        <v>0</v>
      </c>
      <c r="CA49" s="53">
        <v>35285.128475717109</v>
      </c>
      <c r="CC49" s="53">
        <v>0</v>
      </c>
      <c r="CD49" s="53">
        <v>0</v>
      </c>
      <c r="CE49" s="53">
        <v>9871.3515896934405</v>
      </c>
      <c r="CG49" s="53">
        <v>0</v>
      </c>
      <c r="CH49" s="53">
        <v>0</v>
      </c>
      <c r="CI49" s="53">
        <v>180864.11367266663</v>
      </c>
      <c r="CK49" s="53">
        <v>0</v>
      </c>
      <c r="CL49" s="53">
        <v>0</v>
      </c>
      <c r="CM49" s="53">
        <v>33716.533620689916</v>
      </c>
      <c r="CO49" s="53">
        <v>0</v>
      </c>
      <c r="CP49" s="53">
        <v>0</v>
      </c>
      <c r="CQ49" s="53">
        <v>0</v>
      </c>
      <c r="CS49" s="53">
        <v>0</v>
      </c>
      <c r="CT49" s="53">
        <v>0</v>
      </c>
      <c r="CU49" s="53">
        <v>762955.03442024009</v>
      </c>
      <c r="CW49" s="53">
        <v>0</v>
      </c>
      <c r="CX49" s="53">
        <v>0</v>
      </c>
      <c r="CY49" s="53">
        <v>106139.427331</v>
      </c>
      <c r="DA49" s="53">
        <v>0</v>
      </c>
      <c r="DB49" s="53">
        <v>0</v>
      </c>
      <c r="DC49" s="53">
        <v>43155.840000000011</v>
      </c>
      <c r="DE49" s="53">
        <v>0</v>
      </c>
      <c r="DF49" s="53">
        <v>0</v>
      </c>
      <c r="DG49" s="53">
        <v>7029.9377241600014</v>
      </c>
      <c r="DI49" s="53">
        <v>0</v>
      </c>
      <c r="DJ49" s="53">
        <v>0</v>
      </c>
      <c r="DK49" s="53">
        <v>30951.9</v>
      </c>
      <c r="DM49" s="53">
        <v>0</v>
      </c>
      <c r="DN49" s="53">
        <v>0</v>
      </c>
      <c r="DO49" s="53">
        <v>41928.119999999995</v>
      </c>
      <c r="DQ49" s="53">
        <v>0</v>
      </c>
      <c r="DR49" s="53">
        <v>0</v>
      </c>
      <c r="DS49" s="53">
        <v>44375.625</v>
      </c>
      <c r="DU49" s="53">
        <v>0</v>
      </c>
      <c r="DV49" s="53">
        <v>0</v>
      </c>
      <c r="DW49" s="53">
        <v>126877.11</v>
      </c>
      <c r="DY49" s="53">
        <v>0</v>
      </c>
      <c r="DZ49" s="53">
        <v>0</v>
      </c>
      <c r="EA49" s="53">
        <v>88356.638648350985</v>
      </c>
      <c r="EC49" s="53">
        <v>0</v>
      </c>
      <c r="ED49" s="53">
        <v>0</v>
      </c>
      <c r="EE49" s="53">
        <v>0</v>
      </c>
      <c r="EG49" s="53">
        <v>0</v>
      </c>
      <c r="EH49" s="53">
        <v>0</v>
      </c>
      <c r="EI49" s="53">
        <v>-215925.17255237215</v>
      </c>
      <c r="EK49" s="53">
        <v>0</v>
      </c>
      <c r="EL49" s="53">
        <v>0</v>
      </c>
      <c r="EM49" s="53">
        <v>24870.898690589078</v>
      </c>
      <c r="EO49" s="53">
        <v>0</v>
      </c>
      <c r="EP49" s="53">
        <v>0</v>
      </c>
      <c r="EQ49" s="53">
        <v>0</v>
      </c>
      <c r="ES49" s="53">
        <v>0</v>
      </c>
      <c r="ET49" s="53">
        <v>0</v>
      </c>
      <c r="EU49" s="53">
        <v>0</v>
      </c>
      <c r="EW49" s="53">
        <v>0</v>
      </c>
      <c r="EX49" s="53">
        <v>0</v>
      </c>
      <c r="EY49" s="53">
        <v>1</v>
      </c>
    </row>
    <row r="50" spans="2:156" x14ac:dyDescent="0.25">
      <c r="B50" t="str">
        <v>JV2</v>
      </c>
      <c r="C50" t="str">
        <v>Center</v>
      </c>
      <c r="D50" t="str">
        <v>North Carolina</v>
      </c>
      <c r="E50" s="53">
        <v>8821.119999999999</v>
      </c>
      <c r="F50" s="53">
        <v>46310.879999999983</v>
      </c>
      <c r="G50" s="53">
        <v>52926.719999999979</v>
      </c>
      <c r="I50" s="53">
        <v>19.770000000000003</v>
      </c>
      <c r="J50" s="53">
        <v>39.53</v>
      </c>
      <c r="K50" s="53">
        <v>39.53</v>
      </c>
      <c r="M50" s="53">
        <v>3</v>
      </c>
      <c r="N50" s="53">
        <v>6</v>
      </c>
      <c r="O50" s="53">
        <v>6</v>
      </c>
      <c r="Q50" s="53">
        <v>23</v>
      </c>
      <c r="R50" s="53">
        <v>46</v>
      </c>
      <c r="S50" s="53">
        <v>46</v>
      </c>
      <c r="U50" s="53">
        <v>6</v>
      </c>
      <c r="V50" s="53">
        <v>9</v>
      </c>
      <c r="W50" s="53">
        <v>8</v>
      </c>
      <c r="Y50" s="53">
        <v>21</v>
      </c>
      <c r="Z50" s="53">
        <v>42</v>
      </c>
      <c r="AA50" s="53">
        <v>42</v>
      </c>
      <c r="AC50" s="53">
        <v>21.5</v>
      </c>
      <c r="AD50" s="53">
        <v>43</v>
      </c>
      <c r="AE50" s="53">
        <v>45.5</v>
      </c>
      <c r="AG50" s="53">
        <v>3.5</v>
      </c>
      <c r="AH50" s="53">
        <v>25</v>
      </c>
      <c r="AI50" s="53">
        <v>45.5</v>
      </c>
      <c r="AK50" s="53">
        <v>24.5</v>
      </c>
      <c r="AL50" s="53">
        <v>67</v>
      </c>
      <c r="AM50" s="53">
        <v>87.5</v>
      </c>
      <c r="AO50" s="53">
        <v>786840</v>
      </c>
      <c r="AP50" s="53">
        <v>0</v>
      </c>
      <c r="AQ50" s="53">
        <v>0</v>
      </c>
      <c r="AS50" s="53">
        <v>866683.9125055999</v>
      </c>
      <c r="AT50" s="53">
        <v>4686593.2568740323</v>
      </c>
      <c r="AU50" s="53">
        <v>5356106.5792846093</v>
      </c>
      <c r="AW50" s="53">
        <v>793362.07561826135</v>
      </c>
      <c r="AX50" s="53">
        <v>3757052.2530555492</v>
      </c>
      <c r="AY50" s="53">
        <v>4256852.5717448564</v>
      </c>
      <c r="BA50" s="53">
        <v>-123961.80202067198</v>
      </c>
      <c r="BB50" s="53">
        <v>-597634.37567448383</v>
      </c>
      <c r="BC50" s="53">
        <v>-677975.97436375311</v>
      </c>
      <c r="BE50" s="53">
        <v>603406.90650239994</v>
      </c>
      <c r="BF50" s="53">
        <v>3262922.8469117279</v>
      </c>
      <c r="BG50" s="53">
        <v>3729054.6821848322</v>
      </c>
      <c r="BI50" s="53">
        <v>115691.13919999998</v>
      </c>
      <c r="BJ50" s="53">
        <v>625599.83522399992</v>
      </c>
      <c r="BK50" s="53">
        <v>714971.24025599996</v>
      </c>
      <c r="BM50" s="53">
        <v>127397.91093120001</v>
      </c>
      <c r="BN50" s="53">
        <v>688904.20336046419</v>
      </c>
      <c r="BO50" s="53">
        <v>787319.08955481637</v>
      </c>
      <c r="BQ50" s="53">
        <v>7208.4479039999997</v>
      </c>
      <c r="BR50" s="53">
        <v>38979.682040880005</v>
      </c>
      <c r="BS50" s="53">
        <v>44548.208046720007</v>
      </c>
      <c r="BU50" s="53">
        <v>12979.507968</v>
      </c>
      <c r="BV50" s="53">
        <v>70186.68933696</v>
      </c>
      <c r="BW50" s="53">
        <v>80213.359242240011</v>
      </c>
      <c r="BY50" s="53">
        <v>36615.687972864005</v>
      </c>
      <c r="BZ50" s="53">
        <v>197999.33271326212</v>
      </c>
      <c r="CA50" s="53">
        <v>226284.95167229956</v>
      </c>
      <c r="CC50" s="53">
        <v>9900.6334479360012</v>
      </c>
      <c r="CD50" s="53">
        <v>53537.675369713943</v>
      </c>
      <c r="CE50" s="53">
        <v>61185.914708244505</v>
      </c>
      <c r="CG50" s="53">
        <v>166331.10433333335</v>
      </c>
      <c r="CH50" s="53">
        <v>293693.20708000002</v>
      </c>
      <c r="CI50" s="53">
        <v>293693.20708000002</v>
      </c>
      <c r="CK50" s="53">
        <v>27290.138523648002</v>
      </c>
      <c r="CL50" s="53">
        <v>147571.42406662658</v>
      </c>
      <c r="CM50" s="53">
        <v>168653.05607614465</v>
      </c>
      <c r="CO50" s="53">
        <v>0</v>
      </c>
      <c r="CP50" s="53">
        <v>0</v>
      </c>
      <c r="CQ50" s="53">
        <v>0</v>
      </c>
      <c r="CS50" s="53">
        <v>671301.79000542546</v>
      </c>
      <c r="CT50" s="53">
        <v>2992445.6870313324</v>
      </c>
      <c r="CU50" s="53">
        <v>3694151.8768393891</v>
      </c>
      <c r="CW50" s="53">
        <v>46991</v>
      </c>
      <c r="CX50" s="53">
        <v>82972.680000000008</v>
      </c>
      <c r="CY50" s="53">
        <v>85461.86039999999</v>
      </c>
      <c r="DA50" s="53">
        <v>39200</v>
      </c>
      <c r="DB50" s="53">
        <v>69888</v>
      </c>
      <c r="DC50" s="53">
        <v>72683.520000000004</v>
      </c>
      <c r="DE50" s="53">
        <v>6617.5015999999996</v>
      </c>
      <c r="DF50" s="53">
        <v>14854.202064000001</v>
      </c>
      <c r="DG50" s="53">
        <v>16093.418864640002</v>
      </c>
      <c r="DI50" s="53">
        <v>42000</v>
      </c>
      <c r="DJ50" s="53">
        <v>73440</v>
      </c>
      <c r="DK50" s="53">
        <v>74908.800000000003</v>
      </c>
      <c r="DM50" s="53">
        <v>55079.499999999993</v>
      </c>
      <c r="DN50" s="53">
        <v>224944.17000000004</v>
      </c>
      <c r="DO50" s="53">
        <v>257230.57680000007</v>
      </c>
      <c r="DQ50" s="53">
        <v>33250</v>
      </c>
      <c r="DR50" s="53">
        <v>59850</v>
      </c>
      <c r="DS50" s="53">
        <v>62842.5</v>
      </c>
      <c r="DU50" s="53">
        <v>104139</v>
      </c>
      <c r="DV50" s="53">
        <v>0</v>
      </c>
      <c r="DW50" s="53">
        <v>0</v>
      </c>
      <c r="DY50" s="53">
        <v>140916.2046636045</v>
      </c>
      <c r="DZ50" s="53">
        <v>479979.49356317695</v>
      </c>
      <c r="EA50" s="53">
        <v>468672.85575371567</v>
      </c>
      <c r="EC50" s="53">
        <v>0</v>
      </c>
      <c r="ED50" s="53">
        <v>0</v>
      </c>
      <c r="EE50" s="53">
        <v>0</v>
      </c>
      <c r="EG50" s="53">
        <v>-192449.74998384636</v>
      </c>
      <c r="EH50" s="53">
        <v>-492299.77057334804</v>
      </c>
      <c r="EI50" s="53">
        <v>-638527.88576172816</v>
      </c>
      <c r="EK50" s="53">
        <v>21553.452442336191</v>
      </c>
      <c r="EL50" s="53">
        <v>128213.28245222857</v>
      </c>
      <c r="EM50" s="53">
        <v>162791.33688385572</v>
      </c>
      <c r="EO50" s="53">
        <v>1</v>
      </c>
      <c r="EP50" s="53">
        <v>1</v>
      </c>
      <c r="EQ50" s="53">
        <v>1</v>
      </c>
      <c r="ES50" s="53">
        <v>0</v>
      </c>
      <c r="ET50" s="53">
        <v>1</v>
      </c>
      <c r="EU50" s="53">
        <v>1</v>
      </c>
      <c r="EW50" s="53">
        <v>1</v>
      </c>
      <c r="EX50" s="53">
        <v>1</v>
      </c>
      <c r="EY50" s="53">
        <v>1</v>
      </c>
    </row>
    <row r="51" spans="2:156" x14ac:dyDescent="0.25">
      <c r="B51" t="str">
        <v>JV2</v>
      </c>
      <c r="C51" t="str">
        <v>Center</v>
      </c>
      <c r="D51" t="str">
        <v>North Carolina</v>
      </c>
      <c r="E51" s="53">
        <v>1575.1999999999998</v>
      </c>
      <c r="F51" s="53">
        <v>33499.253333333327</v>
      </c>
      <c r="G51" s="53">
        <v>50406.399999999994</v>
      </c>
      <c r="I51" s="53">
        <v>7.5299999999999994</v>
      </c>
      <c r="J51" s="53">
        <v>37.65</v>
      </c>
      <c r="K51" s="53">
        <v>37.65</v>
      </c>
      <c r="M51" s="53">
        <v>1.1499999999999999</v>
      </c>
      <c r="N51" s="53">
        <v>5.72</v>
      </c>
      <c r="O51" s="53">
        <v>5.72</v>
      </c>
      <c r="Q51" s="53">
        <v>9</v>
      </c>
      <c r="R51" s="53">
        <v>43</v>
      </c>
      <c r="S51" s="53">
        <v>43</v>
      </c>
      <c r="U51" s="53">
        <v>4</v>
      </c>
      <c r="V51" s="53">
        <v>8</v>
      </c>
      <c r="W51" s="53">
        <v>8</v>
      </c>
      <c r="Y51" s="53">
        <v>8</v>
      </c>
      <c r="Z51" s="53">
        <v>40</v>
      </c>
      <c r="AA51" s="53">
        <v>40</v>
      </c>
      <c r="AC51" s="53">
        <v>6.2142857142857144</v>
      </c>
      <c r="AD51" s="53">
        <v>45.571428571428569</v>
      </c>
      <c r="AE51" s="53">
        <v>40.5</v>
      </c>
      <c r="AG51" s="53">
        <v>0.5</v>
      </c>
      <c r="AH51" s="53">
        <v>17</v>
      </c>
      <c r="AI51" s="53">
        <v>40.5</v>
      </c>
      <c r="AK51" s="53">
        <v>8.5</v>
      </c>
      <c r="AL51" s="53">
        <v>57</v>
      </c>
      <c r="AM51" s="53">
        <v>80.5</v>
      </c>
      <c r="AO51" s="53">
        <v>756033.33333333326</v>
      </c>
      <c r="AP51" s="53">
        <v>151206.66666666666</v>
      </c>
      <c r="AQ51" s="53">
        <v>0</v>
      </c>
      <c r="AS51" s="53">
        <v>154764.98437600001</v>
      </c>
      <c r="AT51" s="53">
        <v>3390075.3944281545</v>
      </c>
      <c r="AU51" s="53">
        <v>5101053.8850329574</v>
      </c>
      <c r="AW51" s="53">
        <v>115534.05425088</v>
      </c>
      <c r="AX51" s="53">
        <v>2530734.9470141088</v>
      </c>
      <c r="AY51" s="53">
        <v>3808002.4281090028</v>
      </c>
      <c r="BA51" s="53">
        <v>-18571.798125119996</v>
      </c>
      <c r="BB51" s="53">
        <v>-406809.0473313785</v>
      </c>
      <c r="BC51" s="53">
        <v>-612126.46620395489</v>
      </c>
      <c r="BE51" s="53">
        <v>107751.23330399999</v>
      </c>
      <c r="BF51" s="53">
        <v>2360254.8484463519</v>
      </c>
      <c r="BG51" s="53">
        <v>3551480.6496998384</v>
      </c>
      <c r="BI51" s="53">
        <v>20659.131999999998</v>
      </c>
      <c r="BJ51" s="53">
        <v>452531.4000826666</v>
      </c>
      <c r="BK51" s="53">
        <v>680924.99071999977</v>
      </c>
      <c r="BM51" s="53">
        <v>22749.626951999999</v>
      </c>
      <c r="BN51" s="53">
        <v>498322.995174576</v>
      </c>
      <c r="BO51" s="53">
        <v>749827.70433792006</v>
      </c>
      <c r="BQ51" s="53">
        <v>1287.2228399999999</v>
      </c>
      <c r="BR51" s="53">
        <v>28196.187235919999</v>
      </c>
      <c r="BS51" s="53">
        <v>42426.864806400001</v>
      </c>
      <c r="BU51" s="53">
        <v>2317.76928</v>
      </c>
      <c r="BV51" s="53">
        <v>50769.963488639987</v>
      </c>
      <c r="BW51" s="53">
        <v>76393.675468799993</v>
      </c>
      <c r="BY51" s="53">
        <v>0</v>
      </c>
      <c r="BZ51" s="53">
        <v>0</v>
      </c>
      <c r="CA51" s="53">
        <v>0</v>
      </c>
      <c r="CC51" s="53">
        <v>0</v>
      </c>
      <c r="CD51" s="53">
        <v>0</v>
      </c>
      <c r="CE51" s="53">
        <v>0</v>
      </c>
      <c r="CG51" s="53">
        <v>0</v>
      </c>
      <c r="CH51" s="53">
        <v>0</v>
      </c>
      <c r="CI51" s="53">
        <v>0</v>
      </c>
      <c r="CK51" s="53">
        <v>0</v>
      </c>
      <c r="CL51" s="53">
        <v>0</v>
      </c>
      <c r="CM51" s="53">
        <v>0</v>
      </c>
      <c r="CO51" s="53">
        <v>0</v>
      </c>
      <c r="CP51" s="53">
        <v>0</v>
      </c>
      <c r="CQ51" s="53">
        <v>0</v>
      </c>
      <c r="CS51" s="53">
        <v>125649.45095334978</v>
      </c>
      <c r="CT51" s="53">
        <v>2068316.867768696</v>
      </c>
      <c r="CU51" s="53">
        <v>3263259.8180137048</v>
      </c>
      <c r="CW51" s="53">
        <v>20139</v>
      </c>
      <c r="CX51" s="53">
        <v>82972.680000000008</v>
      </c>
      <c r="CY51" s="53">
        <v>85461.86039999999</v>
      </c>
      <c r="DA51" s="53">
        <v>13800</v>
      </c>
      <c r="DB51" s="53">
        <v>57408</v>
      </c>
      <c r="DC51" s="53">
        <v>59704.320000000007</v>
      </c>
      <c r="DE51" s="53">
        <v>2277.7144000000003</v>
      </c>
      <c r="DF51" s="53">
        <v>14237.467087999999</v>
      </c>
      <c r="DG51" s="53">
        <v>15466.591861760007</v>
      </c>
      <c r="DI51" s="53">
        <v>13500</v>
      </c>
      <c r="DJ51" s="53">
        <v>55080</v>
      </c>
      <c r="DK51" s="53">
        <v>56181.600000000013</v>
      </c>
      <c r="DM51" s="53">
        <v>13272.5</v>
      </c>
      <c r="DN51" s="53">
        <v>168473.90999999997</v>
      </c>
      <c r="DO51" s="53">
        <v>241922.13119999997</v>
      </c>
      <c r="DQ51" s="53">
        <v>11850</v>
      </c>
      <c r="DR51" s="53">
        <v>49770</v>
      </c>
      <c r="DS51" s="53">
        <v>52258.5</v>
      </c>
      <c r="DU51" s="53">
        <v>103139</v>
      </c>
      <c r="DV51" s="53">
        <v>0</v>
      </c>
      <c r="DW51" s="53">
        <v>0</v>
      </c>
      <c r="DY51" s="53">
        <v>18476.675673184993</v>
      </c>
      <c r="DZ51" s="53">
        <v>316549.77717658202</v>
      </c>
      <c r="EA51" s="53">
        <v>419255.15216219722</v>
      </c>
      <c r="EC51" s="53">
        <v>0</v>
      </c>
      <c r="ED51" s="53">
        <v>0</v>
      </c>
      <c r="EE51" s="53">
        <v>0</v>
      </c>
      <c r="EG51" s="53">
        <v>0</v>
      </c>
      <c r="EH51" s="53">
        <v>-429740.46819157322</v>
      </c>
      <c r="EI51" s="53">
        <v>-549780.35055823741</v>
      </c>
      <c r="EK51" s="53">
        <v>3848.8307932743201</v>
      </c>
      <c r="EL51" s="53">
        <v>92743.848304446525</v>
      </c>
      <c r="EM51" s="53">
        <v>155039.36846081502</v>
      </c>
      <c r="EO51" s="53">
        <v>0</v>
      </c>
      <c r="EP51" s="53">
        <v>0</v>
      </c>
      <c r="EQ51" s="53">
        <v>0</v>
      </c>
      <c r="ES51" s="53">
        <v>0</v>
      </c>
      <c r="ET51" s="53">
        <v>0</v>
      </c>
      <c r="EU51" s="53">
        <v>0</v>
      </c>
      <c r="EW51" s="53">
        <v>0</v>
      </c>
      <c r="EX51" s="53">
        <v>0</v>
      </c>
      <c r="EY51" s="53">
        <v>0</v>
      </c>
    </row>
    <row r="52" spans="2:156" x14ac:dyDescent="0.25">
      <c r="B52" t="str">
        <v>JV2</v>
      </c>
      <c r="C52" t="str">
        <v>Center</v>
      </c>
      <c r="D52" t="str">
        <v>North Carolina</v>
      </c>
      <c r="E52" s="53">
        <v>0</v>
      </c>
      <c r="F52" s="53">
        <v>6615.8399999999992</v>
      </c>
      <c r="G52" s="53">
        <v>44105.599999999991</v>
      </c>
      <c r="I52" s="53">
        <v>0</v>
      </c>
      <c r="J52" s="53">
        <v>16.950000000000003</v>
      </c>
      <c r="K52" s="53">
        <v>39.53</v>
      </c>
      <c r="M52" s="53">
        <v>0</v>
      </c>
      <c r="N52" s="53">
        <v>2.5799999999999996</v>
      </c>
      <c r="O52" s="53">
        <v>6</v>
      </c>
      <c r="Q52" s="53">
        <v>0</v>
      </c>
      <c r="R52" s="53">
        <v>20</v>
      </c>
      <c r="S52" s="53">
        <v>46</v>
      </c>
      <c r="U52" s="53">
        <v>0</v>
      </c>
      <c r="V52" s="53">
        <v>6</v>
      </c>
      <c r="W52" s="53">
        <v>9</v>
      </c>
      <c r="Y52" s="53">
        <v>0</v>
      </c>
      <c r="Z52" s="53">
        <v>18</v>
      </c>
      <c r="AA52" s="53">
        <v>42</v>
      </c>
      <c r="AC52" s="53">
        <v>0</v>
      </c>
      <c r="AD52" s="53">
        <v>17.5</v>
      </c>
      <c r="AE52" s="53">
        <v>44</v>
      </c>
      <c r="AG52" s="53">
        <v>0</v>
      </c>
      <c r="AH52" s="53">
        <v>2.5</v>
      </c>
      <c r="AI52" s="53">
        <v>23</v>
      </c>
      <c r="AK52" s="53">
        <v>0</v>
      </c>
      <c r="AL52" s="53">
        <v>20.5</v>
      </c>
      <c r="AM52" s="53">
        <v>65</v>
      </c>
      <c r="AO52" s="53">
        <v>0</v>
      </c>
      <c r="AP52" s="53">
        <v>786840</v>
      </c>
      <c r="AQ52" s="53">
        <v>0</v>
      </c>
      <c r="AS52" s="53">
        <v>0</v>
      </c>
      <c r="AT52" s="53">
        <v>669513.32241057616</v>
      </c>
      <c r="AU52" s="53">
        <v>4463422.1494038403</v>
      </c>
      <c r="AW52" s="53">
        <v>0</v>
      </c>
      <c r="AX52" s="53">
        <v>629025.32980450685</v>
      </c>
      <c r="AY52" s="53">
        <v>3590452.1468257802</v>
      </c>
      <c r="BA52" s="53">
        <v>0</v>
      </c>
      <c r="BB52" s="53">
        <v>-97963.191114069108</v>
      </c>
      <c r="BC52" s="53">
        <v>-570853.84277806082</v>
      </c>
      <c r="BE52" s="53">
        <v>0</v>
      </c>
      <c r="BF52" s="53">
        <v>466131.83527310402</v>
      </c>
      <c r="BG52" s="53">
        <v>3107545.5684873601</v>
      </c>
      <c r="BI52" s="53">
        <v>0</v>
      </c>
      <c r="BJ52" s="53">
        <v>89371.405031999995</v>
      </c>
      <c r="BK52" s="53">
        <v>595809.36687999999</v>
      </c>
      <c r="BM52" s="53">
        <v>0</v>
      </c>
      <c r="BN52" s="53">
        <v>98414.886194352002</v>
      </c>
      <c r="BO52" s="53">
        <v>656099.24129568017</v>
      </c>
      <c r="BQ52" s="53">
        <v>0</v>
      </c>
      <c r="BR52" s="53">
        <v>5568.5260058399999</v>
      </c>
      <c r="BS52" s="53">
        <v>37123.506705600004</v>
      </c>
      <c r="BU52" s="53">
        <v>0</v>
      </c>
      <c r="BV52" s="53">
        <v>10026.66990528</v>
      </c>
      <c r="BW52" s="53">
        <v>66844.466035200006</v>
      </c>
      <c r="BY52" s="53">
        <v>0</v>
      </c>
      <c r="BZ52" s="53">
        <v>28285.618959037442</v>
      </c>
      <c r="CA52" s="53">
        <v>188570.79306024965</v>
      </c>
      <c r="CC52" s="53">
        <v>0</v>
      </c>
      <c r="CD52" s="53">
        <v>7648.2393385305622</v>
      </c>
      <c r="CE52" s="53">
        <v>50988.262256870417</v>
      </c>
      <c r="CG52" s="53">
        <v>0</v>
      </c>
      <c r="CH52" s="53">
        <v>146846.60354000001</v>
      </c>
      <c r="CI52" s="53">
        <v>293693.20708000002</v>
      </c>
      <c r="CK52" s="53">
        <v>0</v>
      </c>
      <c r="CL52" s="53">
        <v>21081.632009518082</v>
      </c>
      <c r="CM52" s="53">
        <v>140544.21339678721</v>
      </c>
      <c r="CO52" s="53">
        <v>0</v>
      </c>
      <c r="CP52" s="53">
        <v>0</v>
      </c>
      <c r="CQ52" s="53">
        <v>0</v>
      </c>
      <c r="CS52" s="53">
        <v>0</v>
      </c>
      <c r="CT52" s="53">
        <v>578931.96167114272</v>
      </c>
      <c r="CU52" s="53">
        <v>3160645.2390661575</v>
      </c>
      <c r="CW52" s="53">
        <v>0</v>
      </c>
      <c r="CX52" s="53">
        <v>41486.340000000004</v>
      </c>
      <c r="CY52" s="53">
        <v>85461.86039999999</v>
      </c>
      <c r="DA52" s="53">
        <v>0</v>
      </c>
      <c r="DB52" s="53">
        <v>34944</v>
      </c>
      <c r="DC52" s="53">
        <v>72683.520000000004</v>
      </c>
      <c r="DE52" s="53">
        <v>0</v>
      </c>
      <c r="DF52" s="53">
        <v>5715.3110560000005</v>
      </c>
      <c r="DG52" s="53">
        <v>15382.771971840004</v>
      </c>
      <c r="DI52" s="53">
        <v>0</v>
      </c>
      <c r="DJ52" s="53">
        <v>36720</v>
      </c>
      <c r="DK52" s="53">
        <v>74908.800000000003</v>
      </c>
      <c r="DM52" s="53">
        <v>0</v>
      </c>
      <c r="DN52" s="53">
        <v>44165.49</v>
      </c>
      <c r="DO52" s="53">
        <v>220324.9878</v>
      </c>
      <c r="DQ52" s="53">
        <v>0</v>
      </c>
      <c r="DR52" s="53">
        <v>29925</v>
      </c>
      <c r="DS52" s="53">
        <v>62842.5</v>
      </c>
      <c r="DU52" s="53">
        <v>0</v>
      </c>
      <c r="DV52" s="53">
        <v>104139</v>
      </c>
      <c r="DW52" s="53">
        <v>0</v>
      </c>
      <c r="DY52" s="53">
        <v>0</v>
      </c>
      <c r="DZ52" s="53">
        <v>73409.612573667706</v>
      </c>
      <c r="EA52" s="53">
        <v>391156.04390205379</v>
      </c>
      <c r="EC52" s="53">
        <v>0</v>
      </c>
      <c r="ED52" s="53">
        <v>0</v>
      </c>
      <c r="EE52" s="53">
        <v>0</v>
      </c>
      <c r="EG52" s="53">
        <v>0</v>
      </c>
      <c r="EH52" s="53">
        <v>-143822.584577767</v>
      </c>
      <c r="EI52" s="53">
        <v>-492157.79243128852</v>
      </c>
      <c r="EK52" s="53">
        <v>0</v>
      </c>
      <c r="EL52" s="53">
        <v>18316.183207461228</v>
      </c>
      <c r="EM52" s="53">
        <v>135659.44740321313</v>
      </c>
      <c r="EO52" s="53">
        <v>0</v>
      </c>
      <c r="EP52" s="53">
        <v>0</v>
      </c>
      <c r="EQ52" s="53">
        <v>1</v>
      </c>
      <c r="ES52" s="53">
        <v>0</v>
      </c>
      <c r="ET52" s="53">
        <v>0</v>
      </c>
      <c r="EU52" s="53">
        <v>1</v>
      </c>
      <c r="EW52" s="53">
        <v>0</v>
      </c>
      <c r="EX52" s="53">
        <v>1</v>
      </c>
      <c r="EY52" s="53">
        <v>1</v>
      </c>
    </row>
    <row r="53" spans="2:156" x14ac:dyDescent="0.25">
      <c r="B53" t="str">
        <v>JV2</v>
      </c>
      <c r="C53" t="str">
        <v>Remote</v>
      </c>
      <c r="D53" t="str">
        <v>Arizona</v>
      </c>
      <c r="E53" s="53">
        <v>6866.3466666666673</v>
      </c>
      <c r="F53" s="53">
        <v>15384.746666666664</v>
      </c>
      <c r="G53" s="53">
        <v>15487.999999999998</v>
      </c>
      <c r="I53" s="53">
        <v>9.48</v>
      </c>
      <c r="J53" s="53">
        <v>11.28</v>
      </c>
      <c r="K53" s="53">
        <v>11.28</v>
      </c>
      <c r="M53" s="53">
        <v>1.91</v>
      </c>
      <c r="N53" s="53">
        <v>2.2799999999999998</v>
      </c>
      <c r="O53" s="53">
        <v>2.2799999999999998</v>
      </c>
      <c r="Q53" s="53">
        <v>11</v>
      </c>
      <c r="R53" s="53">
        <v>14</v>
      </c>
      <c r="S53" s="53">
        <v>14</v>
      </c>
      <c r="U53" s="53">
        <v>4</v>
      </c>
      <c r="V53" s="53">
        <v>4</v>
      </c>
      <c r="W53" s="53">
        <v>3</v>
      </c>
      <c r="Y53" s="53">
        <v>21</v>
      </c>
      <c r="Z53" s="53">
        <v>25</v>
      </c>
      <c r="AA53" s="53">
        <v>25</v>
      </c>
      <c r="AC53" s="53">
        <v>30.642857142857146</v>
      </c>
      <c r="AD53" s="53">
        <v>25.785714285714285</v>
      </c>
      <c r="AE53" s="53">
        <v>24</v>
      </c>
      <c r="AG53" s="53">
        <v>11</v>
      </c>
      <c r="AH53" s="53">
        <v>24</v>
      </c>
      <c r="AI53" s="53">
        <v>24</v>
      </c>
      <c r="AK53" s="53">
        <v>32</v>
      </c>
      <c r="AL53" s="53">
        <v>49</v>
      </c>
      <c r="AM53" s="53">
        <v>49</v>
      </c>
      <c r="AO53" s="53">
        <v>0</v>
      </c>
      <c r="AP53" s="53">
        <v>0</v>
      </c>
      <c r="AQ53" s="53">
        <v>0</v>
      </c>
      <c r="AS53" s="53">
        <v>712461.63395866647</v>
      </c>
      <c r="AT53" s="53">
        <v>1644232.8866712262</v>
      </c>
      <c r="AU53" s="53">
        <v>1655268.0067159997</v>
      </c>
      <c r="AW53" s="53">
        <v>626966.23788362648</v>
      </c>
      <c r="AX53" s="53">
        <v>1446924.9402706798</v>
      </c>
      <c r="AY53" s="53">
        <v>1456635.8459100805</v>
      </c>
      <c r="BA53" s="53">
        <v>-85495.396075039986</v>
      </c>
      <c r="BB53" s="53">
        <v>-197307.94640054714</v>
      </c>
      <c r="BC53" s="53">
        <v>-198632.16080591994</v>
      </c>
      <c r="BE53" s="53">
        <v>557630.76914999983</v>
      </c>
      <c r="BF53" s="53">
        <v>1286911.1900969995</v>
      </c>
      <c r="BG53" s="53">
        <v>1295548.1779499997</v>
      </c>
      <c r="BI53" s="53">
        <v>0</v>
      </c>
      <c r="BJ53" s="53">
        <v>0</v>
      </c>
      <c r="BK53" s="53">
        <v>0</v>
      </c>
      <c r="BM53" s="53">
        <v>112603.70120999998</v>
      </c>
      <c r="BN53" s="53">
        <v>259869.02292780002</v>
      </c>
      <c r="BO53" s="53">
        <v>261613.11033000002</v>
      </c>
      <c r="BQ53" s="53">
        <v>17323.646339999999</v>
      </c>
      <c r="BR53" s="53">
        <v>39979.849681200001</v>
      </c>
      <c r="BS53" s="53">
        <v>40248.170819999999</v>
      </c>
      <c r="BU53" s="53">
        <v>24903.517258666663</v>
      </c>
      <c r="BV53" s="53">
        <v>57472.823965226671</v>
      </c>
      <c r="BW53" s="53">
        <v>57858.547616000003</v>
      </c>
      <c r="BY53" s="53">
        <v>0</v>
      </c>
      <c r="BZ53" s="53">
        <v>0</v>
      </c>
      <c r="CA53" s="53">
        <v>0</v>
      </c>
      <c r="CC53" s="53">
        <v>0</v>
      </c>
      <c r="CD53" s="53">
        <v>0</v>
      </c>
      <c r="CE53" s="53">
        <v>0</v>
      </c>
      <c r="CG53" s="53">
        <v>0</v>
      </c>
      <c r="CH53" s="53">
        <v>0</v>
      </c>
      <c r="CI53" s="53">
        <v>0</v>
      </c>
      <c r="CK53" s="53">
        <v>0</v>
      </c>
      <c r="CL53" s="53">
        <v>0</v>
      </c>
      <c r="CM53" s="53">
        <v>0</v>
      </c>
      <c r="CO53" s="53">
        <v>0</v>
      </c>
      <c r="CP53" s="53">
        <v>0</v>
      </c>
      <c r="CQ53" s="53">
        <v>0</v>
      </c>
      <c r="CS53" s="53">
        <v>552232.03500748856</v>
      </c>
      <c r="CT53" s="53">
        <v>901435.79880470608</v>
      </c>
      <c r="CU53" s="53">
        <v>991989.85234671459</v>
      </c>
      <c r="CW53" s="53">
        <v>0</v>
      </c>
      <c r="CX53" s="53">
        <v>0</v>
      </c>
      <c r="CY53" s="53">
        <v>0</v>
      </c>
      <c r="DA53" s="53">
        <v>0</v>
      </c>
      <c r="DB53" s="53">
        <v>0</v>
      </c>
      <c r="DC53" s="53">
        <v>0</v>
      </c>
      <c r="DE53" s="53">
        <v>11028.046200000001</v>
      </c>
      <c r="DF53" s="53">
        <v>12499.395791999999</v>
      </c>
      <c r="DG53" s="53">
        <v>12857.242245120004</v>
      </c>
      <c r="DI53" s="53">
        <v>54000</v>
      </c>
      <c r="DJ53" s="53">
        <v>55080</v>
      </c>
      <c r="DK53" s="53">
        <v>56181.600000000013</v>
      </c>
      <c r="DM53" s="53">
        <v>68780</v>
      </c>
      <c r="DN53" s="53">
        <v>117274.49999999999</v>
      </c>
      <c r="DO53" s="53">
        <v>119978.92800000003</v>
      </c>
      <c r="DQ53" s="53">
        <v>23400</v>
      </c>
      <c r="DR53" s="53">
        <v>24570</v>
      </c>
      <c r="DS53" s="53">
        <v>25798.5</v>
      </c>
      <c r="DU53" s="53">
        <v>0</v>
      </c>
      <c r="DV53" s="53">
        <v>0</v>
      </c>
      <c r="DW53" s="53">
        <v>0</v>
      </c>
      <c r="DY53" s="53">
        <v>123821.44839725591</v>
      </c>
      <c r="DZ53" s="53">
        <v>187575.01145601005</v>
      </c>
      <c r="EA53" s="53">
        <v>160373.34396480597</v>
      </c>
      <c r="EC53" s="53">
        <v>0</v>
      </c>
      <c r="ED53" s="53">
        <v>0</v>
      </c>
      <c r="EE53" s="53">
        <v>0</v>
      </c>
      <c r="EG53" s="53">
        <v>-36062.343757967988</v>
      </c>
      <c r="EH53" s="53">
        <v>-187517.11649363791</v>
      </c>
      <c r="EI53" s="53">
        <v>-218495.37688651201</v>
      </c>
      <c r="EK53" s="53">
        <v>16777.175271688138</v>
      </c>
      <c r="EL53" s="53">
        <v>42593.206387555489</v>
      </c>
      <c r="EM53" s="53">
        <v>47637.794778462718</v>
      </c>
      <c r="EO53" s="53">
        <v>0</v>
      </c>
      <c r="EP53" s="53">
        <v>0</v>
      </c>
      <c r="EQ53" s="53">
        <v>0</v>
      </c>
      <c r="ES53" s="53">
        <v>0</v>
      </c>
      <c r="ET53" s="53">
        <v>0</v>
      </c>
      <c r="EU53" s="53">
        <v>0</v>
      </c>
      <c r="EW53" s="53">
        <v>0</v>
      </c>
      <c r="EX53" s="53">
        <v>0</v>
      </c>
      <c r="EY53" s="53">
        <v>0</v>
      </c>
    </row>
    <row r="54" spans="2:156" x14ac:dyDescent="0.25">
      <c r="B54" t="str">
        <v>JV2</v>
      </c>
      <c r="C54" t="str">
        <v>Remote</v>
      </c>
      <c r="D54" t="str">
        <v>Arizona</v>
      </c>
      <c r="E54" s="53">
        <v>0</v>
      </c>
      <c r="F54" s="53">
        <v>6608.2133333333331</v>
      </c>
      <c r="G54" s="53">
        <v>14765.226666666669</v>
      </c>
      <c r="I54" s="53">
        <v>0</v>
      </c>
      <c r="J54" s="53">
        <v>9.02</v>
      </c>
      <c r="K54" s="53">
        <v>10.83</v>
      </c>
      <c r="M54" s="53">
        <v>0</v>
      </c>
      <c r="N54" s="53">
        <v>1.82</v>
      </c>
      <c r="O54" s="53">
        <v>2.19</v>
      </c>
      <c r="Q54" s="53">
        <v>0</v>
      </c>
      <c r="R54" s="53">
        <v>11</v>
      </c>
      <c r="S54" s="53">
        <v>13</v>
      </c>
      <c r="U54" s="53">
        <v>0</v>
      </c>
      <c r="V54" s="53">
        <v>3</v>
      </c>
      <c r="W54" s="53">
        <v>3</v>
      </c>
      <c r="Y54" s="53">
        <v>0</v>
      </c>
      <c r="Z54" s="53">
        <v>20</v>
      </c>
      <c r="AA54" s="53">
        <v>24</v>
      </c>
      <c r="AC54" s="53">
        <v>0</v>
      </c>
      <c r="AD54" s="53">
        <v>29.857142857142854</v>
      </c>
      <c r="AE54" s="53">
        <v>25.714285714285715</v>
      </c>
      <c r="AG54" s="53">
        <v>0</v>
      </c>
      <c r="AH54" s="53">
        <v>11</v>
      </c>
      <c r="AI54" s="53">
        <v>24</v>
      </c>
      <c r="AK54" s="53">
        <v>0</v>
      </c>
      <c r="AL54" s="53">
        <v>31</v>
      </c>
      <c r="AM54" s="53">
        <v>48</v>
      </c>
      <c r="AO54" s="53">
        <v>0</v>
      </c>
      <c r="AP54" s="53">
        <v>0</v>
      </c>
      <c r="AQ54" s="53">
        <v>0</v>
      </c>
      <c r="AS54" s="53">
        <v>0</v>
      </c>
      <c r="AT54" s="53">
        <v>706247.68286549323</v>
      </c>
      <c r="AU54" s="53">
        <v>1578022.1664025863</v>
      </c>
      <c r="AW54" s="53">
        <v>0</v>
      </c>
      <c r="AX54" s="53">
        <v>621497.96092163387</v>
      </c>
      <c r="AY54" s="53">
        <v>1388659.506434276</v>
      </c>
      <c r="BA54" s="53">
        <v>0</v>
      </c>
      <c r="BB54" s="53">
        <v>-84749.721943859171</v>
      </c>
      <c r="BC54" s="53">
        <v>-189362.65996831036</v>
      </c>
      <c r="BE54" s="53">
        <v>0</v>
      </c>
      <c r="BF54" s="53">
        <v>552767.2225919998</v>
      </c>
      <c r="BG54" s="53">
        <v>1235089.2629789996</v>
      </c>
      <c r="BI54" s="53">
        <v>0</v>
      </c>
      <c r="BJ54" s="53">
        <v>0</v>
      </c>
      <c r="BK54" s="53">
        <v>0</v>
      </c>
      <c r="BM54" s="53">
        <v>0</v>
      </c>
      <c r="BN54" s="53">
        <v>111621.5937408</v>
      </c>
      <c r="BO54" s="53">
        <v>249404.4985146001</v>
      </c>
      <c r="BQ54" s="53">
        <v>0</v>
      </c>
      <c r="BR54" s="53">
        <v>17172.552883199998</v>
      </c>
      <c r="BS54" s="53">
        <v>38369.922848399998</v>
      </c>
      <c r="BU54" s="53">
        <v>0</v>
      </c>
      <c r="BV54" s="53">
        <v>24686.313649493331</v>
      </c>
      <c r="BW54" s="53">
        <v>55158.48206058667</v>
      </c>
      <c r="BY54" s="53">
        <v>0</v>
      </c>
      <c r="BZ54" s="53">
        <v>0</v>
      </c>
      <c r="CA54" s="53">
        <v>0</v>
      </c>
      <c r="CC54" s="53">
        <v>0</v>
      </c>
      <c r="CD54" s="53">
        <v>0</v>
      </c>
      <c r="CE54" s="53">
        <v>0</v>
      </c>
      <c r="CG54" s="53">
        <v>0</v>
      </c>
      <c r="CH54" s="53">
        <v>0</v>
      </c>
      <c r="CI54" s="53">
        <v>0</v>
      </c>
      <c r="CK54" s="53">
        <v>0</v>
      </c>
      <c r="CL54" s="53">
        <v>0</v>
      </c>
      <c r="CM54" s="53">
        <v>0</v>
      </c>
      <c r="CO54" s="53">
        <v>0</v>
      </c>
      <c r="CP54" s="53">
        <v>0</v>
      </c>
      <c r="CQ54" s="53">
        <v>0</v>
      </c>
      <c r="CS54" s="53">
        <v>0</v>
      </c>
      <c r="CT54" s="53">
        <v>469746.47505736805</v>
      </c>
      <c r="CU54" s="53">
        <v>828951.1558826149</v>
      </c>
      <c r="CW54" s="53">
        <v>0</v>
      </c>
      <c r="CX54" s="53">
        <v>0</v>
      </c>
      <c r="CY54" s="53">
        <v>0</v>
      </c>
      <c r="DA54" s="53">
        <v>0</v>
      </c>
      <c r="DB54" s="53">
        <v>0</v>
      </c>
      <c r="DC54" s="53">
        <v>0</v>
      </c>
      <c r="DE54" s="53">
        <v>0</v>
      </c>
      <c r="DF54" s="53">
        <v>11381.563647999999</v>
      </c>
      <c r="DG54" s="53">
        <v>12981.149908480003</v>
      </c>
      <c r="DI54" s="53">
        <v>0</v>
      </c>
      <c r="DJ54" s="53">
        <v>55080</v>
      </c>
      <c r="DK54" s="53">
        <v>56181.600000000013</v>
      </c>
      <c r="DM54" s="53">
        <v>0</v>
      </c>
      <c r="DN54" s="53">
        <v>68646</v>
      </c>
      <c r="DO54" s="53">
        <v>116217.88199999997</v>
      </c>
      <c r="DQ54" s="53">
        <v>0</v>
      </c>
      <c r="DR54" s="53">
        <v>24570</v>
      </c>
      <c r="DS54" s="53">
        <v>25798.5</v>
      </c>
      <c r="DU54" s="53">
        <v>0</v>
      </c>
      <c r="DV54" s="53">
        <v>0</v>
      </c>
      <c r="DW54" s="53">
        <v>0</v>
      </c>
      <c r="DY54" s="53">
        <v>0</v>
      </c>
      <c r="DZ54" s="53">
        <v>76162.928029870469</v>
      </c>
      <c r="EA54" s="53">
        <v>152793.2756900455</v>
      </c>
      <c r="EC54" s="53">
        <v>0</v>
      </c>
      <c r="ED54" s="53">
        <v>0</v>
      </c>
      <c r="EE54" s="53">
        <v>0</v>
      </c>
      <c r="EG54" s="53">
        <v>0</v>
      </c>
      <c r="EH54" s="53">
        <v>-32774.306532976792</v>
      </c>
      <c r="EI54" s="53">
        <v>-181351.16281580491</v>
      </c>
      <c r="EK54" s="53">
        <v>0</v>
      </c>
      <c r="EL54" s="53">
        <v>18295.06851546008</v>
      </c>
      <c r="EM54" s="53">
        <v>45414.697688801134</v>
      </c>
      <c r="EO54" s="53">
        <v>0</v>
      </c>
      <c r="EP54" s="53">
        <v>0</v>
      </c>
      <c r="EQ54" s="53">
        <v>0</v>
      </c>
      <c r="ES54" s="53">
        <v>0</v>
      </c>
      <c r="ET54" s="53">
        <v>0</v>
      </c>
      <c r="EU54" s="53">
        <v>0</v>
      </c>
      <c r="EW54" s="53">
        <v>0</v>
      </c>
      <c r="EX54" s="53">
        <v>0</v>
      </c>
      <c r="EY54" s="53">
        <v>0</v>
      </c>
    </row>
    <row r="55" spans="2:156" x14ac:dyDescent="0.25">
      <c r="B55" t="str">
        <v>JV2</v>
      </c>
      <c r="C55" t="str">
        <v>Center</v>
      </c>
      <c r="D55" t="str">
        <v>North Carolina</v>
      </c>
      <c r="E55" s="53">
        <v>0</v>
      </c>
      <c r="F55" s="53">
        <v>0</v>
      </c>
      <c r="G55" s="53">
        <v>8821.119999999999</v>
      </c>
      <c r="I55" s="53">
        <v>0</v>
      </c>
      <c r="J55" s="53">
        <v>0</v>
      </c>
      <c r="K55" s="53">
        <v>19.770000000000003</v>
      </c>
      <c r="M55" s="53">
        <v>0</v>
      </c>
      <c r="N55" s="53">
        <v>0</v>
      </c>
      <c r="O55" s="53">
        <v>3</v>
      </c>
      <c r="Q55" s="53">
        <v>0</v>
      </c>
      <c r="R55" s="53">
        <v>0</v>
      </c>
      <c r="S55" s="53">
        <v>23</v>
      </c>
      <c r="U55" s="53">
        <v>0</v>
      </c>
      <c r="V55" s="53">
        <v>0</v>
      </c>
      <c r="W55" s="53">
        <v>6</v>
      </c>
      <c r="Y55" s="53">
        <v>0</v>
      </c>
      <c r="Z55" s="53">
        <v>0</v>
      </c>
      <c r="AA55" s="53">
        <v>21</v>
      </c>
      <c r="AC55" s="53">
        <v>0</v>
      </c>
      <c r="AD55" s="53">
        <v>0</v>
      </c>
      <c r="AE55" s="53">
        <v>21.5</v>
      </c>
      <c r="AG55" s="53">
        <v>0</v>
      </c>
      <c r="AH55" s="53">
        <v>0</v>
      </c>
      <c r="AI55" s="53">
        <v>3.5</v>
      </c>
      <c r="AK55" s="53">
        <v>0</v>
      </c>
      <c r="AL55" s="53">
        <v>0</v>
      </c>
      <c r="AM55" s="53">
        <v>24.5</v>
      </c>
      <c r="AO55" s="53">
        <v>0</v>
      </c>
      <c r="AP55" s="53">
        <v>0</v>
      </c>
      <c r="AQ55" s="53">
        <v>786840</v>
      </c>
      <c r="AS55" s="53">
        <v>0</v>
      </c>
      <c r="AT55" s="53">
        <v>0</v>
      </c>
      <c r="AU55" s="53">
        <v>892684.42988076806</v>
      </c>
      <c r="AW55" s="53">
        <v>0</v>
      </c>
      <c r="AX55" s="53">
        <v>0</v>
      </c>
      <c r="AY55" s="53">
        <v>817162.93788680923</v>
      </c>
      <c r="BA55" s="53">
        <v>0</v>
      </c>
      <c r="BB55" s="53">
        <v>0</v>
      </c>
      <c r="BC55" s="53">
        <v>-127680.65608129215</v>
      </c>
      <c r="BE55" s="53">
        <v>0</v>
      </c>
      <c r="BF55" s="53">
        <v>0</v>
      </c>
      <c r="BG55" s="53">
        <v>621509.11369747203</v>
      </c>
      <c r="BI55" s="53">
        <v>0</v>
      </c>
      <c r="BJ55" s="53">
        <v>0</v>
      </c>
      <c r="BK55" s="53">
        <v>119161.873376</v>
      </c>
      <c r="BM55" s="53">
        <v>0</v>
      </c>
      <c r="BN55" s="53">
        <v>0</v>
      </c>
      <c r="BO55" s="53">
        <v>131219.84825913602</v>
      </c>
      <c r="BQ55" s="53">
        <v>0</v>
      </c>
      <c r="BR55" s="53">
        <v>0</v>
      </c>
      <c r="BS55" s="53">
        <v>7424.7013411199996</v>
      </c>
      <c r="BU55" s="53">
        <v>0</v>
      </c>
      <c r="BV55" s="53">
        <v>0</v>
      </c>
      <c r="BW55" s="53">
        <v>13368.893207040001</v>
      </c>
      <c r="BY55" s="53">
        <v>0</v>
      </c>
      <c r="BZ55" s="53">
        <v>0</v>
      </c>
      <c r="CA55" s="53">
        <v>37714.15861204992</v>
      </c>
      <c r="CC55" s="53">
        <v>0</v>
      </c>
      <c r="CD55" s="53">
        <v>0</v>
      </c>
      <c r="CE55" s="53">
        <v>10197.652451374082</v>
      </c>
      <c r="CG55" s="53">
        <v>0</v>
      </c>
      <c r="CH55" s="53">
        <v>0</v>
      </c>
      <c r="CI55" s="53">
        <v>171321.03746333334</v>
      </c>
      <c r="CK55" s="53">
        <v>0</v>
      </c>
      <c r="CL55" s="53">
        <v>0</v>
      </c>
      <c r="CM55" s="53">
        <v>28108.842679357444</v>
      </c>
      <c r="CO55" s="53">
        <v>0</v>
      </c>
      <c r="CP55" s="53">
        <v>0</v>
      </c>
      <c r="CQ55" s="53">
        <v>0</v>
      </c>
      <c r="CS55" s="53">
        <v>0</v>
      </c>
      <c r="CT55" s="53">
        <v>0</v>
      </c>
      <c r="CU55" s="53">
        <v>812275.1659065648</v>
      </c>
      <c r="CW55" s="53">
        <v>0</v>
      </c>
      <c r="CX55" s="53">
        <v>0</v>
      </c>
      <c r="CY55" s="53">
        <v>49852.751899999996</v>
      </c>
      <c r="DA55" s="53">
        <v>0</v>
      </c>
      <c r="DB55" s="53">
        <v>0</v>
      </c>
      <c r="DC55" s="53">
        <v>42398.720000000001</v>
      </c>
      <c r="DE55" s="53">
        <v>0</v>
      </c>
      <c r="DF55" s="53">
        <v>0</v>
      </c>
      <c r="DG55" s="53">
        <v>7157.4897305600016</v>
      </c>
      <c r="DI55" s="53">
        <v>0</v>
      </c>
      <c r="DJ55" s="53">
        <v>0</v>
      </c>
      <c r="DK55" s="53">
        <v>43696.800000000003</v>
      </c>
      <c r="DM55" s="53">
        <v>0</v>
      </c>
      <c r="DN55" s="53">
        <v>0</v>
      </c>
      <c r="DO55" s="53">
        <v>57304.71179999999</v>
      </c>
      <c r="DQ55" s="53">
        <v>0</v>
      </c>
      <c r="DR55" s="53">
        <v>0</v>
      </c>
      <c r="DS55" s="53">
        <v>36658.125</v>
      </c>
      <c r="DU55" s="53">
        <v>0</v>
      </c>
      <c r="DV55" s="53">
        <v>0</v>
      </c>
      <c r="DW55" s="53">
        <v>104139</v>
      </c>
      <c r="DY55" s="53">
        <v>0</v>
      </c>
      <c r="DZ55" s="53">
        <v>0</v>
      </c>
      <c r="EA55" s="53">
        <v>85152.315257824346</v>
      </c>
      <c r="EC55" s="53">
        <v>0</v>
      </c>
      <c r="ED55" s="53">
        <v>0</v>
      </c>
      <c r="EE55" s="53">
        <v>0</v>
      </c>
      <c r="EG55" s="53">
        <v>0</v>
      </c>
      <c r="EH55" s="53">
        <v>0</v>
      </c>
      <c r="EI55" s="53">
        <v>-198223.2424833618</v>
      </c>
      <c r="EK55" s="53">
        <v>0</v>
      </c>
      <c r="EL55" s="53">
        <v>0</v>
      </c>
      <c r="EM55" s="53">
        <v>27131.889480642629</v>
      </c>
      <c r="EO55" s="53">
        <v>0</v>
      </c>
      <c r="EP55" s="53">
        <v>0</v>
      </c>
      <c r="EQ55" s="53">
        <v>1</v>
      </c>
      <c r="ES55" s="53">
        <v>0</v>
      </c>
      <c r="ET55" s="53">
        <v>0</v>
      </c>
      <c r="EU55" s="53">
        <v>0</v>
      </c>
      <c r="EW55" s="53">
        <v>0</v>
      </c>
      <c r="EX55" s="53">
        <v>0</v>
      </c>
      <c r="EY55" s="53">
        <v>1</v>
      </c>
    </row>
    <row r="57" spans="2:156" x14ac:dyDescent="0.25">
      <c r="EZ57" s="177"/>
    </row>
    <row r="58" spans="2:156" x14ac:dyDescent="0.25">
      <c r="EZ58" s="177"/>
    </row>
    <row r="59" spans="2:156" x14ac:dyDescent="0.25">
      <c r="E59" s="53"/>
      <c r="F59" s="53"/>
      <c r="G59" s="53"/>
      <c r="EZ59" s="177"/>
    </row>
    <row r="60" spans="2:156" x14ac:dyDescent="0.25">
      <c r="E60" s="53"/>
      <c r="F60" s="53"/>
      <c r="G60" s="53"/>
      <c r="EZ60" s="177"/>
    </row>
    <row r="61" spans="2:156" x14ac:dyDescent="0.25">
      <c r="F61" s="53"/>
      <c r="G61" s="53"/>
      <c r="Y61" s="53"/>
      <c r="EZ61" s="177"/>
    </row>
    <row r="62" spans="2:156" x14ac:dyDescent="0.25">
      <c r="E62" s="53"/>
      <c r="F62" s="53"/>
      <c r="G62" s="53"/>
      <c r="EZ62" s="177"/>
    </row>
    <row r="63" spans="2:156" x14ac:dyDescent="0.25">
      <c r="E63" s="53"/>
      <c r="F63" s="53"/>
      <c r="G63" s="53"/>
      <c r="EZ63" s="177"/>
    </row>
    <row r="64" spans="2:156" x14ac:dyDescent="0.25">
      <c r="E64" s="53"/>
      <c r="F64" s="53"/>
      <c r="G64" s="53"/>
      <c r="EZ64" s="177"/>
    </row>
    <row r="65" spans="156:156" x14ac:dyDescent="0.25">
      <c r="EZ65" s="177"/>
    </row>
    <row r="66" spans="156:156" x14ac:dyDescent="0.25">
      <c r="EZ66" s="177"/>
    </row>
    <row r="67" spans="156:156" x14ac:dyDescent="0.25">
      <c r="EZ67" s="177"/>
    </row>
    <row r="68" spans="156:156" x14ac:dyDescent="0.25">
      <c r="EZ68" s="177"/>
    </row>
    <row r="69" spans="156:156" x14ac:dyDescent="0.25">
      <c r="EZ69" s="177"/>
    </row>
    <row r="70" spans="156:156" x14ac:dyDescent="0.25">
      <c r="EZ70" s="177"/>
    </row>
    <row r="71" spans="156:156" x14ac:dyDescent="0.25">
      <c r="EZ71" s="177"/>
    </row>
    <row r="72" spans="156:156" x14ac:dyDescent="0.25">
      <c r="EZ72" s="177"/>
    </row>
    <row r="73" spans="156:156" x14ac:dyDescent="0.25">
      <c r="EZ73" s="177"/>
    </row>
    <row r="74" spans="156:156" x14ac:dyDescent="0.25">
      <c r="EZ74" s="177"/>
    </row>
    <row r="75" spans="156:156" x14ac:dyDescent="0.25">
      <c r="EZ75" s="177"/>
    </row>
    <row r="76" spans="156:156" x14ac:dyDescent="0.25">
      <c r="EZ76" s="177"/>
    </row>
    <row r="77" spans="156:156" x14ac:dyDescent="0.25">
      <c r="EZ77" s="177"/>
    </row>
    <row r="78" spans="156:156" x14ac:dyDescent="0.25">
      <c r="EZ78" s="177"/>
    </row>
    <row r="79" spans="156:156" x14ac:dyDescent="0.25">
      <c r="EZ79" s="177"/>
    </row>
    <row r="80" spans="156:156" x14ac:dyDescent="0.25">
      <c r="EZ80" s="177"/>
    </row>
    <row r="81" spans="156:156" x14ac:dyDescent="0.25">
      <c r="EZ81" s="177"/>
    </row>
    <row r="82" spans="156:156" x14ac:dyDescent="0.25">
      <c r="EZ82" s="177"/>
    </row>
    <row r="83" spans="156:156" x14ac:dyDescent="0.25">
      <c r="EZ83" s="177"/>
    </row>
    <row r="84" spans="156:156" x14ac:dyDescent="0.25">
      <c r="EZ84" s="177"/>
    </row>
    <row r="85" spans="156:156" x14ac:dyDescent="0.25">
      <c r="EZ85" s="177"/>
    </row>
    <row r="86" spans="156:156" x14ac:dyDescent="0.25">
      <c r="EZ86" s="177"/>
    </row>
    <row r="87" spans="156:156" x14ac:dyDescent="0.25">
      <c r="EZ87" s="177"/>
    </row>
    <row r="88" spans="156:156" x14ac:dyDescent="0.25">
      <c r="EZ88" s="177"/>
    </row>
    <row r="89" spans="156:156" x14ac:dyDescent="0.25">
      <c r="EZ89" s="177"/>
    </row>
    <row r="90" spans="156:156" x14ac:dyDescent="0.25">
      <c r="EZ90" s="177"/>
    </row>
    <row r="91" spans="156:156" x14ac:dyDescent="0.25">
      <c r="EZ91" s="177"/>
    </row>
    <row r="92" spans="156:156" x14ac:dyDescent="0.25">
      <c r="EZ92" s="177"/>
    </row>
    <row r="93" spans="156:156" x14ac:dyDescent="0.25">
      <c r="EZ93" s="177"/>
    </row>
    <row r="94" spans="156:156" x14ac:dyDescent="0.25">
      <c r="EZ94" s="177"/>
    </row>
    <row r="95" spans="156:156" x14ac:dyDescent="0.25">
      <c r="EZ95" s="177"/>
    </row>
    <row r="96" spans="156:156" x14ac:dyDescent="0.25">
      <c r="EZ96" s="177"/>
    </row>
    <row r="97" spans="156:156" x14ac:dyDescent="0.25">
      <c r="EZ97" s="177"/>
    </row>
    <row r="98" spans="156:156" x14ac:dyDescent="0.25">
      <c r="EZ98" s="177"/>
    </row>
    <row r="99" spans="156:156" x14ac:dyDescent="0.25">
      <c r="EZ99" s="177"/>
    </row>
    <row r="100" spans="156:156" x14ac:dyDescent="0.25">
      <c r="EZ100" s="177"/>
    </row>
    <row r="101" spans="156:156" x14ac:dyDescent="0.25">
      <c r="EZ101" s="177"/>
    </row>
    <row r="102" spans="156:156" x14ac:dyDescent="0.25">
      <c r="EZ102" s="177"/>
    </row>
    <row r="103" spans="156:156" x14ac:dyDescent="0.25">
      <c r="EZ103" s="177"/>
    </row>
    <row r="104" spans="156:156" x14ac:dyDescent="0.25">
      <c r="EZ104" s="177"/>
    </row>
    <row r="105" spans="156:156" x14ac:dyDescent="0.25">
      <c r="EZ105" s="177"/>
    </row>
    <row r="106" spans="156:156" x14ac:dyDescent="0.25">
      <c r="EZ106" s="177"/>
    </row>
    <row r="107" spans="156:156" x14ac:dyDescent="0.25">
      <c r="EZ107" s="177"/>
    </row>
    <row r="108" spans="156:156" x14ac:dyDescent="0.25">
      <c r="EZ108" s="177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6B80B-14E5-4876-81F1-2F6594EB7BD4}">
  <dimension ref="B1:AX62"/>
  <sheetViews>
    <sheetView workbookViewId="0">
      <pane xSplit="4" ySplit="25" topLeftCell="E44" activePane="bottomRight" state="frozen"/>
      <selection activeCell="C10" sqref="C10"/>
      <selection pane="topRight" activeCell="C10" sqref="C10"/>
      <selection pane="bottomLeft" activeCell="C10" sqref="C10"/>
      <selection pane="bottomRight" activeCell="B22" sqref="B22"/>
    </sheetView>
  </sheetViews>
  <sheetFormatPr defaultRowHeight="15" outlineLevelRow="1" x14ac:dyDescent="0.25"/>
  <cols>
    <col min="2" max="2" width="24.5703125" bestFit="1" customWidth="1"/>
    <col min="3" max="3" width="12.28515625" bestFit="1" customWidth="1"/>
    <col min="4" max="4" width="10" bestFit="1" customWidth="1"/>
    <col min="5" max="40" width="13.42578125" bestFit="1" customWidth="1"/>
  </cols>
  <sheetData>
    <row r="1" spans="2:40" x14ac:dyDescent="0.25">
      <c r="B1" s="10" t="s">
        <v>409</v>
      </c>
      <c r="C1" s="16" t="s">
        <v>43</v>
      </c>
      <c r="D1" s="55" t="s">
        <v>390</v>
      </c>
      <c r="E1" s="5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_xlpm.min_kiddos,_xlfn.XLOOKUP(_xlpm.site,_xlpm.locations,Base!$D$7:$BD$7,0,0),_xlpm.months_since,DATEDIF(_xlpm.launchdate,_xlfn.ANCHORARRAY($E$25),"m"),
IFERROR(_xlfn.BYCOL(_xlpm.months_since,_xlfn.LAMBDA(_xlpm.a,ROUND(_xlpm.min_kiddos*(MIN(6,_xlpm.a+1)/6)+(_xlpm.max_kiddos-_xlpm.min_kiddos)*(MIN(25,_xlpm.a+1)/25),0))),0))</f>
        <v>71</v>
      </c>
      <c r="F1" s="5">
        <v>141</v>
      </c>
      <c r="G1" s="5">
        <v>212</v>
      </c>
      <c r="H1" s="5">
        <v>283</v>
      </c>
      <c r="I1" s="5">
        <v>353</v>
      </c>
      <c r="J1" s="5">
        <v>424</v>
      </c>
      <c r="K1" s="5">
        <v>428</v>
      </c>
      <c r="L1" s="5">
        <v>432</v>
      </c>
      <c r="M1" s="5">
        <v>436</v>
      </c>
      <c r="N1" s="5">
        <v>440</v>
      </c>
      <c r="O1" s="5">
        <v>444</v>
      </c>
      <c r="P1" s="5">
        <v>448</v>
      </c>
      <c r="Q1" s="5">
        <v>452</v>
      </c>
      <c r="R1" s="5">
        <v>456</v>
      </c>
      <c r="S1" s="5">
        <v>460</v>
      </c>
      <c r="T1" s="5">
        <v>464</v>
      </c>
      <c r="U1" s="5">
        <v>468</v>
      </c>
      <c r="V1" s="5">
        <v>472</v>
      </c>
      <c r="W1" s="5">
        <v>476</v>
      </c>
      <c r="X1" s="5">
        <v>480</v>
      </c>
      <c r="Y1" s="5">
        <v>484</v>
      </c>
      <c r="Z1" s="5">
        <v>488</v>
      </c>
      <c r="AA1" s="5">
        <v>492</v>
      </c>
      <c r="AB1" s="5">
        <v>496</v>
      </c>
      <c r="AC1" s="5">
        <v>500</v>
      </c>
      <c r="AD1" s="5">
        <v>500</v>
      </c>
      <c r="AE1" s="5">
        <v>500</v>
      </c>
      <c r="AF1" s="5">
        <v>500</v>
      </c>
      <c r="AG1" s="5">
        <v>500</v>
      </c>
      <c r="AH1" s="5">
        <v>500</v>
      </c>
      <c r="AI1" s="5">
        <v>500</v>
      </c>
      <c r="AJ1" s="5">
        <v>500</v>
      </c>
      <c r="AK1" s="5">
        <v>500</v>
      </c>
      <c r="AL1" s="5">
        <v>500</v>
      </c>
      <c r="AM1" s="5">
        <v>500</v>
      </c>
      <c r="AN1" s="5">
        <v>500</v>
      </c>
    </row>
    <row r="2" spans="2:40" x14ac:dyDescent="0.25">
      <c r="B2" s="3" t="str">
        <f>_xlfn.XLOOKUP($B$1&amp;"-"&amp;$C$1,Base!$D$4:$BD$4,Base!$D$2:$BD$2,"",0)</f>
        <v>M&amp;A</v>
      </c>
      <c r="C2" s="55"/>
      <c r="D2" s="5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</row>
    <row r="3" spans="2:40" hidden="1" outlineLevel="1" x14ac:dyDescent="0.25">
      <c r="B3" s="55"/>
      <c r="C3" s="55"/>
      <c r="D3" s="5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</row>
    <row r="4" spans="2:40" hidden="1" outlineLevel="1" x14ac:dyDescent="0.25">
      <c r="B4" s="55"/>
      <c r="C4" s="55"/>
      <c r="D4" s="5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</row>
    <row r="5" spans="2:40" hidden="1" outlineLevel="1" x14ac:dyDescent="0.25">
      <c r="B5" s="55"/>
      <c r="C5" s="55"/>
      <c r="D5" s="55"/>
      <c r="E5" s="153" t="e" cm="1">
        <f t="array" ref="E5:AN5">_xlfn.LET(_xlpm.site,$B$1&amp;"-"&amp;$C$1,_xlpm.locations,Base!$D$4:$BD$4,_xlpm.rates,Base!$A$31:$BD$39,_xlpm.hours,Base!$A$74:$BD$82,_xlpm.comp,_xlpm.rates*_xlpm.hours,_xlpm.kiddos,_xlfn.ANCHORARRAY($E$1),
_xlpm.rev_weekly_kiddo,_xlfn.XLOOKUP(_xlpm.site,_xlpm.locations,_xlpm.comp,0,0),_xlpm.annual_increase,_xlfn.XLOOKUP(YEAR(_xlfn.ANCHORARRAY($E$25)),Base!$BJ$4:$BL$4,Base!$BJ$73:$BL$73,0,0),
_xlpm.bad_debt,_xlfn.XLOOKUP(_xlpm.site,_xlpm.locations,Base!$A$28:$BD$28,0,0),
SUM(_xlpm.rev_weekly_kiddo)*_xlpm.kiddos*_xlpm.bad_debt*_xlpm.annual_increase*(52/12))</f>
        <v>#VALUE!</v>
      </c>
      <c r="F5" s="153" t="e">
        <v>#VALUE!</v>
      </c>
      <c r="G5" s="153" t="e">
        <v>#VALUE!</v>
      </c>
      <c r="H5" s="153" t="e">
        <v>#VALUE!</v>
      </c>
      <c r="I5" s="153" t="e">
        <v>#VALUE!</v>
      </c>
      <c r="J5" s="153" t="e">
        <v>#VALUE!</v>
      </c>
      <c r="K5" s="153" t="e">
        <v>#VALUE!</v>
      </c>
      <c r="L5" s="153" t="e">
        <v>#VALUE!</v>
      </c>
      <c r="M5" s="153" t="e">
        <v>#VALUE!</v>
      </c>
      <c r="N5" s="153" t="e">
        <v>#VALUE!</v>
      </c>
      <c r="O5" s="153" t="e">
        <v>#VALUE!</v>
      </c>
      <c r="P5" s="153" t="e">
        <v>#VALUE!</v>
      </c>
      <c r="Q5" s="153" t="e">
        <v>#VALUE!</v>
      </c>
      <c r="R5" s="153" t="e">
        <v>#VALUE!</v>
      </c>
      <c r="S5" s="153" t="e">
        <v>#VALUE!</v>
      </c>
      <c r="T5" s="153" t="e">
        <v>#VALUE!</v>
      </c>
      <c r="U5" s="153" t="e">
        <v>#VALUE!</v>
      </c>
      <c r="V5" s="153" t="e">
        <v>#VALUE!</v>
      </c>
      <c r="W5" s="153" t="e">
        <v>#VALUE!</v>
      </c>
      <c r="X5" s="153" t="e">
        <v>#VALUE!</v>
      </c>
      <c r="Y5" s="153" t="e">
        <v>#VALUE!</v>
      </c>
      <c r="Z5" s="153" t="e">
        <v>#VALUE!</v>
      </c>
      <c r="AA5" s="153" t="e">
        <v>#VALUE!</v>
      </c>
      <c r="AB5" s="153" t="e">
        <v>#VALUE!</v>
      </c>
      <c r="AC5" s="153" t="e">
        <v>#VALUE!</v>
      </c>
      <c r="AD5" s="153" t="e">
        <v>#VALUE!</v>
      </c>
      <c r="AE5" s="153" t="e">
        <v>#VALUE!</v>
      </c>
      <c r="AF5" s="153" t="e">
        <v>#VALUE!</v>
      </c>
      <c r="AG5" s="153" t="e">
        <v>#VALUE!</v>
      </c>
      <c r="AH5" s="153" t="e">
        <v>#VALUE!</v>
      </c>
      <c r="AI5" s="153" t="e">
        <v>#VALUE!</v>
      </c>
      <c r="AJ5" s="153" t="e">
        <v>#VALUE!</v>
      </c>
      <c r="AK5" s="153" t="e">
        <v>#VALUE!</v>
      </c>
      <c r="AL5" s="153" t="e">
        <v>#VALUE!</v>
      </c>
      <c r="AM5" s="153" t="e">
        <v>#VALUE!</v>
      </c>
      <c r="AN5" s="153" t="e">
        <v>#VALUE!</v>
      </c>
    </row>
    <row r="6" spans="2:40" hidden="1" outlineLevel="1" x14ac:dyDescent="0.25">
      <c r="B6" s="55"/>
      <c r="C6" s="55"/>
      <c r="D6" s="5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</row>
    <row r="7" spans="2:40" hidden="1" outlineLevel="1" x14ac:dyDescent="0.25">
      <c r="B7" s="1" t="s">
        <v>107</v>
      </c>
      <c r="C7" s="3"/>
      <c r="D7" s="3"/>
      <c r="E7" s="68"/>
      <c r="F7" s="68"/>
      <c r="G7" s="5"/>
      <c r="H7" s="68"/>
      <c r="I7" s="68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</row>
    <row r="8" spans="2:40" collapsed="1" x14ac:dyDescent="0.25">
      <c r="B8" s="39"/>
      <c r="C8" s="3"/>
      <c r="D8" s="3"/>
      <c r="E8" s="69"/>
      <c r="F8" s="69"/>
      <c r="G8" s="69"/>
      <c r="H8" s="69"/>
      <c r="I8" s="69"/>
      <c r="J8" s="69"/>
      <c r="K8" s="69"/>
      <c r="L8" s="69"/>
      <c r="M8" s="69"/>
      <c r="N8" s="69"/>
      <c r="O8" s="69"/>
      <c r="P8" s="69"/>
      <c r="Q8" s="69"/>
      <c r="R8" s="69"/>
      <c r="S8" s="69"/>
      <c r="T8" s="69"/>
      <c r="U8" s="69"/>
      <c r="V8" s="69"/>
      <c r="W8" s="69"/>
      <c r="X8" s="69"/>
      <c r="Y8" s="69"/>
      <c r="Z8" s="69"/>
      <c r="AA8" s="69"/>
      <c r="AB8" s="69"/>
      <c r="AC8" s="69"/>
      <c r="AD8" s="69"/>
      <c r="AE8" s="69"/>
      <c r="AF8" s="69"/>
      <c r="AG8" s="69"/>
      <c r="AH8" s="69"/>
      <c r="AI8" s="69"/>
      <c r="AJ8" s="69"/>
      <c r="AK8" s="69"/>
      <c r="AL8" s="69"/>
      <c r="AM8" s="69"/>
      <c r="AN8" s="69"/>
    </row>
    <row r="9" spans="2:40" outlineLevel="1" x14ac:dyDescent="0.25">
      <c r="B9" s="3"/>
      <c r="C9" s="3"/>
      <c r="D9" s="3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</row>
    <row r="10" spans="2:40" x14ac:dyDescent="0.25">
      <c r="B10" s="55" t="s">
        <v>391</v>
      </c>
      <c r="C10" s="3"/>
      <c r="D10" s="3"/>
      <c r="E10" s="154">
        <v>60</v>
      </c>
      <c r="F10" s="69">
        <f t="shared" ref="F10:M10" si="0">F1-E1+E11</f>
        <v>77.099999999999994</v>
      </c>
      <c r="G10" s="69">
        <f t="shared" si="0"/>
        <v>85.1</v>
      </c>
      <c r="H10" s="69">
        <f t="shared" si="0"/>
        <v>92.2</v>
      </c>
      <c r="I10" s="69">
        <f t="shared" si="0"/>
        <v>98.3</v>
      </c>
      <c r="J10" s="69">
        <f t="shared" si="0"/>
        <v>106.30000000000001</v>
      </c>
      <c r="K10" s="69">
        <f t="shared" si="0"/>
        <v>46.400000000000006</v>
      </c>
      <c r="L10" s="69">
        <f t="shared" si="0"/>
        <v>46.800000000000004</v>
      </c>
      <c r="M10" s="69">
        <f t="shared" si="0"/>
        <v>47.2</v>
      </c>
      <c r="N10" s="69">
        <f>N1-M1+M11</f>
        <v>47.6</v>
      </c>
      <c r="O10" s="69">
        <f>O1-N1+N11</f>
        <v>48</v>
      </c>
      <c r="P10" s="69">
        <f t="shared" ref="P10:AN10" si="1">P1-O1+O11</f>
        <v>48.400000000000006</v>
      </c>
      <c r="Q10" s="69">
        <f t="shared" si="1"/>
        <v>48.800000000000004</v>
      </c>
      <c r="R10" s="69">
        <f t="shared" si="1"/>
        <v>49.2</v>
      </c>
      <c r="S10" s="69">
        <f t="shared" si="1"/>
        <v>49.6</v>
      </c>
      <c r="T10" s="69">
        <f t="shared" si="1"/>
        <v>50</v>
      </c>
      <c r="U10" s="69">
        <f t="shared" si="1"/>
        <v>50.400000000000006</v>
      </c>
      <c r="V10" s="69">
        <f t="shared" si="1"/>
        <v>50.800000000000004</v>
      </c>
      <c r="W10" s="69">
        <f t="shared" si="1"/>
        <v>51.2</v>
      </c>
      <c r="X10" s="69">
        <f t="shared" si="1"/>
        <v>51.6</v>
      </c>
      <c r="Y10" s="69">
        <f t="shared" si="1"/>
        <v>52</v>
      </c>
      <c r="Z10" s="69">
        <f t="shared" si="1"/>
        <v>52.400000000000006</v>
      </c>
      <c r="AA10" s="69">
        <f t="shared" si="1"/>
        <v>52.800000000000004</v>
      </c>
      <c r="AB10" s="69">
        <f t="shared" si="1"/>
        <v>53.2</v>
      </c>
      <c r="AC10" s="69">
        <f t="shared" si="1"/>
        <v>53.6</v>
      </c>
      <c r="AD10" s="69">
        <f t="shared" si="1"/>
        <v>50</v>
      </c>
      <c r="AE10" s="69">
        <f t="shared" si="1"/>
        <v>50</v>
      </c>
      <c r="AF10" s="69">
        <f t="shared" si="1"/>
        <v>50</v>
      </c>
      <c r="AG10" s="69">
        <f t="shared" si="1"/>
        <v>50</v>
      </c>
      <c r="AH10" s="69">
        <f t="shared" si="1"/>
        <v>50</v>
      </c>
      <c r="AI10" s="69">
        <f t="shared" si="1"/>
        <v>50</v>
      </c>
      <c r="AJ10" s="69">
        <f t="shared" si="1"/>
        <v>50</v>
      </c>
      <c r="AK10" s="69">
        <f t="shared" si="1"/>
        <v>50</v>
      </c>
      <c r="AL10" s="69">
        <f t="shared" si="1"/>
        <v>50</v>
      </c>
      <c r="AM10" s="69">
        <f t="shared" si="1"/>
        <v>50</v>
      </c>
      <c r="AN10" s="69">
        <f t="shared" si="1"/>
        <v>50</v>
      </c>
    </row>
    <row r="11" spans="2:40" x14ac:dyDescent="0.25">
      <c r="B11" s="55" t="s">
        <v>392</v>
      </c>
      <c r="C11" s="3"/>
      <c r="D11" s="3"/>
      <c r="E11" s="69">
        <f>E1*0.1</f>
        <v>7.1000000000000005</v>
      </c>
      <c r="F11" s="69">
        <f t="shared" ref="F11:AN11" si="2">F1*0.1</f>
        <v>14.100000000000001</v>
      </c>
      <c r="G11" s="69">
        <f t="shared" si="2"/>
        <v>21.200000000000003</v>
      </c>
      <c r="H11" s="69">
        <f t="shared" si="2"/>
        <v>28.3</v>
      </c>
      <c r="I11" s="69">
        <f t="shared" si="2"/>
        <v>35.300000000000004</v>
      </c>
      <c r="J11" s="69">
        <f t="shared" si="2"/>
        <v>42.400000000000006</v>
      </c>
      <c r="K11" s="69">
        <f t="shared" si="2"/>
        <v>42.800000000000004</v>
      </c>
      <c r="L11" s="69">
        <f t="shared" si="2"/>
        <v>43.2</v>
      </c>
      <c r="M11" s="69">
        <f t="shared" si="2"/>
        <v>43.6</v>
      </c>
      <c r="N11" s="69">
        <f t="shared" si="2"/>
        <v>44</v>
      </c>
      <c r="O11" s="69">
        <f t="shared" si="2"/>
        <v>44.400000000000006</v>
      </c>
      <c r="P11" s="69">
        <f t="shared" si="2"/>
        <v>44.800000000000004</v>
      </c>
      <c r="Q11" s="69">
        <f t="shared" si="2"/>
        <v>45.2</v>
      </c>
      <c r="R11" s="69">
        <f t="shared" si="2"/>
        <v>45.6</v>
      </c>
      <c r="S11" s="69">
        <f t="shared" si="2"/>
        <v>46</v>
      </c>
      <c r="T11" s="69">
        <f t="shared" si="2"/>
        <v>46.400000000000006</v>
      </c>
      <c r="U11" s="69">
        <f t="shared" si="2"/>
        <v>46.800000000000004</v>
      </c>
      <c r="V11" s="69">
        <f t="shared" si="2"/>
        <v>47.2</v>
      </c>
      <c r="W11" s="69">
        <f t="shared" si="2"/>
        <v>47.6</v>
      </c>
      <c r="X11" s="69">
        <f t="shared" si="2"/>
        <v>48</v>
      </c>
      <c r="Y11" s="69">
        <f t="shared" si="2"/>
        <v>48.400000000000006</v>
      </c>
      <c r="Z11" s="69">
        <f t="shared" si="2"/>
        <v>48.800000000000004</v>
      </c>
      <c r="AA11" s="69">
        <f t="shared" si="2"/>
        <v>49.2</v>
      </c>
      <c r="AB11" s="69">
        <f t="shared" si="2"/>
        <v>49.6</v>
      </c>
      <c r="AC11" s="69">
        <f t="shared" si="2"/>
        <v>50</v>
      </c>
      <c r="AD11" s="69">
        <f t="shared" si="2"/>
        <v>50</v>
      </c>
      <c r="AE11" s="69">
        <f t="shared" si="2"/>
        <v>50</v>
      </c>
      <c r="AF11" s="69">
        <f t="shared" si="2"/>
        <v>50</v>
      </c>
      <c r="AG11" s="69">
        <f t="shared" si="2"/>
        <v>50</v>
      </c>
      <c r="AH11" s="69">
        <f t="shared" si="2"/>
        <v>50</v>
      </c>
      <c r="AI11" s="69">
        <f t="shared" si="2"/>
        <v>50</v>
      </c>
      <c r="AJ11" s="69">
        <f t="shared" si="2"/>
        <v>50</v>
      </c>
      <c r="AK11" s="69">
        <f t="shared" si="2"/>
        <v>50</v>
      </c>
      <c r="AL11" s="69">
        <f t="shared" si="2"/>
        <v>50</v>
      </c>
      <c r="AM11" s="69">
        <f t="shared" si="2"/>
        <v>50</v>
      </c>
      <c r="AN11" s="69">
        <f t="shared" si="2"/>
        <v>50</v>
      </c>
    </row>
    <row r="12" spans="2:40" x14ac:dyDescent="0.25">
      <c r="B12" s="55" t="s">
        <v>393</v>
      </c>
      <c r="C12" s="3"/>
      <c r="D12" s="3"/>
      <c r="E12" s="69">
        <f t="shared" ref="E12:AN12" si="3">E1+E11</f>
        <v>78.099999999999994</v>
      </c>
      <c r="F12" s="69">
        <f t="shared" si="3"/>
        <v>155.1</v>
      </c>
      <c r="G12" s="69">
        <f t="shared" si="3"/>
        <v>233.2</v>
      </c>
      <c r="H12" s="69">
        <f t="shared" si="3"/>
        <v>311.3</v>
      </c>
      <c r="I12" s="69">
        <f t="shared" si="3"/>
        <v>388.3</v>
      </c>
      <c r="J12" s="69">
        <f t="shared" si="3"/>
        <v>466.4</v>
      </c>
      <c r="K12" s="69">
        <f t="shared" si="3"/>
        <v>470.8</v>
      </c>
      <c r="L12" s="69">
        <f t="shared" si="3"/>
        <v>475.2</v>
      </c>
      <c r="M12" s="69">
        <f t="shared" si="3"/>
        <v>479.6</v>
      </c>
      <c r="N12" s="69">
        <f t="shared" si="3"/>
        <v>484</v>
      </c>
      <c r="O12" s="69">
        <f t="shared" si="3"/>
        <v>488.4</v>
      </c>
      <c r="P12" s="69">
        <f t="shared" si="3"/>
        <v>492.8</v>
      </c>
      <c r="Q12" s="69">
        <f t="shared" si="3"/>
        <v>497.2</v>
      </c>
      <c r="R12" s="69">
        <f t="shared" si="3"/>
        <v>501.6</v>
      </c>
      <c r="S12" s="69">
        <f t="shared" si="3"/>
        <v>506</v>
      </c>
      <c r="T12" s="69">
        <f t="shared" si="3"/>
        <v>510.4</v>
      </c>
      <c r="U12" s="69">
        <f t="shared" si="3"/>
        <v>514.79999999999995</v>
      </c>
      <c r="V12" s="69">
        <f t="shared" si="3"/>
        <v>519.20000000000005</v>
      </c>
      <c r="W12" s="69">
        <f t="shared" si="3"/>
        <v>523.6</v>
      </c>
      <c r="X12" s="69">
        <f t="shared" si="3"/>
        <v>528</v>
      </c>
      <c r="Y12" s="69">
        <f t="shared" si="3"/>
        <v>532.4</v>
      </c>
      <c r="Z12" s="69">
        <f t="shared" si="3"/>
        <v>536.79999999999995</v>
      </c>
      <c r="AA12" s="69">
        <f t="shared" si="3"/>
        <v>541.20000000000005</v>
      </c>
      <c r="AB12" s="69">
        <f t="shared" si="3"/>
        <v>545.6</v>
      </c>
      <c r="AC12" s="69">
        <f t="shared" si="3"/>
        <v>550</v>
      </c>
      <c r="AD12" s="69">
        <f t="shared" si="3"/>
        <v>550</v>
      </c>
      <c r="AE12" s="69">
        <f t="shared" si="3"/>
        <v>550</v>
      </c>
      <c r="AF12" s="69">
        <f t="shared" si="3"/>
        <v>550</v>
      </c>
      <c r="AG12" s="69">
        <f t="shared" si="3"/>
        <v>550</v>
      </c>
      <c r="AH12" s="69">
        <f t="shared" si="3"/>
        <v>550</v>
      </c>
      <c r="AI12" s="69">
        <f t="shared" si="3"/>
        <v>550</v>
      </c>
      <c r="AJ12" s="69">
        <f t="shared" si="3"/>
        <v>550</v>
      </c>
      <c r="AK12" s="69">
        <f t="shared" si="3"/>
        <v>550</v>
      </c>
      <c r="AL12" s="69">
        <f t="shared" si="3"/>
        <v>550</v>
      </c>
      <c r="AM12" s="69">
        <f t="shared" si="3"/>
        <v>550</v>
      </c>
      <c r="AN12" s="69">
        <f t="shared" si="3"/>
        <v>550</v>
      </c>
    </row>
    <row r="13" spans="2:40" hidden="1" outlineLevel="1" x14ac:dyDescent="0.25"/>
    <row r="14" spans="2:40" hidden="1" outlineLevel="1" x14ac:dyDescent="0.25"/>
    <row r="15" spans="2:40" hidden="1" outlineLevel="1" x14ac:dyDescent="0.25"/>
    <row r="16" spans="2:40" hidden="1" outlineLevel="1" x14ac:dyDescent="0.25"/>
    <row r="17" spans="2:50" hidden="1" outlineLevel="1" x14ac:dyDescent="0.25"/>
    <row r="18" spans="2:50" hidden="1" outlineLevel="1" x14ac:dyDescent="0.25"/>
    <row r="19" spans="2:50" hidden="1" outlineLevel="1" x14ac:dyDescent="0.25"/>
    <row r="20" spans="2:50" hidden="1" outlineLevel="1" x14ac:dyDescent="0.25"/>
    <row r="21" spans="2:50" hidden="1" outlineLevel="1" x14ac:dyDescent="0.25"/>
    <row r="22" spans="2:50" collapsed="1" x14ac:dyDescent="0.25">
      <c r="B22" s="2" t="s">
        <v>394</v>
      </c>
      <c r="C22" s="3"/>
      <c r="D22" s="77">
        <f>MAX(_xlfn.ANCHORARRAY(E22))</f>
        <v>174.55720170454549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169.4730113636364</v>
      </c>
      <c r="F22" s="78">
        <v>169.47301136363635</v>
      </c>
      <c r="G22" s="78">
        <v>169.47301136363637</v>
      </c>
      <c r="H22" s="78">
        <v>169.47301136363637</v>
      </c>
      <c r="I22" s="78">
        <v>169.47301136363635</v>
      </c>
      <c r="J22" s="78">
        <v>169.47301136363637</v>
      </c>
      <c r="K22" s="78">
        <v>169.47301136363635</v>
      </c>
      <c r="L22" s="78">
        <v>169.47301136363632</v>
      </c>
      <c r="M22" s="78">
        <v>169.47301136363637</v>
      </c>
      <c r="N22" s="78">
        <v>169.47301136363637</v>
      </c>
      <c r="O22" s="78">
        <v>169.47301136363637</v>
      </c>
      <c r="P22" s="78">
        <v>169.47301136363635</v>
      </c>
      <c r="Q22" s="78">
        <v>174.55720170454543</v>
      </c>
      <c r="R22" s="78">
        <v>174.55720170454546</v>
      </c>
      <c r="S22" s="78">
        <v>174.55720170454543</v>
      </c>
      <c r="T22" s="78">
        <v>174.55720170454549</v>
      </c>
      <c r="U22" s="78">
        <v>174.55720170454546</v>
      </c>
      <c r="V22" s="78">
        <v>174.55720170454549</v>
      </c>
      <c r="W22" s="78">
        <v>174.55720170454546</v>
      </c>
      <c r="X22" s="78">
        <v>174.55720170454546</v>
      </c>
      <c r="Y22" s="78">
        <v>174.55720170454546</v>
      </c>
      <c r="Z22" s="78">
        <v>174.55720170454543</v>
      </c>
      <c r="AA22" s="78">
        <v>174.55720170454543</v>
      </c>
      <c r="AB22" s="78">
        <v>174.55720170454546</v>
      </c>
      <c r="AC22" s="78">
        <v>174.55720170454543</v>
      </c>
      <c r="AD22" s="78">
        <v>174.55720170454543</v>
      </c>
      <c r="AE22" s="78">
        <v>174.55720170454543</v>
      </c>
      <c r="AF22" s="78">
        <v>174.55720170454543</v>
      </c>
      <c r="AG22" s="78">
        <v>174.55720170454543</v>
      </c>
      <c r="AH22" s="78">
        <v>174.55720170454543</v>
      </c>
      <c r="AI22" s="78">
        <v>174.55720170454543</v>
      </c>
      <c r="AJ22" s="78">
        <v>174.55720170454543</v>
      </c>
      <c r="AK22" s="78">
        <v>174.55720170454543</v>
      </c>
      <c r="AL22" s="78">
        <v>174.55720170454543</v>
      </c>
      <c r="AM22" s="78">
        <v>174.55720170454543</v>
      </c>
      <c r="AN22" s="78">
        <v>174.55720170454543</v>
      </c>
    </row>
    <row r="23" spans="2:50" x14ac:dyDescent="0.25">
      <c r="B23" s="2" t="s">
        <v>53</v>
      </c>
      <c r="C23" s="3"/>
      <c r="D23" s="72"/>
      <c r="E23" s="52" cm="1">
        <f t="array" ref="E23:AN23">_xlfn.LET(_xlpm.site,$B$1&amp;"-"&amp;$C$1,_xlpm.locations,Base!$D$4:$BD$4,_xlpm.Customer,_xlfn.ANCHORARRAY(E1),_xlpm.hours,SUM(_xlfn.XLOOKUP(_xlpm.site,_xlpm.locations,Base!$D$74:$BD$78,0,0)),
_xlpm.collection,1-_xlfn.XLOOKUP(_xlpm.site,_xlpm.locations,Base!$D$26:$BD$26,0,0),
_xlpm.Customer*_xlpm.hours*_xlpm.collection*(52/12))</f>
        <v>3665.4933333333329</v>
      </c>
      <c r="F23" s="52">
        <v>7279.36</v>
      </c>
      <c r="G23" s="52">
        <v>10944.853333333333</v>
      </c>
      <c r="H23" s="52">
        <v>14610.346666666665</v>
      </c>
      <c r="I23" s="52">
        <v>18224.21333333333</v>
      </c>
      <c r="J23" s="52">
        <v>21889.706666666665</v>
      </c>
      <c r="K23" s="52">
        <v>22096.213333333333</v>
      </c>
      <c r="L23" s="52">
        <v>22302.720000000001</v>
      </c>
      <c r="M23" s="52">
        <v>22509.226666666662</v>
      </c>
      <c r="N23" s="52">
        <v>22715.733333333334</v>
      </c>
      <c r="O23" s="52">
        <v>22922.239999999998</v>
      </c>
      <c r="P23" s="52">
        <v>23128.74666666667</v>
      </c>
      <c r="Q23" s="52">
        <v>23335.25333333333</v>
      </c>
      <c r="R23" s="52">
        <v>23541.759999999998</v>
      </c>
      <c r="S23" s="52">
        <v>23748.266666666666</v>
      </c>
      <c r="T23" s="52">
        <v>23954.773333333327</v>
      </c>
      <c r="U23" s="52">
        <v>24161.279999999999</v>
      </c>
      <c r="V23" s="52">
        <v>24367.786666666663</v>
      </c>
      <c r="W23" s="52">
        <v>24574.293333333335</v>
      </c>
      <c r="X23" s="52">
        <v>24780.799999999996</v>
      </c>
      <c r="Y23" s="52">
        <v>24987.306666666664</v>
      </c>
      <c r="Z23" s="52">
        <v>25193.813333333332</v>
      </c>
      <c r="AA23" s="52">
        <v>25400.32</v>
      </c>
      <c r="AB23" s="52">
        <v>25606.826666666664</v>
      </c>
      <c r="AC23" s="52">
        <v>25813.333333333332</v>
      </c>
      <c r="AD23" s="52">
        <v>25813.333333333332</v>
      </c>
      <c r="AE23" s="52">
        <v>25813.333333333332</v>
      </c>
      <c r="AF23" s="52">
        <v>25813.333333333332</v>
      </c>
      <c r="AG23" s="52">
        <v>25813.333333333332</v>
      </c>
      <c r="AH23" s="52">
        <v>25813.333333333332</v>
      </c>
      <c r="AI23" s="52">
        <v>25813.333333333332</v>
      </c>
      <c r="AJ23" s="52">
        <v>25813.333333333332</v>
      </c>
      <c r="AK23" s="52">
        <v>25813.333333333332</v>
      </c>
      <c r="AL23" s="52">
        <v>25813.333333333332</v>
      </c>
      <c r="AM23" s="52">
        <v>25813.333333333332</v>
      </c>
      <c r="AN23" s="52">
        <v>25813.333333333332</v>
      </c>
    </row>
    <row r="25" spans="2:50" x14ac:dyDescent="0.25">
      <c r="B25" s="1" t="s">
        <v>21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outlineLevel="1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_xlfn.LET(_xlpm.site,$B$1&amp;"-"&amp;$C$1,_xlpm.locations,Base!$D$4:$BD$4,_xlpm.rates,Base!$D31:$BD31,_xlpm.hours,Base!$D74:$BD74,_xlpm.comp,_xlpm.rates*_xlpm.hours,_xlpm.Customer,_xlfn.ANCHORARRAY($E$1),
_xlpm.Customer_comp,_xlfn.XLOOKUP(_xlpm.site,_xlpm.locations,_xlpm.comp,0,0),_xlpm.ann_incr,_xlfn.XLOOKUP(YEAR(_xlfn.ANCHORARRAY($E$25)),Base!$BJ$4:$BL$4,Base!$BJ74:$BL74,0,0),
_xlpm.bad_debt,_xlfn.XLOOKUP(_xlpm.site,_xlpm.locations,Base!$D$28:$BD$28,0,0),_xlpm.Customer_comp*_xlpm.Customer*_xlpm.bad_debt*_xlpm.ann_incr*(52/12))</f>
        <v>562073.15666666662</v>
      </c>
      <c r="F26" s="12">
        <v>1116229.7899999998</v>
      </c>
      <c r="G26" s="12">
        <v>1678302.9466666665</v>
      </c>
      <c r="H26" s="12">
        <v>2240376.103333333</v>
      </c>
      <c r="I26" s="12">
        <v>2794532.7366666663</v>
      </c>
      <c r="J26" s="12">
        <v>3356605.8933333331</v>
      </c>
      <c r="K26" s="12">
        <v>3388271.9866666663</v>
      </c>
      <c r="L26" s="12">
        <v>3419938.0799999996</v>
      </c>
      <c r="M26" s="12">
        <v>3451604.1733333329</v>
      </c>
      <c r="N26" s="12">
        <v>3483270.2666666661</v>
      </c>
      <c r="O26" s="12">
        <v>3514936.3599999994</v>
      </c>
      <c r="P26" s="12">
        <v>3546602.4533333331</v>
      </c>
      <c r="Q26" s="12">
        <v>3685616.6030666661</v>
      </c>
      <c r="R26" s="12">
        <v>3718232.6791999997</v>
      </c>
      <c r="S26" s="12">
        <v>3750848.7553333328</v>
      </c>
      <c r="T26" s="12">
        <v>3783464.8314666664</v>
      </c>
      <c r="U26" s="12">
        <v>3816080.9075999996</v>
      </c>
      <c r="V26" s="12">
        <v>3848696.9837333327</v>
      </c>
      <c r="W26" s="12">
        <v>3881313.0598666663</v>
      </c>
      <c r="X26" s="12">
        <v>3913929.1359999995</v>
      </c>
      <c r="Y26" s="12">
        <v>3946545.2121333331</v>
      </c>
      <c r="Z26" s="12">
        <v>3979161.2882666662</v>
      </c>
      <c r="AA26" s="12">
        <v>4011777.3643999994</v>
      </c>
      <c r="AB26" s="12">
        <v>4044393.440533333</v>
      </c>
      <c r="AC26" s="12">
        <v>4077009.5166666661</v>
      </c>
      <c r="AD26" s="12">
        <v>4077009.5166666661</v>
      </c>
      <c r="AE26" s="12">
        <v>4077009.5166666661</v>
      </c>
      <c r="AF26" s="12">
        <v>4077009.5166666661</v>
      </c>
      <c r="AG26" s="12">
        <v>4077009.5166666661</v>
      </c>
      <c r="AH26" s="12">
        <v>4077009.5166666661</v>
      </c>
      <c r="AI26" s="12">
        <v>4077009.5166666661</v>
      </c>
      <c r="AJ26" s="12">
        <v>4077009.5166666661</v>
      </c>
      <c r="AK26" s="12">
        <v>4077009.5166666661</v>
      </c>
      <c r="AL26" s="12">
        <v>4077009.5166666661</v>
      </c>
      <c r="AM26" s="12">
        <v>4077009.5166666661</v>
      </c>
      <c r="AN26" s="12">
        <v>4077009.5166666661</v>
      </c>
    </row>
    <row r="27" spans="2:50" outlineLevel="1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_xlfn.LET(_xlpm.site,$B$1&amp;"-"&amp;$C$1,_xlpm.locations,Base!$D$4:$BD$4,_xlpm.rates,Base!$D32:$BD32,_xlpm.hours,Base!$D75:$BD75,_xlpm.comp,_xlpm.rates*_xlpm.hours,_xlpm.Customer,_xlfn.ANCHORARRAY($E$1),
_xlpm.Customer_comp,_xlfn.XLOOKUP(_xlpm.site,_xlpm.locations,_xlpm.comp,0,0),_xlpm.ann_incr,_xlfn.XLOOKUP(YEAR(_xlfn.ANCHORARRAY($E$25)),Base!$BJ$4:$BL$4,Base!$BJ75:$BL75,0,0),
_xlpm.bad_debt,_xlfn.XLOOKUP(_xlpm.site,_xlpm.locations,Base!$D$28:$BD$28,0,0),_xlpm.Customer_comp*_xlpm.Customer*_xlpm.bad_debt*_xlpm.ann_incr*(52/12))</f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12">
        <v>0</v>
      </c>
      <c r="AA27" s="12">
        <v>0</v>
      </c>
      <c r="AB27" s="12">
        <v>0</v>
      </c>
      <c r="AC27" s="12">
        <v>0</v>
      </c>
      <c r="AD27" s="12">
        <v>0</v>
      </c>
      <c r="AE27" s="12">
        <v>0</v>
      </c>
      <c r="AF27" s="12">
        <v>0</v>
      </c>
      <c r="AG27" s="12">
        <v>0</v>
      </c>
      <c r="AH27" s="12">
        <v>0</v>
      </c>
      <c r="AI27" s="12">
        <v>0</v>
      </c>
      <c r="AJ27" s="12">
        <v>0</v>
      </c>
      <c r="AK27" s="12">
        <v>0</v>
      </c>
      <c r="AL27" s="12">
        <v>0</v>
      </c>
      <c r="AM27" s="12">
        <v>0</v>
      </c>
      <c r="AN27" s="12">
        <v>0</v>
      </c>
    </row>
    <row r="28" spans="2:50" outlineLevel="1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_xlfn.LET(_xlpm.site,$B$1&amp;"-"&amp;$C$1,_xlpm.locations,Base!$D$4:$BD$4,_xlpm.rates,Base!$D33:$BD33,_xlpm.hours,Base!$D76:$BD76,_xlpm.comp,_xlpm.rates*_xlpm.hours,_xlpm.Customer,_xlfn.ANCHORARRAY($E$1),
_xlpm.Customer_comp,_xlfn.XLOOKUP(_xlpm.site,_xlpm.locations,_xlpm.comp,0,0),_xlpm.ann_incr,_xlfn.XLOOKUP(YEAR(_xlfn.ANCHORARRAY($E$25)),Base!$BJ$4:$BL$4,Base!$BJ76:$BL76,0,0),
_xlpm.bad_debt,_xlfn.XLOOKUP(_xlpm.site,_xlpm.locations,Base!$D$28:$BD$28,0,0),_xlpm.Customer_comp*_xlpm.Customer*_xlpm.bad_debt*_xlpm.ann_incr*(52/12))</f>
        <v>74918.986999999979</v>
      </c>
      <c r="F28" s="12">
        <v>148782.77699999997</v>
      </c>
      <c r="G28" s="12">
        <v>223701.76399999994</v>
      </c>
      <c r="H28" s="12">
        <v>298620.75099999993</v>
      </c>
      <c r="I28" s="12">
        <v>372484.54099999985</v>
      </c>
      <c r="J28" s="12">
        <v>447403.52799999987</v>
      </c>
      <c r="K28" s="12">
        <v>451624.31599999982</v>
      </c>
      <c r="L28" s="12">
        <v>455845.10399999988</v>
      </c>
      <c r="M28" s="12">
        <v>460065.89199999982</v>
      </c>
      <c r="N28" s="12">
        <v>464286.67999999993</v>
      </c>
      <c r="O28" s="12">
        <v>468507.46799999988</v>
      </c>
      <c r="P28" s="12">
        <v>472728.25599999982</v>
      </c>
      <c r="Q28" s="12">
        <v>491257.51531999989</v>
      </c>
      <c r="R28" s="12">
        <v>495604.92695999984</v>
      </c>
      <c r="S28" s="12">
        <v>499952.33859999996</v>
      </c>
      <c r="T28" s="12">
        <v>504299.75023999985</v>
      </c>
      <c r="U28" s="12">
        <v>508647.1618799998</v>
      </c>
      <c r="V28" s="12">
        <v>512994.57351999986</v>
      </c>
      <c r="W28" s="12">
        <v>517341.98515999981</v>
      </c>
      <c r="X28" s="12">
        <v>521689.39679999987</v>
      </c>
      <c r="Y28" s="12">
        <v>526036.80843999994</v>
      </c>
      <c r="Z28" s="12">
        <v>530384.22007999977</v>
      </c>
      <c r="AA28" s="12">
        <v>534731.63171999983</v>
      </c>
      <c r="AB28" s="12">
        <v>539079.04335999978</v>
      </c>
      <c r="AC28" s="12">
        <v>543426.45499999984</v>
      </c>
      <c r="AD28" s="12">
        <v>543426.45499999984</v>
      </c>
      <c r="AE28" s="12">
        <v>543426.45499999984</v>
      </c>
      <c r="AF28" s="12">
        <v>543426.45499999984</v>
      </c>
      <c r="AG28" s="12">
        <v>543426.45499999984</v>
      </c>
      <c r="AH28" s="12">
        <v>543426.45499999984</v>
      </c>
      <c r="AI28" s="12">
        <v>543426.45499999984</v>
      </c>
      <c r="AJ28" s="12">
        <v>543426.45499999984</v>
      </c>
      <c r="AK28" s="12">
        <v>543426.45499999984</v>
      </c>
      <c r="AL28" s="12">
        <v>543426.45499999984</v>
      </c>
      <c r="AM28" s="12">
        <v>543426.45499999984</v>
      </c>
      <c r="AN28" s="12">
        <v>543426.45499999984</v>
      </c>
    </row>
    <row r="29" spans="2:50" outlineLevel="1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_xlfn.LET(_xlpm.site,$B$1&amp;"-"&amp;$C$1,_xlpm.locations,Base!$D$4:$BD$4,_xlpm.rates,Base!$D34:$BD34,_xlpm.hours,Base!$D77:$BD77,_xlpm.comp,_xlpm.rates*_xlpm.hours,_xlpm.Customer,_xlfn.ANCHORARRAY($E$1),
_xlpm.Customer_comp,_xlfn.XLOOKUP(_xlpm.site,_xlpm.locations,_xlpm.comp,0,0),_xlpm.ann_incr,_xlfn.XLOOKUP(YEAR(_xlfn.ANCHORARRAY($E$25)),Base!$BJ$4:$BL$4,Base!$BJ77:$BL77,0,0),
_xlpm.bad_debt,_xlfn.XLOOKUP(_xlpm.site,_xlpm.locations,Base!$D$28:$BD$28,0,0),_xlpm.Customer_comp*_xlpm.Customer*_xlpm.bad_debt*_xlpm.ann_incr*(52/12))</f>
        <v>11525.998</v>
      </c>
      <c r="F29" s="12">
        <v>22889.657999999999</v>
      </c>
      <c r="G29" s="12">
        <v>34415.655999999995</v>
      </c>
      <c r="H29" s="12">
        <v>45941.653999999995</v>
      </c>
      <c r="I29" s="12">
        <v>57305.313999999998</v>
      </c>
      <c r="J29" s="12">
        <v>68831.311999999991</v>
      </c>
      <c r="K29" s="12">
        <v>69480.66399999999</v>
      </c>
      <c r="L29" s="12">
        <v>70130.016000000003</v>
      </c>
      <c r="M29" s="12">
        <v>70779.367999999988</v>
      </c>
      <c r="N29" s="12">
        <v>71428.72</v>
      </c>
      <c r="O29" s="12">
        <v>72078.072</v>
      </c>
      <c r="P29" s="12">
        <v>72727.423999999985</v>
      </c>
      <c r="Q29" s="12">
        <v>75578.079279999991</v>
      </c>
      <c r="R29" s="12">
        <v>76246.911840000001</v>
      </c>
      <c r="S29" s="12">
        <v>76915.744399999981</v>
      </c>
      <c r="T29" s="12">
        <v>77584.576959999991</v>
      </c>
      <c r="U29" s="12">
        <v>78253.409520000001</v>
      </c>
      <c r="V29" s="12">
        <v>78922.242079999996</v>
      </c>
      <c r="W29" s="12">
        <v>79591.074639999992</v>
      </c>
      <c r="X29" s="12">
        <v>80259.907200000001</v>
      </c>
      <c r="Y29" s="12">
        <v>80928.739759999997</v>
      </c>
      <c r="Z29" s="12">
        <v>81597.572319999992</v>
      </c>
      <c r="AA29" s="12">
        <v>82266.404880000002</v>
      </c>
      <c r="AB29" s="12">
        <v>82935.237439999983</v>
      </c>
      <c r="AC29" s="12">
        <v>83604.069999999992</v>
      </c>
      <c r="AD29" s="12">
        <v>83604.069999999992</v>
      </c>
      <c r="AE29" s="12">
        <v>83604.069999999992</v>
      </c>
      <c r="AF29" s="12">
        <v>83604.069999999992</v>
      </c>
      <c r="AG29" s="12">
        <v>83604.069999999992</v>
      </c>
      <c r="AH29" s="12">
        <v>83604.069999999992</v>
      </c>
      <c r="AI29" s="12">
        <v>83604.069999999992</v>
      </c>
      <c r="AJ29" s="12">
        <v>83604.069999999992</v>
      </c>
      <c r="AK29" s="12">
        <v>83604.069999999992</v>
      </c>
      <c r="AL29" s="12">
        <v>83604.069999999992</v>
      </c>
      <c r="AM29" s="12">
        <v>83604.069999999992</v>
      </c>
      <c r="AN29" s="12">
        <v>83604.069999999992</v>
      </c>
    </row>
    <row r="30" spans="2:50" outlineLevel="1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_xlfn.LET(_xlpm.site,$B$1&amp;"-"&amp;$C$1,_xlpm.locations,Base!$D$4:$BD$4,_xlpm.rates,Base!$D35:$BD35,_xlpm.hours,Base!$D78:$BD78,_xlpm.comp,_xlpm.rates*_xlpm.hours,_xlpm.Customer,_xlfn.ANCHORARRAY($E$1),
_xlpm.Customer_comp,_xlfn.XLOOKUP(_xlpm.site,_xlpm.locations,_xlpm.comp,0,0),_xlpm.ann_incr,_xlfn.XLOOKUP(YEAR(_xlfn.ANCHORARRAY($E$25)),Base!$BJ$4:$BL$4,Base!$BJ78:$BL78,0,0),
_xlpm.bad_debt,_xlfn.XLOOKUP(_xlpm.site,_xlpm.locations,Base!$D$28:$BD$28,0,0),_xlpm.Customer_comp*_xlpm.Customer*_xlpm.bad_debt*_xlpm.ann_incr*(52/12))</f>
        <v>15038.746666666666</v>
      </c>
      <c r="F30" s="12">
        <v>29865.679999999997</v>
      </c>
      <c r="G30" s="12">
        <v>44904.426666666659</v>
      </c>
      <c r="H30" s="12">
        <v>59943.173333333325</v>
      </c>
      <c r="I30" s="12">
        <v>74770.106666666659</v>
      </c>
      <c r="J30" s="12">
        <v>89808.853333333318</v>
      </c>
      <c r="K30" s="12">
        <v>90656.106666666659</v>
      </c>
      <c r="L30" s="12">
        <v>91503.359999999986</v>
      </c>
      <c r="M30" s="12">
        <v>92350.613333333327</v>
      </c>
      <c r="N30" s="12">
        <v>93197.866666666654</v>
      </c>
      <c r="O30" s="12">
        <v>94045.119999999981</v>
      </c>
      <c r="P30" s="12">
        <v>94892.373333333322</v>
      </c>
      <c r="Q30" s="12">
        <v>98611.815466666652</v>
      </c>
      <c r="R30" s="12">
        <v>99484.486399999994</v>
      </c>
      <c r="S30" s="12">
        <v>100357.15733333334</v>
      </c>
      <c r="T30" s="12">
        <v>101229.82826666665</v>
      </c>
      <c r="U30" s="12">
        <v>102102.49919999999</v>
      </c>
      <c r="V30" s="12">
        <v>102975.17013333332</v>
      </c>
      <c r="W30" s="12">
        <v>103847.84106666666</v>
      </c>
      <c r="X30" s="12">
        <v>104720.51199999999</v>
      </c>
      <c r="Y30" s="12">
        <v>105593.18293333332</v>
      </c>
      <c r="Z30" s="12">
        <v>106465.85386666666</v>
      </c>
      <c r="AA30" s="12">
        <v>107338.5248</v>
      </c>
      <c r="AB30" s="12">
        <v>108211.19573333333</v>
      </c>
      <c r="AC30" s="12">
        <v>109083.86666666667</v>
      </c>
      <c r="AD30" s="12">
        <v>109083.86666666667</v>
      </c>
      <c r="AE30" s="12">
        <v>109083.86666666667</v>
      </c>
      <c r="AF30" s="12">
        <v>109083.86666666667</v>
      </c>
      <c r="AG30" s="12">
        <v>109083.86666666667</v>
      </c>
      <c r="AH30" s="12">
        <v>109083.86666666667</v>
      </c>
      <c r="AI30" s="12">
        <v>109083.86666666667</v>
      </c>
      <c r="AJ30" s="12">
        <v>109083.86666666667</v>
      </c>
      <c r="AK30" s="12">
        <v>109083.86666666667</v>
      </c>
      <c r="AL30" s="12">
        <v>109083.86666666667</v>
      </c>
      <c r="AM30" s="12">
        <v>109083.86666666667</v>
      </c>
      <c r="AN30" s="12">
        <v>109083.86666666667</v>
      </c>
    </row>
    <row r="31" spans="2:50" outlineLevel="1" x14ac:dyDescent="0.25">
      <c r="B31" s="39" t="str">
        <f>Base!B36</f>
        <v>Tertiary Direct Staff - Service A</v>
      </c>
      <c r="C31" s="4"/>
      <c r="E31" s="183" cm="1">
        <f t="array" ref="E31:AN31">_xlfn.BYCOL(_xlfn.ANCHORARRAY($E$25),_xlfn.LAMBDA(_xlpm.a,0))</f>
        <v>0</v>
      </c>
      <c r="F31" s="183">
        <v>0</v>
      </c>
      <c r="G31" s="183">
        <v>0</v>
      </c>
      <c r="H31" s="183">
        <v>0</v>
      </c>
      <c r="I31" s="183">
        <v>0</v>
      </c>
      <c r="J31" s="183">
        <v>0</v>
      </c>
      <c r="K31" s="183">
        <v>0</v>
      </c>
      <c r="L31" s="183">
        <v>0</v>
      </c>
      <c r="M31" s="183">
        <v>0</v>
      </c>
      <c r="N31" s="183">
        <v>0</v>
      </c>
      <c r="O31" s="183">
        <v>0</v>
      </c>
      <c r="P31" s="183">
        <v>0</v>
      </c>
      <c r="Q31" s="183">
        <v>0</v>
      </c>
      <c r="R31" s="183">
        <v>0</v>
      </c>
      <c r="S31" s="183">
        <v>0</v>
      </c>
      <c r="T31" s="183">
        <v>0</v>
      </c>
      <c r="U31" s="183">
        <v>0</v>
      </c>
      <c r="V31" s="183">
        <v>0</v>
      </c>
      <c r="W31" s="183">
        <v>0</v>
      </c>
      <c r="X31" s="183">
        <v>0</v>
      </c>
      <c r="Y31" s="183">
        <v>0</v>
      </c>
      <c r="Z31" s="183">
        <v>0</v>
      </c>
      <c r="AA31" s="183">
        <v>0</v>
      </c>
      <c r="AB31" s="183">
        <v>0</v>
      </c>
      <c r="AC31" s="183">
        <v>0</v>
      </c>
      <c r="AD31" s="183">
        <v>0</v>
      </c>
      <c r="AE31" s="183">
        <v>0</v>
      </c>
      <c r="AF31" s="183">
        <v>0</v>
      </c>
      <c r="AG31" s="183">
        <v>0</v>
      </c>
      <c r="AH31" s="183">
        <v>0</v>
      </c>
      <c r="AI31" s="183">
        <v>0</v>
      </c>
      <c r="AJ31" s="183">
        <v>0</v>
      </c>
      <c r="AK31" s="183">
        <v>0</v>
      </c>
      <c r="AL31" s="183">
        <v>0</v>
      </c>
      <c r="AM31" s="183">
        <v>0</v>
      </c>
      <c r="AN31" s="183">
        <v>0</v>
      </c>
    </row>
    <row r="32" spans="2:50" outlineLevel="1" x14ac:dyDescent="0.25">
      <c r="B32" s="39" t="str">
        <f>Base!B37</f>
        <v>Tertiary Direct Staff - Service B</v>
      </c>
      <c r="C32" s="4"/>
      <c r="E32" s="183" cm="1">
        <f t="array" ref="E32:AN32">_xlfn.BYCOL(_xlfn.ANCHORARRAY($E$25),_xlfn.LAMBDA(_xlpm.a,0))</f>
        <v>0</v>
      </c>
      <c r="F32" s="183">
        <v>0</v>
      </c>
      <c r="G32" s="183">
        <v>0</v>
      </c>
      <c r="H32" s="183">
        <v>0</v>
      </c>
      <c r="I32" s="183">
        <v>0</v>
      </c>
      <c r="J32" s="183">
        <v>0</v>
      </c>
      <c r="K32" s="183">
        <v>0</v>
      </c>
      <c r="L32" s="183">
        <v>0</v>
      </c>
      <c r="M32" s="183">
        <v>0</v>
      </c>
      <c r="N32" s="183">
        <v>0</v>
      </c>
      <c r="O32" s="183">
        <v>0</v>
      </c>
      <c r="P32" s="183">
        <v>0</v>
      </c>
      <c r="Q32" s="183">
        <v>0</v>
      </c>
      <c r="R32" s="183">
        <v>0</v>
      </c>
      <c r="S32" s="183">
        <v>0</v>
      </c>
      <c r="T32" s="183">
        <v>0</v>
      </c>
      <c r="U32" s="183">
        <v>0</v>
      </c>
      <c r="V32" s="183">
        <v>0</v>
      </c>
      <c r="W32" s="183">
        <v>0</v>
      </c>
      <c r="X32" s="183">
        <v>0</v>
      </c>
      <c r="Y32" s="183">
        <v>0</v>
      </c>
      <c r="Z32" s="183">
        <v>0</v>
      </c>
      <c r="AA32" s="183">
        <v>0</v>
      </c>
      <c r="AB32" s="183">
        <v>0</v>
      </c>
      <c r="AC32" s="183">
        <v>0</v>
      </c>
      <c r="AD32" s="183">
        <v>0</v>
      </c>
      <c r="AE32" s="183">
        <v>0</v>
      </c>
      <c r="AF32" s="183">
        <v>0</v>
      </c>
      <c r="AG32" s="183">
        <v>0</v>
      </c>
      <c r="AH32" s="183">
        <v>0</v>
      </c>
      <c r="AI32" s="183">
        <v>0</v>
      </c>
      <c r="AJ32" s="183">
        <v>0</v>
      </c>
      <c r="AK32" s="183">
        <v>0</v>
      </c>
      <c r="AL32" s="183">
        <v>0</v>
      </c>
      <c r="AM32" s="183">
        <v>0</v>
      </c>
      <c r="AN32" s="183">
        <v>0</v>
      </c>
    </row>
    <row r="33" spans="2:40" outlineLevel="1" x14ac:dyDescent="0.25">
      <c r="B33" s="39" t="str">
        <f>Base!B38</f>
        <v>Quaternary Direct Staff - Service A</v>
      </c>
      <c r="C33" s="4"/>
      <c r="E33" s="183" cm="1">
        <f t="array" ref="E33:AN33">_xlfn.BYCOL(_xlfn.ANCHORARRAY($E$25),_xlfn.LAMBDA(_xlpm.a,0))</f>
        <v>0</v>
      </c>
      <c r="F33" s="183">
        <v>0</v>
      </c>
      <c r="G33" s="183">
        <v>0</v>
      </c>
      <c r="H33" s="183">
        <v>0</v>
      </c>
      <c r="I33" s="183">
        <v>0</v>
      </c>
      <c r="J33" s="183">
        <v>0</v>
      </c>
      <c r="K33" s="183">
        <v>0</v>
      </c>
      <c r="L33" s="183">
        <v>0</v>
      </c>
      <c r="M33" s="183">
        <v>0</v>
      </c>
      <c r="N33" s="183">
        <v>0</v>
      </c>
      <c r="O33" s="183">
        <v>0</v>
      </c>
      <c r="P33" s="183">
        <v>0</v>
      </c>
      <c r="Q33" s="183">
        <v>0</v>
      </c>
      <c r="R33" s="183">
        <v>0</v>
      </c>
      <c r="S33" s="183">
        <v>0</v>
      </c>
      <c r="T33" s="183">
        <v>0</v>
      </c>
      <c r="U33" s="183">
        <v>0</v>
      </c>
      <c r="V33" s="183">
        <v>0</v>
      </c>
      <c r="W33" s="183">
        <v>0</v>
      </c>
      <c r="X33" s="183">
        <v>0</v>
      </c>
      <c r="Y33" s="183">
        <v>0</v>
      </c>
      <c r="Z33" s="183">
        <v>0</v>
      </c>
      <c r="AA33" s="183">
        <v>0</v>
      </c>
      <c r="AB33" s="183">
        <v>0</v>
      </c>
      <c r="AC33" s="183">
        <v>0</v>
      </c>
      <c r="AD33" s="183">
        <v>0</v>
      </c>
      <c r="AE33" s="183">
        <v>0</v>
      </c>
      <c r="AF33" s="183">
        <v>0</v>
      </c>
      <c r="AG33" s="183">
        <v>0</v>
      </c>
      <c r="AH33" s="183">
        <v>0</v>
      </c>
      <c r="AI33" s="183">
        <v>0</v>
      </c>
      <c r="AJ33" s="183">
        <v>0</v>
      </c>
      <c r="AK33" s="183">
        <v>0</v>
      </c>
      <c r="AL33" s="183">
        <v>0</v>
      </c>
      <c r="AM33" s="183">
        <v>0</v>
      </c>
      <c r="AN33" s="183">
        <v>0</v>
      </c>
    </row>
    <row r="34" spans="2:40" outlineLevel="1" x14ac:dyDescent="0.25">
      <c r="B34" s="39" t="str">
        <f>Base!B39</f>
        <v>Quinary Direct Staff - Service A</v>
      </c>
      <c r="C34" s="4"/>
      <c r="E34" s="183" cm="1">
        <f t="array" ref="E34:AN34">_xlfn.BYCOL(_xlfn.ANCHORARRAY($E$25),_xlfn.LAMBDA(_xlpm.a,0))</f>
        <v>0</v>
      </c>
      <c r="F34" s="183">
        <v>0</v>
      </c>
      <c r="G34" s="183">
        <v>0</v>
      </c>
      <c r="H34" s="183">
        <v>0</v>
      </c>
      <c r="I34" s="183">
        <v>0</v>
      </c>
      <c r="J34" s="183">
        <v>0</v>
      </c>
      <c r="K34" s="183">
        <v>0</v>
      </c>
      <c r="L34" s="183">
        <v>0</v>
      </c>
      <c r="M34" s="183">
        <v>0</v>
      </c>
      <c r="N34" s="183">
        <v>0</v>
      </c>
      <c r="O34" s="183">
        <v>0</v>
      </c>
      <c r="P34" s="183">
        <v>0</v>
      </c>
      <c r="Q34" s="183">
        <v>0</v>
      </c>
      <c r="R34" s="183">
        <v>0</v>
      </c>
      <c r="S34" s="183">
        <v>0</v>
      </c>
      <c r="T34" s="183">
        <v>0</v>
      </c>
      <c r="U34" s="183">
        <v>0</v>
      </c>
      <c r="V34" s="183">
        <v>0</v>
      </c>
      <c r="W34" s="183">
        <v>0</v>
      </c>
      <c r="X34" s="183">
        <v>0</v>
      </c>
      <c r="Y34" s="183">
        <v>0</v>
      </c>
      <c r="Z34" s="183">
        <v>0</v>
      </c>
      <c r="AA34" s="183">
        <v>0</v>
      </c>
      <c r="AB34" s="183">
        <v>0</v>
      </c>
      <c r="AC34" s="183">
        <v>0</v>
      </c>
      <c r="AD34" s="183">
        <v>0</v>
      </c>
      <c r="AE34" s="183">
        <v>0</v>
      </c>
      <c r="AF34" s="183">
        <v>0</v>
      </c>
      <c r="AG34" s="183">
        <v>0</v>
      </c>
      <c r="AH34" s="183">
        <v>0</v>
      </c>
      <c r="AI34" s="183">
        <v>0</v>
      </c>
      <c r="AJ34" s="183">
        <v>0</v>
      </c>
      <c r="AK34" s="183">
        <v>0</v>
      </c>
      <c r="AL34" s="183">
        <v>0</v>
      </c>
      <c r="AM34" s="183">
        <v>0</v>
      </c>
      <c r="AN34" s="183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-79626.8266</v>
      </c>
      <c r="F35" s="12">
        <v>-158132.14859999996</v>
      </c>
      <c r="G35" s="12">
        <v>-237758.97519999999</v>
      </c>
      <c r="H35" s="12">
        <v>-317385.80179999996</v>
      </c>
      <c r="I35" s="12">
        <v>-395891.12379999988</v>
      </c>
      <c r="J35" s="12">
        <v>-475517.95039999997</v>
      </c>
      <c r="K35" s="12">
        <v>-480003.96879999986</v>
      </c>
      <c r="L35" s="12">
        <v>-484489.98719999986</v>
      </c>
      <c r="M35" s="12">
        <v>-488976.00559999992</v>
      </c>
      <c r="N35" s="12">
        <v>-493462.02399999998</v>
      </c>
      <c r="O35" s="12">
        <v>-497948.04239999992</v>
      </c>
      <c r="P35" s="12">
        <v>-502434.06079999998</v>
      </c>
      <c r="Q35" s="12">
        <v>-522127.68157599983</v>
      </c>
      <c r="R35" s="12">
        <v>-526748.28052799997</v>
      </c>
      <c r="S35" s="12">
        <v>-531368.87947999989</v>
      </c>
      <c r="T35" s="12">
        <v>-535989.47843199992</v>
      </c>
      <c r="U35" s="12">
        <v>-540610.07738399995</v>
      </c>
      <c r="V35" s="12">
        <v>-545230.67633599997</v>
      </c>
      <c r="W35" s="12">
        <v>-549851.275288</v>
      </c>
      <c r="X35" s="12">
        <v>-554471.87423999992</v>
      </c>
      <c r="Y35" s="12">
        <v>-559092.47319199995</v>
      </c>
      <c r="Z35" s="12">
        <v>-563713.07214399986</v>
      </c>
      <c r="AA35" s="12">
        <v>-568333.67109599989</v>
      </c>
      <c r="AB35" s="12">
        <v>-572954.27004799992</v>
      </c>
      <c r="AC35" s="12">
        <v>-577574.86899999983</v>
      </c>
      <c r="AD35" s="12">
        <v>-577574.86899999983</v>
      </c>
      <c r="AE35" s="12">
        <v>-577574.86899999983</v>
      </c>
      <c r="AF35" s="12">
        <v>-577574.86899999983</v>
      </c>
      <c r="AG35" s="12">
        <v>-577574.86899999983</v>
      </c>
      <c r="AH35" s="12">
        <v>-577574.86899999983</v>
      </c>
      <c r="AI35" s="12">
        <v>-577574.86899999983</v>
      </c>
      <c r="AJ35" s="12">
        <v>-577574.86899999983</v>
      </c>
      <c r="AK35" s="12">
        <v>-577574.86899999983</v>
      </c>
      <c r="AL35" s="12">
        <v>-577574.86899999983</v>
      </c>
      <c r="AM35" s="12">
        <v>-577574.86899999983</v>
      </c>
      <c r="AN35" s="12">
        <v>-577574.86899999983</v>
      </c>
    </row>
    <row r="36" spans="2:40" x14ac:dyDescent="0.25">
      <c r="B36" s="39" t="s">
        <v>261</v>
      </c>
      <c r="C36" s="4"/>
      <c r="E36" s="183" cm="1">
        <f t="array" ref="E36:AN36">_xlfn.BYCOL(_xlfn.ANCHORARRAY($E$25),_xlfn.LAMBDA(_xlpm.a,0))</f>
        <v>0</v>
      </c>
      <c r="F36" s="183">
        <v>0</v>
      </c>
      <c r="G36" s="183">
        <v>0</v>
      </c>
      <c r="H36" s="183">
        <v>0</v>
      </c>
      <c r="I36" s="183">
        <v>0</v>
      </c>
      <c r="J36" s="183">
        <v>0</v>
      </c>
      <c r="K36" s="183">
        <v>0</v>
      </c>
      <c r="L36" s="183">
        <v>0</v>
      </c>
      <c r="M36" s="183">
        <v>0</v>
      </c>
      <c r="N36" s="183">
        <v>0</v>
      </c>
      <c r="O36" s="183">
        <v>0</v>
      </c>
      <c r="P36" s="183">
        <v>0</v>
      </c>
      <c r="Q36" s="183">
        <v>0</v>
      </c>
      <c r="R36" s="183">
        <v>0</v>
      </c>
      <c r="S36" s="183">
        <v>0</v>
      </c>
      <c r="T36" s="183">
        <v>0</v>
      </c>
      <c r="U36" s="183">
        <v>0</v>
      </c>
      <c r="V36" s="183">
        <v>0</v>
      </c>
      <c r="W36" s="183">
        <v>0</v>
      </c>
      <c r="X36" s="183">
        <v>0</v>
      </c>
      <c r="Y36" s="183">
        <v>0</v>
      </c>
      <c r="Z36" s="183">
        <v>0</v>
      </c>
      <c r="AA36" s="183">
        <v>0</v>
      </c>
      <c r="AB36" s="183">
        <v>0</v>
      </c>
      <c r="AC36" s="183">
        <v>0</v>
      </c>
      <c r="AD36" s="183">
        <v>0</v>
      </c>
      <c r="AE36" s="183">
        <v>0</v>
      </c>
      <c r="AF36" s="183">
        <v>0</v>
      </c>
      <c r="AG36" s="183">
        <v>0</v>
      </c>
      <c r="AH36" s="183">
        <v>0</v>
      </c>
      <c r="AI36" s="183">
        <v>0</v>
      </c>
      <c r="AJ36" s="183">
        <v>0</v>
      </c>
      <c r="AK36" s="183">
        <v>0</v>
      </c>
      <c r="AL36" s="183">
        <v>0</v>
      </c>
      <c r="AM36" s="183">
        <v>0</v>
      </c>
      <c r="AN36" s="183">
        <v>0</v>
      </c>
    </row>
    <row r="37" spans="2:40" x14ac:dyDescent="0.25">
      <c r="B37" s="1" t="s">
        <v>271</v>
      </c>
      <c r="C37" s="15"/>
      <c r="E37" s="13" cm="1">
        <f t="array" ref="E37:AN37">_xlfn.BYCOL(_xlfn.VSTACK(_xlfn.ANCHORARRAY(E26),_xlfn.ANCHORARRAY(E27),_xlfn.ANCHORARRAY(E28),_xlfn.ANCHORARRAY(E29),_xlfn.ANCHORARRAY(E30),_xlfn.ANCHORARRAY(E31),_xlfn.ANCHORARRAY(E32),_xlfn.ANCHORARRAY(E33),_xlfn.ANCHORARRAY(E34),_xlfn.ANCHORARRAY(E35),_xlfn.ANCHORARRAY(E36)),_xlfn.LAMBDA(_xlpm.a,SUM(_xlpm.a)))</f>
        <v>583930.06173333328</v>
      </c>
      <c r="F37" s="13">
        <v>1159635.7563999998</v>
      </c>
      <c r="G37" s="13">
        <v>1743565.8181333332</v>
      </c>
      <c r="H37" s="13">
        <v>2327495.8798666662</v>
      </c>
      <c r="I37" s="13">
        <v>2903201.5745333326</v>
      </c>
      <c r="J37" s="13">
        <v>3487131.6362666665</v>
      </c>
      <c r="K37" s="13">
        <v>3520029.1045333324</v>
      </c>
      <c r="L37" s="13">
        <v>3552926.5727999993</v>
      </c>
      <c r="M37" s="13">
        <v>3585824.0410666661</v>
      </c>
      <c r="N37" s="13">
        <v>3618721.509333333</v>
      </c>
      <c r="O37" s="13">
        <v>3651618.9775999999</v>
      </c>
      <c r="P37" s="13">
        <v>3684516.4458666667</v>
      </c>
      <c r="Q37" s="13">
        <v>3828936.3315573325</v>
      </c>
      <c r="R37" s="13">
        <v>3862820.7238719999</v>
      </c>
      <c r="S37" s="13">
        <v>3896705.1161866663</v>
      </c>
      <c r="T37" s="13">
        <v>3930589.5085013332</v>
      </c>
      <c r="U37" s="13">
        <v>3964473.9008160001</v>
      </c>
      <c r="V37" s="13">
        <v>3998358.2931306669</v>
      </c>
      <c r="W37" s="13">
        <v>4032242.6854453338</v>
      </c>
      <c r="X37" s="13">
        <v>4066127.0777599998</v>
      </c>
      <c r="Y37" s="13">
        <v>4100011.4700746667</v>
      </c>
      <c r="Z37" s="13">
        <v>4133895.8623893326</v>
      </c>
      <c r="AA37" s="13">
        <v>4167780.2547039995</v>
      </c>
      <c r="AB37" s="13">
        <v>4201664.6470186664</v>
      </c>
      <c r="AC37" s="13">
        <v>4235549.0393333323</v>
      </c>
      <c r="AD37" s="13">
        <v>4235549.0393333323</v>
      </c>
      <c r="AE37" s="13">
        <v>4235549.0393333323</v>
      </c>
      <c r="AF37" s="13">
        <v>4235549.0393333323</v>
      </c>
      <c r="AG37" s="13">
        <v>4235549.0393333323</v>
      </c>
      <c r="AH37" s="13">
        <v>4235549.0393333323</v>
      </c>
      <c r="AI37" s="13">
        <v>4235549.0393333323</v>
      </c>
      <c r="AJ37" s="13">
        <v>4235549.0393333323</v>
      </c>
      <c r="AK37" s="13">
        <v>4235549.0393333323</v>
      </c>
      <c r="AL37" s="13">
        <v>4235549.0393333323</v>
      </c>
      <c r="AM37" s="13">
        <v>4235549.0393333323</v>
      </c>
      <c r="AN37" s="13">
        <v>4235549.0393333323</v>
      </c>
    </row>
    <row r="39" spans="2:40" x14ac:dyDescent="0.25">
      <c r="B39" s="1" t="s">
        <v>118</v>
      </c>
    </row>
    <row r="40" spans="2:40" x14ac:dyDescent="0.25">
      <c r="B40" s="39" t="s">
        <v>23</v>
      </c>
      <c r="E40" s="12" cm="1">
        <f t="array" ref="E40:AN40">_xlfn.LET(_xlpm.site,$B$1&amp;"-"&amp;$C$1,_xlpm.locations,Base!$D$4:$BD$4,_xlpm.annual_increase,_xlfn.XLOOKUP(YEAR(_xlfn.ANCHORARRAY($E$25)),Base!$BJ$4:$BL$4,Base!$BJ$105:$BL$119,0,0),
_xlpm.benefits,1+_xlfn.XLOOKUP(_xlpm.site,_xlpm.locations,Base!$D$124:$BD$124,0,0),
_xlfn.BYCOL(_xlfn.XLOOKUP(_xlpm.site,_xlpm.locations,Base!$D$186:$BD$254)*Base!$C$186:$C$254*--(Base!$A$186:$A$254&lt;=_xlfn.ANCHORARRAY($E$25)),_xlfn.LAMBDA(_xlpm.a,SUM(_xlpm.a)))*_xlpm.benefits*_xlpm.annual_increase)</f>
        <v>9666.6666666666661</v>
      </c>
      <c r="F40" s="12">
        <v>9666.6666666666661</v>
      </c>
      <c r="G40" s="12">
        <v>9666.6666666666661</v>
      </c>
      <c r="H40" s="12">
        <v>9666.6666666666661</v>
      </c>
      <c r="I40" s="12">
        <v>9666.6666666666661</v>
      </c>
      <c r="J40" s="12">
        <v>9666.6666666666661</v>
      </c>
      <c r="K40" s="12">
        <v>9666.6666666666661</v>
      </c>
      <c r="L40" s="12">
        <v>9666.6666666666661</v>
      </c>
      <c r="M40" s="12">
        <v>9666.6666666666661</v>
      </c>
      <c r="N40" s="12">
        <v>9666.6666666666661</v>
      </c>
      <c r="O40" s="12">
        <v>9666.6666666666661</v>
      </c>
      <c r="P40" s="12">
        <v>9666.6666666666661</v>
      </c>
      <c r="Q40" s="12">
        <v>10633.333333333334</v>
      </c>
      <c r="R40" s="12">
        <v>10633.333333333334</v>
      </c>
      <c r="S40" s="12">
        <v>10633.333333333334</v>
      </c>
      <c r="T40" s="12">
        <v>10633.333333333334</v>
      </c>
      <c r="U40" s="12">
        <v>10633.333333333334</v>
      </c>
      <c r="V40" s="12">
        <v>10633.333333333334</v>
      </c>
      <c r="W40" s="12">
        <v>10633.333333333334</v>
      </c>
      <c r="X40" s="12">
        <v>10633.333333333334</v>
      </c>
      <c r="Y40" s="12">
        <v>10633.333333333334</v>
      </c>
      <c r="Z40" s="12">
        <v>10633.333333333334</v>
      </c>
      <c r="AA40" s="12">
        <v>10633.333333333334</v>
      </c>
      <c r="AB40" s="12">
        <v>10633.333333333334</v>
      </c>
      <c r="AC40" s="12">
        <v>11696.666666666668</v>
      </c>
      <c r="AD40" s="12">
        <v>11696.666666666668</v>
      </c>
      <c r="AE40" s="12">
        <v>11696.666666666668</v>
      </c>
      <c r="AF40" s="12">
        <v>11696.666666666668</v>
      </c>
      <c r="AG40" s="12">
        <v>11696.666666666668</v>
      </c>
      <c r="AH40" s="12">
        <v>11696.666666666668</v>
      </c>
      <c r="AI40" s="12">
        <v>11696.666666666668</v>
      </c>
      <c r="AJ40" s="12">
        <v>11696.666666666668</v>
      </c>
      <c r="AK40" s="12">
        <v>11696.666666666668</v>
      </c>
      <c r="AL40" s="12">
        <v>11696.666666666668</v>
      </c>
      <c r="AM40" s="12">
        <v>11696.666666666668</v>
      </c>
      <c r="AN40" s="12">
        <v>11696.666666666668</v>
      </c>
    </row>
    <row r="41" spans="2:40" x14ac:dyDescent="0.25">
      <c r="B41" s="39" t="s">
        <v>388</v>
      </c>
      <c r="C41" s="142">
        <f>_xlfn.XLOOKUP($B$1&amp;"-"&amp;$C$1,Base!$D$4:$BD$4,Base!$D$12:$BD$12,0,0)</f>
        <v>90</v>
      </c>
      <c r="E41" s="12" cm="1">
        <f t="array" ref="E41:AN41">_xlfn.BYCOL(_xlfn.ANCHORARRAY($E$23),_xlfn.LAMBDA(_xlpm.a,_xlpm.a*$C$41))</f>
        <v>329894.39999999997</v>
      </c>
      <c r="F41" s="12">
        <v>655142.40000000002</v>
      </c>
      <c r="G41" s="12">
        <v>985036.79999999993</v>
      </c>
      <c r="H41" s="12">
        <v>1314931.1999999997</v>
      </c>
      <c r="I41" s="12">
        <v>1640179.1999999997</v>
      </c>
      <c r="J41" s="12">
        <v>1970073.5999999999</v>
      </c>
      <c r="K41" s="12">
        <v>1988659.2</v>
      </c>
      <c r="L41" s="12">
        <v>2007244.8</v>
      </c>
      <c r="M41" s="12">
        <v>2025830.3999999997</v>
      </c>
      <c r="N41" s="12">
        <v>2044416</v>
      </c>
      <c r="O41" s="12">
        <v>2063001.5999999999</v>
      </c>
      <c r="P41" s="12">
        <v>2081587.2000000002</v>
      </c>
      <c r="Q41" s="12">
        <v>2100172.7999999998</v>
      </c>
      <c r="R41" s="12">
        <v>2118758.3999999999</v>
      </c>
      <c r="S41" s="12">
        <v>2137344</v>
      </c>
      <c r="T41" s="12">
        <v>2155929.5999999996</v>
      </c>
      <c r="U41" s="12">
        <v>2174515.1999999997</v>
      </c>
      <c r="V41" s="12">
        <v>2193100.7999999998</v>
      </c>
      <c r="W41" s="12">
        <v>2211686.4000000004</v>
      </c>
      <c r="X41" s="12">
        <v>2230271.9999999995</v>
      </c>
      <c r="Y41" s="12">
        <v>2248857.5999999996</v>
      </c>
      <c r="Z41" s="12">
        <v>2267443.1999999997</v>
      </c>
      <c r="AA41" s="12">
        <v>2286028.7999999998</v>
      </c>
      <c r="AB41" s="12">
        <v>2304614.3999999999</v>
      </c>
      <c r="AC41" s="12">
        <v>2323200</v>
      </c>
      <c r="AD41" s="12">
        <v>2323200</v>
      </c>
      <c r="AE41" s="12">
        <v>2323200</v>
      </c>
      <c r="AF41" s="12">
        <v>2323200</v>
      </c>
      <c r="AG41" s="12">
        <v>2323200</v>
      </c>
      <c r="AH41" s="12">
        <v>2323200</v>
      </c>
      <c r="AI41" s="12">
        <v>2323200</v>
      </c>
      <c r="AJ41" s="12">
        <v>2323200</v>
      </c>
      <c r="AK41" s="12">
        <v>2323200</v>
      </c>
      <c r="AL41" s="12">
        <v>2323200</v>
      </c>
      <c r="AM41" s="12">
        <v>2323200</v>
      </c>
      <c r="AN41" s="12">
        <v>2323200</v>
      </c>
    </row>
    <row r="42" spans="2:40" x14ac:dyDescent="0.25">
      <c r="B42" s="39" t="s">
        <v>28</v>
      </c>
      <c r="E42" s="12" cm="1">
        <f t="array" ref="E42:AN42">_xlfn.BYCOL(_xlfn.ANCHORARRAY($E$25),_xlfn.LAMBDA(_xlpm.a,0))</f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0</v>
      </c>
      <c r="AJ42" s="12">
        <v>0</v>
      </c>
      <c r="AK42" s="12">
        <v>0</v>
      </c>
      <c r="AL42" s="12">
        <v>0</v>
      </c>
      <c r="AM42" s="12">
        <v>0</v>
      </c>
      <c r="AN42" s="12">
        <v>0</v>
      </c>
    </row>
    <row r="43" spans="2:40" x14ac:dyDescent="0.25">
      <c r="B43" s="39" t="s">
        <v>31</v>
      </c>
      <c r="E43" s="12" cm="1">
        <f t="array" ref="E43:AN43">_xlfn.BYCOL(_xlfn.ANCHORARRAY($E$25),_xlfn.LAMBDA(_xlpm.a,0))</f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0</v>
      </c>
      <c r="X43" s="12">
        <v>0</v>
      </c>
      <c r="Y43" s="12">
        <v>0</v>
      </c>
      <c r="Z43" s="12">
        <v>0</v>
      </c>
      <c r="AA43" s="12">
        <v>0</v>
      </c>
      <c r="AB43" s="12">
        <v>0</v>
      </c>
      <c r="AC43" s="12">
        <v>0</v>
      </c>
      <c r="AD43" s="12">
        <v>0</v>
      </c>
      <c r="AE43" s="12">
        <v>0</v>
      </c>
      <c r="AF43" s="12">
        <v>0</v>
      </c>
      <c r="AG43" s="12">
        <v>0</v>
      </c>
      <c r="AH43" s="12">
        <v>0</v>
      </c>
      <c r="AI43" s="12">
        <v>0</v>
      </c>
      <c r="AJ43" s="12">
        <v>0</v>
      </c>
      <c r="AK43" s="12">
        <v>0</v>
      </c>
      <c r="AL43" s="12">
        <v>0</v>
      </c>
      <c r="AM43" s="12">
        <v>0</v>
      </c>
      <c r="AN43" s="12">
        <v>0</v>
      </c>
    </row>
    <row r="44" spans="2:40" x14ac:dyDescent="0.25">
      <c r="B44" s="39" t="s">
        <v>34</v>
      </c>
      <c r="E44" s="12" cm="1">
        <f t="array" ref="E44:AN44">_xlfn.BYCOL(_xlfn.ANCHORARRAY($E$25),_xlfn.LAMBDA(_xlpm.a,0))</f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  <c r="O44" s="12">
        <v>0</v>
      </c>
      <c r="P44" s="12">
        <v>0</v>
      </c>
      <c r="Q44" s="12">
        <v>0</v>
      </c>
      <c r="R44" s="12">
        <v>0</v>
      </c>
      <c r="S44" s="12">
        <v>0</v>
      </c>
      <c r="T44" s="12">
        <v>0</v>
      </c>
      <c r="U44" s="12">
        <v>0</v>
      </c>
      <c r="V44" s="12">
        <v>0</v>
      </c>
      <c r="W44" s="12">
        <v>0</v>
      </c>
      <c r="X44" s="12">
        <v>0</v>
      </c>
      <c r="Y44" s="12">
        <v>0</v>
      </c>
      <c r="Z44" s="12">
        <v>0</v>
      </c>
      <c r="AA44" s="12">
        <v>0</v>
      </c>
      <c r="AB44" s="12">
        <v>0</v>
      </c>
      <c r="AC44" s="12">
        <v>0</v>
      </c>
      <c r="AD44" s="12">
        <v>0</v>
      </c>
      <c r="AE44" s="12">
        <v>0</v>
      </c>
      <c r="AF44" s="12">
        <v>0</v>
      </c>
      <c r="AG44" s="12">
        <v>0</v>
      </c>
      <c r="AH44" s="12">
        <v>0</v>
      </c>
      <c r="AI44" s="12">
        <v>0</v>
      </c>
      <c r="AJ44" s="12">
        <v>0</v>
      </c>
      <c r="AK44" s="12">
        <v>0</v>
      </c>
      <c r="AL44" s="12">
        <v>0</v>
      </c>
      <c r="AM44" s="12">
        <v>0</v>
      </c>
      <c r="AN44" s="12">
        <v>0</v>
      </c>
    </row>
    <row r="45" spans="2:40" x14ac:dyDescent="0.25">
      <c r="B45" s="39" t="s">
        <v>36</v>
      </c>
      <c r="E45" s="12" cm="1">
        <f t="array" ref="E45:AN45">_xlfn.BYCOL(_xlfn.ANCHORARRAY($E$25),_xlfn.LAMBDA(_xlpm.a,0))</f>
        <v>0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12">
        <v>0</v>
      </c>
      <c r="R45" s="12">
        <v>0</v>
      </c>
      <c r="S45" s="12">
        <v>0</v>
      </c>
      <c r="T45" s="12">
        <v>0</v>
      </c>
      <c r="U45" s="12">
        <v>0</v>
      </c>
      <c r="V45" s="12">
        <v>0</v>
      </c>
      <c r="W45" s="12">
        <v>0</v>
      </c>
      <c r="X45" s="12">
        <v>0</v>
      </c>
      <c r="Y45" s="12">
        <v>0</v>
      </c>
      <c r="Z45" s="12">
        <v>0</v>
      </c>
      <c r="AA45" s="12">
        <v>0</v>
      </c>
      <c r="AB45" s="12">
        <v>0</v>
      </c>
      <c r="AC45" s="12">
        <v>0</v>
      </c>
      <c r="AD45" s="12">
        <v>0</v>
      </c>
      <c r="AE45" s="12">
        <v>0</v>
      </c>
      <c r="AF45" s="12">
        <v>0</v>
      </c>
      <c r="AG45" s="12">
        <v>0</v>
      </c>
      <c r="AH45" s="12">
        <v>0</v>
      </c>
      <c r="AI45" s="12">
        <v>0</v>
      </c>
      <c r="AJ45" s="12">
        <v>0</v>
      </c>
      <c r="AK45" s="12">
        <v>0</v>
      </c>
      <c r="AL45" s="12">
        <v>0</v>
      </c>
      <c r="AM45" s="12">
        <v>0</v>
      </c>
      <c r="AN45" s="12">
        <v>0</v>
      </c>
    </row>
    <row r="46" spans="2:40" x14ac:dyDescent="0.25">
      <c r="B46" s="39" t="s">
        <v>38</v>
      </c>
      <c r="E46" s="12" cm="1">
        <f t="array" ref="E46:AN46">_xlfn.BYCOL(_xlfn.ANCHORARRAY($E$25),_xlfn.LAMBDA(_xlpm.a,0))</f>
        <v>0</v>
      </c>
      <c r="F46" s="12">
        <v>0</v>
      </c>
      <c r="G46" s="12">
        <v>0</v>
      </c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0</v>
      </c>
      <c r="N46" s="12">
        <v>0</v>
      </c>
      <c r="O46" s="12">
        <v>0</v>
      </c>
      <c r="P46" s="12">
        <v>0</v>
      </c>
      <c r="Q46" s="12">
        <v>0</v>
      </c>
      <c r="R46" s="12">
        <v>0</v>
      </c>
      <c r="S46" s="12">
        <v>0</v>
      </c>
      <c r="T46" s="12">
        <v>0</v>
      </c>
      <c r="U46" s="12">
        <v>0</v>
      </c>
      <c r="V46" s="12">
        <v>0</v>
      </c>
      <c r="W46" s="12">
        <v>0</v>
      </c>
      <c r="X46" s="12">
        <v>0</v>
      </c>
      <c r="Y46" s="12">
        <v>0</v>
      </c>
      <c r="Z46" s="12">
        <v>0</v>
      </c>
      <c r="AA46" s="12">
        <v>0</v>
      </c>
      <c r="AB46" s="12">
        <v>0</v>
      </c>
      <c r="AC46" s="12">
        <v>0</v>
      </c>
      <c r="AD46" s="12">
        <v>0</v>
      </c>
      <c r="AE46" s="12">
        <v>0</v>
      </c>
      <c r="AF46" s="12">
        <v>0</v>
      </c>
      <c r="AG46" s="12">
        <v>0</v>
      </c>
      <c r="AH46" s="12">
        <v>0</v>
      </c>
      <c r="AI46" s="12">
        <v>0</v>
      </c>
      <c r="AJ46" s="12">
        <v>0</v>
      </c>
      <c r="AK46" s="12">
        <v>0</v>
      </c>
      <c r="AL46" s="12">
        <v>0</v>
      </c>
      <c r="AM46" s="12">
        <v>0</v>
      </c>
      <c r="AN46" s="12">
        <v>0</v>
      </c>
    </row>
    <row r="47" spans="2:40" x14ac:dyDescent="0.25">
      <c r="B47" s="39" t="s">
        <v>40</v>
      </c>
      <c r="E47" s="12" cm="1">
        <f t="array" ref="E47:AN47">_xlfn.BYCOL(_xlfn.ANCHORARRAY($E$25),_xlfn.LAMBDA(_xlpm.a,0))</f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  <c r="O47" s="12">
        <v>0</v>
      </c>
      <c r="P47" s="12">
        <v>0</v>
      </c>
      <c r="Q47" s="12">
        <v>0</v>
      </c>
      <c r="R47" s="12">
        <v>0</v>
      </c>
      <c r="S47" s="12">
        <v>0</v>
      </c>
      <c r="T47" s="12">
        <v>0</v>
      </c>
      <c r="U47" s="12">
        <v>0</v>
      </c>
      <c r="V47" s="12">
        <v>0</v>
      </c>
      <c r="W47" s="12">
        <v>0</v>
      </c>
      <c r="X47" s="12">
        <v>0</v>
      </c>
      <c r="Y47" s="12">
        <v>0</v>
      </c>
      <c r="Z47" s="12">
        <v>0</v>
      </c>
      <c r="AA47" s="12">
        <v>0</v>
      </c>
      <c r="AB47" s="12">
        <v>0</v>
      </c>
      <c r="AC47" s="12">
        <v>0</v>
      </c>
      <c r="AD47" s="12">
        <v>0</v>
      </c>
      <c r="AE47" s="12">
        <v>0</v>
      </c>
      <c r="AF47" s="12">
        <v>0</v>
      </c>
      <c r="AG47" s="12">
        <v>0</v>
      </c>
      <c r="AH47" s="12">
        <v>0</v>
      </c>
      <c r="AI47" s="12">
        <v>0</v>
      </c>
      <c r="AJ47" s="12">
        <v>0</v>
      </c>
      <c r="AK47" s="12">
        <v>0</v>
      </c>
      <c r="AL47" s="12">
        <v>0</v>
      </c>
      <c r="AM47" s="12">
        <v>0</v>
      </c>
      <c r="AN47" s="12">
        <v>0</v>
      </c>
    </row>
    <row r="48" spans="2:40" x14ac:dyDescent="0.25">
      <c r="B48" s="39" t="s">
        <v>41</v>
      </c>
      <c r="E48" s="12" cm="1">
        <f t="array" ref="E48:AN48">_xlfn.BYCOL(_xlfn.ANCHORARRAY($E$25),_xlfn.LAMBDA(_xlpm.a,0))</f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42</v>
      </c>
      <c r="C49" s="142"/>
      <c r="E49" s="12" cm="1">
        <f t="array" ref="E49:AN49">_xlfn.BYCOL(_xlfn.ANCHORARRAY($E$25),_xlfn.LAMBDA(_xlpm.a,0))</f>
        <v>0</v>
      </c>
      <c r="F49" s="12">
        <v>0</v>
      </c>
      <c r="G49" s="12">
        <v>0</v>
      </c>
      <c r="H49" s="12">
        <v>0</v>
      </c>
      <c r="I49" s="12">
        <v>0</v>
      </c>
      <c r="J49" s="12">
        <v>0</v>
      </c>
      <c r="K49" s="12">
        <v>0</v>
      </c>
      <c r="L49" s="12">
        <v>0</v>
      </c>
      <c r="M49" s="12">
        <v>0</v>
      </c>
      <c r="N49" s="12">
        <v>0</v>
      </c>
      <c r="O49" s="12">
        <v>0</v>
      </c>
      <c r="P49" s="12">
        <v>0</v>
      </c>
      <c r="Q49" s="12">
        <v>0</v>
      </c>
      <c r="R49" s="12">
        <v>0</v>
      </c>
      <c r="S49" s="12">
        <v>0</v>
      </c>
      <c r="T49" s="12">
        <v>0</v>
      </c>
      <c r="U49" s="12">
        <v>0</v>
      </c>
      <c r="V49" s="12">
        <v>0</v>
      </c>
      <c r="W49" s="12">
        <v>0</v>
      </c>
      <c r="X49" s="12">
        <v>0</v>
      </c>
      <c r="Y49" s="12">
        <v>0</v>
      </c>
      <c r="Z49" s="12">
        <v>0</v>
      </c>
      <c r="AA49" s="12">
        <v>0</v>
      </c>
      <c r="AB49" s="12">
        <v>0</v>
      </c>
      <c r="AC49" s="12">
        <v>0</v>
      </c>
      <c r="AD49" s="12">
        <v>0</v>
      </c>
      <c r="AE49" s="12">
        <v>0</v>
      </c>
      <c r="AF49" s="12">
        <v>0</v>
      </c>
      <c r="AG49" s="12">
        <v>0</v>
      </c>
      <c r="AH49" s="12">
        <v>0</v>
      </c>
      <c r="AI49" s="12">
        <v>0</v>
      </c>
      <c r="AJ49" s="12">
        <v>0</v>
      </c>
      <c r="AK49" s="12">
        <v>0</v>
      </c>
      <c r="AL49" s="12">
        <v>0</v>
      </c>
      <c r="AM49" s="12">
        <v>0</v>
      </c>
      <c r="AN49" s="12">
        <v>0</v>
      </c>
    </row>
    <row r="50" spans="2:40" x14ac:dyDescent="0.25">
      <c r="B50" s="1" t="s">
        <v>272</v>
      </c>
      <c r="E50" s="13" cm="1">
        <f t="array" ref="E50:AN50">_xlfn.BYCOL(_xlfn.VSTACK(_xlfn.ANCHORARRAY(E40),_xlfn.ANCHORARRAY(E41),_xlfn.ANCHORARRAY(E42),_xlfn.ANCHORARRAY(E43),_xlfn.ANCHORARRAY(E44),_xlfn.ANCHORARRAY(E45),_xlfn.ANCHORARRAY(E46),_xlfn.ANCHORARRAY(E47),_xlfn.ANCHORARRAY(E48),_xlfn.ANCHORARRAY(E49)),_xlfn.LAMBDA(_xlpm.a,SUM(_xlpm.a)))</f>
        <v>339561.06666666665</v>
      </c>
      <c r="F50" s="13">
        <v>664809.06666666665</v>
      </c>
      <c r="G50" s="13">
        <v>994703.46666666656</v>
      </c>
      <c r="H50" s="13">
        <v>1324597.8666666665</v>
      </c>
      <c r="I50" s="13">
        <v>1649845.8666666665</v>
      </c>
      <c r="J50" s="13">
        <v>1979740.2666666666</v>
      </c>
      <c r="K50" s="13">
        <v>1998325.8666666667</v>
      </c>
      <c r="L50" s="13">
        <v>2016911.4666666668</v>
      </c>
      <c r="M50" s="13">
        <v>2035497.0666666664</v>
      </c>
      <c r="N50" s="13">
        <v>2054082.6666666667</v>
      </c>
      <c r="O50" s="13">
        <v>2072668.2666666666</v>
      </c>
      <c r="P50" s="13">
        <v>2091253.8666666669</v>
      </c>
      <c r="Q50" s="13">
        <v>2110806.1333333333</v>
      </c>
      <c r="R50" s="13">
        <v>2129391.7333333334</v>
      </c>
      <c r="S50" s="13">
        <v>2147977.3333333335</v>
      </c>
      <c r="T50" s="13">
        <v>2166562.9333333331</v>
      </c>
      <c r="U50" s="13">
        <v>2185148.5333333332</v>
      </c>
      <c r="V50" s="13">
        <v>2203734.1333333333</v>
      </c>
      <c r="W50" s="13">
        <v>2222319.7333333339</v>
      </c>
      <c r="X50" s="13">
        <v>2240905.333333333</v>
      </c>
      <c r="Y50" s="13">
        <v>2259490.9333333331</v>
      </c>
      <c r="Z50" s="13">
        <v>2278076.5333333332</v>
      </c>
      <c r="AA50" s="13">
        <v>2296662.1333333333</v>
      </c>
      <c r="AB50" s="13">
        <v>2315247.7333333334</v>
      </c>
      <c r="AC50" s="13">
        <v>2334896.6666666665</v>
      </c>
      <c r="AD50" s="13">
        <v>2334896.6666666665</v>
      </c>
      <c r="AE50" s="13">
        <v>2334896.6666666665</v>
      </c>
      <c r="AF50" s="13">
        <v>2334896.6666666665</v>
      </c>
      <c r="AG50" s="13">
        <v>2334896.6666666665</v>
      </c>
      <c r="AH50" s="13">
        <v>2334896.6666666665</v>
      </c>
      <c r="AI50" s="13">
        <v>2334896.6666666665</v>
      </c>
      <c r="AJ50" s="13">
        <v>2334896.6666666665</v>
      </c>
      <c r="AK50" s="13">
        <v>2334896.6666666665</v>
      </c>
      <c r="AL50" s="13">
        <v>2334896.6666666665</v>
      </c>
      <c r="AM50" s="13">
        <v>2334896.6666666665</v>
      </c>
      <c r="AN50" s="13">
        <v>2334896.6666666665</v>
      </c>
    </row>
    <row r="51" spans="2:40" x14ac:dyDescent="0.25">
      <c r="C51" s="63"/>
    </row>
    <row r="52" spans="2:40" x14ac:dyDescent="0.25">
      <c r="B52" s="1" t="s">
        <v>48</v>
      </c>
      <c r="E52" s="74">
        <f>E37-E50</f>
        <v>244368.99506666663</v>
      </c>
      <c r="F52" s="74">
        <f t="shared" ref="F52:AN52" si="4">F37-F50</f>
        <v>494826.68973333319</v>
      </c>
      <c r="G52" s="74">
        <f t="shared" si="4"/>
        <v>748862.35146666667</v>
      </c>
      <c r="H52" s="74">
        <f t="shared" si="4"/>
        <v>1002898.0131999997</v>
      </c>
      <c r="I52" s="74">
        <f t="shared" si="4"/>
        <v>1253355.7078666661</v>
      </c>
      <c r="J52" s="74">
        <f t="shared" si="4"/>
        <v>1507391.3695999999</v>
      </c>
      <c r="K52" s="74">
        <f t="shared" si="4"/>
        <v>1521703.2378666657</v>
      </c>
      <c r="L52" s="74">
        <f t="shared" si="4"/>
        <v>1536015.1061333325</v>
      </c>
      <c r="M52" s="74">
        <f t="shared" si="4"/>
        <v>1550326.9743999997</v>
      </c>
      <c r="N52" s="74">
        <f t="shared" si="4"/>
        <v>1564638.8426666663</v>
      </c>
      <c r="O52" s="74">
        <f t="shared" si="4"/>
        <v>1578950.7109333333</v>
      </c>
      <c r="P52" s="74">
        <f t="shared" si="4"/>
        <v>1593262.5791999998</v>
      </c>
      <c r="Q52" s="74">
        <f t="shared" si="4"/>
        <v>1718130.1982239992</v>
      </c>
      <c r="R52" s="74">
        <f t="shared" si="4"/>
        <v>1733428.9905386665</v>
      </c>
      <c r="S52" s="74">
        <f t="shared" si="4"/>
        <v>1748727.7828533328</v>
      </c>
      <c r="T52" s="74">
        <f t="shared" si="4"/>
        <v>1764026.5751680001</v>
      </c>
      <c r="U52" s="74">
        <f t="shared" si="4"/>
        <v>1779325.3674826669</v>
      </c>
      <c r="V52" s="74">
        <f t="shared" si="4"/>
        <v>1794624.1597973336</v>
      </c>
      <c r="W52" s="74">
        <f t="shared" si="4"/>
        <v>1809922.952112</v>
      </c>
      <c r="X52" s="74">
        <f t="shared" si="4"/>
        <v>1825221.7444266668</v>
      </c>
      <c r="Y52" s="74">
        <f t="shared" si="4"/>
        <v>1840520.5367413335</v>
      </c>
      <c r="Z52" s="74">
        <f t="shared" si="4"/>
        <v>1855819.3290559994</v>
      </c>
      <c r="AA52" s="74">
        <f t="shared" si="4"/>
        <v>1871118.1213706662</v>
      </c>
      <c r="AB52" s="74">
        <f t="shared" si="4"/>
        <v>1886416.913685333</v>
      </c>
      <c r="AC52" s="74">
        <f t="shared" si="4"/>
        <v>1900652.3726666658</v>
      </c>
      <c r="AD52" s="74">
        <f t="shared" si="4"/>
        <v>1900652.3726666658</v>
      </c>
      <c r="AE52" s="74">
        <f t="shared" si="4"/>
        <v>1900652.3726666658</v>
      </c>
      <c r="AF52" s="74">
        <f t="shared" si="4"/>
        <v>1900652.3726666658</v>
      </c>
      <c r="AG52" s="74">
        <f t="shared" si="4"/>
        <v>1900652.3726666658</v>
      </c>
      <c r="AH52" s="74">
        <f t="shared" si="4"/>
        <v>1900652.3726666658</v>
      </c>
      <c r="AI52" s="74">
        <f t="shared" si="4"/>
        <v>1900652.3726666658</v>
      </c>
      <c r="AJ52" s="74">
        <f t="shared" si="4"/>
        <v>1900652.3726666658</v>
      </c>
      <c r="AK52" s="74">
        <f t="shared" si="4"/>
        <v>1900652.3726666658</v>
      </c>
      <c r="AL52" s="74">
        <f t="shared" si="4"/>
        <v>1900652.3726666658</v>
      </c>
      <c r="AM52" s="74">
        <f t="shared" si="4"/>
        <v>1900652.3726666658</v>
      </c>
      <c r="AN52" s="74">
        <f t="shared" si="4"/>
        <v>1900652.3726666658</v>
      </c>
    </row>
    <row r="53" spans="2:40" x14ac:dyDescent="0.25">
      <c r="C53" s="63"/>
      <c r="E53" s="105">
        <f>IFERROR(E52/E37,"")</f>
        <v>0.41849017730185645</v>
      </c>
      <c r="F53" s="105">
        <f t="shared" ref="F53:AN53" si="5">IFERROR(F52/F37,"")</f>
        <v>0.42670872039120683</v>
      </c>
      <c r="G53" s="105">
        <f t="shared" si="5"/>
        <v>0.42950047751475245</v>
      </c>
      <c r="H53" s="105">
        <f t="shared" si="5"/>
        <v>0.43089142364344468</v>
      </c>
      <c r="I53" s="105">
        <f t="shared" si="5"/>
        <v>0.43171501381819605</v>
      </c>
      <c r="J53" s="105">
        <f t="shared" si="5"/>
        <v>0.4322725743768645</v>
      </c>
      <c r="K53" s="105">
        <f t="shared" si="5"/>
        <v>0.43229848182417385</v>
      </c>
      <c r="L53" s="105">
        <f t="shared" si="5"/>
        <v>0.43232390950394056</v>
      </c>
      <c r="M53" s="105">
        <f t="shared" si="5"/>
        <v>0.43234887062077587</v>
      </c>
      <c r="N53" s="105">
        <f t="shared" si="5"/>
        <v>0.43237337789912311</v>
      </c>
      <c r="O53" s="105">
        <f t="shared" si="5"/>
        <v>0.43239744360488758</v>
      </c>
      <c r="P53" s="105">
        <f t="shared" si="5"/>
        <v>0.4324210795659062</v>
      </c>
      <c r="Q53" s="105">
        <f t="shared" si="5"/>
        <v>0.44872258231705536</v>
      </c>
      <c r="R53" s="105">
        <f t="shared" si="5"/>
        <v>0.44874694283019129</v>
      </c>
      <c r="S53" s="105">
        <f t="shared" si="5"/>
        <v>0.44877087968222906</v>
      </c>
      <c r="T53" s="105">
        <f t="shared" si="5"/>
        <v>0.44879440382992153</v>
      </c>
      <c r="U53" s="105">
        <f t="shared" si="5"/>
        <v>0.44881752585543111</v>
      </c>
      <c r="V53" s="105">
        <f t="shared" si="5"/>
        <v>0.44884025598220323</v>
      </c>
      <c r="W53" s="105">
        <f t="shared" si="5"/>
        <v>0.44886260409003786</v>
      </c>
      <c r="X53" s="105">
        <f t="shared" si="5"/>
        <v>0.44888457972940882</v>
      </c>
      <c r="Y53" s="105">
        <f t="shared" si="5"/>
        <v>0.4489061921350711</v>
      </c>
      <c r="Z53" s="105">
        <f t="shared" si="5"/>
        <v>0.44892745023900105</v>
      </c>
      <c r="AA53" s="105">
        <f t="shared" si="5"/>
        <v>0.4489483626827046</v>
      </c>
      <c r="AB53" s="105">
        <f t="shared" si="5"/>
        <v>0.4489689378289291</v>
      </c>
      <c r="AC53" s="105">
        <f t="shared" si="5"/>
        <v>0.44873813406864133</v>
      </c>
      <c r="AD53" s="105">
        <f t="shared" si="5"/>
        <v>0.44873813406864133</v>
      </c>
      <c r="AE53" s="105">
        <f t="shared" si="5"/>
        <v>0.44873813406864133</v>
      </c>
      <c r="AF53" s="105">
        <f t="shared" si="5"/>
        <v>0.44873813406864133</v>
      </c>
      <c r="AG53" s="105">
        <f t="shared" si="5"/>
        <v>0.44873813406864133</v>
      </c>
      <c r="AH53" s="105">
        <f t="shared" si="5"/>
        <v>0.44873813406864133</v>
      </c>
      <c r="AI53" s="105">
        <f t="shared" si="5"/>
        <v>0.44873813406864133</v>
      </c>
      <c r="AJ53" s="105">
        <f t="shared" si="5"/>
        <v>0.44873813406864133</v>
      </c>
      <c r="AK53" s="105">
        <f t="shared" si="5"/>
        <v>0.44873813406864133</v>
      </c>
      <c r="AL53" s="105">
        <f t="shared" si="5"/>
        <v>0.44873813406864133</v>
      </c>
      <c r="AM53" s="105">
        <f t="shared" si="5"/>
        <v>0.44873813406864133</v>
      </c>
      <c r="AN53" s="105">
        <f t="shared" si="5"/>
        <v>0.44873813406864133</v>
      </c>
    </row>
    <row r="54" spans="2:40" x14ac:dyDescent="0.25">
      <c r="C54" s="63"/>
    </row>
    <row r="55" spans="2:40" x14ac:dyDescent="0.25">
      <c r="B55" t="s">
        <v>57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500000</v>
      </c>
      <c r="D55" s="12">
        <f>C55-SUM(_xlfn.ANCHORARRAY(E55))</f>
        <v>100000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100000</v>
      </c>
      <c r="F55" s="12">
        <v>100000</v>
      </c>
      <c r="G55" s="12">
        <v>100000</v>
      </c>
      <c r="H55" s="12">
        <v>100000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</row>
    <row r="56" spans="2:40" x14ac:dyDescent="0.25">
      <c r="B56" t="s">
        <v>285</v>
      </c>
      <c r="E56" s="12" cm="1">
        <f t="array" ref="E56">_xlfn.LET(_xlpm.site,$B$1&amp;"-"&amp;$C$1,_xlpm.locations,Base!$D$4:$BD$4,_xlpm.ar_col,Base!$D$13:$BD$18,_xlpm.site_col,_xlfn.XLOOKUP(_xlpm.site,_xlpm.locations,_xlpm.ar_col,0,0),
_xlpm.rev_1,E$37,_xlpm.rev_1*_xlfn.CHOOSEROWS(_xlpm.site_col,1))</f>
        <v>-426268.94506533328</v>
      </c>
      <c r="F56" s="12" cm="1">
        <f t="array" ref="F56">_xlfn.LET(_xlpm.site,$B$1&amp;"-"&amp;$C$1,_xlpm.locations,Base!$D$4:$BD$4,_xlpm.ar_col,Base!$D$13:$BD$18,_xlpm.site_col,_xlfn.XLOOKUP(_xlpm.site,_xlpm.locations,_xlpm.ar_col,0,0),
_xlpm.rev_1,F$37,_xlpm.rev_1*_xlfn.CHOOSEROWS(_xlpm.site_col,1))</f>
        <v>-846534.10217199987</v>
      </c>
      <c r="G56" s="12" cm="1">
        <f t="array" ref="G56">_xlfn.LET(_xlpm.site,$B$1&amp;"-"&amp;$C$1,_xlpm.locations,Base!$D$4:$BD$4,_xlpm.ar_col,Base!$D$13:$BD$18,_xlpm.site_col,_xlfn.XLOOKUP(_xlpm.site,_xlpm.locations,_xlpm.ar_col,0,0),
_xlpm.rev_1,G$37,_xlpm.rev_1*_xlfn.CHOOSEROWS(_xlpm.site_col,1))</f>
        <v>-1272803.0472373331</v>
      </c>
      <c r="H56" s="12" cm="1">
        <f t="array" ref="H56">_xlfn.LET(_xlpm.site,$B$1&amp;"-"&amp;$C$1,_xlpm.locations,Base!$D$4:$BD$4,_xlpm.ar_col,Base!$D$13:$BD$18,_xlpm.site_col,_xlfn.XLOOKUP(_xlpm.site,_xlpm.locations,_xlpm.ar_col,0,0),
_xlpm.rev_1,H$37,_xlpm.rev_1*_xlfn.CHOOSEROWS(_xlpm.site_col,1))</f>
        <v>-1699071.9923026662</v>
      </c>
      <c r="I56" s="12" cm="1">
        <f t="array" ref="I56">_xlfn.LET(_xlpm.site,$B$1&amp;"-"&amp;$C$1,_xlpm.locations,Base!$D$4:$BD$4,_xlpm.ar_col,Base!$D$13:$BD$18,_xlpm.site_col,_xlfn.XLOOKUP(_xlpm.site,_xlpm.locations,_xlpm.ar_col,0,0),
_xlpm.rev_1,I$37,_xlpm.rev_1*_xlfn.CHOOSEROWS(_xlpm.site_col,1))</f>
        <v>-2119337.1494093328</v>
      </c>
      <c r="J56" s="12" cm="1">
        <f t="array" ref="J56">_xlfn.LET(_xlpm.site,$B$1&amp;"-"&amp;$C$1,_xlpm.locations,Base!$D$4:$BD$4,_xlpm.ar_col,Base!$D$13:$BD$18,_xlpm.site_col,_xlfn.XLOOKUP(_xlpm.site,_xlpm.locations,_xlpm.ar_col,0,0),
_xlpm.rev_1,J$37,_xlpm.rev_1*_xlfn.CHOOSEROWS(_xlpm.site_col,1))</f>
        <v>-2545606.0944746663</v>
      </c>
      <c r="K56" s="12" cm="1">
        <f t="array" ref="K56">_xlfn.LET(_xlpm.site,$B$1&amp;"-"&amp;$C$1,_xlpm.locations,Base!$D$4:$BD$4,_xlpm.ar_col,Base!$D$13:$BD$18,_xlpm.site_col,_xlfn.XLOOKUP(_xlpm.site,_xlpm.locations,_xlpm.ar_col,0,0),
_xlpm.rev_1,K$37,_xlpm.rev_1*_xlfn.CHOOSEROWS(_xlpm.site_col,1))</f>
        <v>-2569621.2463093325</v>
      </c>
      <c r="L56" s="12" cm="1">
        <f t="array" ref="L56">_xlfn.LET(_xlpm.site,$B$1&amp;"-"&amp;$C$1,_xlpm.locations,Base!$D$4:$BD$4,_xlpm.ar_col,Base!$D$13:$BD$18,_xlpm.site_col,_xlfn.XLOOKUP(_xlpm.site,_xlpm.locations,_xlpm.ar_col,0,0),
_xlpm.rev_1,L$37,_xlpm.rev_1*_xlfn.CHOOSEROWS(_xlpm.site_col,1))</f>
        <v>-2593636.3981439993</v>
      </c>
      <c r="M56" s="12" cm="1">
        <f t="array" ref="M56">_xlfn.LET(_xlpm.site,$B$1&amp;"-"&amp;$C$1,_xlpm.locations,Base!$D$4:$BD$4,_xlpm.ar_col,Base!$D$13:$BD$18,_xlpm.site_col,_xlfn.XLOOKUP(_xlpm.site,_xlpm.locations,_xlpm.ar_col,0,0),
_xlpm.rev_1,M$37,_xlpm.rev_1*_xlfn.CHOOSEROWS(_xlpm.site_col,1))</f>
        <v>-2617651.549978666</v>
      </c>
      <c r="N56" s="12" cm="1">
        <f t="array" ref="N56">_xlfn.LET(_xlpm.site,$B$1&amp;"-"&amp;$C$1,_xlpm.locations,Base!$D$4:$BD$4,_xlpm.ar_col,Base!$D$13:$BD$18,_xlpm.site_col,_xlfn.XLOOKUP(_xlpm.site,_xlpm.locations,_xlpm.ar_col,0,0),
_xlpm.rev_1,N$37,_xlpm.rev_1*_xlfn.CHOOSEROWS(_xlpm.site_col,1))</f>
        <v>-2641666.7018133332</v>
      </c>
      <c r="O56" s="12" cm="1">
        <f t="array" ref="O56">_xlfn.LET(_xlpm.site,$B$1&amp;"-"&amp;$C$1,_xlpm.locations,Base!$D$4:$BD$4,_xlpm.ar_col,Base!$D$13:$BD$18,_xlpm.site_col,_xlfn.XLOOKUP(_xlpm.site,_xlpm.locations,_xlpm.ar_col,0,0),
_xlpm.rev_1,O$37,_xlpm.rev_1*_xlfn.CHOOSEROWS(_xlpm.site_col,1))</f>
        <v>-2665681.8536479999</v>
      </c>
      <c r="P56" s="12" cm="1">
        <f t="array" ref="P56">_xlfn.LET(_xlpm.site,$B$1&amp;"-"&amp;$C$1,_xlpm.locations,Base!$D$4:$BD$4,_xlpm.ar_col,Base!$D$13:$BD$18,_xlpm.site_col,_xlfn.XLOOKUP(_xlpm.site,_xlpm.locations,_xlpm.ar_col,0,0),
_xlpm.rev_1,P$37,_xlpm.rev_1*_xlfn.CHOOSEROWS(_xlpm.site_col,1))</f>
        <v>-2689697.0054826667</v>
      </c>
      <c r="Q56" s="12" cm="1">
        <f t="array" ref="Q56">_xlfn.LET(_xlpm.site,$B$1&amp;"-"&amp;$C$1,_xlpm.locations,Base!$D$4:$BD$4,_xlpm.ar_col,Base!$D$13:$BD$18,_xlpm.site_col,_xlfn.XLOOKUP(_xlpm.site,_xlpm.locations,_xlpm.ar_col,0,0),
_xlpm.rev_1,Q$37,_xlpm.rev_1*_xlfn.CHOOSEROWS(_xlpm.site_col,1))</f>
        <v>-2795123.5220368528</v>
      </c>
      <c r="R56" s="12" cm="1">
        <f t="array" ref="R56">_xlfn.LET(_xlpm.site,$B$1&amp;"-"&amp;$C$1,_xlpm.locations,Base!$D$4:$BD$4,_xlpm.ar_col,Base!$D$13:$BD$18,_xlpm.site_col,_xlfn.XLOOKUP(_xlpm.site,_xlpm.locations,_xlpm.ar_col,0,0),
_xlpm.rev_1,R$37,_xlpm.rev_1*_xlfn.CHOOSEROWS(_xlpm.site_col,1))</f>
        <v>-2819859.1284265597</v>
      </c>
      <c r="S56" s="12" cm="1">
        <f t="array" ref="S56">_xlfn.LET(_xlpm.site,$B$1&amp;"-"&amp;$C$1,_xlpm.locations,Base!$D$4:$BD$4,_xlpm.ar_col,Base!$D$13:$BD$18,_xlpm.site_col,_xlfn.XLOOKUP(_xlpm.site,_xlpm.locations,_xlpm.ar_col,0,0),
_xlpm.rev_1,S$37,_xlpm.rev_1*_xlfn.CHOOSEROWS(_xlpm.site_col,1))</f>
        <v>-2844594.7348162662</v>
      </c>
      <c r="T56" s="12" cm="1">
        <f t="array" ref="T56">_xlfn.LET(_xlpm.site,$B$1&amp;"-"&amp;$C$1,_xlpm.locations,Base!$D$4:$BD$4,_xlpm.ar_col,Base!$D$13:$BD$18,_xlpm.site_col,_xlfn.XLOOKUP(_xlpm.site,_xlpm.locations,_xlpm.ar_col,0,0),
_xlpm.rev_1,T$37,_xlpm.rev_1*_xlfn.CHOOSEROWS(_xlpm.site_col,1))</f>
        <v>-2869330.3412059732</v>
      </c>
      <c r="U56" s="12" cm="1">
        <f t="array" ref="U56">_xlfn.LET(_xlpm.site,$B$1&amp;"-"&amp;$C$1,_xlpm.locations,Base!$D$4:$BD$4,_xlpm.ar_col,Base!$D$13:$BD$18,_xlpm.site_col,_xlfn.XLOOKUP(_xlpm.site,_xlpm.locations,_xlpm.ar_col,0,0),
_xlpm.rev_1,U$37,_xlpm.rev_1*_xlfn.CHOOSEROWS(_xlpm.site_col,1))</f>
        <v>-2894065.9475956801</v>
      </c>
      <c r="V56" s="12" cm="1">
        <f t="array" ref="V56">_xlfn.LET(_xlpm.site,$B$1&amp;"-"&amp;$C$1,_xlpm.locations,Base!$D$4:$BD$4,_xlpm.ar_col,Base!$D$13:$BD$18,_xlpm.site_col,_xlfn.XLOOKUP(_xlpm.site,_xlpm.locations,_xlpm.ar_col,0,0),
_xlpm.rev_1,V$37,_xlpm.rev_1*_xlfn.CHOOSEROWS(_xlpm.site_col,1))</f>
        <v>-2918801.5539853866</v>
      </c>
      <c r="W56" s="12" cm="1">
        <f t="array" ref="W56">_xlfn.LET(_xlpm.site,$B$1&amp;"-"&amp;$C$1,_xlpm.locations,Base!$D$4:$BD$4,_xlpm.ar_col,Base!$D$13:$BD$18,_xlpm.site_col,_xlfn.XLOOKUP(_xlpm.site,_xlpm.locations,_xlpm.ar_col,0,0),
_xlpm.rev_1,W$37,_xlpm.rev_1*_xlfn.CHOOSEROWS(_xlpm.site_col,1))</f>
        <v>-2943537.1603750936</v>
      </c>
      <c r="X56" s="12" cm="1">
        <f t="array" ref="X56">_xlfn.LET(_xlpm.site,$B$1&amp;"-"&amp;$C$1,_xlpm.locations,Base!$D$4:$BD$4,_xlpm.ar_col,Base!$D$13:$BD$18,_xlpm.site_col,_xlfn.XLOOKUP(_xlpm.site,_xlpm.locations,_xlpm.ar_col,0,0),
_xlpm.rev_1,X$37,_xlpm.rev_1*_xlfn.CHOOSEROWS(_xlpm.site_col,1))</f>
        <v>-2968272.7667647996</v>
      </c>
      <c r="Y56" s="12" cm="1">
        <f t="array" ref="Y56">_xlfn.LET(_xlpm.site,$B$1&amp;"-"&amp;$C$1,_xlpm.locations,Base!$D$4:$BD$4,_xlpm.ar_col,Base!$D$13:$BD$18,_xlpm.site_col,_xlfn.XLOOKUP(_xlpm.site,_xlpm.locations,_xlpm.ar_col,0,0),
_xlpm.rev_1,Y$37,_xlpm.rev_1*_xlfn.CHOOSEROWS(_xlpm.site_col,1))</f>
        <v>-2993008.3731545066</v>
      </c>
      <c r="Z56" s="12" cm="1">
        <f t="array" ref="Z56">_xlfn.LET(_xlpm.site,$B$1&amp;"-"&amp;$C$1,_xlpm.locations,Base!$D$4:$BD$4,_xlpm.ar_col,Base!$D$13:$BD$18,_xlpm.site_col,_xlfn.XLOOKUP(_xlpm.site,_xlpm.locations,_xlpm.ar_col,0,0),
_xlpm.rev_1,Z$37,_xlpm.rev_1*_xlfn.CHOOSEROWS(_xlpm.site_col,1))</f>
        <v>-3017743.9795442126</v>
      </c>
      <c r="AA56" s="12" cm="1">
        <f t="array" ref="AA56">_xlfn.LET(_xlpm.site,$B$1&amp;"-"&amp;$C$1,_xlpm.locations,Base!$D$4:$BD$4,_xlpm.ar_col,Base!$D$13:$BD$18,_xlpm.site_col,_xlfn.XLOOKUP(_xlpm.site,_xlpm.locations,_xlpm.ar_col,0,0),
_xlpm.rev_1,AA$37,_xlpm.rev_1*_xlfn.CHOOSEROWS(_xlpm.site_col,1))</f>
        <v>-3042479.5859339195</v>
      </c>
      <c r="AB56" s="12" cm="1">
        <f t="array" ref="AB56">_xlfn.LET(_xlpm.site,$B$1&amp;"-"&amp;$C$1,_xlpm.locations,Base!$D$4:$BD$4,_xlpm.ar_col,Base!$D$13:$BD$18,_xlpm.site_col,_xlfn.XLOOKUP(_xlpm.site,_xlpm.locations,_xlpm.ar_col,0,0),
_xlpm.rev_1,AB$37,_xlpm.rev_1*_xlfn.CHOOSEROWS(_xlpm.site_col,1))</f>
        <v>-3067215.1923236265</v>
      </c>
      <c r="AC56" s="12" cm="1">
        <f t="array" ref="AC56">_xlfn.LET(_xlpm.site,$B$1&amp;"-"&amp;$C$1,_xlpm.locations,Base!$D$4:$BD$4,_xlpm.ar_col,Base!$D$13:$BD$18,_xlpm.site_col,_xlfn.XLOOKUP(_xlpm.site,_xlpm.locations,_xlpm.ar_col,0,0),
_xlpm.rev_1,AC$37,_xlpm.rev_1*_xlfn.CHOOSEROWS(_xlpm.site_col,1))</f>
        <v>-3091950.7987133325</v>
      </c>
      <c r="AD56" s="12" cm="1">
        <f t="array" ref="AD56">_xlfn.LET(_xlpm.site,$B$1&amp;"-"&amp;$C$1,_xlpm.locations,Base!$D$4:$BD$4,_xlpm.ar_col,Base!$D$13:$BD$18,_xlpm.site_col,_xlfn.XLOOKUP(_xlpm.site,_xlpm.locations,_xlpm.ar_col,0,0),
_xlpm.rev_1,AD$37,_xlpm.rev_1*_xlfn.CHOOSEROWS(_xlpm.site_col,1))</f>
        <v>-3091950.7987133325</v>
      </c>
      <c r="AE56" s="12" cm="1">
        <f t="array" ref="AE56">_xlfn.LET(_xlpm.site,$B$1&amp;"-"&amp;$C$1,_xlpm.locations,Base!$D$4:$BD$4,_xlpm.ar_col,Base!$D$13:$BD$18,_xlpm.site_col,_xlfn.XLOOKUP(_xlpm.site,_xlpm.locations,_xlpm.ar_col,0,0),
_xlpm.rev_1,AE$37,_xlpm.rev_1*_xlfn.CHOOSEROWS(_xlpm.site_col,1))</f>
        <v>-3091950.7987133325</v>
      </c>
      <c r="AF56" s="12" cm="1">
        <f t="array" ref="AF56">_xlfn.LET(_xlpm.site,$B$1&amp;"-"&amp;$C$1,_xlpm.locations,Base!$D$4:$BD$4,_xlpm.ar_col,Base!$D$13:$BD$18,_xlpm.site_col,_xlfn.XLOOKUP(_xlpm.site,_xlpm.locations,_xlpm.ar_col,0,0),
_xlpm.rev_1,AF$37,_xlpm.rev_1*_xlfn.CHOOSEROWS(_xlpm.site_col,1))</f>
        <v>-3091950.7987133325</v>
      </c>
      <c r="AG56" s="12" cm="1">
        <f t="array" ref="AG56">_xlfn.LET(_xlpm.site,$B$1&amp;"-"&amp;$C$1,_xlpm.locations,Base!$D$4:$BD$4,_xlpm.ar_col,Base!$D$13:$BD$18,_xlpm.site_col,_xlfn.XLOOKUP(_xlpm.site,_xlpm.locations,_xlpm.ar_col,0,0),
_xlpm.rev_1,AG$37,_xlpm.rev_1*_xlfn.CHOOSEROWS(_xlpm.site_col,1))</f>
        <v>-3091950.7987133325</v>
      </c>
      <c r="AH56" s="12" cm="1">
        <f t="array" ref="AH56">_xlfn.LET(_xlpm.site,$B$1&amp;"-"&amp;$C$1,_xlpm.locations,Base!$D$4:$BD$4,_xlpm.ar_col,Base!$D$13:$BD$18,_xlpm.site_col,_xlfn.XLOOKUP(_xlpm.site,_xlpm.locations,_xlpm.ar_col,0,0),
_xlpm.rev_1,AH$37,_xlpm.rev_1*_xlfn.CHOOSEROWS(_xlpm.site_col,1))</f>
        <v>-3091950.7987133325</v>
      </c>
      <c r="AI56" s="12" cm="1">
        <f t="array" ref="AI56">_xlfn.LET(_xlpm.site,$B$1&amp;"-"&amp;$C$1,_xlpm.locations,Base!$D$4:$BD$4,_xlpm.ar_col,Base!$D$13:$BD$18,_xlpm.site_col,_xlfn.XLOOKUP(_xlpm.site,_xlpm.locations,_xlpm.ar_col,0,0),
_xlpm.rev_1,AI$37,_xlpm.rev_1*_xlfn.CHOOSEROWS(_xlpm.site_col,1))</f>
        <v>-3091950.7987133325</v>
      </c>
      <c r="AJ56" s="12" cm="1">
        <f t="array" ref="AJ56">_xlfn.LET(_xlpm.site,$B$1&amp;"-"&amp;$C$1,_xlpm.locations,Base!$D$4:$BD$4,_xlpm.ar_col,Base!$D$13:$BD$18,_xlpm.site_col,_xlfn.XLOOKUP(_xlpm.site,_xlpm.locations,_xlpm.ar_col,0,0),
_xlpm.rev_1,AJ$37,_xlpm.rev_1*_xlfn.CHOOSEROWS(_xlpm.site_col,1))</f>
        <v>-3091950.7987133325</v>
      </c>
      <c r="AK56" s="12" cm="1">
        <f t="array" ref="AK56">_xlfn.LET(_xlpm.site,$B$1&amp;"-"&amp;$C$1,_xlpm.locations,Base!$D$4:$BD$4,_xlpm.ar_col,Base!$D$13:$BD$18,_xlpm.site_col,_xlfn.XLOOKUP(_xlpm.site,_xlpm.locations,_xlpm.ar_col,0,0),
_xlpm.rev_1,AK$37,_xlpm.rev_1*_xlfn.CHOOSEROWS(_xlpm.site_col,1))</f>
        <v>-3091950.7987133325</v>
      </c>
      <c r="AL56" s="12" cm="1">
        <f t="array" ref="AL56">_xlfn.LET(_xlpm.site,$B$1&amp;"-"&amp;$C$1,_xlpm.locations,Base!$D$4:$BD$4,_xlpm.ar_col,Base!$D$13:$BD$18,_xlpm.site_col,_xlfn.XLOOKUP(_xlpm.site,_xlpm.locations,_xlpm.ar_col,0,0),
_xlpm.rev_1,AL$37,_xlpm.rev_1*_xlfn.CHOOSEROWS(_xlpm.site_col,1))</f>
        <v>-3091950.7987133325</v>
      </c>
      <c r="AM56" s="12" cm="1">
        <f t="array" ref="AM56">_xlfn.LET(_xlpm.site,$B$1&amp;"-"&amp;$C$1,_xlpm.locations,Base!$D$4:$BD$4,_xlpm.ar_col,Base!$D$13:$BD$18,_xlpm.site_col,_xlfn.XLOOKUP(_xlpm.site,_xlpm.locations,_xlpm.ar_col,0,0),
_xlpm.rev_1,AM$37,_xlpm.rev_1*_xlfn.CHOOSEROWS(_xlpm.site_col,1))</f>
        <v>-3091950.7987133325</v>
      </c>
      <c r="AN56" s="12" cm="1">
        <f t="array" ref="AN56">_xlfn.LET(_xlpm.site,$B$1&amp;"-"&amp;$C$1,_xlpm.locations,Base!$D$4:$BD$4,_xlpm.ar_col,Base!$D$13:$BD$18,_xlpm.site_col,_xlfn.XLOOKUP(_xlpm.site,_xlpm.locations,_xlpm.ar_col,0,0),
_xlpm.rev_1,AN$37,_xlpm.rev_1*_xlfn.CHOOSEROWS(_xlpm.site_col,1))</f>
        <v>-3091950.7987133325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276</v>
      </c>
      <c r="E58" s="13">
        <f>E37-E50-E55+E56</f>
        <v>-281899.94999866665</v>
      </c>
      <c r="F58" s="13">
        <f t="shared" ref="F58:AN58" si="6">F37-F50-F55+F56</f>
        <v>-451707.41243866668</v>
      </c>
      <c r="G58" s="13">
        <f t="shared" si="6"/>
        <v>-623940.69577066647</v>
      </c>
      <c r="H58" s="13">
        <f t="shared" si="6"/>
        <v>-796173.97910266649</v>
      </c>
      <c r="I58" s="13">
        <f t="shared" si="6"/>
        <v>-865981.44154266664</v>
      </c>
      <c r="J58" s="13">
        <f t="shared" si="6"/>
        <v>-1038214.7248746664</v>
      </c>
      <c r="K58" s="13">
        <f t="shared" si="6"/>
        <v>-1047918.0084426668</v>
      </c>
      <c r="L58" s="13">
        <f t="shared" si="6"/>
        <v>-1057621.2920106668</v>
      </c>
      <c r="M58" s="13">
        <f t="shared" si="6"/>
        <v>-1067324.5755786663</v>
      </c>
      <c r="N58" s="13">
        <f t="shared" si="6"/>
        <v>-1077027.8591466669</v>
      </c>
      <c r="O58" s="13">
        <f t="shared" si="6"/>
        <v>-1086731.1427146667</v>
      </c>
      <c r="P58" s="13">
        <f t="shared" si="6"/>
        <v>-1096434.4262826669</v>
      </c>
      <c r="Q58" s="13">
        <f t="shared" si="6"/>
        <v>-1076993.3238128535</v>
      </c>
      <c r="R58" s="13">
        <f t="shared" si="6"/>
        <v>-1086430.1378878932</v>
      </c>
      <c r="S58" s="13">
        <f t="shared" si="6"/>
        <v>-1095866.9519629334</v>
      </c>
      <c r="T58" s="13">
        <f t="shared" si="6"/>
        <v>-1105303.7660379731</v>
      </c>
      <c r="U58" s="13">
        <f t="shared" si="6"/>
        <v>-1114740.5801130133</v>
      </c>
      <c r="V58" s="13">
        <f t="shared" si="6"/>
        <v>-1124177.394188053</v>
      </c>
      <c r="W58" s="13">
        <f t="shared" si="6"/>
        <v>-1133614.2082630936</v>
      </c>
      <c r="X58" s="13">
        <f t="shared" si="6"/>
        <v>-1143051.0223381328</v>
      </c>
      <c r="Y58" s="13">
        <f t="shared" si="6"/>
        <v>-1152487.836413173</v>
      </c>
      <c r="Z58" s="13">
        <f t="shared" si="6"/>
        <v>-1161924.6504882132</v>
      </c>
      <c r="AA58" s="13">
        <f t="shared" si="6"/>
        <v>-1171361.4645632533</v>
      </c>
      <c r="AB58" s="13">
        <f t="shared" si="6"/>
        <v>-1180798.2786382935</v>
      </c>
      <c r="AC58" s="13">
        <f t="shared" si="6"/>
        <v>-1191298.4260466667</v>
      </c>
      <c r="AD58" s="13">
        <f t="shared" si="6"/>
        <v>-1191298.4260466667</v>
      </c>
      <c r="AE58" s="13">
        <f t="shared" si="6"/>
        <v>-1191298.4260466667</v>
      </c>
      <c r="AF58" s="13">
        <f t="shared" si="6"/>
        <v>-1191298.4260466667</v>
      </c>
      <c r="AG58" s="13">
        <f t="shared" si="6"/>
        <v>-1191298.4260466667</v>
      </c>
      <c r="AH58" s="13">
        <f t="shared" si="6"/>
        <v>-1191298.4260466667</v>
      </c>
      <c r="AI58" s="13">
        <f t="shared" si="6"/>
        <v>-1191298.4260466667</v>
      </c>
      <c r="AJ58" s="13">
        <f t="shared" si="6"/>
        <v>-1191298.4260466667</v>
      </c>
      <c r="AK58" s="13">
        <f t="shared" si="6"/>
        <v>-1191298.4260466667</v>
      </c>
      <c r="AL58" s="13">
        <f t="shared" si="6"/>
        <v>-1191298.4260466667</v>
      </c>
      <c r="AM58" s="13">
        <f t="shared" si="6"/>
        <v>-1191298.4260466667</v>
      </c>
      <c r="AN58" s="13">
        <f t="shared" si="6"/>
        <v>-1191298.4260466667</v>
      </c>
    </row>
    <row r="59" spans="2:40" x14ac:dyDescent="0.25">
      <c r="B59" t="s">
        <v>277</v>
      </c>
      <c r="E59" s="12" cm="1">
        <f t="array" ref="E59:AN59">_xlfn.SCAN(-D55,E58:AN58,_xlfn.LAMBDA(_xlpm.capex,_xlpm.fcf,_xlpm.capex+_xlpm.fcf))</f>
        <v>-381899.94999866665</v>
      </c>
      <c r="F59" s="12">
        <v>-833607.36243733333</v>
      </c>
      <c r="G59" s="12">
        <v>-1457548.0582079999</v>
      </c>
      <c r="H59" s="12">
        <v>-2253722.0373106664</v>
      </c>
      <c r="I59" s="12">
        <v>-3119703.4788533328</v>
      </c>
      <c r="J59" s="12">
        <v>-4157918.2037279992</v>
      </c>
      <c r="K59" s="12">
        <v>-5205836.2121706661</v>
      </c>
      <c r="L59" s="12">
        <v>-6263457.5041813329</v>
      </c>
      <c r="M59" s="12">
        <v>-7330782.0797599992</v>
      </c>
      <c r="N59" s="12">
        <v>-8407809.9389066659</v>
      </c>
      <c r="O59" s="12">
        <v>-9494541.0816213321</v>
      </c>
      <c r="P59" s="12">
        <v>-10590975.507903999</v>
      </c>
      <c r="Q59" s="12">
        <v>-11667968.831716852</v>
      </c>
      <c r="R59" s="12">
        <v>-12754398.969604746</v>
      </c>
      <c r="S59" s="12">
        <v>-13850265.921567678</v>
      </c>
      <c r="T59" s="12">
        <v>-14955569.687605651</v>
      </c>
      <c r="U59" s="12">
        <v>-16070310.267718665</v>
      </c>
      <c r="V59" s="12">
        <v>-17194487.661906719</v>
      </c>
      <c r="W59" s="12">
        <v>-18328101.870169811</v>
      </c>
      <c r="X59" s="12">
        <v>-19471152.892507944</v>
      </c>
      <c r="Y59" s="12">
        <v>-20623640.728921115</v>
      </c>
      <c r="Z59" s="12">
        <v>-21785565.379409328</v>
      </c>
      <c r="AA59" s="12">
        <v>-22956926.843972582</v>
      </c>
      <c r="AB59" s="12">
        <v>-24137725.122610874</v>
      </c>
      <c r="AC59" s="12">
        <v>-25329023.54865754</v>
      </c>
      <c r="AD59" s="12">
        <v>-26520321.974704206</v>
      </c>
      <c r="AE59" s="12">
        <v>-27711620.400750872</v>
      </c>
      <c r="AF59" s="12">
        <v>-28902918.826797538</v>
      </c>
      <c r="AG59" s="12">
        <v>-30094217.252844203</v>
      </c>
      <c r="AH59" s="12">
        <v>-31285515.678890869</v>
      </c>
      <c r="AI59" s="12">
        <v>-32476814.104937535</v>
      </c>
      <c r="AJ59" s="12">
        <v>-33668112.530984201</v>
      </c>
      <c r="AK59" s="12">
        <v>-34859410.95703087</v>
      </c>
      <c r="AL59" s="12">
        <v>-36050709.38307754</v>
      </c>
      <c r="AM59" s="12">
        <v>-37242007.809124209</v>
      </c>
      <c r="AN59" s="12">
        <v>-38433306.235170878</v>
      </c>
    </row>
    <row r="62" spans="2:40" x14ac:dyDescent="0.25">
      <c r="E62" s="124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A33EA2-F856-43BD-B70F-EC0D5CFF3683}">
  <dimension ref="B1:AX63"/>
  <sheetViews>
    <sheetView workbookViewId="0">
      <pane xSplit="4" ySplit="25" topLeftCell="E47" activePane="bottomRight" state="frozen"/>
      <selection activeCell="B22" sqref="B22"/>
      <selection pane="topRight" activeCell="B22" sqref="B22"/>
      <selection pane="bottomLeft" activeCell="B22" sqref="B22"/>
      <selection pane="bottomRight" activeCell="B22" sqref="B22"/>
    </sheetView>
  </sheetViews>
  <sheetFormatPr defaultRowHeight="15" outlineLevelRow="1" x14ac:dyDescent="0.25"/>
  <cols>
    <col min="2" max="2" width="24.5703125" bestFit="1" customWidth="1"/>
    <col min="3" max="3" width="12.28515625" bestFit="1" customWidth="1"/>
    <col min="4" max="4" width="10" bestFit="1" customWidth="1"/>
    <col min="5" max="40" width="13.42578125" bestFit="1" customWidth="1"/>
  </cols>
  <sheetData>
    <row r="1" spans="2:40" x14ac:dyDescent="0.25">
      <c r="B1" s="10" t="s">
        <v>410</v>
      </c>
      <c r="C1" s="16" t="s">
        <v>43</v>
      </c>
      <c r="D1" s="55" t="s">
        <v>390</v>
      </c>
      <c r="E1" s="5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_xlpm.min_kiddos,_xlfn.XLOOKUP(_xlpm.site,_xlpm.locations,Base!$D$7:$BD$7,0,0),_xlpm.months_since,DATEDIF(_xlpm.launchdate,_xlfn.ANCHORARRAY($E$25),"m"),
IFERROR(_xlfn.BYCOL(_xlpm.months_since,_xlfn.LAMBDA(_xlpm.a,ROUND(_xlpm.min_kiddos*(MIN(6,_xlpm.a+1)/6)+(_xlpm.max_kiddos-_xlpm.min_kiddos)*(MIN(25,_xlpm.a+1)/25),0))),0))</f>
        <v>0</v>
      </c>
      <c r="F1" s="5">
        <v>0</v>
      </c>
      <c r="G1" s="5">
        <v>0</v>
      </c>
      <c r="H1" s="5">
        <v>0</v>
      </c>
      <c r="I1" s="5">
        <v>0</v>
      </c>
      <c r="J1" s="5">
        <v>0</v>
      </c>
      <c r="K1" s="5">
        <v>0</v>
      </c>
      <c r="L1" s="5">
        <v>0</v>
      </c>
      <c r="M1" s="5">
        <v>0</v>
      </c>
      <c r="N1" s="5">
        <v>22</v>
      </c>
      <c r="O1" s="5">
        <v>45</v>
      </c>
      <c r="P1" s="5">
        <v>67</v>
      </c>
      <c r="Q1" s="5">
        <v>89</v>
      </c>
      <c r="R1" s="5">
        <v>111</v>
      </c>
      <c r="S1" s="5">
        <v>134</v>
      </c>
      <c r="T1" s="5">
        <v>139</v>
      </c>
      <c r="U1" s="5">
        <v>145</v>
      </c>
      <c r="V1" s="5">
        <v>150</v>
      </c>
      <c r="W1" s="5">
        <v>156</v>
      </c>
      <c r="X1" s="5">
        <v>162</v>
      </c>
      <c r="Y1" s="5">
        <v>167</v>
      </c>
      <c r="Z1" s="5">
        <v>173</v>
      </c>
      <c r="AA1" s="5">
        <v>178</v>
      </c>
      <c r="AB1" s="5">
        <v>184</v>
      </c>
      <c r="AC1" s="5">
        <v>190</v>
      </c>
      <c r="AD1" s="5">
        <v>195</v>
      </c>
      <c r="AE1" s="5">
        <v>201</v>
      </c>
      <c r="AF1" s="5">
        <v>206</v>
      </c>
      <c r="AG1" s="5">
        <v>212</v>
      </c>
      <c r="AH1" s="5">
        <v>218</v>
      </c>
      <c r="AI1" s="5">
        <v>223</v>
      </c>
      <c r="AJ1" s="5">
        <v>229</v>
      </c>
      <c r="AK1" s="5">
        <v>234</v>
      </c>
      <c r="AL1" s="5">
        <v>240</v>
      </c>
      <c r="AM1" s="5">
        <v>240</v>
      </c>
      <c r="AN1" s="5">
        <v>240</v>
      </c>
    </row>
    <row r="2" spans="2:40" x14ac:dyDescent="0.25">
      <c r="B2" s="3" t="str">
        <f>_xlfn.XLOOKUP($B$1&amp;"-"&amp;$C$1,Base!$D$4:$BD$4,Base!$D$2:$BD$2,"",0)</f>
        <v>M&amp;A</v>
      </c>
      <c r="C2" s="55"/>
      <c r="D2" s="5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</row>
    <row r="3" spans="2:40" hidden="1" outlineLevel="1" x14ac:dyDescent="0.25">
      <c r="B3" s="55"/>
      <c r="C3" s="55"/>
      <c r="D3" s="5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</row>
    <row r="4" spans="2:40" hidden="1" outlineLevel="1" x14ac:dyDescent="0.25">
      <c r="B4" s="55"/>
      <c r="C4" s="55"/>
      <c r="D4" s="5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</row>
    <row r="5" spans="2:40" hidden="1" outlineLevel="1" x14ac:dyDescent="0.25">
      <c r="B5" s="55"/>
      <c r="C5" s="55"/>
      <c r="D5" s="55"/>
      <c r="E5" s="153" t="e" cm="1">
        <f t="array" ref="E5:AN5">_xlfn.LET(_xlpm.site,$B$1&amp;"-"&amp;$C$1,_xlpm.locations,Base!$D$4:$BD$4,_xlpm.rates,Base!$A$31:$BD$39,_xlpm.hours,Base!$A$74:$BD$82,_xlpm.comp,_xlpm.rates*_xlpm.hours,_xlpm.kiddos,_xlfn.ANCHORARRAY($E$1),
_xlpm.rev_weekly_kiddo,_xlfn.XLOOKUP(_xlpm.site,_xlpm.locations,_xlpm.comp,0,0),_xlpm.annual_increase,_xlfn.XLOOKUP(YEAR(_xlfn.ANCHORARRAY($E$25)),Base!$BJ$4:$BL$4,Base!$BJ$73:$BL$73,0,0),
_xlpm.bad_debt,_xlfn.XLOOKUP(_xlpm.site,_xlpm.locations,Base!$A$28:$BD$28,0,0),
SUM(_xlpm.rev_weekly_kiddo)*_xlpm.kiddos*_xlpm.bad_debt*_xlpm.annual_increase*(52/12))</f>
        <v>#VALUE!</v>
      </c>
      <c r="F5" s="153" t="e">
        <v>#VALUE!</v>
      </c>
      <c r="G5" s="153" t="e">
        <v>#VALUE!</v>
      </c>
      <c r="H5" s="153" t="e">
        <v>#VALUE!</v>
      </c>
      <c r="I5" s="153" t="e">
        <v>#VALUE!</v>
      </c>
      <c r="J5" s="153" t="e">
        <v>#VALUE!</v>
      </c>
      <c r="K5" s="153" t="e">
        <v>#VALUE!</v>
      </c>
      <c r="L5" s="153" t="e">
        <v>#VALUE!</v>
      </c>
      <c r="M5" s="153" t="e">
        <v>#VALUE!</v>
      </c>
      <c r="N5" s="153" t="e">
        <v>#VALUE!</v>
      </c>
      <c r="O5" s="153" t="e">
        <v>#VALUE!</v>
      </c>
      <c r="P5" s="153" t="e">
        <v>#VALUE!</v>
      </c>
      <c r="Q5" s="153" t="e">
        <v>#VALUE!</v>
      </c>
      <c r="R5" s="153" t="e">
        <v>#VALUE!</v>
      </c>
      <c r="S5" s="153" t="e">
        <v>#VALUE!</v>
      </c>
      <c r="T5" s="153" t="e">
        <v>#VALUE!</v>
      </c>
      <c r="U5" s="153" t="e">
        <v>#VALUE!</v>
      </c>
      <c r="V5" s="153" t="e">
        <v>#VALUE!</v>
      </c>
      <c r="W5" s="153" t="e">
        <v>#VALUE!</v>
      </c>
      <c r="X5" s="153" t="e">
        <v>#VALUE!</v>
      </c>
      <c r="Y5" s="153" t="e">
        <v>#VALUE!</v>
      </c>
      <c r="Z5" s="153" t="e">
        <v>#VALUE!</v>
      </c>
      <c r="AA5" s="153" t="e">
        <v>#VALUE!</v>
      </c>
      <c r="AB5" s="153" t="e">
        <v>#VALUE!</v>
      </c>
      <c r="AC5" s="153" t="e">
        <v>#VALUE!</v>
      </c>
      <c r="AD5" s="153" t="e">
        <v>#VALUE!</v>
      </c>
      <c r="AE5" s="153" t="e">
        <v>#VALUE!</v>
      </c>
      <c r="AF5" s="153" t="e">
        <v>#VALUE!</v>
      </c>
      <c r="AG5" s="153" t="e">
        <v>#VALUE!</v>
      </c>
      <c r="AH5" s="153" t="e">
        <v>#VALUE!</v>
      </c>
      <c r="AI5" s="153" t="e">
        <v>#VALUE!</v>
      </c>
      <c r="AJ5" s="153" t="e">
        <v>#VALUE!</v>
      </c>
      <c r="AK5" s="153" t="e">
        <v>#VALUE!</v>
      </c>
      <c r="AL5" s="153" t="e">
        <v>#VALUE!</v>
      </c>
      <c r="AM5" s="153" t="e">
        <v>#VALUE!</v>
      </c>
      <c r="AN5" s="153" t="e">
        <v>#VALUE!</v>
      </c>
    </row>
    <row r="6" spans="2:40" hidden="1" outlineLevel="1" x14ac:dyDescent="0.25">
      <c r="B6" s="55"/>
      <c r="C6" s="55"/>
      <c r="D6" s="5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</row>
    <row r="7" spans="2:40" hidden="1" outlineLevel="1" collapsed="1" x14ac:dyDescent="0.25">
      <c r="B7" s="1" t="s">
        <v>107</v>
      </c>
      <c r="C7" s="3"/>
      <c r="D7" s="3"/>
      <c r="E7" s="68"/>
      <c r="F7" s="68"/>
      <c r="G7" s="5"/>
      <c r="H7" s="68"/>
      <c r="I7" s="68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</row>
    <row r="8" spans="2:40" collapsed="1" x14ac:dyDescent="0.25">
      <c r="B8" s="39"/>
      <c r="C8" s="3"/>
      <c r="D8" s="3"/>
      <c r="E8" s="69"/>
      <c r="F8" s="69"/>
      <c r="G8" s="69"/>
      <c r="H8" s="69"/>
      <c r="I8" s="69"/>
      <c r="J8" s="69"/>
      <c r="K8" s="69"/>
      <c r="L8" s="69"/>
      <c r="M8" s="69"/>
      <c r="N8" s="69"/>
      <c r="O8" s="69"/>
      <c r="P8" s="69"/>
      <c r="Q8" s="69"/>
      <c r="R8" s="69"/>
      <c r="S8" s="69"/>
      <c r="T8" s="69"/>
      <c r="U8" s="69"/>
      <c r="V8" s="69"/>
      <c r="W8" s="69"/>
      <c r="X8" s="69"/>
      <c r="Y8" s="69"/>
      <c r="Z8" s="69"/>
      <c r="AA8" s="69"/>
      <c r="AB8" s="69"/>
      <c r="AC8" s="69"/>
      <c r="AD8" s="69"/>
      <c r="AE8" s="69"/>
      <c r="AF8" s="69"/>
      <c r="AG8" s="69"/>
      <c r="AH8" s="69"/>
      <c r="AI8" s="69"/>
      <c r="AJ8" s="69"/>
      <c r="AK8" s="69"/>
      <c r="AL8" s="69"/>
      <c r="AM8" s="69"/>
      <c r="AN8" s="69"/>
    </row>
    <row r="9" spans="2:40" outlineLevel="1" x14ac:dyDescent="0.25">
      <c r="B9" s="3"/>
      <c r="C9" s="3"/>
      <c r="D9" s="3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</row>
    <row r="10" spans="2:40" x14ac:dyDescent="0.25">
      <c r="B10" s="55" t="s">
        <v>391</v>
      </c>
      <c r="C10" s="3"/>
      <c r="D10" s="3"/>
      <c r="E10" s="154">
        <v>0</v>
      </c>
      <c r="F10" s="69">
        <f t="shared" ref="F10:M10" si="0">F1-E1+E11</f>
        <v>0</v>
      </c>
      <c r="G10" s="69">
        <f t="shared" si="0"/>
        <v>0</v>
      </c>
      <c r="H10" s="69">
        <f t="shared" si="0"/>
        <v>0</v>
      </c>
      <c r="I10" s="69">
        <f t="shared" si="0"/>
        <v>0</v>
      </c>
      <c r="J10" s="69">
        <f t="shared" si="0"/>
        <v>0</v>
      </c>
      <c r="K10" s="69">
        <f t="shared" si="0"/>
        <v>0</v>
      </c>
      <c r="L10" s="69">
        <f t="shared" si="0"/>
        <v>0</v>
      </c>
      <c r="M10" s="69">
        <f t="shared" si="0"/>
        <v>0</v>
      </c>
      <c r="N10" s="69">
        <f>N1-M1+M11</f>
        <v>22</v>
      </c>
      <c r="O10" s="69">
        <f>O1-N1+N11</f>
        <v>25.2</v>
      </c>
      <c r="P10" s="69">
        <f t="shared" ref="P10:AN10" si="1">P1-O1+O11</f>
        <v>26.5</v>
      </c>
      <c r="Q10" s="69">
        <f t="shared" si="1"/>
        <v>28.7</v>
      </c>
      <c r="R10" s="69">
        <f t="shared" si="1"/>
        <v>30.9</v>
      </c>
      <c r="S10" s="69">
        <f t="shared" si="1"/>
        <v>34.1</v>
      </c>
      <c r="T10" s="69">
        <f t="shared" si="1"/>
        <v>18.399999999999999</v>
      </c>
      <c r="U10" s="69">
        <f t="shared" si="1"/>
        <v>19.899999999999999</v>
      </c>
      <c r="V10" s="69">
        <f t="shared" si="1"/>
        <v>19.5</v>
      </c>
      <c r="W10" s="69">
        <f t="shared" si="1"/>
        <v>21</v>
      </c>
      <c r="X10" s="69">
        <f t="shared" si="1"/>
        <v>21.6</v>
      </c>
      <c r="Y10" s="69">
        <f t="shared" si="1"/>
        <v>21.2</v>
      </c>
      <c r="Z10" s="69">
        <f t="shared" si="1"/>
        <v>22.7</v>
      </c>
      <c r="AA10" s="69">
        <f t="shared" si="1"/>
        <v>22.3</v>
      </c>
      <c r="AB10" s="69">
        <f t="shared" si="1"/>
        <v>23.8</v>
      </c>
      <c r="AC10" s="69">
        <f t="shared" si="1"/>
        <v>24.400000000000002</v>
      </c>
      <c r="AD10" s="69">
        <f t="shared" si="1"/>
        <v>24</v>
      </c>
      <c r="AE10" s="69">
        <f t="shared" si="1"/>
        <v>25.5</v>
      </c>
      <c r="AF10" s="69">
        <f t="shared" si="1"/>
        <v>25.1</v>
      </c>
      <c r="AG10" s="69">
        <f t="shared" si="1"/>
        <v>26.6</v>
      </c>
      <c r="AH10" s="69">
        <f t="shared" si="1"/>
        <v>27.200000000000003</v>
      </c>
      <c r="AI10" s="69">
        <f t="shared" si="1"/>
        <v>26.8</v>
      </c>
      <c r="AJ10" s="69">
        <f t="shared" si="1"/>
        <v>28.3</v>
      </c>
      <c r="AK10" s="69">
        <f t="shared" si="1"/>
        <v>27.900000000000002</v>
      </c>
      <c r="AL10" s="69">
        <f t="shared" si="1"/>
        <v>29.400000000000002</v>
      </c>
      <c r="AM10" s="69">
        <f t="shared" si="1"/>
        <v>24</v>
      </c>
      <c r="AN10" s="69">
        <f t="shared" si="1"/>
        <v>24</v>
      </c>
    </row>
    <row r="11" spans="2:40" x14ac:dyDescent="0.25">
      <c r="B11" s="55" t="s">
        <v>392</v>
      </c>
      <c r="C11" s="3"/>
      <c r="D11" s="3"/>
      <c r="E11" s="69">
        <f>E1*0.1</f>
        <v>0</v>
      </c>
      <c r="F11" s="69">
        <f t="shared" ref="F11:AN11" si="2">F1*0.1</f>
        <v>0</v>
      </c>
      <c r="G11" s="69">
        <f t="shared" si="2"/>
        <v>0</v>
      </c>
      <c r="H11" s="69">
        <f t="shared" si="2"/>
        <v>0</v>
      </c>
      <c r="I11" s="69">
        <f t="shared" si="2"/>
        <v>0</v>
      </c>
      <c r="J11" s="69">
        <f t="shared" si="2"/>
        <v>0</v>
      </c>
      <c r="K11" s="69">
        <f t="shared" si="2"/>
        <v>0</v>
      </c>
      <c r="L11" s="69">
        <f t="shared" si="2"/>
        <v>0</v>
      </c>
      <c r="M11" s="69">
        <f t="shared" si="2"/>
        <v>0</v>
      </c>
      <c r="N11" s="69">
        <f t="shared" si="2"/>
        <v>2.2000000000000002</v>
      </c>
      <c r="O11" s="69">
        <f t="shared" si="2"/>
        <v>4.5</v>
      </c>
      <c r="P11" s="69">
        <f t="shared" si="2"/>
        <v>6.7</v>
      </c>
      <c r="Q11" s="69">
        <f t="shared" si="2"/>
        <v>8.9</v>
      </c>
      <c r="R11" s="69">
        <f t="shared" si="2"/>
        <v>11.100000000000001</v>
      </c>
      <c r="S11" s="69">
        <f t="shared" si="2"/>
        <v>13.4</v>
      </c>
      <c r="T11" s="69">
        <f t="shared" si="2"/>
        <v>13.9</v>
      </c>
      <c r="U11" s="69">
        <f t="shared" si="2"/>
        <v>14.5</v>
      </c>
      <c r="V11" s="69">
        <f t="shared" si="2"/>
        <v>15</v>
      </c>
      <c r="W11" s="69">
        <f t="shared" si="2"/>
        <v>15.600000000000001</v>
      </c>
      <c r="X11" s="69">
        <f t="shared" si="2"/>
        <v>16.2</v>
      </c>
      <c r="Y11" s="69">
        <f t="shared" si="2"/>
        <v>16.7</v>
      </c>
      <c r="Z11" s="69">
        <f t="shared" si="2"/>
        <v>17.3</v>
      </c>
      <c r="AA11" s="69">
        <f t="shared" si="2"/>
        <v>17.8</v>
      </c>
      <c r="AB11" s="69">
        <f t="shared" si="2"/>
        <v>18.400000000000002</v>
      </c>
      <c r="AC11" s="69">
        <f t="shared" si="2"/>
        <v>19</v>
      </c>
      <c r="AD11" s="69">
        <f t="shared" si="2"/>
        <v>19.5</v>
      </c>
      <c r="AE11" s="69">
        <f t="shared" si="2"/>
        <v>20.100000000000001</v>
      </c>
      <c r="AF11" s="69">
        <f t="shared" si="2"/>
        <v>20.6</v>
      </c>
      <c r="AG11" s="69">
        <f t="shared" si="2"/>
        <v>21.200000000000003</v>
      </c>
      <c r="AH11" s="69">
        <f t="shared" si="2"/>
        <v>21.8</v>
      </c>
      <c r="AI11" s="69">
        <f t="shared" si="2"/>
        <v>22.3</v>
      </c>
      <c r="AJ11" s="69">
        <f t="shared" si="2"/>
        <v>22.900000000000002</v>
      </c>
      <c r="AK11" s="69">
        <f t="shared" si="2"/>
        <v>23.400000000000002</v>
      </c>
      <c r="AL11" s="69">
        <f t="shared" si="2"/>
        <v>24</v>
      </c>
      <c r="AM11" s="69">
        <f t="shared" si="2"/>
        <v>24</v>
      </c>
      <c r="AN11" s="69">
        <f t="shared" si="2"/>
        <v>24</v>
      </c>
    </row>
    <row r="12" spans="2:40" x14ac:dyDescent="0.25">
      <c r="B12" s="55" t="s">
        <v>393</v>
      </c>
      <c r="C12" s="3"/>
      <c r="D12" s="3"/>
      <c r="E12" s="69">
        <f t="shared" ref="E12:AN12" si="3">E1+E11</f>
        <v>0</v>
      </c>
      <c r="F12" s="69">
        <f t="shared" si="3"/>
        <v>0</v>
      </c>
      <c r="G12" s="69">
        <f t="shared" si="3"/>
        <v>0</v>
      </c>
      <c r="H12" s="69">
        <f t="shared" si="3"/>
        <v>0</v>
      </c>
      <c r="I12" s="69">
        <f t="shared" si="3"/>
        <v>0</v>
      </c>
      <c r="J12" s="69">
        <f t="shared" si="3"/>
        <v>0</v>
      </c>
      <c r="K12" s="69">
        <f t="shared" si="3"/>
        <v>0</v>
      </c>
      <c r="L12" s="69">
        <f t="shared" si="3"/>
        <v>0</v>
      </c>
      <c r="M12" s="69">
        <f t="shared" si="3"/>
        <v>0</v>
      </c>
      <c r="N12" s="69">
        <f t="shared" si="3"/>
        <v>24.2</v>
      </c>
      <c r="O12" s="69">
        <f t="shared" si="3"/>
        <v>49.5</v>
      </c>
      <c r="P12" s="69">
        <f t="shared" si="3"/>
        <v>73.7</v>
      </c>
      <c r="Q12" s="69">
        <f t="shared" si="3"/>
        <v>97.9</v>
      </c>
      <c r="R12" s="69">
        <f t="shared" si="3"/>
        <v>122.1</v>
      </c>
      <c r="S12" s="69">
        <f t="shared" si="3"/>
        <v>147.4</v>
      </c>
      <c r="T12" s="69">
        <f t="shared" si="3"/>
        <v>152.9</v>
      </c>
      <c r="U12" s="69">
        <f t="shared" si="3"/>
        <v>159.5</v>
      </c>
      <c r="V12" s="69">
        <f t="shared" si="3"/>
        <v>165</v>
      </c>
      <c r="W12" s="69">
        <f t="shared" si="3"/>
        <v>171.6</v>
      </c>
      <c r="X12" s="69">
        <f t="shared" si="3"/>
        <v>178.2</v>
      </c>
      <c r="Y12" s="69">
        <f t="shared" si="3"/>
        <v>183.7</v>
      </c>
      <c r="Z12" s="69">
        <f t="shared" si="3"/>
        <v>190.3</v>
      </c>
      <c r="AA12" s="69">
        <f t="shared" si="3"/>
        <v>195.8</v>
      </c>
      <c r="AB12" s="69">
        <f t="shared" si="3"/>
        <v>202.4</v>
      </c>
      <c r="AC12" s="69">
        <f t="shared" si="3"/>
        <v>209</v>
      </c>
      <c r="AD12" s="69">
        <f t="shared" si="3"/>
        <v>214.5</v>
      </c>
      <c r="AE12" s="69">
        <f t="shared" si="3"/>
        <v>221.1</v>
      </c>
      <c r="AF12" s="69">
        <f t="shared" si="3"/>
        <v>226.6</v>
      </c>
      <c r="AG12" s="69">
        <f t="shared" si="3"/>
        <v>233.2</v>
      </c>
      <c r="AH12" s="69">
        <f t="shared" si="3"/>
        <v>239.8</v>
      </c>
      <c r="AI12" s="69">
        <f t="shared" si="3"/>
        <v>245.3</v>
      </c>
      <c r="AJ12" s="69">
        <f t="shared" si="3"/>
        <v>251.9</v>
      </c>
      <c r="AK12" s="69">
        <f t="shared" si="3"/>
        <v>257.39999999999998</v>
      </c>
      <c r="AL12" s="69">
        <f t="shared" si="3"/>
        <v>264</v>
      </c>
      <c r="AM12" s="69">
        <f t="shared" si="3"/>
        <v>264</v>
      </c>
      <c r="AN12" s="69">
        <f t="shared" si="3"/>
        <v>264</v>
      </c>
    </row>
    <row r="13" spans="2:40" hidden="1" outlineLevel="1" x14ac:dyDescent="0.25"/>
    <row r="14" spans="2:40" hidden="1" outlineLevel="1" x14ac:dyDescent="0.25"/>
    <row r="15" spans="2:40" hidden="1" outlineLevel="1" x14ac:dyDescent="0.25"/>
    <row r="16" spans="2:40" hidden="1" outlineLevel="1" x14ac:dyDescent="0.25"/>
    <row r="17" spans="2:50" hidden="1" outlineLevel="1" x14ac:dyDescent="0.25"/>
    <row r="18" spans="2:50" hidden="1" outlineLevel="1" x14ac:dyDescent="0.25"/>
    <row r="19" spans="2:50" hidden="1" outlineLevel="1" x14ac:dyDescent="0.25"/>
    <row r="20" spans="2:50" hidden="1" outlineLevel="1" x14ac:dyDescent="0.25"/>
    <row r="21" spans="2:50" hidden="1" outlineLevel="1" x14ac:dyDescent="0.25"/>
    <row r="22" spans="2:50" collapsed="1" x14ac:dyDescent="0.25">
      <c r="B22" s="2" t="s">
        <v>394</v>
      </c>
      <c r="C22" s="3"/>
      <c r="D22" s="77">
        <f>MAX(_xlfn.ANCHORARRAY(E22))</f>
        <v>174.55720170454549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0</v>
      </c>
      <c r="F22" s="78">
        <v>0</v>
      </c>
      <c r="G22" s="78">
        <v>0</v>
      </c>
      <c r="H22" s="78">
        <v>0</v>
      </c>
      <c r="I22" s="78">
        <v>0</v>
      </c>
      <c r="J22" s="78">
        <v>0</v>
      </c>
      <c r="K22" s="78">
        <v>0</v>
      </c>
      <c r="L22" s="78">
        <v>0</v>
      </c>
      <c r="M22" s="78">
        <v>0</v>
      </c>
      <c r="N22" s="78">
        <v>169.47301136363635</v>
      </c>
      <c r="O22" s="78">
        <v>169.4730113636364</v>
      </c>
      <c r="P22" s="78">
        <v>169.47301136363632</v>
      </c>
      <c r="Q22" s="78">
        <v>174.55720170454546</v>
      </c>
      <c r="R22" s="78">
        <v>174.55720170454549</v>
      </c>
      <c r="S22" s="78">
        <v>174.55720170454549</v>
      </c>
      <c r="T22" s="78">
        <v>174.55720170454549</v>
      </c>
      <c r="U22" s="78">
        <v>174.55720170454541</v>
      </c>
      <c r="V22" s="78">
        <v>174.55720170454541</v>
      </c>
      <c r="W22" s="78">
        <v>174.55720170454541</v>
      </c>
      <c r="X22" s="78">
        <v>174.55720170454546</v>
      </c>
      <c r="Y22" s="78">
        <v>174.55720170454549</v>
      </c>
      <c r="Z22" s="78">
        <v>174.55720170454541</v>
      </c>
      <c r="AA22" s="78">
        <v>174.55720170454546</v>
      </c>
      <c r="AB22" s="78">
        <v>174.55720170454546</v>
      </c>
      <c r="AC22" s="78">
        <v>174.55720170454543</v>
      </c>
      <c r="AD22" s="78">
        <v>174.55720170454549</v>
      </c>
      <c r="AE22" s="78">
        <v>174.55720170454543</v>
      </c>
      <c r="AF22" s="78">
        <v>174.55720170454546</v>
      </c>
      <c r="AG22" s="78">
        <v>174.55720170454546</v>
      </c>
      <c r="AH22" s="78">
        <v>174.55720170454549</v>
      </c>
      <c r="AI22" s="78">
        <v>174.55720170454543</v>
      </c>
      <c r="AJ22" s="78">
        <v>174.55720170454543</v>
      </c>
      <c r="AK22" s="78">
        <v>174.55720170454546</v>
      </c>
      <c r="AL22" s="78">
        <v>174.55720170454546</v>
      </c>
      <c r="AM22" s="78">
        <v>174.55720170454546</v>
      </c>
      <c r="AN22" s="78">
        <v>174.55720170454546</v>
      </c>
    </row>
    <row r="23" spans="2:50" x14ac:dyDescent="0.25">
      <c r="B23" s="2" t="s">
        <v>53</v>
      </c>
      <c r="C23" s="3"/>
      <c r="D23" s="72"/>
      <c r="E23" s="52" cm="1">
        <f t="array" ref="E23:AN23">_xlfn.LET(_xlpm.site,$B$1&amp;"-"&amp;$C$1,_xlpm.locations,Base!$D$4:$BD$4,_xlpm.Customer,_xlfn.ANCHORARRAY(E1),_xlpm.hours,SUM(_xlfn.XLOOKUP(_xlpm.site,_xlpm.locations,Base!$D$74:$BD$78,0,0)),
_xlpm.collection,1-_xlfn.XLOOKUP(_xlpm.site,_xlpm.locations,Base!$D$26:$BD$26,0,0),
_xlpm.Customer*_xlpm.hours*_xlpm.collection*(52/12))</f>
        <v>0</v>
      </c>
      <c r="F23" s="52">
        <v>0</v>
      </c>
      <c r="G23" s="52">
        <v>0</v>
      </c>
      <c r="H23" s="52">
        <v>0</v>
      </c>
      <c r="I23" s="52">
        <v>0</v>
      </c>
      <c r="J23" s="52">
        <v>0</v>
      </c>
      <c r="K23" s="52">
        <v>0</v>
      </c>
      <c r="L23" s="52">
        <v>0</v>
      </c>
      <c r="M23" s="52">
        <v>0</v>
      </c>
      <c r="N23" s="52">
        <v>1135.7866666666666</v>
      </c>
      <c r="O23" s="52">
        <v>2323.1999999999994</v>
      </c>
      <c r="P23" s="52">
        <v>3458.9866666666667</v>
      </c>
      <c r="Q23" s="52">
        <v>4594.7733333333335</v>
      </c>
      <c r="R23" s="52">
        <v>5730.5599999999995</v>
      </c>
      <c r="S23" s="52">
        <v>6917.9733333333334</v>
      </c>
      <c r="T23" s="52">
        <v>7176.1066666666657</v>
      </c>
      <c r="U23" s="52">
        <v>7485.8666666666668</v>
      </c>
      <c r="V23" s="52">
        <v>7744</v>
      </c>
      <c r="W23" s="52">
        <v>8053.7599999999993</v>
      </c>
      <c r="X23" s="52">
        <v>8363.5199999999986</v>
      </c>
      <c r="Y23" s="52">
        <v>8621.6533333333318</v>
      </c>
      <c r="Z23" s="52">
        <v>8931.4133333333339</v>
      </c>
      <c r="AA23" s="52">
        <v>9189.5466666666671</v>
      </c>
      <c r="AB23" s="52">
        <v>9499.3066666666655</v>
      </c>
      <c r="AC23" s="52">
        <v>9809.0666666666657</v>
      </c>
      <c r="AD23" s="52">
        <v>10067.199999999999</v>
      </c>
      <c r="AE23" s="52">
        <v>10376.959999999999</v>
      </c>
      <c r="AF23" s="52">
        <v>10635.093333333332</v>
      </c>
      <c r="AG23" s="52">
        <v>10944.853333333333</v>
      </c>
      <c r="AH23" s="52">
        <v>11254.613333333331</v>
      </c>
      <c r="AI23" s="52">
        <v>11512.746666666664</v>
      </c>
      <c r="AJ23" s="52">
        <v>11822.506666666666</v>
      </c>
      <c r="AK23" s="52">
        <v>12080.64</v>
      </c>
      <c r="AL23" s="52">
        <v>12390.399999999998</v>
      </c>
      <c r="AM23" s="52">
        <v>12390.399999999998</v>
      </c>
      <c r="AN23" s="52">
        <v>12390.399999999998</v>
      </c>
    </row>
    <row r="25" spans="2:50" x14ac:dyDescent="0.25">
      <c r="B25" s="1" t="s">
        <v>21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outlineLevel="1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_xlfn.LET(_xlpm.site,$B$1&amp;"-"&amp;$C$1,_xlpm.locations,Base!$D$4:$BD$4,_xlpm.rates,Base!$D31:$BD31,_xlpm.hours,Base!$D74:$BD74,_xlpm.comp,_xlpm.rates*_xlpm.hours,_xlpm.Customer,_xlfn.ANCHORARRAY($E$1),
_xlpm.Customer_comp,_xlfn.XLOOKUP(_xlpm.site,_xlpm.locations,_xlpm.comp,0,0),_xlpm.ann_incr,_xlfn.XLOOKUP(YEAR(_xlfn.ANCHORARRAY($E$25)),Base!$BJ$4:$BL$4,Base!$BJ74:$BL74,0,0),
_xlpm.bad_debt,_xlfn.XLOOKUP(_xlpm.site,_xlpm.locations,Base!$D$28:$BD$28,0,0),_xlpm.Customer_comp*_xlpm.Customer*_xlpm.bad_debt*_xlpm.ann_incr*(52/12))</f>
        <v>0</v>
      </c>
      <c r="F26" s="12">
        <v>0</v>
      </c>
      <c r="G26" s="12">
        <v>0</v>
      </c>
      <c r="H26" s="12">
        <v>0</v>
      </c>
      <c r="I26" s="12">
        <v>0</v>
      </c>
      <c r="J26" s="12">
        <v>0</v>
      </c>
      <c r="K26" s="12">
        <v>0</v>
      </c>
      <c r="L26" s="12">
        <v>0</v>
      </c>
      <c r="M26" s="12">
        <v>0</v>
      </c>
      <c r="N26" s="12">
        <v>174163.51333333331</v>
      </c>
      <c r="O26" s="12">
        <v>356243.54999999993</v>
      </c>
      <c r="P26" s="12">
        <v>530407.06333333324</v>
      </c>
      <c r="Q26" s="12">
        <v>725707.6939666667</v>
      </c>
      <c r="R26" s="12">
        <v>905096.11269999994</v>
      </c>
      <c r="S26" s="12">
        <v>1092638.5504666667</v>
      </c>
      <c r="T26" s="12">
        <v>1133408.6456333334</v>
      </c>
      <c r="U26" s="12">
        <v>1182332.7598333331</v>
      </c>
      <c r="V26" s="12">
        <v>1223102.855</v>
      </c>
      <c r="W26" s="12">
        <v>1272026.9691999997</v>
      </c>
      <c r="X26" s="12">
        <v>1320951.0833999999</v>
      </c>
      <c r="Y26" s="12">
        <v>1361721.1785666668</v>
      </c>
      <c r="Z26" s="12">
        <v>1410645.2927666665</v>
      </c>
      <c r="AA26" s="12">
        <v>1451415.3879333334</v>
      </c>
      <c r="AB26" s="12">
        <v>1500339.5021333334</v>
      </c>
      <c r="AC26" s="12">
        <v>1549263.6163333331</v>
      </c>
      <c r="AD26" s="12">
        <v>1590033.7115</v>
      </c>
      <c r="AE26" s="12">
        <v>1638957.8256999997</v>
      </c>
      <c r="AF26" s="12">
        <v>1679727.9208666664</v>
      </c>
      <c r="AG26" s="12">
        <v>1728652.0350666668</v>
      </c>
      <c r="AH26" s="12">
        <v>1777576.1492666665</v>
      </c>
      <c r="AI26" s="12">
        <v>1818346.2444333332</v>
      </c>
      <c r="AJ26" s="12">
        <v>1867270.3586333334</v>
      </c>
      <c r="AK26" s="12">
        <v>1908040.4537999998</v>
      </c>
      <c r="AL26" s="12">
        <v>1956964.5679999997</v>
      </c>
      <c r="AM26" s="12">
        <v>1956964.5679999997</v>
      </c>
      <c r="AN26" s="12">
        <v>1956964.5679999997</v>
      </c>
    </row>
    <row r="27" spans="2:50" outlineLevel="1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_xlfn.LET(_xlpm.site,$B$1&amp;"-"&amp;$C$1,_xlpm.locations,Base!$D$4:$BD$4,_xlpm.rates,Base!$D32:$BD32,_xlpm.hours,Base!$D75:$BD75,_xlpm.comp,_xlpm.rates*_xlpm.hours,_xlpm.Customer,_xlfn.ANCHORARRAY($E$1),
_xlpm.Customer_comp,_xlfn.XLOOKUP(_xlpm.site,_xlpm.locations,_xlpm.comp,0,0),_xlpm.ann_incr,_xlfn.XLOOKUP(YEAR(_xlfn.ANCHORARRAY($E$25)),Base!$BJ$4:$BL$4,Base!$BJ75:$BL75,0,0),
_xlpm.bad_debt,_xlfn.XLOOKUP(_xlpm.site,_xlpm.locations,Base!$D$28:$BD$28,0,0),_xlpm.Customer_comp*_xlpm.Customer*_xlpm.bad_debt*_xlpm.ann_incr*(52/12))</f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12">
        <v>0</v>
      </c>
      <c r="AA27" s="12">
        <v>0</v>
      </c>
      <c r="AB27" s="12">
        <v>0</v>
      </c>
      <c r="AC27" s="12">
        <v>0</v>
      </c>
      <c r="AD27" s="12">
        <v>0</v>
      </c>
      <c r="AE27" s="12">
        <v>0</v>
      </c>
      <c r="AF27" s="12">
        <v>0</v>
      </c>
      <c r="AG27" s="12">
        <v>0</v>
      </c>
      <c r="AH27" s="12">
        <v>0</v>
      </c>
      <c r="AI27" s="12">
        <v>0</v>
      </c>
      <c r="AJ27" s="12">
        <v>0</v>
      </c>
      <c r="AK27" s="12">
        <v>0</v>
      </c>
      <c r="AL27" s="12">
        <v>0</v>
      </c>
      <c r="AM27" s="12">
        <v>0</v>
      </c>
      <c r="AN27" s="12">
        <v>0</v>
      </c>
    </row>
    <row r="28" spans="2:50" outlineLevel="1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_xlfn.LET(_xlpm.site,$B$1&amp;"-"&amp;$C$1,_xlpm.locations,Base!$D$4:$BD$4,_xlpm.rates,Base!$D33:$BD33,_xlpm.hours,Base!$D76:$BD76,_xlpm.comp,_xlpm.rates*_xlpm.hours,_xlpm.Customer,_xlfn.ANCHORARRAY($E$1),
_xlpm.Customer_comp,_xlfn.XLOOKUP(_xlpm.site,_xlpm.locations,_xlpm.comp,0,0),_xlpm.ann_incr,_xlfn.XLOOKUP(YEAR(_xlfn.ANCHORARRAY($E$25)),Base!$BJ$4:$BL$4,Base!$BJ76:$BL76,0,0),
_xlpm.bad_debt,_xlfn.XLOOKUP(_xlpm.site,_xlpm.locations,Base!$D$28:$BD$28,0,0),_xlpm.Customer_comp*_xlpm.Customer*_xlpm.bad_debt*_xlpm.ann_incr*(52/12))</f>
        <v>0</v>
      </c>
      <c r="F28" s="12">
        <v>0</v>
      </c>
      <c r="G28" s="12">
        <v>0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0</v>
      </c>
      <c r="N28" s="12">
        <v>23214.333999999992</v>
      </c>
      <c r="O28" s="12">
        <v>47483.864999999983</v>
      </c>
      <c r="P28" s="12">
        <v>70698.198999999979</v>
      </c>
      <c r="Q28" s="12">
        <v>96729.908989999982</v>
      </c>
      <c r="R28" s="12">
        <v>120640.67300999997</v>
      </c>
      <c r="S28" s="12">
        <v>145638.28993999996</v>
      </c>
      <c r="T28" s="12">
        <v>151072.55448999998</v>
      </c>
      <c r="U28" s="12">
        <v>157593.67194999996</v>
      </c>
      <c r="V28" s="12">
        <v>163027.93649999992</v>
      </c>
      <c r="W28" s="12">
        <v>169549.05395999999</v>
      </c>
      <c r="X28" s="12">
        <v>176070.17141999997</v>
      </c>
      <c r="Y28" s="12">
        <v>181504.43596999993</v>
      </c>
      <c r="Z28" s="12">
        <v>188025.55342999997</v>
      </c>
      <c r="AA28" s="12">
        <v>193459.81797999996</v>
      </c>
      <c r="AB28" s="12">
        <v>199980.93543999994</v>
      </c>
      <c r="AC28" s="12">
        <v>206502.05289999992</v>
      </c>
      <c r="AD28" s="12">
        <v>211936.31744999994</v>
      </c>
      <c r="AE28" s="12">
        <v>218457.43490999992</v>
      </c>
      <c r="AF28" s="12">
        <v>223891.69945999995</v>
      </c>
      <c r="AG28" s="12">
        <v>230412.81691999992</v>
      </c>
      <c r="AH28" s="12">
        <v>236933.9343799999</v>
      </c>
      <c r="AI28" s="12">
        <v>242368.19892999993</v>
      </c>
      <c r="AJ28" s="12">
        <v>248889.31638999993</v>
      </c>
      <c r="AK28" s="12">
        <v>254323.5809399999</v>
      </c>
      <c r="AL28" s="12">
        <v>260844.69839999994</v>
      </c>
      <c r="AM28" s="12">
        <v>260844.69839999994</v>
      </c>
      <c r="AN28" s="12">
        <v>260844.69839999994</v>
      </c>
    </row>
    <row r="29" spans="2:50" outlineLevel="1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_xlfn.LET(_xlpm.site,$B$1&amp;"-"&amp;$C$1,_xlpm.locations,Base!$D$4:$BD$4,_xlpm.rates,Base!$D34:$BD34,_xlpm.hours,Base!$D77:$BD77,_xlpm.comp,_xlpm.rates*_xlpm.hours,_xlpm.Customer,_xlfn.ANCHORARRAY($E$1),
_xlpm.Customer_comp,_xlfn.XLOOKUP(_xlpm.site,_xlpm.locations,_xlpm.comp,0,0),_xlpm.ann_incr,_xlfn.XLOOKUP(YEAR(_xlfn.ANCHORARRAY($E$25)),Base!$BJ$4:$BL$4,Base!$BJ77:$BL77,0,0),
_xlpm.bad_debt,_xlfn.XLOOKUP(_xlpm.site,_xlpm.locations,Base!$D$28:$BD$28,0,0),_xlpm.Customer_comp*_xlpm.Customer*_xlpm.bad_debt*_xlpm.ann_incr*(52/12))</f>
        <v>0</v>
      </c>
      <c r="F29" s="12">
        <v>0</v>
      </c>
      <c r="G29" s="12">
        <v>0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0</v>
      </c>
      <c r="N29" s="12">
        <v>3571.4359999999997</v>
      </c>
      <c r="O29" s="12">
        <v>7305.21</v>
      </c>
      <c r="P29" s="12">
        <v>10876.645999999999</v>
      </c>
      <c r="Q29" s="12">
        <v>14881.524459999999</v>
      </c>
      <c r="R29" s="12">
        <v>18560.10354</v>
      </c>
      <c r="S29" s="12">
        <v>22405.890759999998</v>
      </c>
      <c r="T29" s="12">
        <v>23241.931459999996</v>
      </c>
      <c r="U29" s="12">
        <v>24245.1803</v>
      </c>
      <c r="V29" s="12">
        <v>25081.221000000001</v>
      </c>
      <c r="W29" s="12">
        <v>26084.469840000005</v>
      </c>
      <c r="X29" s="12">
        <v>27087.718680000002</v>
      </c>
      <c r="Y29" s="12">
        <v>27923.759379999996</v>
      </c>
      <c r="Z29" s="12">
        <v>28927.00822</v>
      </c>
      <c r="AA29" s="12">
        <v>29763.048919999997</v>
      </c>
      <c r="AB29" s="12">
        <v>30766.297759999998</v>
      </c>
      <c r="AC29" s="12">
        <v>31769.546599999998</v>
      </c>
      <c r="AD29" s="12">
        <v>32605.587299999999</v>
      </c>
      <c r="AE29" s="12">
        <v>33608.836139999999</v>
      </c>
      <c r="AF29" s="12">
        <v>34444.876839999997</v>
      </c>
      <c r="AG29" s="12">
        <v>35448.125679999997</v>
      </c>
      <c r="AH29" s="12">
        <v>36451.374519999998</v>
      </c>
      <c r="AI29" s="12">
        <v>37287.415219999995</v>
      </c>
      <c r="AJ29" s="12">
        <v>38290.664060000003</v>
      </c>
      <c r="AK29" s="12">
        <v>39126.704760000001</v>
      </c>
      <c r="AL29" s="12">
        <v>40129.953600000001</v>
      </c>
      <c r="AM29" s="12">
        <v>40129.953600000001</v>
      </c>
      <c r="AN29" s="12">
        <v>40129.953600000001</v>
      </c>
    </row>
    <row r="30" spans="2:50" outlineLevel="1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_xlfn.LET(_xlpm.site,$B$1&amp;"-"&amp;$C$1,_xlpm.locations,Base!$D$4:$BD$4,_xlpm.rates,Base!$D35:$BD35,_xlpm.hours,Base!$D78:$BD78,_xlpm.comp,_xlpm.rates*_xlpm.hours,_xlpm.Customer,_xlfn.ANCHORARRAY($E$1),
_xlpm.Customer_comp,_xlfn.XLOOKUP(_xlpm.site,_xlpm.locations,_xlpm.comp,0,0),_xlpm.ann_incr,_xlfn.XLOOKUP(YEAR(_xlfn.ANCHORARRAY($E$25)),Base!$BJ$4:$BL$4,Base!$BJ78:$BL78,0,0),
_xlpm.bad_debt,_xlfn.XLOOKUP(_xlpm.site,_xlpm.locations,Base!$D$28:$BD$28,0,0),_xlpm.Customer_comp*_xlpm.Customer*_xlpm.bad_debt*_xlpm.ann_incr*(52/12))</f>
        <v>0</v>
      </c>
      <c r="F30" s="12">
        <v>0</v>
      </c>
      <c r="G30" s="12">
        <v>0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0</v>
      </c>
      <c r="N30" s="12">
        <v>4659.8933333333325</v>
      </c>
      <c r="O30" s="12">
        <v>9531.5999999999985</v>
      </c>
      <c r="P30" s="12">
        <v>14191.493333333332</v>
      </c>
      <c r="Q30" s="12">
        <v>19416.928266666666</v>
      </c>
      <c r="R30" s="12">
        <v>24216.618399999996</v>
      </c>
      <c r="S30" s="12">
        <v>29234.476266666668</v>
      </c>
      <c r="T30" s="12">
        <v>30325.314933333331</v>
      </c>
      <c r="U30" s="12">
        <v>31634.32133333333</v>
      </c>
      <c r="V30" s="12">
        <v>32725.159999999996</v>
      </c>
      <c r="W30" s="12">
        <v>34034.166400000002</v>
      </c>
      <c r="X30" s="12">
        <v>35343.1728</v>
      </c>
      <c r="Y30" s="12">
        <v>36434.011466666663</v>
      </c>
      <c r="Z30" s="12">
        <v>37743.017866666662</v>
      </c>
      <c r="AA30" s="12">
        <v>38833.856533333332</v>
      </c>
      <c r="AB30" s="12">
        <v>40142.86293333333</v>
      </c>
      <c r="AC30" s="12">
        <v>41451.869333333329</v>
      </c>
      <c r="AD30" s="12">
        <v>42542.707999999999</v>
      </c>
      <c r="AE30" s="12">
        <v>43851.714399999997</v>
      </c>
      <c r="AF30" s="12">
        <v>44942.55306666666</v>
      </c>
      <c r="AG30" s="12">
        <v>46251.559466666658</v>
      </c>
      <c r="AH30" s="12">
        <v>47560.565866666664</v>
      </c>
      <c r="AI30" s="12">
        <v>48651.404533333327</v>
      </c>
      <c r="AJ30" s="12">
        <v>49960.410933333325</v>
      </c>
      <c r="AK30" s="12">
        <v>51051.249599999996</v>
      </c>
      <c r="AL30" s="12">
        <v>52360.255999999994</v>
      </c>
      <c r="AM30" s="12">
        <v>52360.255999999994</v>
      </c>
      <c r="AN30" s="12">
        <v>52360.255999999994</v>
      </c>
    </row>
    <row r="31" spans="2:50" outlineLevel="1" x14ac:dyDescent="0.25">
      <c r="B31" s="39" t="str">
        <f>Base!B36</f>
        <v>Tertiary Direct Staff - Service A</v>
      </c>
      <c r="C31" s="4"/>
      <c r="E31" s="183" cm="1">
        <f t="array" ref="E31:AN31">_xlfn.BYCOL(_xlfn.ANCHORARRAY($E$25),_xlfn.LAMBDA(_xlpm.a,0))</f>
        <v>0</v>
      </c>
      <c r="F31" s="183">
        <v>0</v>
      </c>
      <c r="G31" s="183">
        <v>0</v>
      </c>
      <c r="H31" s="183">
        <v>0</v>
      </c>
      <c r="I31" s="183">
        <v>0</v>
      </c>
      <c r="J31" s="183">
        <v>0</v>
      </c>
      <c r="K31" s="183">
        <v>0</v>
      </c>
      <c r="L31" s="183">
        <v>0</v>
      </c>
      <c r="M31" s="183">
        <v>0</v>
      </c>
      <c r="N31" s="183">
        <v>0</v>
      </c>
      <c r="O31" s="183">
        <v>0</v>
      </c>
      <c r="P31" s="183">
        <v>0</v>
      </c>
      <c r="Q31" s="183">
        <v>0</v>
      </c>
      <c r="R31" s="183">
        <v>0</v>
      </c>
      <c r="S31" s="183">
        <v>0</v>
      </c>
      <c r="T31" s="183">
        <v>0</v>
      </c>
      <c r="U31" s="183">
        <v>0</v>
      </c>
      <c r="V31" s="183">
        <v>0</v>
      </c>
      <c r="W31" s="183">
        <v>0</v>
      </c>
      <c r="X31" s="183">
        <v>0</v>
      </c>
      <c r="Y31" s="183">
        <v>0</v>
      </c>
      <c r="Z31" s="183">
        <v>0</v>
      </c>
      <c r="AA31" s="183">
        <v>0</v>
      </c>
      <c r="AB31" s="183">
        <v>0</v>
      </c>
      <c r="AC31" s="183">
        <v>0</v>
      </c>
      <c r="AD31" s="183">
        <v>0</v>
      </c>
      <c r="AE31" s="183">
        <v>0</v>
      </c>
      <c r="AF31" s="183">
        <v>0</v>
      </c>
      <c r="AG31" s="183">
        <v>0</v>
      </c>
      <c r="AH31" s="183">
        <v>0</v>
      </c>
      <c r="AI31" s="183">
        <v>0</v>
      </c>
      <c r="AJ31" s="183">
        <v>0</v>
      </c>
      <c r="AK31" s="183">
        <v>0</v>
      </c>
      <c r="AL31" s="183">
        <v>0</v>
      </c>
      <c r="AM31" s="183">
        <v>0</v>
      </c>
      <c r="AN31" s="183">
        <v>0</v>
      </c>
    </row>
    <row r="32" spans="2:50" outlineLevel="1" x14ac:dyDescent="0.25">
      <c r="B32" s="39" t="str">
        <f>Base!B37</f>
        <v>Tertiary Direct Staff - Service B</v>
      </c>
      <c r="C32" s="4"/>
      <c r="E32" s="183" cm="1">
        <f t="array" ref="E32:AN32">_xlfn.BYCOL(_xlfn.ANCHORARRAY($E$25),_xlfn.LAMBDA(_xlpm.a,0))</f>
        <v>0</v>
      </c>
      <c r="F32" s="183">
        <v>0</v>
      </c>
      <c r="G32" s="183">
        <v>0</v>
      </c>
      <c r="H32" s="183">
        <v>0</v>
      </c>
      <c r="I32" s="183">
        <v>0</v>
      </c>
      <c r="J32" s="183">
        <v>0</v>
      </c>
      <c r="K32" s="183">
        <v>0</v>
      </c>
      <c r="L32" s="183">
        <v>0</v>
      </c>
      <c r="M32" s="183">
        <v>0</v>
      </c>
      <c r="N32" s="183">
        <v>0</v>
      </c>
      <c r="O32" s="183">
        <v>0</v>
      </c>
      <c r="P32" s="183">
        <v>0</v>
      </c>
      <c r="Q32" s="183">
        <v>0</v>
      </c>
      <c r="R32" s="183">
        <v>0</v>
      </c>
      <c r="S32" s="183">
        <v>0</v>
      </c>
      <c r="T32" s="183">
        <v>0</v>
      </c>
      <c r="U32" s="183">
        <v>0</v>
      </c>
      <c r="V32" s="183">
        <v>0</v>
      </c>
      <c r="W32" s="183">
        <v>0</v>
      </c>
      <c r="X32" s="183">
        <v>0</v>
      </c>
      <c r="Y32" s="183">
        <v>0</v>
      </c>
      <c r="Z32" s="183">
        <v>0</v>
      </c>
      <c r="AA32" s="183">
        <v>0</v>
      </c>
      <c r="AB32" s="183">
        <v>0</v>
      </c>
      <c r="AC32" s="183">
        <v>0</v>
      </c>
      <c r="AD32" s="183">
        <v>0</v>
      </c>
      <c r="AE32" s="183">
        <v>0</v>
      </c>
      <c r="AF32" s="183">
        <v>0</v>
      </c>
      <c r="AG32" s="183">
        <v>0</v>
      </c>
      <c r="AH32" s="183">
        <v>0</v>
      </c>
      <c r="AI32" s="183">
        <v>0</v>
      </c>
      <c r="AJ32" s="183">
        <v>0</v>
      </c>
      <c r="AK32" s="183">
        <v>0</v>
      </c>
      <c r="AL32" s="183">
        <v>0</v>
      </c>
      <c r="AM32" s="183">
        <v>0</v>
      </c>
      <c r="AN32" s="183">
        <v>0</v>
      </c>
    </row>
    <row r="33" spans="2:40" outlineLevel="1" x14ac:dyDescent="0.25">
      <c r="B33" s="39" t="str">
        <f>Base!B38</f>
        <v>Quaternary Direct Staff - Service A</v>
      </c>
      <c r="C33" s="4"/>
      <c r="E33" s="183" cm="1">
        <f t="array" ref="E33:AN33">_xlfn.BYCOL(_xlfn.ANCHORARRAY($E$25),_xlfn.LAMBDA(_xlpm.a,0))</f>
        <v>0</v>
      </c>
      <c r="F33" s="183">
        <v>0</v>
      </c>
      <c r="G33" s="183">
        <v>0</v>
      </c>
      <c r="H33" s="183">
        <v>0</v>
      </c>
      <c r="I33" s="183">
        <v>0</v>
      </c>
      <c r="J33" s="183">
        <v>0</v>
      </c>
      <c r="K33" s="183">
        <v>0</v>
      </c>
      <c r="L33" s="183">
        <v>0</v>
      </c>
      <c r="M33" s="183">
        <v>0</v>
      </c>
      <c r="N33" s="183">
        <v>0</v>
      </c>
      <c r="O33" s="183">
        <v>0</v>
      </c>
      <c r="P33" s="183">
        <v>0</v>
      </c>
      <c r="Q33" s="183">
        <v>0</v>
      </c>
      <c r="R33" s="183">
        <v>0</v>
      </c>
      <c r="S33" s="183">
        <v>0</v>
      </c>
      <c r="T33" s="183">
        <v>0</v>
      </c>
      <c r="U33" s="183">
        <v>0</v>
      </c>
      <c r="V33" s="183">
        <v>0</v>
      </c>
      <c r="W33" s="183">
        <v>0</v>
      </c>
      <c r="X33" s="183">
        <v>0</v>
      </c>
      <c r="Y33" s="183">
        <v>0</v>
      </c>
      <c r="Z33" s="183">
        <v>0</v>
      </c>
      <c r="AA33" s="183">
        <v>0</v>
      </c>
      <c r="AB33" s="183">
        <v>0</v>
      </c>
      <c r="AC33" s="183">
        <v>0</v>
      </c>
      <c r="AD33" s="183">
        <v>0</v>
      </c>
      <c r="AE33" s="183">
        <v>0</v>
      </c>
      <c r="AF33" s="183">
        <v>0</v>
      </c>
      <c r="AG33" s="183">
        <v>0</v>
      </c>
      <c r="AH33" s="183">
        <v>0</v>
      </c>
      <c r="AI33" s="183">
        <v>0</v>
      </c>
      <c r="AJ33" s="183">
        <v>0</v>
      </c>
      <c r="AK33" s="183">
        <v>0</v>
      </c>
      <c r="AL33" s="183">
        <v>0</v>
      </c>
      <c r="AM33" s="183">
        <v>0</v>
      </c>
      <c r="AN33" s="183">
        <v>0</v>
      </c>
    </row>
    <row r="34" spans="2:40" outlineLevel="1" x14ac:dyDescent="0.25">
      <c r="B34" s="39" t="str">
        <f>Base!B39</f>
        <v>Quinary Direct Staff - Service A</v>
      </c>
      <c r="C34" s="4"/>
      <c r="E34" s="183" cm="1">
        <f t="array" ref="E34:AN34">_xlfn.BYCOL(_xlfn.ANCHORARRAY($E$25),_xlfn.LAMBDA(_xlpm.a,0))</f>
        <v>0</v>
      </c>
      <c r="F34" s="183">
        <v>0</v>
      </c>
      <c r="G34" s="183">
        <v>0</v>
      </c>
      <c r="H34" s="183">
        <v>0</v>
      </c>
      <c r="I34" s="183">
        <v>0</v>
      </c>
      <c r="J34" s="183">
        <v>0</v>
      </c>
      <c r="K34" s="183">
        <v>0</v>
      </c>
      <c r="L34" s="183">
        <v>0</v>
      </c>
      <c r="M34" s="183">
        <v>0</v>
      </c>
      <c r="N34" s="183">
        <v>0</v>
      </c>
      <c r="O34" s="183">
        <v>0</v>
      </c>
      <c r="P34" s="183">
        <v>0</v>
      </c>
      <c r="Q34" s="183">
        <v>0</v>
      </c>
      <c r="R34" s="183">
        <v>0</v>
      </c>
      <c r="S34" s="183">
        <v>0</v>
      </c>
      <c r="T34" s="183">
        <v>0</v>
      </c>
      <c r="U34" s="183">
        <v>0</v>
      </c>
      <c r="V34" s="183">
        <v>0</v>
      </c>
      <c r="W34" s="183">
        <v>0</v>
      </c>
      <c r="X34" s="183">
        <v>0</v>
      </c>
      <c r="Y34" s="183">
        <v>0</v>
      </c>
      <c r="Z34" s="183">
        <v>0</v>
      </c>
      <c r="AA34" s="183">
        <v>0</v>
      </c>
      <c r="AB34" s="183">
        <v>0</v>
      </c>
      <c r="AC34" s="183">
        <v>0</v>
      </c>
      <c r="AD34" s="183">
        <v>0</v>
      </c>
      <c r="AE34" s="183">
        <v>0</v>
      </c>
      <c r="AF34" s="183">
        <v>0</v>
      </c>
      <c r="AG34" s="183">
        <v>0</v>
      </c>
      <c r="AH34" s="183">
        <v>0</v>
      </c>
      <c r="AI34" s="183">
        <v>0</v>
      </c>
      <c r="AJ34" s="183">
        <v>0</v>
      </c>
      <c r="AK34" s="183">
        <v>0</v>
      </c>
      <c r="AL34" s="183">
        <v>0</v>
      </c>
      <c r="AM34" s="183">
        <v>0</v>
      </c>
      <c r="AN34" s="183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0</v>
      </c>
      <c r="F35" s="12">
        <v>0</v>
      </c>
      <c r="G35" s="12">
        <v>0</v>
      </c>
      <c r="H35" s="12">
        <v>0</v>
      </c>
      <c r="I35" s="12">
        <v>0</v>
      </c>
      <c r="J35" s="12">
        <v>0</v>
      </c>
      <c r="K35" s="12">
        <v>0</v>
      </c>
      <c r="L35" s="12">
        <v>0</v>
      </c>
      <c r="M35" s="12">
        <v>0</v>
      </c>
      <c r="N35" s="12">
        <v>-24673.101199999997</v>
      </c>
      <c r="O35" s="12">
        <v>-50467.706999999988</v>
      </c>
      <c r="P35" s="12">
        <v>-75140.80819999997</v>
      </c>
      <c r="Q35" s="12">
        <v>-102808.32668200001</v>
      </c>
      <c r="R35" s="12">
        <v>-128221.620918</v>
      </c>
      <c r="S35" s="12">
        <v>-154790.06489200002</v>
      </c>
      <c r="T35" s="12">
        <v>-160565.813582</v>
      </c>
      <c r="U35" s="12">
        <v>-167496.71200999993</v>
      </c>
      <c r="V35" s="12">
        <v>-173272.46069999994</v>
      </c>
      <c r="W35" s="12">
        <v>-180203.35912799992</v>
      </c>
      <c r="X35" s="12">
        <v>-187134.25755599997</v>
      </c>
      <c r="Y35" s="12">
        <v>-192910.006246</v>
      </c>
      <c r="Z35" s="12">
        <v>-199840.90467399996</v>
      </c>
      <c r="AA35" s="12">
        <v>-205616.65336400003</v>
      </c>
      <c r="AB35" s="12">
        <v>-212547.55179199998</v>
      </c>
      <c r="AC35" s="12">
        <v>-219478.45021999997</v>
      </c>
      <c r="AD35" s="12">
        <v>-225254.19891000001</v>
      </c>
      <c r="AE35" s="12">
        <v>-232185.09733799993</v>
      </c>
      <c r="AF35" s="12">
        <v>-237960.84602799997</v>
      </c>
      <c r="AG35" s="12">
        <v>-244891.74445599999</v>
      </c>
      <c r="AH35" s="12">
        <v>-251822.64288399997</v>
      </c>
      <c r="AI35" s="12">
        <v>-257598.39157399992</v>
      </c>
      <c r="AJ35" s="12">
        <v>-264529.29000199999</v>
      </c>
      <c r="AK35" s="12">
        <v>-270305.03869199997</v>
      </c>
      <c r="AL35" s="12">
        <v>-277235.93711999996</v>
      </c>
      <c r="AM35" s="12">
        <v>-277235.93711999996</v>
      </c>
      <c r="AN35" s="12">
        <v>-277235.93711999996</v>
      </c>
    </row>
    <row r="36" spans="2:40" x14ac:dyDescent="0.25">
      <c r="B36" s="39" t="s">
        <v>261</v>
      </c>
      <c r="C36" s="4"/>
      <c r="E36" s="183" cm="1">
        <f t="array" ref="E36:AN36">_xlfn.BYCOL(_xlfn.ANCHORARRAY($E$25),_xlfn.LAMBDA(_xlpm.a,0))</f>
        <v>0</v>
      </c>
      <c r="F36" s="183">
        <v>0</v>
      </c>
      <c r="G36" s="183">
        <v>0</v>
      </c>
      <c r="H36" s="183">
        <v>0</v>
      </c>
      <c r="I36" s="183">
        <v>0</v>
      </c>
      <c r="J36" s="183">
        <v>0</v>
      </c>
      <c r="K36" s="183">
        <v>0</v>
      </c>
      <c r="L36" s="183">
        <v>0</v>
      </c>
      <c r="M36" s="183">
        <v>0</v>
      </c>
      <c r="N36" s="183">
        <v>0</v>
      </c>
      <c r="O36" s="183">
        <v>0</v>
      </c>
      <c r="P36" s="183">
        <v>0</v>
      </c>
      <c r="Q36" s="183">
        <v>0</v>
      </c>
      <c r="R36" s="183">
        <v>0</v>
      </c>
      <c r="S36" s="183">
        <v>0</v>
      </c>
      <c r="T36" s="183">
        <v>0</v>
      </c>
      <c r="U36" s="183">
        <v>0</v>
      </c>
      <c r="V36" s="183">
        <v>0</v>
      </c>
      <c r="W36" s="183">
        <v>0</v>
      </c>
      <c r="X36" s="183">
        <v>0</v>
      </c>
      <c r="Y36" s="183">
        <v>0</v>
      </c>
      <c r="Z36" s="183">
        <v>0</v>
      </c>
      <c r="AA36" s="183">
        <v>0</v>
      </c>
      <c r="AB36" s="183">
        <v>0</v>
      </c>
      <c r="AC36" s="183">
        <v>0</v>
      </c>
      <c r="AD36" s="183">
        <v>0</v>
      </c>
      <c r="AE36" s="183">
        <v>0</v>
      </c>
      <c r="AF36" s="183">
        <v>0</v>
      </c>
      <c r="AG36" s="183">
        <v>0</v>
      </c>
      <c r="AH36" s="183">
        <v>0</v>
      </c>
      <c r="AI36" s="183">
        <v>0</v>
      </c>
      <c r="AJ36" s="183">
        <v>0</v>
      </c>
      <c r="AK36" s="183">
        <v>0</v>
      </c>
      <c r="AL36" s="183">
        <v>0</v>
      </c>
      <c r="AM36" s="183">
        <v>0</v>
      </c>
      <c r="AN36" s="183">
        <v>0</v>
      </c>
    </row>
    <row r="37" spans="2:40" x14ac:dyDescent="0.25">
      <c r="B37" s="1" t="s">
        <v>271</v>
      </c>
      <c r="C37" s="15"/>
      <c r="E37" s="13" cm="1">
        <f t="array" ref="E37:AN37">_xlfn.BYCOL(_xlfn.VSTACK(_xlfn.ANCHORARRAY(E26),_xlfn.ANCHORARRAY(E27),_xlfn.ANCHORARRAY(E28),_xlfn.ANCHORARRAY(E29),_xlfn.ANCHORARRAY(E30),_xlfn.ANCHORARRAY(E31),_xlfn.ANCHORARRAY(E32),_xlfn.ANCHORARRAY(E33),_xlfn.ANCHORARRAY(E34),_xlfn.ANCHORARRAY(E35),_xlfn.ANCHORARRAY(E36)),_xlfn.LAMBDA(_xlpm.a,SUM(_xlpm.a)))</f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180936.07546666663</v>
      </c>
      <c r="O37" s="13">
        <v>370096.51799999992</v>
      </c>
      <c r="P37" s="13">
        <v>551032.59346666653</v>
      </c>
      <c r="Q37" s="13">
        <v>753927.72900133347</v>
      </c>
      <c r="R37" s="13">
        <v>940291.88673200004</v>
      </c>
      <c r="S37" s="13">
        <v>1135127.1425413336</v>
      </c>
      <c r="T37" s="13">
        <v>1177482.6329346667</v>
      </c>
      <c r="U37" s="13">
        <v>1228309.2214066663</v>
      </c>
      <c r="V37" s="13">
        <v>1270664.7117999997</v>
      </c>
      <c r="W37" s="13">
        <v>1321491.3002719996</v>
      </c>
      <c r="X37" s="13">
        <v>1372317.8887439999</v>
      </c>
      <c r="Y37" s="13">
        <v>1414673.3791373332</v>
      </c>
      <c r="Z37" s="13">
        <v>1465499.9676093331</v>
      </c>
      <c r="AA37" s="13">
        <v>1507855.4580026669</v>
      </c>
      <c r="AB37" s="13">
        <v>1558682.0464746666</v>
      </c>
      <c r="AC37" s="13">
        <v>1609508.6349466664</v>
      </c>
      <c r="AD37" s="13">
        <v>1651864.12534</v>
      </c>
      <c r="AE37" s="13">
        <v>1702690.7138119997</v>
      </c>
      <c r="AF37" s="13">
        <v>1745046.2042053333</v>
      </c>
      <c r="AG37" s="13">
        <v>1795872.7926773333</v>
      </c>
      <c r="AH37" s="13">
        <v>1846699.3811493332</v>
      </c>
      <c r="AI37" s="13">
        <v>1889054.8715426661</v>
      </c>
      <c r="AJ37" s="13">
        <v>1939881.4600146664</v>
      </c>
      <c r="AK37" s="13">
        <v>1982236.950408</v>
      </c>
      <c r="AL37" s="13">
        <v>2033063.5388799999</v>
      </c>
      <c r="AM37" s="13">
        <v>2033063.5388799999</v>
      </c>
      <c r="AN37" s="13">
        <v>2033063.5388799999</v>
      </c>
    </row>
    <row r="39" spans="2:40" x14ac:dyDescent="0.25">
      <c r="B39" s="1" t="s">
        <v>118</v>
      </c>
    </row>
    <row r="40" spans="2:40" x14ac:dyDescent="0.25">
      <c r="B40" s="39" t="s">
        <v>23</v>
      </c>
      <c r="E40" s="12" cm="1">
        <f t="array" ref="E40:AN40">_xlfn.LET(_xlpm.site,$B$1&amp;"-"&amp;$C$1,_xlpm.locations,Base!$D$4:$BD$4,_xlpm.annual_increase,_xlfn.XLOOKUP(YEAR(_xlfn.ANCHORARRAY($E$25)),Base!$BJ$4:$BL$4,Base!$BJ$105:$BL$119,0,0),
_xlpm.benefits,1+_xlfn.XLOOKUP(_xlpm.site,_xlpm.locations,Base!$D$124:$BD$124,0,0),
_xlfn.BYCOL(_xlfn.XLOOKUP(_xlpm.site,_xlpm.locations,Base!$D$186:$BD$254)*Base!$C$186:$C$254*--(Base!$A$186:$A$254&lt;=_xlfn.ANCHORARRAY($E$25)),_xlfn.LAMBDA(_xlpm.a,SUM(_xlpm.a)))*_xlpm.benefits*_xlpm.annual_increase)</f>
        <v>0</v>
      </c>
      <c r="F40" s="12">
        <v>0</v>
      </c>
      <c r="G40" s="12">
        <v>0</v>
      </c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0</v>
      </c>
      <c r="N40" s="12">
        <v>0</v>
      </c>
      <c r="O40" s="12">
        <v>0</v>
      </c>
      <c r="P40" s="12">
        <v>0</v>
      </c>
      <c r="Q40" s="12">
        <v>0</v>
      </c>
      <c r="R40" s="12">
        <v>0</v>
      </c>
      <c r="S40" s="12">
        <v>0</v>
      </c>
      <c r="T40" s="12">
        <v>0</v>
      </c>
      <c r="U40" s="12">
        <v>0</v>
      </c>
      <c r="V40" s="12">
        <v>0</v>
      </c>
      <c r="W40" s="12">
        <v>0</v>
      </c>
      <c r="X40" s="12">
        <v>0</v>
      </c>
      <c r="Y40" s="12">
        <v>0</v>
      </c>
      <c r="Z40" s="12">
        <v>0</v>
      </c>
      <c r="AA40" s="12">
        <v>0</v>
      </c>
      <c r="AB40" s="12">
        <v>0</v>
      </c>
      <c r="AC40" s="12">
        <v>0</v>
      </c>
      <c r="AD40" s="12">
        <v>0</v>
      </c>
      <c r="AE40" s="12">
        <v>0</v>
      </c>
      <c r="AF40" s="12">
        <v>0</v>
      </c>
      <c r="AG40" s="12">
        <v>0</v>
      </c>
      <c r="AH40" s="12">
        <v>0</v>
      </c>
      <c r="AI40" s="12">
        <v>0</v>
      </c>
      <c r="AJ40" s="12">
        <v>0</v>
      </c>
      <c r="AK40" s="12">
        <v>0</v>
      </c>
      <c r="AL40" s="12">
        <v>0</v>
      </c>
      <c r="AM40" s="12">
        <v>0</v>
      </c>
      <c r="AN40" s="12">
        <v>0</v>
      </c>
    </row>
    <row r="41" spans="2:40" x14ac:dyDescent="0.25">
      <c r="B41" s="39" t="s">
        <v>388</v>
      </c>
      <c r="C41" s="142">
        <f>_xlfn.XLOOKUP($B$1&amp;"-"&amp;$C$1,Base!$D$4:$BD$4,Base!$D$12:$BD$12,0,0)</f>
        <v>90</v>
      </c>
      <c r="E41" s="12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102220.8</v>
      </c>
      <c r="O41" s="12">
        <v>209087.99999999994</v>
      </c>
      <c r="P41" s="12">
        <v>311308.79999999999</v>
      </c>
      <c r="Q41" s="12">
        <v>413529.60000000003</v>
      </c>
      <c r="R41" s="12">
        <v>515750.39999999997</v>
      </c>
      <c r="S41" s="12">
        <v>622617.59999999998</v>
      </c>
      <c r="T41" s="12">
        <v>645849.59999999986</v>
      </c>
      <c r="U41" s="12">
        <v>673728</v>
      </c>
      <c r="V41" s="12">
        <v>696960</v>
      </c>
      <c r="W41" s="12">
        <v>724838.39999999991</v>
      </c>
      <c r="X41" s="12">
        <v>752716.79999999993</v>
      </c>
      <c r="Y41" s="12">
        <v>775948.79999999981</v>
      </c>
      <c r="Z41" s="12">
        <v>803827.20000000007</v>
      </c>
      <c r="AA41" s="12">
        <v>827059.20000000007</v>
      </c>
      <c r="AB41" s="12">
        <v>854937.59999999986</v>
      </c>
      <c r="AC41" s="12">
        <v>882815.99999999988</v>
      </c>
      <c r="AD41" s="12">
        <v>906047.99999999988</v>
      </c>
      <c r="AE41" s="12">
        <v>933926.39999999991</v>
      </c>
      <c r="AF41" s="12">
        <v>957158.39999999991</v>
      </c>
      <c r="AG41" s="12">
        <v>985036.79999999993</v>
      </c>
      <c r="AH41" s="12">
        <v>1012915.1999999998</v>
      </c>
      <c r="AI41" s="12">
        <v>1036147.1999999997</v>
      </c>
      <c r="AJ41" s="12">
        <v>1064025.5999999999</v>
      </c>
      <c r="AK41" s="12">
        <v>1087257.5999999999</v>
      </c>
      <c r="AL41" s="12">
        <v>1115135.9999999998</v>
      </c>
      <c r="AM41" s="12">
        <v>1115135.9999999998</v>
      </c>
      <c r="AN41" s="12">
        <v>1115135.9999999998</v>
      </c>
    </row>
    <row r="42" spans="2:40" x14ac:dyDescent="0.25">
      <c r="B42" s="39" t="s">
        <v>28</v>
      </c>
      <c r="E42" s="12" cm="1">
        <f t="array" ref="E42:AN42">_xlfn.BYCOL(_xlfn.ANCHORARRAY($E$25),_xlfn.LAMBDA(_xlpm.a,0))</f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0</v>
      </c>
      <c r="AJ42" s="12">
        <v>0</v>
      </c>
      <c r="AK42" s="12">
        <v>0</v>
      </c>
      <c r="AL42" s="12">
        <v>0</v>
      </c>
      <c r="AM42" s="12">
        <v>0</v>
      </c>
      <c r="AN42" s="12">
        <v>0</v>
      </c>
    </row>
    <row r="43" spans="2:40" x14ac:dyDescent="0.25">
      <c r="B43" s="39" t="s">
        <v>31</v>
      </c>
      <c r="E43" s="12" cm="1">
        <f t="array" ref="E43:AN43">_xlfn.BYCOL(_xlfn.ANCHORARRAY($E$25),_xlfn.LAMBDA(_xlpm.a,0))</f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0</v>
      </c>
      <c r="X43" s="12">
        <v>0</v>
      </c>
      <c r="Y43" s="12">
        <v>0</v>
      </c>
      <c r="Z43" s="12">
        <v>0</v>
      </c>
      <c r="AA43" s="12">
        <v>0</v>
      </c>
      <c r="AB43" s="12">
        <v>0</v>
      </c>
      <c r="AC43" s="12">
        <v>0</v>
      </c>
      <c r="AD43" s="12">
        <v>0</v>
      </c>
      <c r="AE43" s="12">
        <v>0</v>
      </c>
      <c r="AF43" s="12">
        <v>0</v>
      </c>
      <c r="AG43" s="12">
        <v>0</v>
      </c>
      <c r="AH43" s="12">
        <v>0</v>
      </c>
      <c r="AI43" s="12">
        <v>0</v>
      </c>
      <c r="AJ43" s="12">
        <v>0</v>
      </c>
      <c r="AK43" s="12">
        <v>0</v>
      </c>
      <c r="AL43" s="12">
        <v>0</v>
      </c>
      <c r="AM43" s="12">
        <v>0</v>
      </c>
      <c r="AN43" s="12">
        <v>0</v>
      </c>
    </row>
    <row r="44" spans="2:40" x14ac:dyDescent="0.25">
      <c r="B44" s="39" t="s">
        <v>34</v>
      </c>
      <c r="E44" s="12" cm="1">
        <f t="array" ref="E44:AN44">_xlfn.BYCOL(_xlfn.ANCHORARRAY($E$25),_xlfn.LAMBDA(_xlpm.a,0))</f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  <c r="O44" s="12">
        <v>0</v>
      </c>
      <c r="P44" s="12">
        <v>0</v>
      </c>
      <c r="Q44" s="12">
        <v>0</v>
      </c>
      <c r="R44" s="12">
        <v>0</v>
      </c>
      <c r="S44" s="12">
        <v>0</v>
      </c>
      <c r="T44" s="12">
        <v>0</v>
      </c>
      <c r="U44" s="12">
        <v>0</v>
      </c>
      <c r="V44" s="12">
        <v>0</v>
      </c>
      <c r="W44" s="12">
        <v>0</v>
      </c>
      <c r="X44" s="12">
        <v>0</v>
      </c>
      <c r="Y44" s="12">
        <v>0</v>
      </c>
      <c r="Z44" s="12">
        <v>0</v>
      </c>
      <c r="AA44" s="12">
        <v>0</v>
      </c>
      <c r="AB44" s="12">
        <v>0</v>
      </c>
      <c r="AC44" s="12">
        <v>0</v>
      </c>
      <c r="AD44" s="12">
        <v>0</v>
      </c>
      <c r="AE44" s="12">
        <v>0</v>
      </c>
      <c r="AF44" s="12">
        <v>0</v>
      </c>
      <c r="AG44" s="12">
        <v>0</v>
      </c>
      <c r="AH44" s="12">
        <v>0</v>
      </c>
      <c r="AI44" s="12">
        <v>0</v>
      </c>
      <c r="AJ44" s="12">
        <v>0</v>
      </c>
      <c r="AK44" s="12">
        <v>0</v>
      </c>
      <c r="AL44" s="12">
        <v>0</v>
      </c>
      <c r="AM44" s="12">
        <v>0</v>
      </c>
      <c r="AN44" s="12">
        <v>0</v>
      </c>
    </row>
    <row r="45" spans="2:40" x14ac:dyDescent="0.25">
      <c r="B45" s="39" t="s">
        <v>36</v>
      </c>
      <c r="E45" s="12" cm="1">
        <f t="array" ref="E45:AN45">_xlfn.BYCOL(_xlfn.ANCHORARRAY($E$25),_xlfn.LAMBDA(_xlpm.a,0))</f>
        <v>0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12">
        <v>0</v>
      </c>
      <c r="R45" s="12">
        <v>0</v>
      </c>
      <c r="S45" s="12">
        <v>0</v>
      </c>
      <c r="T45" s="12">
        <v>0</v>
      </c>
      <c r="U45" s="12">
        <v>0</v>
      </c>
      <c r="V45" s="12">
        <v>0</v>
      </c>
      <c r="W45" s="12">
        <v>0</v>
      </c>
      <c r="X45" s="12">
        <v>0</v>
      </c>
      <c r="Y45" s="12">
        <v>0</v>
      </c>
      <c r="Z45" s="12">
        <v>0</v>
      </c>
      <c r="AA45" s="12">
        <v>0</v>
      </c>
      <c r="AB45" s="12">
        <v>0</v>
      </c>
      <c r="AC45" s="12">
        <v>0</v>
      </c>
      <c r="AD45" s="12">
        <v>0</v>
      </c>
      <c r="AE45" s="12">
        <v>0</v>
      </c>
      <c r="AF45" s="12">
        <v>0</v>
      </c>
      <c r="AG45" s="12">
        <v>0</v>
      </c>
      <c r="AH45" s="12">
        <v>0</v>
      </c>
      <c r="AI45" s="12">
        <v>0</v>
      </c>
      <c r="AJ45" s="12">
        <v>0</v>
      </c>
      <c r="AK45" s="12">
        <v>0</v>
      </c>
      <c r="AL45" s="12">
        <v>0</v>
      </c>
      <c r="AM45" s="12">
        <v>0</v>
      </c>
      <c r="AN45" s="12">
        <v>0</v>
      </c>
    </row>
    <row r="46" spans="2:40" x14ac:dyDescent="0.25">
      <c r="B46" s="39" t="s">
        <v>38</v>
      </c>
      <c r="E46" s="12" cm="1">
        <f t="array" ref="E46:AN46">_xlfn.BYCOL(_xlfn.ANCHORARRAY($E$25),_xlfn.LAMBDA(_xlpm.a,0))</f>
        <v>0</v>
      </c>
      <c r="F46" s="12">
        <v>0</v>
      </c>
      <c r="G46" s="12">
        <v>0</v>
      </c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0</v>
      </c>
      <c r="N46" s="12">
        <v>0</v>
      </c>
      <c r="O46" s="12">
        <v>0</v>
      </c>
      <c r="P46" s="12">
        <v>0</v>
      </c>
      <c r="Q46" s="12">
        <v>0</v>
      </c>
      <c r="R46" s="12">
        <v>0</v>
      </c>
      <c r="S46" s="12">
        <v>0</v>
      </c>
      <c r="T46" s="12">
        <v>0</v>
      </c>
      <c r="U46" s="12">
        <v>0</v>
      </c>
      <c r="V46" s="12">
        <v>0</v>
      </c>
      <c r="W46" s="12">
        <v>0</v>
      </c>
      <c r="X46" s="12">
        <v>0</v>
      </c>
      <c r="Y46" s="12">
        <v>0</v>
      </c>
      <c r="Z46" s="12">
        <v>0</v>
      </c>
      <c r="AA46" s="12">
        <v>0</v>
      </c>
      <c r="AB46" s="12">
        <v>0</v>
      </c>
      <c r="AC46" s="12">
        <v>0</v>
      </c>
      <c r="AD46" s="12">
        <v>0</v>
      </c>
      <c r="AE46" s="12">
        <v>0</v>
      </c>
      <c r="AF46" s="12">
        <v>0</v>
      </c>
      <c r="AG46" s="12">
        <v>0</v>
      </c>
      <c r="AH46" s="12">
        <v>0</v>
      </c>
      <c r="AI46" s="12">
        <v>0</v>
      </c>
      <c r="AJ46" s="12">
        <v>0</v>
      </c>
      <c r="AK46" s="12">
        <v>0</v>
      </c>
      <c r="AL46" s="12">
        <v>0</v>
      </c>
      <c r="AM46" s="12">
        <v>0</v>
      </c>
      <c r="AN46" s="12">
        <v>0</v>
      </c>
    </row>
    <row r="47" spans="2:40" x14ac:dyDescent="0.25">
      <c r="B47" s="39" t="s">
        <v>40</v>
      </c>
      <c r="E47" s="12" cm="1">
        <f t="array" ref="E47:AN47">_xlfn.BYCOL(_xlfn.ANCHORARRAY($E$25),_xlfn.LAMBDA(_xlpm.a,0))</f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  <c r="O47" s="12">
        <v>0</v>
      </c>
      <c r="P47" s="12">
        <v>0</v>
      </c>
      <c r="Q47" s="12">
        <v>0</v>
      </c>
      <c r="R47" s="12">
        <v>0</v>
      </c>
      <c r="S47" s="12">
        <v>0</v>
      </c>
      <c r="T47" s="12">
        <v>0</v>
      </c>
      <c r="U47" s="12">
        <v>0</v>
      </c>
      <c r="V47" s="12">
        <v>0</v>
      </c>
      <c r="W47" s="12">
        <v>0</v>
      </c>
      <c r="X47" s="12">
        <v>0</v>
      </c>
      <c r="Y47" s="12">
        <v>0</v>
      </c>
      <c r="Z47" s="12">
        <v>0</v>
      </c>
      <c r="AA47" s="12">
        <v>0</v>
      </c>
      <c r="AB47" s="12">
        <v>0</v>
      </c>
      <c r="AC47" s="12">
        <v>0</v>
      </c>
      <c r="AD47" s="12">
        <v>0</v>
      </c>
      <c r="AE47" s="12">
        <v>0</v>
      </c>
      <c r="AF47" s="12">
        <v>0</v>
      </c>
      <c r="AG47" s="12">
        <v>0</v>
      </c>
      <c r="AH47" s="12">
        <v>0</v>
      </c>
      <c r="AI47" s="12">
        <v>0</v>
      </c>
      <c r="AJ47" s="12">
        <v>0</v>
      </c>
      <c r="AK47" s="12">
        <v>0</v>
      </c>
      <c r="AL47" s="12">
        <v>0</v>
      </c>
      <c r="AM47" s="12">
        <v>0</v>
      </c>
      <c r="AN47" s="12">
        <v>0</v>
      </c>
    </row>
    <row r="48" spans="2:40" x14ac:dyDescent="0.25">
      <c r="B48" s="39" t="s">
        <v>41</v>
      </c>
      <c r="E48" s="12" cm="1">
        <f t="array" ref="E48:AN48">_xlfn.BYCOL(_xlfn.ANCHORARRAY($E$25),_xlfn.LAMBDA(_xlpm.a,0))</f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42</v>
      </c>
      <c r="C49" s="142"/>
      <c r="E49" s="12" cm="1">
        <f t="array" ref="E49:AN49">_xlfn.BYCOL(_xlfn.ANCHORARRAY($E$25),_xlfn.LAMBDA(_xlpm.a,0))</f>
        <v>0</v>
      </c>
      <c r="F49" s="12">
        <v>0</v>
      </c>
      <c r="G49" s="12">
        <v>0</v>
      </c>
      <c r="H49" s="12">
        <v>0</v>
      </c>
      <c r="I49" s="12">
        <v>0</v>
      </c>
      <c r="J49" s="12">
        <v>0</v>
      </c>
      <c r="K49" s="12">
        <v>0</v>
      </c>
      <c r="L49" s="12">
        <v>0</v>
      </c>
      <c r="M49" s="12">
        <v>0</v>
      </c>
      <c r="N49" s="12">
        <v>0</v>
      </c>
      <c r="O49" s="12">
        <v>0</v>
      </c>
      <c r="P49" s="12">
        <v>0</v>
      </c>
      <c r="Q49" s="12">
        <v>0</v>
      </c>
      <c r="R49" s="12">
        <v>0</v>
      </c>
      <c r="S49" s="12">
        <v>0</v>
      </c>
      <c r="T49" s="12">
        <v>0</v>
      </c>
      <c r="U49" s="12">
        <v>0</v>
      </c>
      <c r="V49" s="12">
        <v>0</v>
      </c>
      <c r="W49" s="12">
        <v>0</v>
      </c>
      <c r="X49" s="12">
        <v>0</v>
      </c>
      <c r="Y49" s="12">
        <v>0</v>
      </c>
      <c r="Z49" s="12">
        <v>0</v>
      </c>
      <c r="AA49" s="12">
        <v>0</v>
      </c>
      <c r="AB49" s="12">
        <v>0</v>
      </c>
      <c r="AC49" s="12">
        <v>0</v>
      </c>
      <c r="AD49" s="12">
        <v>0</v>
      </c>
      <c r="AE49" s="12">
        <v>0</v>
      </c>
      <c r="AF49" s="12">
        <v>0</v>
      </c>
      <c r="AG49" s="12">
        <v>0</v>
      </c>
      <c r="AH49" s="12">
        <v>0</v>
      </c>
      <c r="AI49" s="12">
        <v>0</v>
      </c>
      <c r="AJ49" s="12">
        <v>0</v>
      </c>
      <c r="AK49" s="12">
        <v>0</v>
      </c>
      <c r="AL49" s="12">
        <v>0</v>
      </c>
      <c r="AM49" s="12">
        <v>0</v>
      </c>
      <c r="AN49" s="12">
        <v>0</v>
      </c>
    </row>
    <row r="50" spans="2:40" x14ac:dyDescent="0.25">
      <c r="B50" s="1" t="s">
        <v>272</v>
      </c>
      <c r="E50" s="13" cm="1">
        <f t="array" ref="E50:AN50">_xlfn.BYCOL(_xlfn.VSTACK(_xlfn.ANCHORARRAY(E40),_xlfn.ANCHORARRAY(E41),_xlfn.ANCHORARRAY(E42),_xlfn.ANCHORARRAY(E43),_xlfn.ANCHORARRAY(E44),_xlfn.ANCHORARRAY(E45),_xlfn.ANCHORARRAY(E46),_xlfn.ANCHORARRAY(E47),_xlfn.ANCHORARRAY(E48),_xlfn.ANCHORARRAY(E49)),_xlfn.LAMBDA(_xlpm.a,SUM(_xlpm.a)))</f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102220.8</v>
      </c>
      <c r="O50" s="13">
        <v>209087.99999999994</v>
      </c>
      <c r="P50" s="13">
        <v>311308.79999999999</v>
      </c>
      <c r="Q50" s="13">
        <v>413529.60000000003</v>
      </c>
      <c r="R50" s="13">
        <v>515750.39999999997</v>
      </c>
      <c r="S50" s="13">
        <v>622617.59999999998</v>
      </c>
      <c r="T50" s="13">
        <v>645849.59999999986</v>
      </c>
      <c r="U50" s="13">
        <v>673728</v>
      </c>
      <c r="V50" s="13">
        <v>696960</v>
      </c>
      <c r="W50" s="13">
        <v>724838.39999999991</v>
      </c>
      <c r="X50" s="13">
        <v>752716.79999999993</v>
      </c>
      <c r="Y50" s="13">
        <v>775948.79999999981</v>
      </c>
      <c r="Z50" s="13">
        <v>803827.20000000007</v>
      </c>
      <c r="AA50" s="13">
        <v>827059.20000000007</v>
      </c>
      <c r="AB50" s="13">
        <v>854937.59999999986</v>
      </c>
      <c r="AC50" s="13">
        <v>882815.99999999988</v>
      </c>
      <c r="AD50" s="13">
        <v>906047.99999999988</v>
      </c>
      <c r="AE50" s="13">
        <v>933926.39999999991</v>
      </c>
      <c r="AF50" s="13">
        <v>957158.39999999991</v>
      </c>
      <c r="AG50" s="13">
        <v>985036.79999999993</v>
      </c>
      <c r="AH50" s="13">
        <v>1012915.1999999998</v>
      </c>
      <c r="AI50" s="13">
        <v>1036147.1999999997</v>
      </c>
      <c r="AJ50" s="13">
        <v>1064025.5999999999</v>
      </c>
      <c r="AK50" s="13">
        <v>1087257.5999999999</v>
      </c>
      <c r="AL50" s="13">
        <v>1115135.9999999998</v>
      </c>
      <c r="AM50" s="13">
        <v>1115135.9999999998</v>
      </c>
      <c r="AN50" s="13">
        <v>1115135.9999999998</v>
      </c>
    </row>
    <row r="51" spans="2:40" x14ac:dyDescent="0.25">
      <c r="C51" s="63"/>
    </row>
    <row r="52" spans="2:40" x14ac:dyDescent="0.25">
      <c r="B52" s="1" t="s">
        <v>48</v>
      </c>
      <c r="E52" s="74">
        <f>E37-E50</f>
        <v>0</v>
      </c>
      <c r="F52" s="74">
        <f t="shared" ref="F52:AN52" si="4">F37-F50</f>
        <v>0</v>
      </c>
      <c r="G52" s="74">
        <f t="shared" si="4"/>
        <v>0</v>
      </c>
      <c r="H52" s="74">
        <f t="shared" si="4"/>
        <v>0</v>
      </c>
      <c r="I52" s="74">
        <f t="shared" si="4"/>
        <v>0</v>
      </c>
      <c r="J52" s="74">
        <f t="shared" si="4"/>
        <v>0</v>
      </c>
      <c r="K52" s="74">
        <f t="shared" si="4"/>
        <v>0</v>
      </c>
      <c r="L52" s="74">
        <f t="shared" si="4"/>
        <v>0</v>
      </c>
      <c r="M52" s="74">
        <f t="shared" si="4"/>
        <v>0</v>
      </c>
      <c r="N52" s="74">
        <f t="shared" si="4"/>
        <v>78715.27546666663</v>
      </c>
      <c r="O52" s="74">
        <f t="shared" si="4"/>
        <v>161008.51799999998</v>
      </c>
      <c r="P52" s="74">
        <f t="shared" si="4"/>
        <v>239723.79346666654</v>
      </c>
      <c r="Q52" s="74">
        <f t="shared" si="4"/>
        <v>340398.12900133344</v>
      </c>
      <c r="R52" s="74">
        <f t="shared" si="4"/>
        <v>424541.48673200008</v>
      </c>
      <c r="S52" s="74">
        <f t="shared" si="4"/>
        <v>512509.54254133359</v>
      </c>
      <c r="T52" s="74">
        <f t="shared" si="4"/>
        <v>531633.03293466684</v>
      </c>
      <c r="U52" s="74">
        <f t="shared" si="4"/>
        <v>554581.22140666633</v>
      </c>
      <c r="V52" s="74">
        <f t="shared" si="4"/>
        <v>573704.7117999997</v>
      </c>
      <c r="W52" s="74">
        <f t="shared" si="4"/>
        <v>596652.90027199965</v>
      </c>
      <c r="X52" s="74">
        <f t="shared" si="4"/>
        <v>619601.08874399995</v>
      </c>
      <c r="Y52" s="74">
        <f t="shared" si="4"/>
        <v>638724.57913733344</v>
      </c>
      <c r="Z52" s="74">
        <f t="shared" si="4"/>
        <v>661672.76760933304</v>
      </c>
      <c r="AA52" s="74">
        <f t="shared" si="4"/>
        <v>680796.25800266687</v>
      </c>
      <c r="AB52" s="74">
        <f t="shared" si="4"/>
        <v>703744.44647466671</v>
      </c>
      <c r="AC52" s="74">
        <f t="shared" si="4"/>
        <v>726692.63494666654</v>
      </c>
      <c r="AD52" s="74">
        <f t="shared" si="4"/>
        <v>745816.12534000014</v>
      </c>
      <c r="AE52" s="74">
        <f t="shared" si="4"/>
        <v>768764.31381199975</v>
      </c>
      <c r="AF52" s="74">
        <f t="shared" si="4"/>
        <v>787887.80420533335</v>
      </c>
      <c r="AG52" s="74">
        <f t="shared" si="4"/>
        <v>810835.99267733342</v>
      </c>
      <c r="AH52" s="74">
        <f t="shared" si="4"/>
        <v>833784.18114933337</v>
      </c>
      <c r="AI52" s="74">
        <f t="shared" si="4"/>
        <v>852907.67154266639</v>
      </c>
      <c r="AJ52" s="74">
        <f t="shared" si="4"/>
        <v>875855.86001466657</v>
      </c>
      <c r="AK52" s="74">
        <f t="shared" si="4"/>
        <v>894979.35040800017</v>
      </c>
      <c r="AL52" s="74">
        <f t="shared" si="4"/>
        <v>917927.53888000012</v>
      </c>
      <c r="AM52" s="74">
        <f t="shared" si="4"/>
        <v>917927.53888000012</v>
      </c>
      <c r="AN52" s="74">
        <f t="shared" si="4"/>
        <v>917927.53888000012</v>
      </c>
    </row>
    <row r="53" spans="2:40" x14ac:dyDescent="0.25">
      <c r="C53" s="63"/>
      <c r="E53" s="105" t="str">
        <f>IFERROR(E52/E37,"")</f>
        <v/>
      </c>
      <c r="F53" s="105" t="str">
        <f t="shared" ref="F53:AN53" si="5">IFERROR(F52/F37,"")</f>
        <v/>
      </c>
      <c r="G53" s="105" t="str">
        <f t="shared" si="5"/>
        <v/>
      </c>
      <c r="H53" s="105" t="str">
        <f t="shared" si="5"/>
        <v/>
      </c>
      <c r="I53" s="105" t="str">
        <f t="shared" si="5"/>
        <v/>
      </c>
      <c r="J53" s="105" t="str">
        <f t="shared" si="5"/>
        <v/>
      </c>
      <c r="K53" s="105" t="str">
        <f t="shared" si="5"/>
        <v/>
      </c>
      <c r="L53" s="105" t="str">
        <f t="shared" si="5"/>
        <v/>
      </c>
      <c r="M53" s="105" t="str">
        <f t="shared" si="5"/>
        <v/>
      </c>
      <c r="N53" s="105">
        <f t="shared" si="5"/>
        <v>0.4350446712389765</v>
      </c>
      <c r="O53" s="105">
        <f t="shared" si="5"/>
        <v>0.43504467123897667</v>
      </c>
      <c r="P53" s="105">
        <f t="shared" si="5"/>
        <v>0.4350446712389765</v>
      </c>
      <c r="Q53" s="105">
        <f t="shared" si="5"/>
        <v>0.4514996808145405</v>
      </c>
      <c r="R53" s="105">
        <f t="shared" si="5"/>
        <v>0.4514996808145405</v>
      </c>
      <c r="S53" s="105">
        <f t="shared" si="5"/>
        <v>0.45149968081454056</v>
      </c>
      <c r="T53" s="105">
        <f t="shared" si="5"/>
        <v>0.45149968081454056</v>
      </c>
      <c r="U53" s="105">
        <f t="shared" si="5"/>
        <v>0.45149968081454028</v>
      </c>
      <c r="V53" s="105">
        <f t="shared" si="5"/>
        <v>0.45149968081454028</v>
      </c>
      <c r="W53" s="105">
        <f t="shared" si="5"/>
        <v>0.45149968081454034</v>
      </c>
      <c r="X53" s="105">
        <f t="shared" si="5"/>
        <v>0.45149968081454045</v>
      </c>
      <c r="Y53" s="105">
        <f t="shared" si="5"/>
        <v>0.4514996808145405</v>
      </c>
      <c r="Z53" s="105">
        <f t="shared" si="5"/>
        <v>0.45149968081454028</v>
      </c>
      <c r="AA53" s="105">
        <f t="shared" si="5"/>
        <v>0.4514996808145405</v>
      </c>
      <c r="AB53" s="105">
        <f t="shared" si="5"/>
        <v>0.4514996808145405</v>
      </c>
      <c r="AC53" s="105">
        <f t="shared" si="5"/>
        <v>0.45149968081454039</v>
      </c>
      <c r="AD53" s="105">
        <f t="shared" si="5"/>
        <v>0.4514996808145405</v>
      </c>
      <c r="AE53" s="105">
        <f t="shared" si="5"/>
        <v>0.45149968081454039</v>
      </c>
      <c r="AF53" s="105">
        <f t="shared" si="5"/>
        <v>0.45149968081454045</v>
      </c>
      <c r="AG53" s="105">
        <f t="shared" si="5"/>
        <v>0.45149968081454045</v>
      </c>
      <c r="AH53" s="105">
        <f t="shared" si="5"/>
        <v>0.45149968081454045</v>
      </c>
      <c r="AI53" s="105">
        <f t="shared" si="5"/>
        <v>0.45149968081454039</v>
      </c>
      <c r="AJ53" s="105">
        <f t="shared" si="5"/>
        <v>0.45149968081454045</v>
      </c>
      <c r="AK53" s="105">
        <f t="shared" si="5"/>
        <v>0.4514996808145405</v>
      </c>
      <c r="AL53" s="105">
        <f t="shared" si="5"/>
        <v>0.4514996808145405</v>
      </c>
      <c r="AM53" s="105">
        <f t="shared" si="5"/>
        <v>0.4514996808145405</v>
      </c>
      <c r="AN53" s="105">
        <f t="shared" si="5"/>
        <v>0.4514996808145405</v>
      </c>
    </row>
    <row r="54" spans="2:40" x14ac:dyDescent="0.25">
      <c r="C54" s="63"/>
    </row>
    <row r="55" spans="2:40" x14ac:dyDescent="0.25">
      <c r="B55" t="s">
        <v>57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500000</v>
      </c>
      <c r="D55" s="12">
        <f>C55-SUM(_xlfn.ANCHORARRAY(E55))</f>
        <v>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100000</v>
      </c>
      <c r="N55" s="12">
        <v>100000</v>
      </c>
      <c r="O55" s="12">
        <v>100000</v>
      </c>
      <c r="P55" s="12">
        <v>100000</v>
      </c>
      <c r="Q55" s="12">
        <v>100000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</row>
    <row r="56" spans="2:40" x14ac:dyDescent="0.25">
      <c r="B56" t="s">
        <v>285</v>
      </c>
      <c r="E56" s="12" cm="1">
        <f t="array" ref="E56">_xlfn.LET(_xlpm.site,$B$1&amp;"-"&amp;$C$1,_xlpm.locations,Base!$D$4:$BD$4,_xlpm.ar_col,Base!$D$13:$BD$18,_xlpm.site_col,_xlfn.XLOOKUP(_xlpm.site,_xlpm.locations,_xlpm.ar_col,0,0),
_xlpm.rev_1,E$37,_xlpm.rev_1*_xlfn.CHOOSEROWS(_xlpm.site_col,1))</f>
        <v>0</v>
      </c>
      <c r="F56" s="12" cm="1">
        <f t="array" ref="F56">_xlfn.LET(_xlpm.site,$B$1&amp;"-"&amp;$C$1,_xlpm.locations,Base!$D$4:$BD$4,_xlpm.ar_col,Base!$D$13:$BD$18,_xlpm.site_col,_xlfn.XLOOKUP(_xlpm.site,_xlpm.locations,_xlpm.ar_col,0,0),
_xlpm.rev_1,F$37,_xlpm.rev_1*_xlfn.CHOOSEROWS(_xlpm.site_col,1))</f>
        <v>0</v>
      </c>
      <c r="G56" s="12" cm="1">
        <f t="array" ref="G56">_xlfn.LET(_xlpm.site,$B$1&amp;"-"&amp;$C$1,_xlpm.locations,Base!$D$4:$BD$4,_xlpm.ar_col,Base!$D$13:$BD$18,_xlpm.site_col,_xlfn.XLOOKUP(_xlpm.site,_xlpm.locations,_xlpm.ar_col,0,0),
_xlpm.rev_1,G$37,_xlpm.rev_1*_xlfn.CHOOSEROWS(_xlpm.site_col,1))</f>
        <v>0</v>
      </c>
      <c r="H56" s="12" cm="1">
        <f t="array" ref="H56">_xlfn.LET(_xlpm.site,$B$1&amp;"-"&amp;$C$1,_xlpm.locations,Base!$D$4:$BD$4,_xlpm.ar_col,Base!$D$13:$BD$18,_xlpm.site_col,_xlfn.XLOOKUP(_xlpm.site,_xlpm.locations,_xlpm.ar_col,0,0),
_xlpm.rev_1,H$37,_xlpm.rev_1*_xlfn.CHOOSEROWS(_xlpm.site_col,1))</f>
        <v>0</v>
      </c>
      <c r="I56" s="12" cm="1">
        <f t="array" ref="I56">_xlfn.LET(_xlpm.site,$B$1&amp;"-"&amp;$C$1,_xlpm.locations,Base!$D$4:$BD$4,_xlpm.ar_col,Base!$D$13:$BD$18,_xlpm.site_col,_xlfn.XLOOKUP(_xlpm.site,_xlpm.locations,_xlpm.ar_col,0,0),
_xlpm.rev_1,I$37,_xlpm.rev_1*_xlfn.CHOOSEROWS(_xlpm.site_col,1))</f>
        <v>0</v>
      </c>
      <c r="J56" s="12" cm="1">
        <f t="array" ref="J56">_xlfn.LET(_xlpm.site,$B$1&amp;"-"&amp;$C$1,_xlpm.locations,Base!$D$4:$BD$4,_xlpm.ar_col,Base!$D$13:$BD$18,_xlpm.site_col,_xlfn.XLOOKUP(_xlpm.site,_xlpm.locations,_xlpm.ar_col,0,0),
_xlpm.rev_1,J$37,_xlpm.rev_1*_xlfn.CHOOSEROWS(_xlpm.site_col,1))</f>
        <v>0</v>
      </c>
      <c r="K56" s="12" cm="1">
        <f t="array" ref="K56">_xlfn.LET(_xlpm.site,$B$1&amp;"-"&amp;$C$1,_xlpm.locations,Base!$D$4:$BD$4,_xlpm.ar_col,Base!$D$13:$BD$18,_xlpm.site_col,_xlfn.XLOOKUP(_xlpm.site,_xlpm.locations,_xlpm.ar_col,0,0),
_xlpm.rev_1,K$37,_xlpm.rev_1*_xlfn.CHOOSEROWS(_xlpm.site_col,1))</f>
        <v>0</v>
      </c>
      <c r="L56" s="12" cm="1">
        <f t="array" ref="L56">_xlfn.LET(_xlpm.site,$B$1&amp;"-"&amp;$C$1,_xlpm.locations,Base!$D$4:$BD$4,_xlpm.ar_col,Base!$D$13:$BD$18,_xlpm.site_col,_xlfn.XLOOKUP(_xlpm.site,_xlpm.locations,_xlpm.ar_col,0,0),
_xlpm.rev_1,L$37,_xlpm.rev_1*_xlfn.CHOOSEROWS(_xlpm.site_col,1))</f>
        <v>0</v>
      </c>
      <c r="M56" s="12" cm="1">
        <f t="array" ref="M56">_xlfn.LET(_xlpm.site,$B$1&amp;"-"&amp;$C$1,_xlpm.locations,Base!$D$4:$BD$4,_xlpm.ar_col,Base!$D$13:$BD$18,_xlpm.site_col,_xlfn.XLOOKUP(_xlpm.site,_xlpm.locations,_xlpm.ar_col,0,0),
_xlpm.rev_1,M$37,_xlpm.rev_1*_xlfn.CHOOSEROWS(_xlpm.site_col,1))</f>
        <v>0</v>
      </c>
      <c r="N56" s="12" cm="1">
        <f t="array" ref="N56">_xlfn.LET(_xlpm.site,$B$1&amp;"-"&amp;$C$1,_xlpm.locations,Base!$D$4:$BD$4,_xlpm.ar_col,Base!$D$13:$BD$18,_xlpm.site_col,_xlfn.XLOOKUP(_xlpm.site,_xlpm.locations,_xlpm.ar_col,0,0),
_xlpm.rev_1,N$37,_xlpm.rev_1*_xlfn.CHOOSEROWS(_xlpm.site_col,1))</f>
        <v>-132083.33509066663</v>
      </c>
      <c r="O56" s="12" cm="1">
        <f t="array" ref="O56">_xlfn.LET(_xlpm.site,$B$1&amp;"-"&amp;$C$1,_xlpm.locations,Base!$D$4:$BD$4,_xlpm.ar_col,Base!$D$13:$BD$18,_xlpm.site_col,_xlfn.XLOOKUP(_xlpm.site,_xlpm.locations,_xlpm.ar_col,0,0),
_xlpm.rev_1,O$37,_xlpm.rev_1*_xlfn.CHOOSEROWS(_xlpm.site_col,1))</f>
        <v>-270170.45813999994</v>
      </c>
      <c r="P56" s="12" cm="1">
        <f t="array" ref="P56">_xlfn.LET(_xlpm.site,$B$1&amp;"-"&amp;$C$1,_xlpm.locations,Base!$D$4:$BD$4,_xlpm.ar_col,Base!$D$13:$BD$18,_xlpm.site_col,_xlfn.XLOOKUP(_xlpm.site,_xlpm.locations,_xlpm.ar_col,0,0),
_xlpm.rev_1,P$37,_xlpm.rev_1*_xlfn.CHOOSEROWS(_xlpm.site_col,1))</f>
        <v>-402253.79323066655</v>
      </c>
      <c r="Q56" s="12" cm="1">
        <f t="array" ref="Q56">_xlfn.LET(_xlpm.site,$B$1&amp;"-"&amp;$C$1,_xlpm.locations,Base!$D$4:$BD$4,_xlpm.ar_col,Base!$D$13:$BD$18,_xlpm.site_col,_xlfn.XLOOKUP(_xlpm.site,_xlpm.locations,_xlpm.ar_col,0,0),
_xlpm.rev_1,Q$37,_xlpm.rev_1*_xlfn.CHOOSEROWS(_xlpm.site_col,1))</f>
        <v>-550367.24217097345</v>
      </c>
      <c r="R56" s="12" cm="1">
        <f t="array" ref="R56">_xlfn.LET(_xlpm.site,$B$1&amp;"-"&amp;$C$1,_xlpm.locations,Base!$D$4:$BD$4,_xlpm.ar_col,Base!$D$13:$BD$18,_xlpm.site_col,_xlfn.XLOOKUP(_xlpm.site,_xlpm.locations,_xlpm.ar_col,0,0),
_xlpm.rev_1,R$37,_xlpm.rev_1*_xlfn.CHOOSEROWS(_xlpm.site_col,1))</f>
        <v>-686413.07731436007</v>
      </c>
      <c r="S56" s="12" cm="1">
        <f t="array" ref="S56">_xlfn.LET(_xlpm.site,$B$1&amp;"-"&amp;$C$1,_xlpm.locations,Base!$D$4:$BD$4,_xlpm.ar_col,Base!$D$13:$BD$18,_xlpm.site_col,_xlfn.XLOOKUP(_xlpm.site,_xlpm.locations,_xlpm.ar_col,0,0),
_xlpm.rev_1,S$37,_xlpm.rev_1*_xlfn.CHOOSEROWS(_xlpm.site_col,1))</f>
        <v>-828642.81405517354</v>
      </c>
      <c r="T56" s="12" cm="1">
        <f t="array" ref="T56">_xlfn.LET(_xlpm.site,$B$1&amp;"-"&amp;$C$1,_xlpm.locations,Base!$D$4:$BD$4,_xlpm.ar_col,Base!$D$13:$BD$18,_xlpm.site_col,_xlfn.XLOOKUP(_xlpm.site,_xlpm.locations,_xlpm.ar_col,0,0),
_xlpm.rev_1,T$37,_xlpm.rev_1*_xlfn.CHOOSEROWS(_xlpm.site_col,1))</f>
        <v>-859562.32204230665</v>
      </c>
      <c r="U56" s="12" cm="1">
        <f t="array" ref="U56">_xlfn.LET(_xlpm.site,$B$1&amp;"-"&amp;$C$1,_xlpm.locations,Base!$D$4:$BD$4,_xlpm.ar_col,Base!$D$13:$BD$18,_xlpm.site_col,_xlfn.XLOOKUP(_xlpm.site,_xlpm.locations,_xlpm.ar_col,0,0),
_xlpm.rev_1,U$37,_xlpm.rev_1*_xlfn.CHOOSEROWS(_xlpm.site_col,1))</f>
        <v>-896665.73162686639</v>
      </c>
      <c r="V56" s="12" cm="1">
        <f t="array" ref="V56">_xlfn.LET(_xlpm.site,$B$1&amp;"-"&amp;$C$1,_xlpm.locations,Base!$D$4:$BD$4,_xlpm.ar_col,Base!$D$13:$BD$18,_xlpm.site_col,_xlfn.XLOOKUP(_xlpm.site,_xlpm.locations,_xlpm.ar_col,0,0),
_xlpm.rev_1,V$37,_xlpm.rev_1*_xlfn.CHOOSEROWS(_xlpm.site_col,1))</f>
        <v>-927585.23961399973</v>
      </c>
      <c r="W56" s="12" cm="1">
        <f t="array" ref="W56">_xlfn.LET(_xlpm.site,$B$1&amp;"-"&amp;$C$1,_xlpm.locations,Base!$D$4:$BD$4,_xlpm.ar_col,Base!$D$13:$BD$18,_xlpm.site_col,_xlfn.XLOOKUP(_xlpm.site,_xlpm.locations,_xlpm.ar_col,0,0),
_xlpm.rev_1,W$37,_xlpm.rev_1*_xlfn.CHOOSEROWS(_xlpm.site_col,1))</f>
        <v>-964688.64919855969</v>
      </c>
      <c r="X56" s="12" cm="1">
        <f t="array" ref="X56">_xlfn.LET(_xlpm.site,$B$1&amp;"-"&amp;$C$1,_xlpm.locations,Base!$D$4:$BD$4,_xlpm.ar_col,Base!$D$13:$BD$18,_xlpm.site_col,_xlfn.XLOOKUP(_xlpm.site,_xlpm.locations,_xlpm.ar_col,0,0),
_xlpm.rev_1,X$37,_xlpm.rev_1*_xlfn.CHOOSEROWS(_xlpm.site_col,1))</f>
        <v>-1001792.0587831199</v>
      </c>
      <c r="Y56" s="12" cm="1">
        <f t="array" ref="Y56">_xlfn.LET(_xlpm.site,$B$1&amp;"-"&amp;$C$1,_xlpm.locations,Base!$D$4:$BD$4,_xlpm.ar_col,Base!$D$13:$BD$18,_xlpm.site_col,_xlfn.XLOOKUP(_xlpm.site,_xlpm.locations,_xlpm.ar_col,0,0),
_xlpm.rev_1,Y$37,_xlpm.rev_1*_xlfn.CHOOSEROWS(_xlpm.site_col,1))</f>
        <v>-1032711.5667702532</v>
      </c>
      <c r="Z56" s="12" cm="1">
        <f t="array" ref="Z56">_xlfn.LET(_xlpm.site,$B$1&amp;"-"&amp;$C$1,_xlpm.locations,Base!$D$4:$BD$4,_xlpm.ar_col,Base!$D$13:$BD$18,_xlpm.site_col,_xlfn.XLOOKUP(_xlpm.site,_xlpm.locations,_xlpm.ar_col,0,0),
_xlpm.rev_1,Z$37,_xlpm.rev_1*_xlfn.CHOOSEROWS(_xlpm.site_col,1))</f>
        <v>-1069814.9763548132</v>
      </c>
      <c r="AA56" s="12" cm="1">
        <f t="array" ref="AA56">_xlfn.LET(_xlpm.site,$B$1&amp;"-"&amp;$C$1,_xlpm.locations,Base!$D$4:$BD$4,_xlpm.ar_col,Base!$D$13:$BD$18,_xlpm.site_col,_xlfn.XLOOKUP(_xlpm.site,_xlpm.locations,_xlpm.ar_col,0,0),
_xlpm.rev_1,AA$37,_xlpm.rev_1*_xlfn.CHOOSEROWS(_xlpm.site_col,1))</f>
        <v>-1100734.4843419469</v>
      </c>
      <c r="AB56" s="12" cm="1">
        <f t="array" ref="AB56">_xlfn.LET(_xlpm.site,$B$1&amp;"-"&amp;$C$1,_xlpm.locations,Base!$D$4:$BD$4,_xlpm.ar_col,Base!$D$13:$BD$18,_xlpm.site_col,_xlfn.XLOOKUP(_xlpm.site,_xlpm.locations,_xlpm.ar_col,0,0),
_xlpm.rev_1,AB$37,_xlpm.rev_1*_xlfn.CHOOSEROWS(_xlpm.site_col,1))</f>
        <v>-1137837.8939265066</v>
      </c>
      <c r="AC56" s="12" cm="1">
        <f t="array" ref="AC56">_xlfn.LET(_xlpm.site,$B$1&amp;"-"&amp;$C$1,_xlpm.locations,Base!$D$4:$BD$4,_xlpm.ar_col,Base!$D$13:$BD$18,_xlpm.site_col,_xlfn.XLOOKUP(_xlpm.site,_xlpm.locations,_xlpm.ar_col,0,0),
_xlpm.rev_1,AC$37,_xlpm.rev_1*_xlfn.CHOOSEROWS(_xlpm.site_col,1))</f>
        <v>-1174941.3035110664</v>
      </c>
      <c r="AD56" s="12" cm="1">
        <f t="array" ref="AD56">_xlfn.LET(_xlpm.site,$B$1&amp;"-"&amp;$C$1,_xlpm.locations,Base!$D$4:$BD$4,_xlpm.ar_col,Base!$D$13:$BD$18,_xlpm.site_col,_xlfn.XLOOKUP(_xlpm.site,_xlpm.locations,_xlpm.ar_col,0,0),
_xlpm.rev_1,AD$37,_xlpm.rev_1*_xlfn.CHOOSEROWS(_xlpm.site_col,1))</f>
        <v>-1205860.8114982001</v>
      </c>
      <c r="AE56" s="12" cm="1">
        <f t="array" ref="AE56">_xlfn.LET(_xlpm.site,$B$1&amp;"-"&amp;$C$1,_xlpm.locations,Base!$D$4:$BD$4,_xlpm.ar_col,Base!$D$13:$BD$18,_xlpm.site_col,_xlfn.XLOOKUP(_xlpm.site,_xlpm.locations,_xlpm.ar_col,0,0),
_xlpm.rev_1,AE$37,_xlpm.rev_1*_xlfn.CHOOSEROWS(_xlpm.site_col,1))</f>
        <v>-1242964.2210827598</v>
      </c>
      <c r="AF56" s="12" cm="1">
        <f t="array" ref="AF56">_xlfn.LET(_xlpm.site,$B$1&amp;"-"&amp;$C$1,_xlpm.locations,Base!$D$4:$BD$4,_xlpm.ar_col,Base!$D$13:$BD$18,_xlpm.site_col,_xlfn.XLOOKUP(_xlpm.site,_xlpm.locations,_xlpm.ar_col,0,0),
_xlpm.rev_1,AF$37,_xlpm.rev_1*_xlfn.CHOOSEROWS(_xlpm.site_col,1))</f>
        <v>-1273883.7290698932</v>
      </c>
      <c r="AG56" s="12" cm="1">
        <f t="array" ref="AG56">_xlfn.LET(_xlpm.site,$B$1&amp;"-"&amp;$C$1,_xlpm.locations,Base!$D$4:$BD$4,_xlpm.ar_col,Base!$D$13:$BD$18,_xlpm.site_col,_xlfn.XLOOKUP(_xlpm.site,_xlpm.locations,_xlpm.ar_col,0,0),
_xlpm.rev_1,AG$37,_xlpm.rev_1*_xlfn.CHOOSEROWS(_xlpm.site_col,1))</f>
        <v>-1310987.1386544532</v>
      </c>
      <c r="AH56" s="12" cm="1">
        <f t="array" ref="AH56">_xlfn.LET(_xlpm.site,$B$1&amp;"-"&amp;$C$1,_xlpm.locations,Base!$D$4:$BD$4,_xlpm.ar_col,Base!$D$13:$BD$18,_xlpm.site_col,_xlfn.XLOOKUP(_xlpm.site,_xlpm.locations,_xlpm.ar_col,0,0),
_xlpm.rev_1,AH$37,_xlpm.rev_1*_xlfn.CHOOSEROWS(_xlpm.site_col,1))</f>
        <v>-1348090.5482390132</v>
      </c>
      <c r="AI56" s="12" cm="1">
        <f t="array" ref="AI56">_xlfn.LET(_xlpm.site,$B$1&amp;"-"&amp;$C$1,_xlpm.locations,Base!$D$4:$BD$4,_xlpm.ar_col,Base!$D$13:$BD$18,_xlpm.site_col,_xlfn.XLOOKUP(_xlpm.site,_xlpm.locations,_xlpm.ar_col,0,0),
_xlpm.rev_1,AI$37,_xlpm.rev_1*_xlfn.CHOOSEROWS(_xlpm.site_col,1))</f>
        <v>-1379010.0562261462</v>
      </c>
      <c r="AJ56" s="12" cm="1">
        <f t="array" ref="AJ56">_xlfn.LET(_xlpm.site,$B$1&amp;"-"&amp;$C$1,_xlpm.locations,Base!$D$4:$BD$4,_xlpm.ar_col,Base!$D$13:$BD$18,_xlpm.site_col,_xlfn.XLOOKUP(_xlpm.site,_xlpm.locations,_xlpm.ar_col,0,0),
_xlpm.rev_1,AJ$37,_xlpm.rev_1*_xlfn.CHOOSEROWS(_xlpm.site_col,1))</f>
        <v>-1416113.4658107064</v>
      </c>
      <c r="AK56" s="12" cm="1">
        <f t="array" ref="AK56">_xlfn.LET(_xlpm.site,$B$1&amp;"-"&amp;$C$1,_xlpm.locations,Base!$D$4:$BD$4,_xlpm.ar_col,Base!$D$13:$BD$18,_xlpm.site_col,_xlfn.XLOOKUP(_xlpm.site,_xlpm.locations,_xlpm.ar_col,0,0),
_xlpm.rev_1,AK$37,_xlpm.rev_1*_xlfn.CHOOSEROWS(_xlpm.site_col,1))</f>
        <v>-1447032.9737978401</v>
      </c>
      <c r="AL56" s="12" cm="1">
        <f t="array" ref="AL56">_xlfn.LET(_xlpm.site,$B$1&amp;"-"&amp;$C$1,_xlpm.locations,Base!$D$4:$BD$4,_xlpm.ar_col,Base!$D$13:$BD$18,_xlpm.site_col,_xlfn.XLOOKUP(_xlpm.site,_xlpm.locations,_xlpm.ar_col,0,0),
_xlpm.rev_1,AL$37,_xlpm.rev_1*_xlfn.CHOOSEROWS(_xlpm.site_col,1))</f>
        <v>-1484136.3833823998</v>
      </c>
      <c r="AM56" s="12" cm="1">
        <f t="array" ref="AM56">_xlfn.LET(_xlpm.site,$B$1&amp;"-"&amp;$C$1,_xlpm.locations,Base!$D$4:$BD$4,_xlpm.ar_col,Base!$D$13:$BD$18,_xlpm.site_col,_xlfn.XLOOKUP(_xlpm.site,_xlpm.locations,_xlpm.ar_col,0,0),
_xlpm.rev_1,AM$37,_xlpm.rev_1*_xlfn.CHOOSEROWS(_xlpm.site_col,1))</f>
        <v>-1484136.3833823998</v>
      </c>
      <c r="AN56" s="12" cm="1">
        <f t="array" ref="AN56">_xlfn.LET(_xlpm.site,$B$1&amp;"-"&amp;$C$1,_xlpm.locations,Base!$D$4:$BD$4,_xlpm.ar_col,Base!$D$13:$BD$18,_xlpm.site_col,_xlfn.XLOOKUP(_xlpm.site,_xlpm.locations,_xlpm.ar_col,0,0),
_xlpm.rev_1,AN$37,_xlpm.rev_1*_xlfn.CHOOSEROWS(_xlpm.site_col,1))</f>
        <v>-1484136.3833823998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276</v>
      </c>
      <c r="E58" s="13">
        <f>E37-E50-E55+E56</f>
        <v>0</v>
      </c>
      <c r="F58" s="13">
        <f t="shared" ref="F58:AN58" si="6">F37-F50-F55+F56</f>
        <v>0</v>
      </c>
      <c r="G58" s="13">
        <f t="shared" si="6"/>
        <v>0</v>
      </c>
      <c r="H58" s="13">
        <f t="shared" si="6"/>
        <v>0</v>
      </c>
      <c r="I58" s="13">
        <f t="shared" si="6"/>
        <v>0</v>
      </c>
      <c r="J58" s="13">
        <f t="shared" si="6"/>
        <v>0</v>
      </c>
      <c r="K58" s="13">
        <f t="shared" si="6"/>
        <v>0</v>
      </c>
      <c r="L58" s="13">
        <f t="shared" si="6"/>
        <v>0</v>
      </c>
      <c r="M58" s="13">
        <f t="shared" si="6"/>
        <v>-100000</v>
      </c>
      <c r="N58" s="13">
        <f t="shared" si="6"/>
        <v>-153368.05962399999</v>
      </c>
      <c r="O58" s="13">
        <f t="shared" si="6"/>
        <v>-209161.94013999996</v>
      </c>
      <c r="P58" s="13">
        <f t="shared" si="6"/>
        <v>-262529.99976400001</v>
      </c>
      <c r="Q58" s="13">
        <f t="shared" si="6"/>
        <v>-309969.11316964001</v>
      </c>
      <c r="R58" s="13">
        <f t="shared" si="6"/>
        <v>-261871.59058235999</v>
      </c>
      <c r="S58" s="13">
        <f t="shared" si="6"/>
        <v>-316133.27151383995</v>
      </c>
      <c r="T58" s="13">
        <f t="shared" si="6"/>
        <v>-327929.28910763981</v>
      </c>
      <c r="U58" s="13">
        <f t="shared" si="6"/>
        <v>-342084.51022020006</v>
      </c>
      <c r="V58" s="13">
        <f t="shared" si="6"/>
        <v>-353880.52781400003</v>
      </c>
      <c r="W58" s="13">
        <f t="shared" si="6"/>
        <v>-368035.74892656005</v>
      </c>
      <c r="X58" s="13">
        <f t="shared" si="6"/>
        <v>-382190.97003911994</v>
      </c>
      <c r="Y58" s="13">
        <f t="shared" si="6"/>
        <v>-393986.9876329198</v>
      </c>
      <c r="Z58" s="13">
        <f t="shared" si="6"/>
        <v>-408142.20874548017</v>
      </c>
      <c r="AA58" s="13">
        <f t="shared" si="6"/>
        <v>-419938.22633928002</v>
      </c>
      <c r="AB58" s="13">
        <f t="shared" si="6"/>
        <v>-434093.44745183992</v>
      </c>
      <c r="AC58" s="13">
        <f t="shared" si="6"/>
        <v>-448248.66856439982</v>
      </c>
      <c r="AD58" s="13">
        <f t="shared" si="6"/>
        <v>-460044.68615819991</v>
      </c>
      <c r="AE58" s="13">
        <f t="shared" si="6"/>
        <v>-474199.90727076004</v>
      </c>
      <c r="AF58" s="13">
        <f t="shared" si="6"/>
        <v>-485995.9248645599</v>
      </c>
      <c r="AG58" s="13">
        <f t="shared" si="6"/>
        <v>-500151.1459771198</v>
      </c>
      <c r="AH58" s="13">
        <f t="shared" si="6"/>
        <v>-514306.36708967981</v>
      </c>
      <c r="AI58" s="13">
        <f t="shared" si="6"/>
        <v>-526102.38468347979</v>
      </c>
      <c r="AJ58" s="13">
        <f t="shared" si="6"/>
        <v>-540257.6057960398</v>
      </c>
      <c r="AK58" s="13">
        <f t="shared" si="6"/>
        <v>-552053.62338983989</v>
      </c>
      <c r="AL58" s="13">
        <f t="shared" si="6"/>
        <v>-566208.84450239968</v>
      </c>
      <c r="AM58" s="13">
        <f t="shared" si="6"/>
        <v>-566208.84450239968</v>
      </c>
      <c r="AN58" s="13">
        <f t="shared" si="6"/>
        <v>-566208.84450239968</v>
      </c>
    </row>
    <row r="59" spans="2:40" x14ac:dyDescent="0.25">
      <c r="B59" t="s">
        <v>277</v>
      </c>
      <c r="E59" s="12" cm="1">
        <f t="array" ref="E59:AN59">_xlfn.SCAN(-D55,E58:AN58,_xlfn.LAMBDA(_xlpm.capex,_xlpm.fcf,_xlpm.capex+_xlpm.fcf))</f>
        <v>0</v>
      </c>
      <c r="F59" s="12">
        <v>0</v>
      </c>
      <c r="G59" s="12">
        <v>0</v>
      </c>
      <c r="H59" s="12">
        <v>0</v>
      </c>
      <c r="I59" s="12">
        <v>0</v>
      </c>
      <c r="J59" s="12">
        <v>0</v>
      </c>
      <c r="K59" s="12">
        <v>0</v>
      </c>
      <c r="L59" s="12">
        <v>0</v>
      </c>
      <c r="M59" s="12">
        <v>-100000</v>
      </c>
      <c r="N59" s="12">
        <v>-253368.05962399999</v>
      </c>
      <c r="O59" s="12">
        <v>-462529.99976399995</v>
      </c>
      <c r="P59" s="12">
        <v>-725059.9995279999</v>
      </c>
      <c r="Q59" s="12">
        <v>-1035029.11269764</v>
      </c>
      <c r="R59" s="12">
        <v>-1296900.70328</v>
      </c>
      <c r="S59" s="12">
        <v>-1613033.97479384</v>
      </c>
      <c r="T59" s="12">
        <v>-1940963.2639014798</v>
      </c>
      <c r="U59" s="12">
        <v>-2283047.7741216798</v>
      </c>
      <c r="V59" s="12">
        <v>-2636928.3019356797</v>
      </c>
      <c r="W59" s="12">
        <v>-3004964.0508622397</v>
      </c>
      <c r="X59" s="12">
        <v>-3387155.0209013596</v>
      </c>
      <c r="Y59" s="12">
        <v>-3781142.0085342797</v>
      </c>
      <c r="Z59" s="12">
        <v>-4189284.2172797597</v>
      </c>
      <c r="AA59" s="12">
        <v>-4609222.4436190398</v>
      </c>
      <c r="AB59" s="12">
        <v>-5043315.89107088</v>
      </c>
      <c r="AC59" s="12">
        <v>-5491564.5596352797</v>
      </c>
      <c r="AD59" s="12">
        <v>-5951609.2457934795</v>
      </c>
      <c r="AE59" s="12">
        <v>-6425809.1530642398</v>
      </c>
      <c r="AF59" s="12">
        <v>-6911805.0779288001</v>
      </c>
      <c r="AG59" s="12">
        <v>-7411956.2239059201</v>
      </c>
      <c r="AH59" s="12">
        <v>-7926262.5909955995</v>
      </c>
      <c r="AI59" s="12">
        <v>-8452364.9756790791</v>
      </c>
      <c r="AJ59" s="12">
        <v>-8992622.5814751182</v>
      </c>
      <c r="AK59" s="12">
        <v>-9544676.2048649583</v>
      </c>
      <c r="AL59" s="12">
        <v>-10110885.049367357</v>
      </c>
      <c r="AM59" s="12">
        <v>-10677093.893869758</v>
      </c>
      <c r="AN59" s="12">
        <v>-11243302.738372158</v>
      </c>
    </row>
    <row r="63" spans="2:40" x14ac:dyDescent="0.25">
      <c r="E63" s="12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9B6F51-9A7C-4AEC-84CA-28750A49C3A1}">
  <dimension ref="B1:AX63"/>
  <sheetViews>
    <sheetView workbookViewId="0">
      <pane xSplit="4" ySplit="25" topLeftCell="E47" activePane="bottomRight" state="frozen"/>
      <selection activeCell="B22" sqref="B22"/>
      <selection pane="topRight" activeCell="B22" sqref="B22"/>
      <selection pane="bottomLeft" activeCell="B22" sqref="B22"/>
      <selection pane="bottomRight" activeCell="B22" sqref="B22"/>
    </sheetView>
  </sheetViews>
  <sheetFormatPr defaultRowHeight="15" outlineLevelRow="1" x14ac:dyDescent="0.25"/>
  <cols>
    <col min="2" max="2" width="24.5703125" bestFit="1" customWidth="1"/>
    <col min="3" max="3" width="12.28515625" bestFit="1" customWidth="1"/>
    <col min="4" max="4" width="10.7109375" bestFit="1" customWidth="1"/>
    <col min="5" max="40" width="13.42578125" bestFit="1" customWidth="1"/>
  </cols>
  <sheetData>
    <row r="1" spans="2:40" x14ac:dyDescent="0.25">
      <c r="B1" s="10" t="s">
        <v>411</v>
      </c>
      <c r="C1" s="16" t="s">
        <v>43</v>
      </c>
      <c r="D1" s="55" t="s">
        <v>390</v>
      </c>
      <c r="E1" s="5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_xlpm.min_kiddos,_xlfn.XLOOKUP(_xlpm.site,_xlpm.locations,Base!$D$7:$BD$7,0,0),_xlpm.months_since,DATEDIF(_xlpm.launchdate,_xlfn.ANCHORARRAY($E$25),"m"),
IFERROR(_xlfn.BYCOL(_xlpm.months_since,_xlfn.LAMBDA(_xlpm.a,ROUND(_xlpm.min_kiddos*(MIN(6,_xlpm.a+1)/6)+(_xlpm.max_kiddos-_xlpm.min_kiddos)*(MIN(25,_xlpm.a+1)/25),0))),0))</f>
        <v>0</v>
      </c>
      <c r="F1" s="5">
        <v>0</v>
      </c>
      <c r="G1" s="5">
        <v>0</v>
      </c>
      <c r="H1" s="5">
        <v>0</v>
      </c>
      <c r="I1" s="5">
        <v>0</v>
      </c>
      <c r="J1" s="5">
        <v>0</v>
      </c>
      <c r="K1" s="5">
        <v>0</v>
      </c>
      <c r="L1" s="5">
        <v>0</v>
      </c>
      <c r="M1" s="5">
        <v>0</v>
      </c>
      <c r="N1" s="5">
        <v>0</v>
      </c>
      <c r="O1" s="5">
        <v>0</v>
      </c>
      <c r="P1" s="5">
        <v>0</v>
      </c>
      <c r="Q1" s="5">
        <v>22</v>
      </c>
      <c r="R1" s="5">
        <v>45</v>
      </c>
      <c r="S1" s="5">
        <v>67</v>
      </c>
      <c r="T1" s="5">
        <v>89</v>
      </c>
      <c r="U1" s="5">
        <v>111</v>
      </c>
      <c r="V1" s="5">
        <v>134</v>
      </c>
      <c r="W1" s="5">
        <v>139</v>
      </c>
      <c r="X1" s="5">
        <v>145</v>
      </c>
      <c r="Y1" s="5">
        <v>150</v>
      </c>
      <c r="Z1" s="5">
        <v>156</v>
      </c>
      <c r="AA1" s="5">
        <v>162</v>
      </c>
      <c r="AB1" s="5">
        <v>167</v>
      </c>
      <c r="AC1" s="5">
        <v>173</v>
      </c>
      <c r="AD1" s="5">
        <v>178</v>
      </c>
      <c r="AE1" s="5">
        <v>184</v>
      </c>
      <c r="AF1" s="5">
        <v>190</v>
      </c>
      <c r="AG1" s="5">
        <v>195</v>
      </c>
      <c r="AH1" s="5">
        <v>201</v>
      </c>
      <c r="AI1" s="5">
        <v>206</v>
      </c>
      <c r="AJ1" s="5">
        <v>212</v>
      </c>
      <c r="AK1" s="5">
        <v>218</v>
      </c>
      <c r="AL1" s="5">
        <v>223</v>
      </c>
      <c r="AM1" s="5">
        <v>229</v>
      </c>
      <c r="AN1" s="5">
        <v>234</v>
      </c>
    </row>
    <row r="2" spans="2:40" x14ac:dyDescent="0.25">
      <c r="B2" s="3" t="str">
        <f>_xlfn.XLOOKUP($B$1&amp;"-"&amp;$C$1,Base!$D$4:$BD$4,Base!$D$2:$BD$2,"",0)</f>
        <v>M&amp;A</v>
      </c>
      <c r="C2" s="55"/>
      <c r="D2" s="5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</row>
    <row r="3" spans="2:40" hidden="1" outlineLevel="1" x14ac:dyDescent="0.25">
      <c r="B3" s="55"/>
      <c r="C3" s="55"/>
      <c r="D3" s="5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</row>
    <row r="4" spans="2:40" hidden="1" outlineLevel="1" x14ac:dyDescent="0.25">
      <c r="B4" s="55"/>
      <c r="C4" s="55"/>
      <c r="D4" s="5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</row>
    <row r="5" spans="2:40" hidden="1" outlineLevel="1" x14ac:dyDescent="0.25">
      <c r="B5" s="55"/>
      <c r="C5" s="55"/>
      <c r="D5" s="55"/>
      <c r="E5" s="153" t="e" cm="1">
        <f t="array" ref="E5:AN5">_xlfn.LET(_xlpm.site,$B$1&amp;"-"&amp;$C$1,_xlpm.locations,Base!$D$4:$BD$4,_xlpm.rates,Base!$A$31:$BD$39,_xlpm.hours,Base!$A$74:$BD$82,_xlpm.comp,_xlpm.rates*_xlpm.hours,_xlpm.kiddos,_xlfn.ANCHORARRAY($E$1),
_xlpm.rev_weekly_kiddo,_xlfn.XLOOKUP(_xlpm.site,_xlpm.locations,_xlpm.comp,0,0),_xlpm.annual_increase,_xlfn.XLOOKUP(YEAR(_xlfn.ANCHORARRAY($E$25)),Base!$BJ$4:$BL$4,Base!$BJ$73:$BL$73,0,0),
_xlpm.bad_debt,_xlfn.XLOOKUP(_xlpm.site,_xlpm.locations,Base!$A$28:$BD$28,0,0),
SUM(_xlpm.rev_weekly_kiddo)*_xlpm.kiddos*_xlpm.bad_debt*_xlpm.annual_increase*(52/12))</f>
        <v>#VALUE!</v>
      </c>
      <c r="F5" s="153" t="e">
        <v>#VALUE!</v>
      </c>
      <c r="G5" s="153" t="e">
        <v>#VALUE!</v>
      </c>
      <c r="H5" s="153" t="e">
        <v>#VALUE!</v>
      </c>
      <c r="I5" s="153" t="e">
        <v>#VALUE!</v>
      </c>
      <c r="J5" s="153" t="e">
        <v>#VALUE!</v>
      </c>
      <c r="K5" s="153" t="e">
        <v>#VALUE!</v>
      </c>
      <c r="L5" s="153" t="e">
        <v>#VALUE!</v>
      </c>
      <c r="M5" s="153" t="e">
        <v>#VALUE!</v>
      </c>
      <c r="N5" s="153" t="e">
        <v>#VALUE!</v>
      </c>
      <c r="O5" s="153" t="e">
        <v>#VALUE!</v>
      </c>
      <c r="P5" s="153" t="e">
        <v>#VALUE!</v>
      </c>
      <c r="Q5" s="153" t="e">
        <v>#VALUE!</v>
      </c>
      <c r="R5" s="153" t="e">
        <v>#VALUE!</v>
      </c>
      <c r="S5" s="153" t="e">
        <v>#VALUE!</v>
      </c>
      <c r="T5" s="153" t="e">
        <v>#VALUE!</v>
      </c>
      <c r="U5" s="153" t="e">
        <v>#VALUE!</v>
      </c>
      <c r="V5" s="153" t="e">
        <v>#VALUE!</v>
      </c>
      <c r="W5" s="153" t="e">
        <v>#VALUE!</v>
      </c>
      <c r="X5" s="153" t="e">
        <v>#VALUE!</v>
      </c>
      <c r="Y5" s="153" t="e">
        <v>#VALUE!</v>
      </c>
      <c r="Z5" s="153" t="e">
        <v>#VALUE!</v>
      </c>
      <c r="AA5" s="153" t="e">
        <v>#VALUE!</v>
      </c>
      <c r="AB5" s="153" t="e">
        <v>#VALUE!</v>
      </c>
      <c r="AC5" s="153" t="e">
        <v>#VALUE!</v>
      </c>
      <c r="AD5" s="153" t="e">
        <v>#VALUE!</v>
      </c>
      <c r="AE5" s="153" t="e">
        <v>#VALUE!</v>
      </c>
      <c r="AF5" s="153" t="e">
        <v>#VALUE!</v>
      </c>
      <c r="AG5" s="153" t="e">
        <v>#VALUE!</v>
      </c>
      <c r="AH5" s="153" t="e">
        <v>#VALUE!</v>
      </c>
      <c r="AI5" s="153" t="e">
        <v>#VALUE!</v>
      </c>
      <c r="AJ5" s="153" t="e">
        <v>#VALUE!</v>
      </c>
      <c r="AK5" s="153" t="e">
        <v>#VALUE!</v>
      </c>
      <c r="AL5" s="153" t="e">
        <v>#VALUE!</v>
      </c>
      <c r="AM5" s="153" t="e">
        <v>#VALUE!</v>
      </c>
      <c r="AN5" s="153" t="e">
        <v>#VALUE!</v>
      </c>
    </row>
    <row r="6" spans="2:40" hidden="1" outlineLevel="1" x14ac:dyDescent="0.25">
      <c r="B6" s="55"/>
      <c r="C6" s="55"/>
      <c r="D6" s="5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</row>
    <row r="7" spans="2:40" hidden="1" outlineLevel="1" collapsed="1" x14ac:dyDescent="0.25">
      <c r="B7" s="1" t="s">
        <v>107</v>
      </c>
      <c r="C7" s="3"/>
      <c r="D7" s="3"/>
      <c r="E7" s="68"/>
      <c r="F7" s="68"/>
      <c r="G7" s="5"/>
      <c r="H7" s="68"/>
      <c r="I7" s="68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</row>
    <row r="8" spans="2:40" collapsed="1" x14ac:dyDescent="0.25">
      <c r="B8" s="39"/>
      <c r="C8" s="3"/>
      <c r="D8" s="3"/>
      <c r="E8" s="69"/>
      <c r="F8" s="69"/>
      <c r="G8" s="69"/>
      <c r="H8" s="69"/>
      <c r="I8" s="69"/>
      <c r="J8" s="69"/>
      <c r="K8" s="69"/>
      <c r="L8" s="69"/>
      <c r="M8" s="69"/>
      <c r="N8" s="69"/>
      <c r="O8" s="69"/>
      <c r="P8" s="69"/>
      <c r="Q8" s="69"/>
      <c r="R8" s="69"/>
      <c r="S8" s="69"/>
      <c r="T8" s="69"/>
      <c r="U8" s="69"/>
      <c r="V8" s="69"/>
      <c r="W8" s="69"/>
      <c r="X8" s="69"/>
      <c r="Y8" s="69"/>
      <c r="Z8" s="69"/>
      <c r="AA8" s="69"/>
      <c r="AB8" s="69"/>
      <c r="AC8" s="69"/>
      <c r="AD8" s="69"/>
      <c r="AE8" s="69"/>
      <c r="AF8" s="69"/>
      <c r="AG8" s="69"/>
      <c r="AH8" s="69"/>
      <c r="AI8" s="69"/>
      <c r="AJ8" s="69"/>
      <c r="AK8" s="69"/>
      <c r="AL8" s="69"/>
      <c r="AM8" s="69"/>
      <c r="AN8" s="69"/>
    </row>
    <row r="9" spans="2:40" outlineLevel="1" x14ac:dyDescent="0.25">
      <c r="B9" s="3"/>
      <c r="C9" s="3"/>
      <c r="D9" s="3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</row>
    <row r="10" spans="2:40" x14ac:dyDescent="0.25">
      <c r="B10" s="55" t="s">
        <v>391</v>
      </c>
      <c r="C10" s="3"/>
      <c r="D10" s="3"/>
      <c r="E10" s="154">
        <v>0</v>
      </c>
      <c r="F10" s="69">
        <f t="shared" ref="F10:M10" si="0">F1-E1+E11</f>
        <v>0</v>
      </c>
      <c r="G10" s="69">
        <f t="shared" si="0"/>
        <v>0</v>
      </c>
      <c r="H10" s="69">
        <f t="shared" si="0"/>
        <v>0</v>
      </c>
      <c r="I10" s="69">
        <f t="shared" si="0"/>
        <v>0</v>
      </c>
      <c r="J10" s="69">
        <f t="shared" si="0"/>
        <v>0</v>
      </c>
      <c r="K10" s="69">
        <f t="shared" si="0"/>
        <v>0</v>
      </c>
      <c r="L10" s="69">
        <f t="shared" si="0"/>
        <v>0</v>
      </c>
      <c r="M10" s="69">
        <f t="shared" si="0"/>
        <v>0</v>
      </c>
      <c r="N10" s="69">
        <f>N1-M1+M11</f>
        <v>0</v>
      </c>
      <c r="O10" s="69">
        <f>O1-N1+N11</f>
        <v>0</v>
      </c>
      <c r="P10" s="69">
        <f t="shared" ref="P10:AN10" si="1">P1-O1+O11</f>
        <v>0</v>
      </c>
      <c r="Q10" s="69">
        <f t="shared" si="1"/>
        <v>22</v>
      </c>
      <c r="R10" s="69">
        <f t="shared" si="1"/>
        <v>25.2</v>
      </c>
      <c r="S10" s="69">
        <f t="shared" si="1"/>
        <v>26.5</v>
      </c>
      <c r="T10" s="69">
        <f t="shared" si="1"/>
        <v>28.7</v>
      </c>
      <c r="U10" s="69">
        <f t="shared" si="1"/>
        <v>30.9</v>
      </c>
      <c r="V10" s="69">
        <f t="shared" si="1"/>
        <v>34.1</v>
      </c>
      <c r="W10" s="69">
        <f t="shared" si="1"/>
        <v>18.399999999999999</v>
      </c>
      <c r="X10" s="69">
        <f t="shared" si="1"/>
        <v>19.899999999999999</v>
      </c>
      <c r="Y10" s="69">
        <f t="shared" si="1"/>
        <v>19.5</v>
      </c>
      <c r="Z10" s="69">
        <f t="shared" si="1"/>
        <v>21</v>
      </c>
      <c r="AA10" s="69">
        <f t="shared" si="1"/>
        <v>21.6</v>
      </c>
      <c r="AB10" s="69">
        <f t="shared" si="1"/>
        <v>21.2</v>
      </c>
      <c r="AC10" s="69">
        <f t="shared" si="1"/>
        <v>22.7</v>
      </c>
      <c r="AD10" s="69">
        <f t="shared" si="1"/>
        <v>22.3</v>
      </c>
      <c r="AE10" s="69">
        <f t="shared" si="1"/>
        <v>23.8</v>
      </c>
      <c r="AF10" s="69">
        <f t="shared" si="1"/>
        <v>24.400000000000002</v>
      </c>
      <c r="AG10" s="69">
        <f t="shared" si="1"/>
        <v>24</v>
      </c>
      <c r="AH10" s="69">
        <f t="shared" si="1"/>
        <v>25.5</v>
      </c>
      <c r="AI10" s="69">
        <f t="shared" si="1"/>
        <v>25.1</v>
      </c>
      <c r="AJ10" s="69">
        <f t="shared" si="1"/>
        <v>26.6</v>
      </c>
      <c r="AK10" s="69">
        <f t="shared" si="1"/>
        <v>27.200000000000003</v>
      </c>
      <c r="AL10" s="69">
        <f t="shared" si="1"/>
        <v>26.8</v>
      </c>
      <c r="AM10" s="69">
        <f t="shared" si="1"/>
        <v>28.3</v>
      </c>
      <c r="AN10" s="69">
        <f t="shared" si="1"/>
        <v>27.900000000000002</v>
      </c>
    </row>
    <row r="11" spans="2:40" x14ac:dyDescent="0.25">
      <c r="B11" s="55" t="s">
        <v>392</v>
      </c>
      <c r="C11" s="3"/>
      <c r="D11" s="3"/>
      <c r="E11" s="69">
        <f>E1*0.1</f>
        <v>0</v>
      </c>
      <c r="F11" s="69">
        <f t="shared" ref="F11:AN11" si="2">F1*0.1</f>
        <v>0</v>
      </c>
      <c r="G11" s="69">
        <f t="shared" si="2"/>
        <v>0</v>
      </c>
      <c r="H11" s="69">
        <f t="shared" si="2"/>
        <v>0</v>
      </c>
      <c r="I11" s="69">
        <f t="shared" si="2"/>
        <v>0</v>
      </c>
      <c r="J11" s="69">
        <f t="shared" si="2"/>
        <v>0</v>
      </c>
      <c r="K11" s="69">
        <f t="shared" si="2"/>
        <v>0</v>
      </c>
      <c r="L11" s="69">
        <f t="shared" si="2"/>
        <v>0</v>
      </c>
      <c r="M11" s="69">
        <f t="shared" si="2"/>
        <v>0</v>
      </c>
      <c r="N11" s="69">
        <f t="shared" si="2"/>
        <v>0</v>
      </c>
      <c r="O11" s="69">
        <f t="shared" si="2"/>
        <v>0</v>
      </c>
      <c r="P11" s="69">
        <f t="shared" si="2"/>
        <v>0</v>
      </c>
      <c r="Q11" s="69">
        <f t="shared" si="2"/>
        <v>2.2000000000000002</v>
      </c>
      <c r="R11" s="69">
        <f t="shared" si="2"/>
        <v>4.5</v>
      </c>
      <c r="S11" s="69">
        <f t="shared" si="2"/>
        <v>6.7</v>
      </c>
      <c r="T11" s="69">
        <f t="shared" si="2"/>
        <v>8.9</v>
      </c>
      <c r="U11" s="69">
        <f t="shared" si="2"/>
        <v>11.100000000000001</v>
      </c>
      <c r="V11" s="69">
        <f t="shared" si="2"/>
        <v>13.4</v>
      </c>
      <c r="W11" s="69">
        <f t="shared" si="2"/>
        <v>13.9</v>
      </c>
      <c r="X11" s="69">
        <f t="shared" si="2"/>
        <v>14.5</v>
      </c>
      <c r="Y11" s="69">
        <f t="shared" si="2"/>
        <v>15</v>
      </c>
      <c r="Z11" s="69">
        <f t="shared" si="2"/>
        <v>15.600000000000001</v>
      </c>
      <c r="AA11" s="69">
        <f t="shared" si="2"/>
        <v>16.2</v>
      </c>
      <c r="AB11" s="69">
        <f t="shared" si="2"/>
        <v>16.7</v>
      </c>
      <c r="AC11" s="69">
        <f t="shared" si="2"/>
        <v>17.3</v>
      </c>
      <c r="AD11" s="69">
        <f t="shared" si="2"/>
        <v>17.8</v>
      </c>
      <c r="AE11" s="69">
        <f t="shared" si="2"/>
        <v>18.400000000000002</v>
      </c>
      <c r="AF11" s="69">
        <f t="shared" si="2"/>
        <v>19</v>
      </c>
      <c r="AG11" s="69">
        <f t="shared" si="2"/>
        <v>19.5</v>
      </c>
      <c r="AH11" s="69">
        <f t="shared" si="2"/>
        <v>20.100000000000001</v>
      </c>
      <c r="AI11" s="69">
        <f t="shared" si="2"/>
        <v>20.6</v>
      </c>
      <c r="AJ11" s="69">
        <f t="shared" si="2"/>
        <v>21.200000000000003</v>
      </c>
      <c r="AK11" s="69">
        <f t="shared" si="2"/>
        <v>21.8</v>
      </c>
      <c r="AL11" s="69">
        <f t="shared" si="2"/>
        <v>22.3</v>
      </c>
      <c r="AM11" s="69">
        <f t="shared" si="2"/>
        <v>22.900000000000002</v>
      </c>
      <c r="AN11" s="69">
        <f t="shared" si="2"/>
        <v>23.400000000000002</v>
      </c>
    </row>
    <row r="12" spans="2:40" x14ac:dyDescent="0.25">
      <c r="B12" s="55" t="s">
        <v>393</v>
      </c>
      <c r="C12" s="3"/>
      <c r="D12" s="3"/>
      <c r="E12" s="69">
        <f t="shared" ref="E12:AN12" si="3">E1+E11</f>
        <v>0</v>
      </c>
      <c r="F12" s="69">
        <f t="shared" si="3"/>
        <v>0</v>
      </c>
      <c r="G12" s="69">
        <f t="shared" si="3"/>
        <v>0</v>
      </c>
      <c r="H12" s="69">
        <f t="shared" si="3"/>
        <v>0</v>
      </c>
      <c r="I12" s="69">
        <f t="shared" si="3"/>
        <v>0</v>
      </c>
      <c r="J12" s="69">
        <f t="shared" si="3"/>
        <v>0</v>
      </c>
      <c r="K12" s="69">
        <f t="shared" si="3"/>
        <v>0</v>
      </c>
      <c r="L12" s="69">
        <f t="shared" si="3"/>
        <v>0</v>
      </c>
      <c r="M12" s="69">
        <f t="shared" si="3"/>
        <v>0</v>
      </c>
      <c r="N12" s="69">
        <f t="shared" si="3"/>
        <v>0</v>
      </c>
      <c r="O12" s="69">
        <f t="shared" si="3"/>
        <v>0</v>
      </c>
      <c r="P12" s="69">
        <f t="shared" si="3"/>
        <v>0</v>
      </c>
      <c r="Q12" s="69">
        <f t="shared" si="3"/>
        <v>24.2</v>
      </c>
      <c r="R12" s="69">
        <f t="shared" si="3"/>
        <v>49.5</v>
      </c>
      <c r="S12" s="69">
        <f t="shared" si="3"/>
        <v>73.7</v>
      </c>
      <c r="T12" s="69">
        <f t="shared" si="3"/>
        <v>97.9</v>
      </c>
      <c r="U12" s="69">
        <f t="shared" si="3"/>
        <v>122.1</v>
      </c>
      <c r="V12" s="69">
        <f t="shared" si="3"/>
        <v>147.4</v>
      </c>
      <c r="W12" s="69">
        <f t="shared" si="3"/>
        <v>152.9</v>
      </c>
      <c r="X12" s="69">
        <f t="shared" si="3"/>
        <v>159.5</v>
      </c>
      <c r="Y12" s="69">
        <f t="shared" si="3"/>
        <v>165</v>
      </c>
      <c r="Z12" s="69">
        <f t="shared" si="3"/>
        <v>171.6</v>
      </c>
      <c r="AA12" s="69">
        <f t="shared" si="3"/>
        <v>178.2</v>
      </c>
      <c r="AB12" s="69">
        <f t="shared" si="3"/>
        <v>183.7</v>
      </c>
      <c r="AC12" s="69">
        <f t="shared" si="3"/>
        <v>190.3</v>
      </c>
      <c r="AD12" s="69">
        <f t="shared" si="3"/>
        <v>195.8</v>
      </c>
      <c r="AE12" s="69">
        <f t="shared" si="3"/>
        <v>202.4</v>
      </c>
      <c r="AF12" s="69">
        <f t="shared" si="3"/>
        <v>209</v>
      </c>
      <c r="AG12" s="69">
        <f t="shared" si="3"/>
        <v>214.5</v>
      </c>
      <c r="AH12" s="69">
        <f t="shared" si="3"/>
        <v>221.1</v>
      </c>
      <c r="AI12" s="69">
        <f t="shared" si="3"/>
        <v>226.6</v>
      </c>
      <c r="AJ12" s="69">
        <f t="shared" si="3"/>
        <v>233.2</v>
      </c>
      <c r="AK12" s="69">
        <f t="shared" si="3"/>
        <v>239.8</v>
      </c>
      <c r="AL12" s="69">
        <f t="shared" si="3"/>
        <v>245.3</v>
      </c>
      <c r="AM12" s="69">
        <f t="shared" si="3"/>
        <v>251.9</v>
      </c>
      <c r="AN12" s="69">
        <f t="shared" si="3"/>
        <v>257.39999999999998</v>
      </c>
    </row>
    <row r="13" spans="2:40" hidden="1" outlineLevel="1" x14ac:dyDescent="0.25"/>
    <row r="14" spans="2:40" hidden="1" outlineLevel="1" x14ac:dyDescent="0.25"/>
    <row r="15" spans="2:40" hidden="1" outlineLevel="1" x14ac:dyDescent="0.25"/>
    <row r="16" spans="2:40" hidden="1" outlineLevel="1" x14ac:dyDescent="0.25"/>
    <row r="17" spans="2:50" hidden="1" outlineLevel="1" x14ac:dyDescent="0.25"/>
    <row r="18" spans="2:50" hidden="1" outlineLevel="1" x14ac:dyDescent="0.25"/>
    <row r="19" spans="2:50" hidden="1" outlineLevel="1" x14ac:dyDescent="0.25"/>
    <row r="20" spans="2:50" hidden="1" outlineLevel="1" x14ac:dyDescent="0.25"/>
    <row r="21" spans="2:50" hidden="1" outlineLevel="1" x14ac:dyDescent="0.25"/>
    <row r="22" spans="2:50" collapsed="1" x14ac:dyDescent="0.25">
      <c r="B22" s="2" t="s">
        <v>394</v>
      </c>
      <c r="C22" s="3"/>
      <c r="D22" s="77">
        <f>MAX(_xlfn.ANCHORARRAY(E22))</f>
        <v>174.55720170454549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0</v>
      </c>
      <c r="F22" s="78">
        <v>0</v>
      </c>
      <c r="G22" s="78">
        <v>0</v>
      </c>
      <c r="H22" s="78">
        <v>0</v>
      </c>
      <c r="I22" s="78">
        <v>0</v>
      </c>
      <c r="J22" s="78">
        <v>0</v>
      </c>
      <c r="K22" s="78">
        <v>0</v>
      </c>
      <c r="L22" s="78">
        <v>0</v>
      </c>
      <c r="M22" s="78">
        <v>0</v>
      </c>
      <c r="N22" s="78">
        <v>0</v>
      </c>
      <c r="O22" s="78">
        <v>0</v>
      </c>
      <c r="P22" s="78">
        <v>0</v>
      </c>
      <c r="Q22" s="78">
        <v>174.55720170454541</v>
      </c>
      <c r="R22" s="78">
        <v>174.55720170454546</v>
      </c>
      <c r="S22" s="78">
        <v>174.55720170454549</v>
      </c>
      <c r="T22" s="78">
        <v>174.55720170454546</v>
      </c>
      <c r="U22" s="78">
        <v>174.55720170454549</v>
      </c>
      <c r="V22" s="78">
        <v>174.55720170454549</v>
      </c>
      <c r="W22" s="78">
        <v>174.55720170454549</v>
      </c>
      <c r="X22" s="78">
        <v>174.55720170454541</v>
      </c>
      <c r="Y22" s="78">
        <v>174.55720170454541</v>
      </c>
      <c r="Z22" s="78">
        <v>174.55720170454541</v>
      </c>
      <c r="AA22" s="78">
        <v>174.55720170454546</v>
      </c>
      <c r="AB22" s="78">
        <v>174.55720170454549</v>
      </c>
      <c r="AC22" s="78">
        <v>174.55720170454541</v>
      </c>
      <c r="AD22" s="78">
        <v>174.55720170454546</v>
      </c>
      <c r="AE22" s="78">
        <v>174.55720170454546</v>
      </c>
      <c r="AF22" s="78">
        <v>174.55720170454543</v>
      </c>
      <c r="AG22" s="78">
        <v>174.55720170454549</v>
      </c>
      <c r="AH22" s="78">
        <v>174.55720170454543</v>
      </c>
      <c r="AI22" s="78">
        <v>174.55720170454546</v>
      </c>
      <c r="AJ22" s="78">
        <v>174.55720170454546</v>
      </c>
      <c r="AK22" s="78">
        <v>174.55720170454549</v>
      </c>
      <c r="AL22" s="78">
        <v>174.55720170454543</v>
      </c>
      <c r="AM22" s="78">
        <v>174.55720170454543</v>
      </c>
      <c r="AN22" s="78">
        <v>174.55720170454546</v>
      </c>
    </row>
    <row r="23" spans="2:50" x14ac:dyDescent="0.25">
      <c r="B23" s="2" t="s">
        <v>53</v>
      </c>
      <c r="C23" s="3"/>
      <c r="D23" s="72"/>
      <c r="E23" s="52" cm="1">
        <f t="array" ref="E23:AN23">_xlfn.LET(_xlpm.site,$B$1&amp;"-"&amp;$C$1,_xlpm.locations,Base!$D$4:$BD$4,_xlpm.Customer,_xlfn.ANCHORARRAY(E1),_xlpm.hours,SUM(_xlfn.XLOOKUP(_xlpm.site,_xlpm.locations,Base!$D$74:$BD$78,0,0)),
_xlpm.collection,1-_xlfn.XLOOKUP(_xlpm.site,_xlpm.locations,Base!$D$26:$BD$26,0,0),
_xlpm.Customer*_xlpm.hours*_xlpm.collection*(52/12))</f>
        <v>0</v>
      </c>
      <c r="F23" s="52">
        <v>0</v>
      </c>
      <c r="G23" s="52">
        <v>0</v>
      </c>
      <c r="H23" s="52">
        <v>0</v>
      </c>
      <c r="I23" s="52">
        <v>0</v>
      </c>
      <c r="J23" s="52">
        <v>0</v>
      </c>
      <c r="K23" s="52">
        <v>0</v>
      </c>
      <c r="L23" s="52">
        <v>0</v>
      </c>
      <c r="M23" s="52">
        <v>0</v>
      </c>
      <c r="N23" s="52">
        <v>0</v>
      </c>
      <c r="O23" s="52">
        <v>0</v>
      </c>
      <c r="P23" s="52">
        <v>0</v>
      </c>
      <c r="Q23" s="52">
        <v>1135.7866666666666</v>
      </c>
      <c r="R23" s="52">
        <v>2323.1999999999994</v>
      </c>
      <c r="S23" s="52">
        <v>3458.9866666666667</v>
      </c>
      <c r="T23" s="52">
        <v>4594.7733333333335</v>
      </c>
      <c r="U23" s="52">
        <v>5730.5599999999995</v>
      </c>
      <c r="V23" s="52">
        <v>6917.9733333333334</v>
      </c>
      <c r="W23" s="52">
        <v>7176.1066666666657</v>
      </c>
      <c r="X23" s="52">
        <v>7485.8666666666668</v>
      </c>
      <c r="Y23" s="52">
        <v>7744</v>
      </c>
      <c r="Z23" s="52">
        <v>8053.7599999999993</v>
      </c>
      <c r="AA23" s="52">
        <v>8363.5199999999986</v>
      </c>
      <c r="AB23" s="52">
        <v>8621.6533333333318</v>
      </c>
      <c r="AC23" s="52">
        <v>8931.4133333333339</v>
      </c>
      <c r="AD23" s="52">
        <v>9189.5466666666671</v>
      </c>
      <c r="AE23" s="52">
        <v>9499.3066666666655</v>
      </c>
      <c r="AF23" s="52">
        <v>9809.0666666666657</v>
      </c>
      <c r="AG23" s="52">
        <v>10067.199999999999</v>
      </c>
      <c r="AH23" s="52">
        <v>10376.959999999999</v>
      </c>
      <c r="AI23" s="52">
        <v>10635.093333333332</v>
      </c>
      <c r="AJ23" s="52">
        <v>10944.853333333333</v>
      </c>
      <c r="AK23" s="52">
        <v>11254.613333333331</v>
      </c>
      <c r="AL23" s="52">
        <v>11512.746666666664</v>
      </c>
      <c r="AM23" s="52">
        <v>11822.506666666666</v>
      </c>
      <c r="AN23" s="52">
        <v>12080.64</v>
      </c>
    </row>
    <row r="25" spans="2:50" x14ac:dyDescent="0.25">
      <c r="B25" s="1" t="s">
        <v>21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outlineLevel="1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_xlfn.LET(_xlpm.site,$B$1&amp;"-"&amp;$C$1,_xlpm.locations,Base!$D$4:$BD$4,_xlpm.rates,Base!$D31:$BD31,_xlpm.hours,Base!$D74:$BD74,_xlpm.comp,_xlpm.rates*_xlpm.hours,_xlpm.Customer,_xlfn.ANCHORARRAY($E$1),
_xlpm.Customer_comp,_xlfn.XLOOKUP(_xlpm.site,_xlpm.locations,_xlpm.comp,0,0),_xlpm.ann_incr,_xlfn.XLOOKUP(YEAR(_xlfn.ANCHORARRAY($E$25)),Base!$BJ$4:$BL$4,Base!$BJ74:$BL74,0,0),
_xlpm.bad_debt,_xlfn.XLOOKUP(_xlpm.site,_xlpm.locations,Base!$D$28:$BD$28,0,0),_xlpm.Customer_comp*_xlpm.Customer*_xlpm.bad_debt*_xlpm.ann_incr*(52/12))</f>
        <v>0</v>
      </c>
      <c r="F26" s="12">
        <v>0</v>
      </c>
      <c r="G26" s="12">
        <v>0</v>
      </c>
      <c r="H26" s="12">
        <v>0</v>
      </c>
      <c r="I26" s="12">
        <v>0</v>
      </c>
      <c r="J26" s="12">
        <v>0</v>
      </c>
      <c r="K26" s="12">
        <v>0</v>
      </c>
      <c r="L26" s="12">
        <v>0</v>
      </c>
      <c r="M26" s="12">
        <v>0</v>
      </c>
      <c r="N26" s="12">
        <v>0</v>
      </c>
      <c r="O26" s="12">
        <v>0</v>
      </c>
      <c r="P26" s="12">
        <v>0</v>
      </c>
      <c r="Q26" s="12">
        <v>179388.4187333333</v>
      </c>
      <c r="R26" s="12">
        <v>366930.85649999994</v>
      </c>
      <c r="S26" s="12">
        <v>546319.27523333335</v>
      </c>
      <c r="T26" s="12">
        <v>725707.6939666667</v>
      </c>
      <c r="U26" s="12">
        <v>905096.11269999994</v>
      </c>
      <c r="V26" s="12">
        <v>1092638.5504666667</v>
      </c>
      <c r="W26" s="12">
        <v>1133408.6456333334</v>
      </c>
      <c r="X26" s="12">
        <v>1182332.7598333331</v>
      </c>
      <c r="Y26" s="12">
        <v>1223102.855</v>
      </c>
      <c r="Z26" s="12">
        <v>1272026.9691999997</v>
      </c>
      <c r="AA26" s="12">
        <v>1320951.0833999999</v>
      </c>
      <c r="AB26" s="12">
        <v>1361721.1785666668</v>
      </c>
      <c r="AC26" s="12">
        <v>1410645.2927666665</v>
      </c>
      <c r="AD26" s="12">
        <v>1451415.3879333334</v>
      </c>
      <c r="AE26" s="12">
        <v>1500339.5021333334</v>
      </c>
      <c r="AF26" s="12">
        <v>1549263.6163333331</v>
      </c>
      <c r="AG26" s="12">
        <v>1590033.7115</v>
      </c>
      <c r="AH26" s="12">
        <v>1638957.8256999997</v>
      </c>
      <c r="AI26" s="12">
        <v>1679727.9208666664</v>
      </c>
      <c r="AJ26" s="12">
        <v>1728652.0350666668</v>
      </c>
      <c r="AK26" s="12">
        <v>1777576.1492666665</v>
      </c>
      <c r="AL26" s="12">
        <v>1818346.2444333332</v>
      </c>
      <c r="AM26" s="12">
        <v>1867270.3586333334</v>
      </c>
      <c r="AN26" s="12">
        <v>1908040.4537999998</v>
      </c>
    </row>
    <row r="27" spans="2:50" outlineLevel="1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_xlfn.LET(_xlpm.site,$B$1&amp;"-"&amp;$C$1,_xlpm.locations,Base!$D$4:$BD$4,_xlpm.rates,Base!$D32:$BD32,_xlpm.hours,Base!$D75:$BD75,_xlpm.comp,_xlpm.rates*_xlpm.hours,_xlpm.Customer,_xlfn.ANCHORARRAY($E$1),
_xlpm.Customer_comp,_xlfn.XLOOKUP(_xlpm.site,_xlpm.locations,_xlpm.comp,0,0),_xlpm.ann_incr,_xlfn.XLOOKUP(YEAR(_xlfn.ANCHORARRAY($E$25)),Base!$BJ$4:$BL$4,Base!$BJ75:$BL75,0,0),
_xlpm.bad_debt,_xlfn.XLOOKUP(_xlpm.site,_xlpm.locations,Base!$D$28:$BD$28,0,0),_xlpm.Customer_comp*_xlpm.Customer*_xlpm.bad_debt*_xlpm.ann_incr*(52/12))</f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12">
        <v>0</v>
      </c>
      <c r="AA27" s="12">
        <v>0</v>
      </c>
      <c r="AB27" s="12">
        <v>0</v>
      </c>
      <c r="AC27" s="12">
        <v>0</v>
      </c>
      <c r="AD27" s="12">
        <v>0</v>
      </c>
      <c r="AE27" s="12">
        <v>0</v>
      </c>
      <c r="AF27" s="12">
        <v>0</v>
      </c>
      <c r="AG27" s="12">
        <v>0</v>
      </c>
      <c r="AH27" s="12">
        <v>0</v>
      </c>
      <c r="AI27" s="12">
        <v>0</v>
      </c>
      <c r="AJ27" s="12">
        <v>0</v>
      </c>
      <c r="AK27" s="12">
        <v>0</v>
      </c>
      <c r="AL27" s="12">
        <v>0</v>
      </c>
      <c r="AM27" s="12">
        <v>0</v>
      </c>
      <c r="AN27" s="12">
        <v>0</v>
      </c>
    </row>
    <row r="28" spans="2:50" outlineLevel="1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_xlfn.LET(_xlpm.site,$B$1&amp;"-"&amp;$C$1,_xlpm.locations,Base!$D$4:$BD$4,_xlpm.rates,Base!$D33:$BD33,_xlpm.hours,Base!$D76:$BD76,_xlpm.comp,_xlpm.rates*_xlpm.hours,_xlpm.Customer,_xlfn.ANCHORARRAY($E$1),
_xlpm.Customer_comp,_xlfn.XLOOKUP(_xlpm.site,_xlpm.locations,_xlpm.comp,0,0),_xlpm.ann_incr,_xlfn.XLOOKUP(YEAR(_xlfn.ANCHORARRAY($E$25)),Base!$BJ$4:$BL$4,Base!$BJ76:$BL76,0,0),
_xlpm.bad_debt,_xlfn.XLOOKUP(_xlpm.site,_xlpm.locations,Base!$D$28:$BD$28,0,0),_xlpm.Customer_comp*_xlpm.Customer*_xlpm.bad_debt*_xlpm.ann_incr*(52/12))</f>
        <v>0</v>
      </c>
      <c r="F28" s="12">
        <v>0</v>
      </c>
      <c r="G28" s="12">
        <v>0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0</v>
      </c>
      <c r="N28" s="12">
        <v>0</v>
      </c>
      <c r="O28" s="12">
        <v>0</v>
      </c>
      <c r="P28" s="12">
        <v>0</v>
      </c>
      <c r="Q28" s="12">
        <v>23910.764019999991</v>
      </c>
      <c r="R28" s="12">
        <v>48908.380949999984</v>
      </c>
      <c r="S28" s="12">
        <v>72819.144969999979</v>
      </c>
      <c r="T28" s="12">
        <v>96729.908989999982</v>
      </c>
      <c r="U28" s="12">
        <v>120640.67300999997</v>
      </c>
      <c r="V28" s="12">
        <v>145638.28993999996</v>
      </c>
      <c r="W28" s="12">
        <v>151072.55448999998</v>
      </c>
      <c r="X28" s="12">
        <v>157593.67194999996</v>
      </c>
      <c r="Y28" s="12">
        <v>163027.93649999992</v>
      </c>
      <c r="Z28" s="12">
        <v>169549.05395999999</v>
      </c>
      <c r="AA28" s="12">
        <v>176070.17141999997</v>
      </c>
      <c r="AB28" s="12">
        <v>181504.43596999993</v>
      </c>
      <c r="AC28" s="12">
        <v>188025.55342999997</v>
      </c>
      <c r="AD28" s="12">
        <v>193459.81797999996</v>
      </c>
      <c r="AE28" s="12">
        <v>199980.93543999994</v>
      </c>
      <c r="AF28" s="12">
        <v>206502.05289999992</v>
      </c>
      <c r="AG28" s="12">
        <v>211936.31744999994</v>
      </c>
      <c r="AH28" s="12">
        <v>218457.43490999992</v>
      </c>
      <c r="AI28" s="12">
        <v>223891.69945999995</v>
      </c>
      <c r="AJ28" s="12">
        <v>230412.81691999992</v>
      </c>
      <c r="AK28" s="12">
        <v>236933.9343799999</v>
      </c>
      <c r="AL28" s="12">
        <v>242368.19892999993</v>
      </c>
      <c r="AM28" s="12">
        <v>248889.31638999993</v>
      </c>
      <c r="AN28" s="12">
        <v>254323.5809399999</v>
      </c>
    </row>
    <row r="29" spans="2:50" outlineLevel="1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_xlfn.LET(_xlpm.site,$B$1&amp;"-"&amp;$C$1,_xlpm.locations,Base!$D$4:$BD$4,_xlpm.rates,Base!$D34:$BD34,_xlpm.hours,Base!$D77:$BD77,_xlpm.comp,_xlpm.rates*_xlpm.hours,_xlpm.Customer,_xlfn.ANCHORARRAY($E$1),
_xlpm.Customer_comp,_xlfn.XLOOKUP(_xlpm.site,_xlpm.locations,_xlpm.comp,0,0),_xlpm.ann_incr,_xlfn.XLOOKUP(YEAR(_xlfn.ANCHORARRAY($E$25)),Base!$BJ$4:$BL$4,Base!$BJ77:$BL77,0,0),
_xlpm.bad_debt,_xlfn.XLOOKUP(_xlpm.site,_xlpm.locations,Base!$D$28:$BD$28,0,0),_xlpm.Customer_comp*_xlpm.Customer*_xlpm.bad_debt*_xlpm.ann_incr*(52/12))</f>
        <v>0</v>
      </c>
      <c r="F29" s="12">
        <v>0</v>
      </c>
      <c r="G29" s="12">
        <v>0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0</v>
      </c>
      <c r="N29" s="12">
        <v>0</v>
      </c>
      <c r="O29" s="12">
        <v>0</v>
      </c>
      <c r="P29" s="12">
        <v>0</v>
      </c>
      <c r="Q29" s="12">
        <v>3678.5790799999995</v>
      </c>
      <c r="R29" s="12">
        <v>7524.3662999999997</v>
      </c>
      <c r="S29" s="12">
        <v>11202.945379999999</v>
      </c>
      <c r="T29" s="12">
        <v>14881.524459999999</v>
      </c>
      <c r="U29" s="12">
        <v>18560.10354</v>
      </c>
      <c r="V29" s="12">
        <v>22405.890759999998</v>
      </c>
      <c r="W29" s="12">
        <v>23241.931459999996</v>
      </c>
      <c r="X29" s="12">
        <v>24245.1803</v>
      </c>
      <c r="Y29" s="12">
        <v>25081.221000000001</v>
      </c>
      <c r="Z29" s="12">
        <v>26084.469840000005</v>
      </c>
      <c r="AA29" s="12">
        <v>27087.718680000002</v>
      </c>
      <c r="AB29" s="12">
        <v>27923.759379999996</v>
      </c>
      <c r="AC29" s="12">
        <v>28927.00822</v>
      </c>
      <c r="AD29" s="12">
        <v>29763.048919999997</v>
      </c>
      <c r="AE29" s="12">
        <v>30766.297759999998</v>
      </c>
      <c r="AF29" s="12">
        <v>31769.546599999998</v>
      </c>
      <c r="AG29" s="12">
        <v>32605.587299999999</v>
      </c>
      <c r="AH29" s="12">
        <v>33608.836139999999</v>
      </c>
      <c r="AI29" s="12">
        <v>34444.876839999997</v>
      </c>
      <c r="AJ29" s="12">
        <v>35448.125679999997</v>
      </c>
      <c r="AK29" s="12">
        <v>36451.374519999998</v>
      </c>
      <c r="AL29" s="12">
        <v>37287.415219999995</v>
      </c>
      <c r="AM29" s="12">
        <v>38290.664060000003</v>
      </c>
      <c r="AN29" s="12">
        <v>39126.704760000001</v>
      </c>
    </row>
    <row r="30" spans="2:50" outlineLevel="1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_xlfn.LET(_xlpm.site,$B$1&amp;"-"&amp;$C$1,_xlpm.locations,Base!$D$4:$BD$4,_xlpm.rates,Base!$D35:$BD35,_xlpm.hours,Base!$D78:$BD78,_xlpm.comp,_xlpm.rates*_xlpm.hours,_xlpm.Customer,_xlfn.ANCHORARRAY($E$1),
_xlpm.Customer_comp,_xlfn.XLOOKUP(_xlpm.site,_xlpm.locations,_xlpm.comp,0,0),_xlpm.ann_incr,_xlfn.XLOOKUP(YEAR(_xlfn.ANCHORARRAY($E$25)),Base!$BJ$4:$BL$4,Base!$BJ78:$BL78,0,0),
_xlpm.bad_debt,_xlfn.XLOOKUP(_xlpm.site,_xlpm.locations,Base!$D$28:$BD$28,0,0),_xlpm.Customer_comp*_xlpm.Customer*_xlpm.bad_debt*_xlpm.ann_incr*(52/12))</f>
        <v>0</v>
      </c>
      <c r="F30" s="12">
        <v>0</v>
      </c>
      <c r="G30" s="12">
        <v>0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0</v>
      </c>
      <c r="N30" s="12">
        <v>0</v>
      </c>
      <c r="O30" s="12">
        <v>0</v>
      </c>
      <c r="P30" s="12">
        <v>0</v>
      </c>
      <c r="Q30" s="12">
        <v>4799.6901333333326</v>
      </c>
      <c r="R30" s="12">
        <v>9817.5479999999989</v>
      </c>
      <c r="S30" s="12">
        <v>14617.238133333334</v>
      </c>
      <c r="T30" s="12">
        <v>19416.928266666666</v>
      </c>
      <c r="U30" s="12">
        <v>24216.618399999996</v>
      </c>
      <c r="V30" s="12">
        <v>29234.476266666668</v>
      </c>
      <c r="W30" s="12">
        <v>30325.314933333331</v>
      </c>
      <c r="X30" s="12">
        <v>31634.32133333333</v>
      </c>
      <c r="Y30" s="12">
        <v>32725.159999999996</v>
      </c>
      <c r="Z30" s="12">
        <v>34034.166400000002</v>
      </c>
      <c r="AA30" s="12">
        <v>35343.1728</v>
      </c>
      <c r="AB30" s="12">
        <v>36434.011466666663</v>
      </c>
      <c r="AC30" s="12">
        <v>37743.017866666662</v>
      </c>
      <c r="AD30" s="12">
        <v>38833.856533333332</v>
      </c>
      <c r="AE30" s="12">
        <v>40142.86293333333</v>
      </c>
      <c r="AF30" s="12">
        <v>41451.869333333329</v>
      </c>
      <c r="AG30" s="12">
        <v>42542.707999999999</v>
      </c>
      <c r="AH30" s="12">
        <v>43851.714399999997</v>
      </c>
      <c r="AI30" s="12">
        <v>44942.55306666666</v>
      </c>
      <c r="AJ30" s="12">
        <v>46251.559466666658</v>
      </c>
      <c r="AK30" s="12">
        <v>47560.565866666664</v>
      </c>
      <c r="AL30" s="12">
        <v>48651.404533333327</v>
      </c>
      <c r="AM30" s="12">
        <v>49960.410933333325</v>
      </c>
      <c r="AN30" s="12">
        <v>51051.249599999996</v>
      </c>
    </row>
    <row r="31" spans="2:50" outlineLevel="1" x14ac:dyDescent="0.25">
      <c r="B31" s="39" t="str">
        <f>Base!B36</f>
        <v>Tertiary Direct Staff - Service A</v>
      </c>
      <c r="C31" s="4"/>
      <c r="E31" s="183" cm="1">
        <f t="array" ref="E31:AN31">_xlfn.BYCOL(_xlfn.ANCHORARRAY($E$25),_xlfn.LAMBDA(_xlpm.a,0))</f>
        <v>0</v>
      </c>
      <c r="F31" s="183">
        <v>0</v>
      </c>
      <c r="G31" s="183">
        <v>0</v>
      </c>
      <c r="H31" s="183">
        <v>0</v>
      </c>
      <c r="I31" s="183">
        <v>0</v>
      </c>
      <c r="J31" s="183">
        <v>0</v>
      </c>
      <c r="K31" s="183">
        <v>0</v>
      </c>
      <c r="L31" s="183">
        <v>0</v>
      </c>
      <c r="M31" s="183">
        <v>0</v>
      </c>
      <c r="N31" s="183">
        <v>0</v>
      </c>
      <c r="O31" s="183">
        <v>0</v>
      </c>
      <c r="P31" s="183">
        <v>0</v>
      </c>
      <c r="Q31" s="183">
        <v>0</v>
      </c>
      <c r="R31" s="183">
        <v>0</v>
      </c>
      <c r="S31" s="183">
        <v>0</v>
      </c>
      <c r="T31" s="183">
        <v>0</v>
      </c>
      <c r="U31" s="183">
        <v>0</v>
      </c>
      <c r="V31" s="183">
        <v>0</v>
      </c>
      <c r="W31" s="183">
        <v>0</v>
      </c>
      <c r="X31" s="183">
        <v>0</v>
      </c>
      <c r="Y31" s="183">
        <v>0</v>
      </c>
      <c r="Z31" s="183">
        <v>0</v>
      </c>
      <c r="AA31" s="183">
        <v>0</v>
      </c>
      <c r="AB31" s="183">
        <v>0</v>
      </c>
      <c r="AC31" s="183">
        <v>0</v>
      </c>
      <c r="AD31" s="183">
        <v>0</v>
      </c>
      <c r="AE31" s="183">
        <v>0</v>
      </c>
      <c r="AF31" s="183">
        <v>0</v>
      </c>
      <c r="AG31" s="183">
        <v>0</v>
      </c>
      <c r="AH31" s="183">
        <v>0</v>
      </c>
      <c r="AI31" s="183">
        <v>0</v>
      </c>
      <c r="AJ31" s="183">
        <v>0</v>
      </c>
      <c r="AK31" s="183">
        <v>0</v>
      </c>
      <c r="AL31" s="183">
        <v>0</v>
      </c>
      <c r="AM31" s="183">
        <v>0</v>
      </c>
      <c r="AN31" s="183">
        <v>0</v>
      </c>
    </row>
    <row r="32" spans="2:50" outlineLevel="1" x14ac:dyDescent="0.25">
      <c r="B32" s="39" t="str">
        <f>Base!B37</f>
        <v>Tertiary Direct Staff - Service B</v>
      </c>
      <c r="C32" s="4"/>
      <c r="E32" s="183" cm="1">
        <f t="array" ref="E32:AN32">_xlfn.BYCOL(_xlfn.ANCHORARRAY($E$25),_xlfn.LAMBDA(_xlpm.a,0))</f>
        <v>0</v>
      </c>
      <c r="F32" s="183">
        <v>0</v>
      </c>
      <c r="G32" s="183">
        <v>0</v>
      </c>
      <c r="H32" s="183">
        <v>0</v>
      </c>
      <c r="I32" s="183">
        <v>0</v>
      </c>
      <c r="J32" s="183">
        <v>0</v>
      </c>
      <c r="K32" s="183">
        <v>0</v>
      </c>
      <c r="L32" s="183">
        <v>0</v>
      </c>
      <c r="M32" s="183">
        <v>0</v>
      </c>
      <c r="N32" s="183">
        <v>0</v>
      </c>
      <c r="O32" s="183">
        <v>0</v>
      </c>
      <c r="P32" s="183">
        <v>0</v>
      </c>
      <c r="Q32" s="183">
        <v>0</v>
      </c>
      <c r="R32" s="183">
        <v>0</v>
      </c>
      <c r="S32" s="183">
        <v>0</v>
      </c>
      <c r="T32" s="183">
        <v>0</v>
      </c>
      <c r="U32" s="183">
        <v>0</v>
      </c>
      <c r="V32" s="183">
        <v>0</v>
      </c>
      <c r="W32" s="183">
        <v>0</v>
      </c>
      <c r="X32" s="183">
        <v>0</v>
      </c>
      <c r="Y32" s="183">
        <v>0</v>
      </c>
      <c r="Z32" s="183">
        <v>0</v>
      </c>
      <c r="AA32" s="183">
        <v>0</v>
      </c>
      <c r="AB32" s="183">
        <v>0</v>
      </c>
      <c r="AC32" s="183">
        <v>0</v>
      </c>
      <c r="AD32" s="183">
        <v>0</v>
      </c>
      <c r="AE32" s="183">
        <v>0</v>
      </c>
      <c r="AF32" s="183">
        <v>0</v>
      </c>
      <c r="AG32" s="183">
        <v>0</v>
      </c>
      <c r="AH32" s="183">
        <v>0</v>
      </c>
      <c r="AI32" s="183">
        <v>0</v>
      </c>
      <c r="AJ32" s="183">
        <v>0</v>
      </c>
      <c r="AK32" s="183">
        <v>0</v>
      </c>
      <c r="AL32" s="183">
        <v>0</v>
      </c>
      <c r="AM32" s="183">
        <v>0</v>
      </c>
      <c r="AN32" s="183">
        <v>0</v>
      </c>
    </row>
    <row r="33" spans="2:40" outlineLevel="1" x14ac:dyDescent="0.25">
      <c r="B33" s="39" t="str">
        <f>Base!B38</f>
        <v>Quaternary Direct Staff - Service A</v>
      </c>
      <c r="C33" s="4"/>
      <c r="E33" s="183" cm="1">
        <f t="array" ref="E33:AN33">_xlfn.BYCOL(_xlfn.ANCHORARRAY($E$25),_xlfn.LAMBDA(_xlpm.a,0))</f>
        <v>0</v>
      </c>
      <c r="F33" s="183">
        <v>0</v>
      </c>
      <c r="G33" s="183">
        <v>0</v>
      </c>
      <c r="H33" s="183">
        <v>0</v>
      </c>
      <c r="I33" s="183">
        <v>0</v>
      </c>
      <c r="J33" s="183">
        <v>0</v>
      </c>
      <c r="K33" s="183">
        <v>0</v>
      </c>
      <c r="L33" s="183">
        <v>0</v>
      </c>
      <c r="M33" s="183">
        <v>0</v>
      </c>
      <c r="N33" s="183">
        <v>0</v>
      </c>
      <c r="O33" s="183">
        <v>0</v>
      </c>
      <c r="P33" s="183">
        <v>0</v>
      </c>
      <c r="Q33" s="183">
        <v>0</v>
      </c>
      <c r="R33" s="183">
        <v>0</v>
      </c>
      <c r="S33" s="183">
        <v>0</v>
      </c>
      <c r="T33" s="183">
        <v>0</v>
      </c>
      <c r="U33" s="183">
        <v>0</v>
      </c>
      <c r="V33" s="183">
        <v>0</v>
      </c>
      <c r="W33" s="183">
        <v>0</v>
      </c>
      <c r="X33" s="183">
        <v>0</v>
      </c>
      <c r="Y33" s="183">
        <v>0</v>
      </c>
      <c r="Z33" s="183">
        <v>0</v>
      </c>
      <c r="AA33" s="183">
        <v>0</v>
      </c>
      <c r="AB33" s="183">
        <v>0</v>
      </c>
      <c r="AC33" s="183">
        <v>0</v>
      </c>
      <c r="AD33" s="183">
        <v>0</v>
      </c>
      <c r="AE33" s="183">
        <v>0</v>
      </c>
      <c r="AF33" s="183">
        <v>0</v>
      </c>
      <c r="AG33" s="183">
        <v>0</v>
      </c>
      <c r="AH33" s="183">
        <v>0</v>
      </c>
      <c r="AI33" s="183">
        <v>0</v>
      </c>
      <c r="AJ33" s="183">
        <v>0</v>
      </c>
      <c r="AK33" s="183">
        <v>0</v>
      </c>
      <c r="AL33" s="183">
        <v>0</v>
      </c>
      <c r="AM33" s="183">
        <v>0</v>
      </c>
      <c r="AN33" s="183">
        <v>0</v>
      </c>
    </row>
    <row r="34" spans="2:40" outlineLevel="1" x14ac:dyDescent="0.25">
      <c r="B34" s="39" t="str">
        <f>Base!B39</f>
        <v>Quinary Direct Staff - Service A</v>
      </c>
      <c r="C34" s="4"/>
      <c r="E34" s="183" cm="1">
        <f t="array" ref="E34:AN34">_xlfn.BYCOL(_xlfn.ANCHORARRAY($E$25),_xlfn.LAMBDA(_xlpm.a,0))</f>
        <v>0</v>
      </c>
      <c r="F34" s="183">
        <v>0</v>
      </c>
      <c r="G34" s="183">
        <v>0</v>
      </c>
      <c r="H34" s="183">
        <v>0</v>
      </c>
      <c r="I34" s="183">
        <v>0</v>
      </c>
      <c r="J34" s="183">
        <v>0</v>
      </c>
      <c r="K34" s="183">
        <v>0</v>
      </c>
      <c r="L34" s="183">
        <v>0</v>
      </c>
      <c r="M34" s="183">
        <v>0</v>
      </c>
      <c r="N34" s="183">
        <v>0</v>
      </c>
      <c r="O34" s="183">
        <v>0</v>
      </c>
      <c r="P34" s="183">
        <v>0</v>
      </c>
      <c r="Q34" s="183">
        <v>0</v>
      </c>
      <c r="R34" s="183">
        <v>0</v>
      </c>
      <c r="S34" s="183">
        <v>0</v>
      </c>
      <c r="T34" s="183">
        <v>0</v>
      </c>
      <c r="U34" s="183">
        <v>0</v>
      </c>
      <c r="V34" s="183">
        <v>0</v>
      </c>
      <c r="W34" s="183">
        <v>0</v>
      </c>
      <c r="X34" s="183">
        <v>0</v>
      </c>
      <c r="Y34" s="183">
        <v>0</v>
      </c>
      <c r="Z34" s="183">
        <v>0</v>
      </c>
      <c r="AA34" s="183">
        <v>0</v>
      </c>
      <c r="AB34" s="183">
        <v>0</v>
      </c>
      <c r="AC34" s="183">
        <v>0</v>
      </c>
      <c r="AD34" s="183">
        <v>0</v>
      </c>
      <c r="AE34" s="183">
        <v>0</v>
      </c>
      <c r="AF34" s="183">
        <v>0</v>
      </c>
      <c r="AG34" s="183">
        <v>0</v>
      </c>
      <c r="AH34" s="183">
        <v>0</v>
      </c>
      <c r="AI34" s="183">
        <v>0</v>
      </c>
      <c r="AJ34" s="183">
        <v>0</v>
      </c>
      <c r="AK34" s="183">
        <v>0</v>
      </c>
      <c r="AL34" s="183">
        <v>0</v>
      </c>
      <c r="AM34" s="183">
        <v>0</v>
      </c>
      <c r="AN34" s="183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0</v>
      </c>
      <c r="F35" s="12">
        <v>0</v>
      </c>
      <c r="G35" s="12">
        <v>0</v>
      </c>
      <c r="H35" s="12">
        <v>0</v>
      </c>
      <c r="I35" s="12">
        <v>0</v>
      </c>
      <c r="J35" s="12">
        <v>0</v>
      </c>
      <c r="K35" s="12">
        <v>0</v>
      </c>
      <c r="L35" s="12">
        <v>0</v>
      </c>
      <c r="M35" s="12">
        <v>0</v>
      </c>
      <c r="N35" s="12">
        <v>0</v>
      </c>
      <c r="O35" s="12">
        <v>0</v>
      </c>
      <c r="P35" s="12">
        <v>0</v>
      </c>
      <c r="Q35" s="12">
        <v>-25413.294235999994</v>
      </c>
      <c r="R35" s="12">
        <v>-51981.738209999989</v>
      </c>
      <c r="S35" s="12">
        <v>-77395.032446000012</v>
      </c>
      <c r="T35" s="12">
        <v>-102808.32668200001</v>
      </c>
      <c r="U35" s="12">
        <v>-128221.620918</v>
      </c>
      <c r="V35" s="12">
        <v>-154790.06489200002</v>
      </c>
      <c r="W35" s="12">
        <v>-160565.813582</v>
      </c>
      <c r="X35" s="12">
        <v>-167496.71200999993</v>
      </c>
      <c r="Y35" s="12">
        <v>-173272.46069999994</v>
      </c>
      <c r="Z35" s="12">
        <v>-180203.35912799992</v>
      </c>
      <c r="AA35" s="12">
        <v>-187134.25755599997</v>
      </c>
      <c r="AB35" s="12">
        <v>-192910.006246</v>
      </c>
      <c r="AC35" s="12">
        <v>-199840.90467399996</v>
      </c>
      <c r="AD35" s="12">
        <v>-205616.65336400003</v>
      </c>
      <c r="AE35" s="12">
        <v>-212547.55179199998</v>
      </c>
      <c r="AF35" s="12">
        <v>-219478.45021999997</v>
      </c>
      <c r="AG35" s="12">
        <v>-225254.19891000001</v>
      </c>
      <c r="AH35" s="12">
        <v>-232185.09733799993</v>
      </c>
      <c r="AI35" s="12">
        <v>-237960.84602799997</v>
      </c>
      <c r="AJ35" s="12">
        <v>-244891.74445599999</v>
      </c>
      <c r="AK35" s="12">
        <v>-251822.64288399997</v>
      </c>
      <c r="AL35" s="12">
        <v>-257598.39157399992</v>
      </c>
      <c r="AM35" s="12">
        <v>-264529.29000199999</v>
      </c>
      <c r="AN35" s="12">
        <v>-270305.03869199997</v>
      </c>
    </row>
    <row r="36" spans="2:40" x14ac:dyDescent="0.25">
      <c r="B36" s="39" t="s">
        <v>261</v>
      </c>
      <c r="C36" s="4"/>
      <c r="E36" s="183" cm="1">
        <f t="array" ref="E36:AN36">_xlfn.BYCOL(_xlfn.ANCHORARRAY($E$25),_xlfn.LAMBDA(_xlpm.a,0))</f>
        <v>0</v>
      </c>
      <c r="F36" s="183">
        <v>0</v>
      </c>
      <c r="G36" s="183">
        <v>0</v>
      </c>
      <c r="H36" s="183">
        <v>0</v>
      </c>
      <c r="I36" s="183">
        <v>0</v>
      </c>
      <c r="J36" s="183">
        <v>0</v>
      </c>
      <c r="K36" s="183">
        <v>0</v>
      </c>
      <c r="L36" s="183">
        <v>0</v>
      </c>
      <c r="M36" s="183">
        <v>0</v>
      </c>
      <c r="N36" s="183">
        <v>0</v>
      </c>
      <c r="O36" s="183">
        <v>0</v>
      </c>
      <c r="P36" s="183">
        <v>0</v>
      </c>
      <c r="Q36" s="183">
        <v>0</v>
      </c>
      <c r="R36" s="183">
        <v>0</v>
      </c>
      <c r="S36" s="183">
        <v>0</v>
      </c>
      <c r="T36" s="183">
        <v>0</v>
      </c>
      <c r="U36" s="183">
        <v>0</v>
      </c>
      <c r="V36" s="183">
        <v>0</v>
      </c>
      <c r="W36" s="183">
        <v>0</v>
      </c>
      <c r="X36" s="183">
        <v>0</v>
      </c>
      <c r="Y36" s="183">
        <v>0</v>
      </c>
      <c r="Z36" s="183">
        <v>0</v>
      </c>
      <c r="AA36" s="183">
        <v>0</v>
      </c>
      <c r="AB36" s="183">
        <v>0</v>
      </c>
      <c r="AC36" s="183">
        <v>0</v>
      </c>
      <c r="AD36" s="183">
        <v>0</v>
      </c>
      <c r="AE36" s="183">
        <v>0</v>
      </c>
      <c r="AF36" s="183">
        <v>0</v>
      </c>
      <c r="AG36" s="183">
        <v>0</v>
      </c>
      <c r="AH36" s="183">
        <v>0</v>
      </c>
      <c r="AI36" s="183">
        <v>0</v>
      </c>
      <c r="AJ36" s="183">
        <v>0</v>
      </c>
      <c r="AK36" s="183">
        <v>0</v>
      </c>
      <c r="AL36" s="183">
        <v>0</v>
      </c>
      <c r="AM36" s="183">
        <v>0</v>
      </c>
      <c r="AN36" s="183">
        <v>0</v>
      </c>
    </row>
    <row r="37" spans="2:40" x14ac:dyDescent="0.25">
      <c r="B37" s="1" t="s">
        <v>271</v>
      </c>
      <c r="C37" s="15"/>
      <c r="E37" s="13" cm="1">
        <f t="array" ref="E37:AN37">_xlfn.BYCOL(_xlfn.VSTACK(_xlfn.ANCHORARRAY(E26),_xlfn.ANCHORARRAY(E27),_xlfn.ANCHORARRAY(E28),_xlfn.ANCHORARRAY(E29),_xlfn.ANCHORARRAY(E30),_xlfn.ANCHORARRAY(E31),_xlfn.ANCHORARRAY(E32),_xlfn.ANCHORARRAY(E33),_xlfn.ANCHORARRAY(E34),_xlfn.ANCHORARRAY(E35),_xlfn.ANCHORARRAY(E36)),_xlfn.LAMBDA(_xlpm.a,SUM(_xlpm.a)))</f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186364.15773066663</v>
      </c>
      <c r="R37" s="13">
        <v>381199.41353999992</v>
      </c>
      <c r="S37" s="13">
        <v>567563.57127066678</v>
      </c>
      <c r="T37" s="13">
        <v>753927.72900133347</v>
      </c>
      <c r="U37" s="13">
        <v>940291.88673200004</v>
      </c>
      <c r="V37" s="13">
        <v>1135127.1425413336</v>
      </c>
      <c r="W37" s="13">
        <v>1177482.6329346667</v>
      </c>
      <c r="X37" s="13">
        <v>1228309.2214066663</v>
      </c>
      <c r="Y37" s="13">
        <v>1270664.7117999997</v>
      </c>
      <c r="Z37" s="13">
        <v>1321491.3002719996</v>
      </c>
      <c r="AA37" s="13">
        <v>1372317.8887439999</v>
      </c>
      <c r="AB37" s="13">
        <v>1414673.3791373332</v>
      </c>
      <c r="AC37" s="13">
        <v>1465499.9676093331</v>
      </c>
      <c r="AD37" s="13">
        <v>1507855.4580026669</v>
      </c>
      <c r="AE37" s="13">
        <v>1558682.0464746666</v>
      </c>
      <c r="AF37" s="13">
        <v>1609508.6349466664</v>
      </c>
      <c r="AG37" s="13">
        <v>1651864.12534</v>
      </c>
      <c r="AH37" s="13">
        <v>1702690.7138119997</v>
      </c>
      <c r="AI37" s="13">
        <v>1745046.2042053333</v>
      </c>
      <c r="AJ37" s="13">
        <v>1795872.7926773333</v>
      </c>
      <c r="AK37" s="13">
        <v>1846699.3811493332</v>
      </c>
      <c r="AL37" s="13">
        <v>1889054.8715426661</v>
      </c>
      <c r="AM37" s="13">
        <v>1939881.4600146664</v>
      </c>
      <c r="AN37" s="13">
        <v>1982236.950408</v>
      </c>
    </row>
    <row r="39" spans="2:40" x14ac:dyDescent="0.25">
      <c r="B39" s="1" t="s">
        <v>118</v>
      </c>
    </row>
    <row r="40" spans="2:40" x14ac:dyDescent="0.25">
      <c r="B40" s="39" t="s">
        <v>23</v>
      </c>
      <c r="E40" s="12" cm="1">
        <f t="array" ref="E40:AN40">_xlfn.LET(_xlpm.site,$B$1&amp;"-"&amp;$C$1,_xlpm.locations,Base!$D$4:$BD$4,_xlpm.annual_increase,_xlfn.XLOOKUP(YEAR(_xlfn.ANCHORARRAY($E$25)),Base!$BJ$4:$BL$4,Base!$BJ$105:$BL$119,0,0),
_xlpm.benefits,1+_xlfn.XLOOKUP(_xlpm.site,_xlpm.locations,Base!$D$124:$BD$124,0,0),
_xlfn.BYCOL(_xlfn.XLOOKUP(_xlpm.site,_xlpm.locations,Base!$D$186:$BD$254)*Base!$C$186:$C$254*--(Base!$A$186:$A$254&lt;=_xlfn.ANCHORARRAY($E$25)),_xlfn.LAMBDA(_xlpm.a,SUM(_xlpm.a)))*_xlpm.benefits*_xlpm.annual_increase)</f>
        <v>0</v>
      </c>
      <c r="F40" s="12">
        <v>0</v>
      </c>
      <c r="G40" s="12">
        <v>0</v>
      </c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0</v>
      </c>
      <c r="N40" s="12">
        <v>0</v>
      </c>
      <c r="O40" s="12">
        <v>0</v>
      </c>
      <c r="P40" s="12">
        <v>0</v>
      </c>
      <c r="Q40" s="12">
        <v>10633.333333333334</v>
      </c>
      <c r="R40" s="12">
        <v>10633.333333333334</v>
      </c>
      <c r="S40" s="12">
        <v>10633.333333333334</v>
      </c>
      <c r="T40" s="12">
        <v>10633.333333333334</v>
      </c>
      <c r="U40" s="12">
        <v>10633.333333333334</v>
      </c>
      <c r="V40" s="12">
        <v>10633.333333333334</v>
      </c>
      <c r="W40" s="12">
        <v>10633.333333333334</v>
      </c>
      <c r="X40" s="12">
        <v>10633.333333333334</v>
      </c>
      <c r="Y40" s="12">
        <v>10633.333333333334</v>
      </c>
      <c r="Z40" s="12">
        <v>10633.333333333334</v>
      </c>
      <c r="AA40" s="12">
        <v>10633.333333333334</v>
      </c>
      <c r="AB40" s="12">
        <v>10633.333333333334</v>
      </c>
      <c r="AC40" s="12">
        <v>11696.666666666668</v>
      </c>
      <c r="AD40" s="12">
        <v>11696.666666666668</v>
      </c>
      <c r="AE40" s="12">
        <v>11696.666666666668</v>
      </c>
      <c r="AF40" s="12">
        <v>11696.666666666668</v>
      </c>
      <c r="AG40" s="12">
        <v>11696.666666666668</v>
      </c>
      <c r="AH40" s="12">
        <v>11696.666666666668</v>
      </c>
      <c r="AI40" s="12">
        <v>11696.666666666668</v>
      </c>
      <c r="AJ40" s="12">
        <v>11696.666666666668</v>
      </c>
      <c r="AK40" s="12">
        <v>11696.666666666668</v>
      </c>
      <c r="AL40" s="12">
        <v>11696.666666666668</v>
      </c>
      <c r="AM40" s="12">
        <v>11696.666666666668</v>
      </c>
      <c r="AN40" s="12">
        <v>11696.666666666668</v>
      </c>
    </row>
    <row r="41" spans="2:40" x14ac:dyDescent="0.25">
      <c r="B41" s="39" t="s">
        <v>388</v>
      </c>
      <c r="C41" s="142">
        <f>_xlfn.XLOOKUP($B$1&amp;"-"&amp;$C$1,Base!$D$4:$BD$4,Base!$D$12:$BD$12,0,0)</f>
        <v>90</v>
      </c>
      <c r="E41" s="12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102220.8</v>
      </c>
      <c r="R41" s="12">
        <v>209087.99999999994</v>
      </c>
      <c r="S41" s="12">
        <v>311308.79999999999</v>
      </c>
      <c r="T41" s="12">
        <v>413529.60000000003</v>
      </c>
      <c r="U41" s="12">
        <v>515750.39999999997</v>
      </c>
      <c r="V41" s="12">
        <v>622617.59999999998</v>
      </c>
      <c r="W41" s="12">
        <v>645849.59999999986</v>
      </c>
      <c r="X41" s="12">
        <v>673728</v>
      </c>
      <c r="Y41" s="12">
        <v>696960</v>
      </c>
      <c r="Z41" s="12">
        <v>724838.39999999991</v>
      </c>
      <c r="AA41" s="12">
        <v>752716.79999999993</v>
      </c>
      <c r="AB41" s="12">
        <v>775948.79999999981</v>
      </c>
      <c r="AC41" s="12">
        <v>803827.20000000007</v>
      </c>
      <c r="AD41" s="12">
        <v>827059.20000000007</v>
      </c>
      <c r="AE41" s="12">
        <v>854937.59999999986</v>
      </c>
      <c r="AF41" s="12">
        <v>882815.99999999988</v>
      </c>
      <c r="AG41" s="12">
        <v>906047.99999999988</v>
      </c>
      <c r="AH41" s="12">
        <v>933926.39999999991</v>
      </c>
      <c r="AI41" s="12">
        <v>957158.39999999991</v>
      </c>
      <c r="AJ41" s="12">
        <v>985036.79999999993</v>
      </c>
      <c r="AK41" s="12">
        <v>1012915.1999999998</v>
      </c>
      <c r="AL41" s="12">
        <v>1036147.1999999997</v>
      </c>
      <c r="AM41" s="12">
        <v>1064025.5999999999</v>
      </c>
      <c r="AN41" s="12">
        <v>1087257.5999999999</v>
      </c>
    </row>
    <row r="42" spans="2:40" x14ac:dyDescent="0.25">
      <c r="B42" s="39" t="s">
        <v>28</v>
      </c>
      <c r="E42" s="12" cm="1">
        <f t="array" ref="E42:AN42">_xlfn.BYCOL(_xlfn.ANCHORARRAY($E$25),_xlfn.LAMBDA(_xlpm.a,0))</f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0</v>
      </c>
      <c r="AJ42" s="12">
        <v>0</v>
      </c>
      <c r="AK42" s="12">
        <v>0</v>
      </c>
      <c r="AL42" s="12">
        <v>0</v>
      </c>
      <c r="AM42" s="12">
        <v>0</v>
      </c>
      <c r="AN42" s="12">
        <v>0</v>
      </c>
    </row>
    <row r="43" spans="2:40" x14ac:dyDescent="0.25">
      <c r="B43" s="39" t="s">
        <v>31</v>
      </c>
      <c r="E43" s="12" cm="1">
        <f t="array" ref="E43:AN43">_xlfn.BYCOL(_xlfn.ANCHORARRAY($E$25),_xlfn.LAMBDA(_xlpm.a,0))</f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0</v>
      </c>
      <c r="X43" s="12">
        <v>0</v>
      </c>
      <c r="Y43" s="12">
        <v>0</v>
      </c>
      <c r="Z43" s="12">
        <v>0</v>
      </c>
      <c r="AA43" s="12">
        <v>0</v>
      </c>
      <c r="AB43" s="12">
        <v>0</v>
      </c>
      <c r="AC43" s="12">
        <v>0</v>
      </c>
      <c r="AD43" s="12">
        <v>0</v>
      </c>
      <c r="AE43" s="12">
        <v>0</v>
      </c>
      <c r="AF43" s="12">
        <v>0</v>
      </c>
      <c r="AG43" s="12">
        <v>0</v>
      </c>
      <c r="AH43" s="12">
        <v>0</v>
      </c>
      <c r="AI43" s="12">
        <v>0</v>
      </c>
      <c r="AJ43" s="12">
        <v>0</v>
      </c>
      <c r="AK43" s="12">
        <v>0</v>
      </c>
      <c r="AL43" s="12">
        <v>0</v>
      </c>
      <c r="AM43" s="12">
        <v>0</v>
      </c>
      <c r="AN43" s="12">
        <v>0</v>
      </c>
    </row>
    <row r="44" spans="2:40" x14ac:dyDescent="0.25">
      <c r="B44" s="39" t="s">
        <v>34</v>
      </c>
      <c r="E44" s="12" cm="1">
        <f t="array" ref="E44:AN44">_xlfn.BYCOL(_xlfn.ANCHORARRAY($E$25),_xlfn.LAMBDA(_xlpm.a,0))</f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  <c r="O44" s="12">
        <v>0</v>
      </c>
      <c r="P44" s="12">
        <v>0</v>
      </c>
      <c r="Q44" s="12">
        <v>0</v>
      </c>
      <c r="R44" s="12">
        <v>0</v>
      </c>
      <c r="S44" s="12">
        <v>0</v>
      </c>
      <c r="T44" s="12">
        <v>0</v>
      </c>
      <c r="U44" s="12">
        <v>0</v>
      </c>
      <c r="V44" s="12">
        <v>0</v>
      </c>
      <c r="W44" s="12">
        <v>0</v>
      </c>
      <c r="X44" s="12">
        <v>0</v>
      </c>
      <c r="Y44" s="12">
        <v>0</v>
      </c>
      <c r="Z44" s="12">
        <v>0</v>
      </c>
      <c r="AA44" s="12">
        <v>0</v>
      </c>
      <c r="AB44" s="12">
        <v>0</v>
      </c>
      <c r="AC44" s="12">
        <v>0</v>
      </c>
      <c r="AD44" s="12">
        <v>0</v>
      </c>
      <c r="AE44" s="12">
        <v>0</v>
      </c>
      <c r="AF44" s="12">
        <v>0</v>
      </c>
      <c r="AG44" s="12">
        <v>0</v>
      </c>
      <c r="AH44" s="12">
        <v>0</v>
      </c>
      <c r="AI44" s="12">
        <v>0</v>
      </c>
      <c r="AJ44" s="12">
        <v>0</v>
      </c>
      <c r="AK44" s="12">
        <v>0</v>
      </c>
      <c r="AL44" s="12">
        <v>0</v>
      </c>
      <c r="AM44" s="12">
        <v>0</v>
      </c>
      <c r="AN44" s="12">
        <v>0</v>
      </c>
    </row>
    <row r="45" spans="2:40" x14ac:dyDescent="0.25">
      <c r="B45" s="39" t="s">
        <v>36</v>
      </c>
      <c r="E45" s="12" cm="1">
        <f t="array" ref="E45:AN45">_xlfn.BYCOL(_xlfn.ANCHORARRAY($E$25),_xlfn.LAMBDA(_xlpm.a,0))</f>
        <v>0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12">
        <v>0</v>
      </c>
      <c r="R45" s="12">
        <v>0</v>
      </c>
      <c r="S45" s="12">
        <v>0</v>
      </c>
      <c r="T45" s="12">
        <v>0</v>
      </c>
      <c r="U45" s="12">
        <v>0</v>
      </c>
      <c r="V45" s="12">
        <v>0</v>
      </c>
      <c r="W45" s="12">
        <v>0</v>
      </c>
      <c r="X45" s="12">
        <v>0</v>
      </c>
      <c r="Y45" s="12">
        <v>0</v>
      </c>
      <c r="Z45" s="12">
        <v>0</v>
      </c>
      <c r="AA45" s="12">
        <v>0</v>
      </c>
      <c r="AB45" s="12">
        <v>0</v>
      </c>
      <c r="AC45" s="12">
        <v>0</v>
      </c>
      <c r="AD45" s="12">
        <v>0</v>
      </c>
      <c r="AE45" s="12">
        <v>0</v>
      </c>
      <c r="AF45" s="12">
        <v>0</v>
      </c>
      <c r="AG45" s="12">
        <v>0</v>
      </c>
      <c r="AH45" s="12">
        <v>0</v>
      </c>
      <c r="AI45" s="12">
        <v>0</v>
      </c>
      <c r="AJ45" s="12">
        <v>0</v>
      </c>
      <c r="AK45" s="12">
        <v>0</v>
      </c>
      <c r="AL45" s="12">
        <v>0</v>
      </c>
      <c r="AM45" s="12">
        <v>0</v>
      </c>
      <c r="AN45" s="12">
        <v>0</v>
      </c>
    </row>
    <row r="46" spans="2:40" x14ac:dyDescent="0.25">
      <c r="B46" s="39" t="s">
        <v>38</v>
      </c>
      <c r="E46" s="12" cm="1">
        <f t="array" ref="E46:AN46">_xlfn.BYCOL(_xlfn.ANCHORARRAY($E$25),_xlfn.LAMBDA(_xlpm.a,0))</f>
        <v>0</v>
      </c>
      <c r="F46" s="12">
        <v>0</v>
      </c>
      <c r="G46" s="12">
        <v>0</v>
      </c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0</v>
      </c>
      <c r="N46" s="12">
        <v>0</v>
      </c>
      <c r="O46" s="12">
        <v>0</v>
      </c>
      <c r="P46" s="12">
        <v>0</v>
      </c>
      <c r="Q46" s="12">
        <v>0</v>
      </c>
      <c r="R46" s="12">
        <v>0</v>
      </c>
      <c r="S46" s="12">
        <v>0</v>
      </c>
      <c r="T46" s="12">
        <v>0</v>
      </c>
      <c r="U46" s="12">
        <v>0</v>
      </c>
      <c r="V46" s="12">
        <v>0</v>
      </c>
      <c r="W46" s="12">
        <v>0</v>
      </c>
      <c r="X46" s="12">
        <v>0</v>
      </c>
      <c r="Y46" s="12">
        <v>0</v>
      </c>
      <c r="Z46" s="12">
        <v>0</v>
      </c>
      <c r="AA46" s="12">
        <v>0</v>
      </c>
      <c r="AB46" s="12">
        <v>0</v>
      </c>
      <c r="AC46" s="12">
        <v>0</v>
      </c>
      <c r="AD46" s="12">
        <v>0</v>
      </c>
      <c r="AE46" s="12">
        <v>0</v>
      </c>
      <c r="AF46" s="12">
        <v>0</v>
      </c>
      <c r="AG46" s="12">
        <v>0</v>
      </c>
      <c r="AH46" s="12">
        <v>0</v>
      </c>
      <c r="AI46" s="12">
        <v>0</v>
      </c>
      <c r="AJ46" s="12">
        <v>0</v>
      </c>
      <c r="AK46" s="12">
        <v>0</v>
      </c>
      <c r="AL46" s="12">
        <v>0</v>
      </c>
      <c r="AM46" s="12">
        <v>0</v>
      </c>
      <c r="AN46" s="12">
        <v>0</v>
      </c>
    </row>
    <row r="47" spans="2:40" x14ac:dyDescent="0.25">
      <c r="B47" s="39" t="s">
        <v>40</v>
      </c>
      <c r="E47" s="12" cm="1">
        <f t="array" ref="E47:AN47">_xlfn.BYCOL(_xlfn.ANCHORARRAY($E$25),_xlfn.LAMBDA(_xlpm.a,0))</f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  <c r="O47" s="12">
        <v>0</v>
      </c>
      <c r="P47" s="12">
        <v>0</v>
      </c>
      <c r="Q47" s="12">
        <v>0</v>
      </c>
      <c r="R47" s="12">
        <v>0</v>
      </c>
      <c r="S47" s="12">
        <v>0</v>
      </c>
      <c r="T47" s="12">
        <v>0</v>
      </c>
      <c r="U47" s="12">
        <v>0</v>
      </c>
      <c r="V47" s="12">
        <v>0</v>
      </c>
      <c r="W47" s="12">
        <v>0</v>
      </c>
      <c r="X47" s="12">
        <v>0</v>
      </c>
      <c r="Y47" s="12">
        <v>0</v>
      </c>
      <c r="Z47" s="12">
        <v>0</v>
      </c>
      <c r="AA47" s="12">
        <v>0</v>
      </c>
      <c r="AB47" s="12">
        <v>0</v>
      </c>
      <c r="AC47" s="12">
        <v>0</v>
      </c>
      <c r="AD47" s="12">
        <v>0</v>
      </c>
      <c r="AE47" s="12">
        <v>0</v>
      </c>
      <c r="AF47" s="12">
        <v>0</v>
      </c>
      <c r="AG47" s="12">
        <v>0</v>
      </c>
      <c r="AH47" s="12">
        <v>0</v>
      </c>
      <c r="AI47" s="12">
        <v>0</v>
      </c>
      <c r="AJ47" s="12">
        <v>0</v>
      </c>
      <c r="AK47" s="12">
        <v>0</v>
      </c>
      <c r="AL47" s="12">
        <v>0</v>
      </c>
      <c r="AM47" s="12">
        <v>0</v>
      </c>
      <c r="AN47" s="12">
        <v>0</v>
      </c>
    </row>
    <row r="48" spans="2:40" x14ac:dyDescent="0.25">
      <c r="B48" s="39" t="s">
        <v>41</v>
      </c>
      <c r="E48" s="12" cm="1">
        <f t="array" ref="E48:AN48">_xlfn.BYCOL(_xlfn.ANCHORARRAY($E$25),_xlfn.LAMBDA(_xlpm.a,0))</f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42</v>
      </c>
      <c r="C49" s="142"/>
      <c r="E49" s="12" cm="1">
        <f t="array" ref="E49:AN49">_xlfn.BYCOL(_xlfn.ANCHORARRAY($E$25),_xlfn.LAMBDA(_xlpm.a,0))</f>
        <v>0</v>
      </c>
      <c r="F49" s="12">
        <v>0</v>
      </c>
      <c r="G49" s="12">
        <v>0</v>
      </c>
      <c r="H49" s="12">
        <v>0</v>
      </c>
      <c r="I49" s="12">
        <v>0</v>
      </c>
      <c r="J49" s="12">
        <v>0</v>
      </c>
      <c r="K49" s="12">
        <v>0</v>
      </c>
      <c r="L49" s="12">
        <v>0</v>
      </c>
      <c r="M49" s="12">
        <v>0</v>
      </c>
      <c r="N49" s="12">
        <v>0</v>
      </c>
      <c r="O49" s="12">
        <v>0</v>
      </c>
      <c r="P49" s="12">
        <v>0</v>
      </c>
      <c r="Q49" s="12">
        <v>0</v>
      </c>
      <c r="R49" s="12">
        <v>0</v>
      </c>
      <c r="S49" s="12">
        <v>0</v>
      </c>
      <c r="T49" s="12">
        <v>0</v>
      </c>
      <c r="U49" s="12">
        <v>0</v>
      </c>
      <c r="V49" s="12">
        <v>0</v>
      </c>
      <c r="W49" s="12">
        <v>0</v>
      </c>
      <c r="X49" s="12">
        <v>0</v>
      </c>
      <c r="Y49" s="12">
        <v>0</v>
      </c>
      <c r="Z49" s="12">
        <v>0</v>
      </c>
      <c r="AA49" s="12">
        <v>0</v>
      </c>
      <c r="AB49" s="12">
        <v>0</v>
      </c>
      <c r="AC49" s="12">
        <v>0</v>
      </c>
      <c r="AD49" s="12">
        <v>0</v>
      </c>
      <c r="AE49" s="12">
        <v>0</v>
      </c>
      <c r="AF49" s="12">
        <v>0</v>
      </c>
      <c r="AG49" s="12">
        <v>0</v>
      </c>
      <c r="AH49" s="12">
        <v>0</v>
      </c>
      <c r="AI49" s="12">
        <v>0</v>
      </c>
      <c r="AJ49" s="12">
        <v>0</v>
      </c>
      <c r="AK49" s="12">
        <v>0</v>
      </c>
      <c r="AL49" s="12">
        <v>0</v>
      </c>
      <c r="AM49" s="12">
        <v>0</v>
      </c>
      <c r="AN49" s="12">
        <v>0</v>
      </c>
    </row>
    <row r="50" spans="2:40" x14ac:dyDescent="0.25">
      <c r="B50" s="1" t="s">
        <v>272</v>
      </c>
      <c r="E50" s="13" cm="1">
        <f t="array" ref="E50:AN50">_xlfn.BYCOL(_xlfn.VSTACK(_xlfn.ANCHORARRAY(E40),_xlfn.ANCHORARRAY(E41),_xlfn.ANCHORARRAY(E42),_xlfn.ANCHORARRAY(E43),_xlfn.ANCHORARRAY(E44),_xlfn.ANCHORARRAY(E45),_xlfn.ANCHORARRAY(E46),_xlfn.ANCHORARRAY(E47),_xlfn.ANCHORARRAY(E48),_xlfn.ANCHORARRAY(E49)),_xlfn.LAMBDA(_xlpm.a,SUM(_xlpm.a)))</f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0</v>
      </c>
      <c r="Q50" s="13">
        <v>112854.13333333333</v>
      </c>
      <c r="R50" s="13">
        <v>219721.33333333328</v>
      </c>
      <c r="S50" s="13">
        <v>321942.1333333333</v>
      </c>
      <c r="T50" s="13">
        <v>424162.93333333335</v>
      </c>
      <c r="U50" s="13">
        <v>526383.73333333328</v>
      </c>
      <c r="V50" s="13">
        <v>633250.93333333335</v>
      </c>
      <c r="W50" s="13">
        <v>656482.93333333323</v>
      </c>
      <c r="X50" s="13">
        <v>684361.33333333337</v>
      </c>
      <c r="Y50" s="13">
        <v>707593.33333333337</v>
      </c>
      <c r="Z50" s="13">
        <v>735471.73333333328</v>
      </c>
      <c r="AA50" s="13">
        <v>763350.1333333333</v>
      </c>
      <c r="AB50" s="13">
        <v>786582.13333333319</v>
      </c>
      <c r="AC50" s="13">
        <v>815523.8666666667</v>
      </c>
      <c r="AD50" s="13">
        <v>838755.8666666667</v>
      </c>
      <c r="AE50" s="13">
        <v>866634.26666666649</v>
      </c>
      <c r="AF50" s="13">
        <v>894512.66666666651</v>
      </c>
      <c r="AG50" s="13">
        <v>917744.66666666651</v>
      </c>
      <c r="AH50" s="13">
        <v>945623.06666666653</v>
      </c>
      <c r="AI50" s="13">
        <v>968855.06666666653</v>
      </c>
      <c r="AJ50" s="13">
        <v>996733.46666666656</v>
      </c>
      <c r="AK50" s="13">
        <v>1024611.8666666665</v>
      </c>
      <c r="AL50" s="13">
        <v>1047843.8666666663</v>
      </c>
      <c r="AM50" s="13">
        <v>1075722.2666666666</v>
      </c>
      <c r="AN50" s="13">
        <v>1098954.2666666666</v>
      </c>
    </row>
    <row r="51" spans="2:40" x14ac:dyDescent="0.25">
      <c r="C51" s="63"/>
    </row>
    <row r="52" spans="2:40" x14ac:dyDescent="0.25">
      <c r="B52" s="1" t="s">
        <v>48</v>
      </c>
      <c r="E52" s="74">
        <f>E37-E50</f>
        <v>0</v>
      </c>
      <c r="F52" s="74">
        <f t="shared" ref="F52:AN52" si="4">F37-F50</f>
        <v>0</v>
      </c>
      <c r="G52" s="74">
        <f t="shared" si="4"/>
        <v>0</v>
      </c>
      <c r="H52" s="74">
        <f t="shared" si="4"/>
        <v>0</v>
      </c>
      <c r="I52" s="74">
        <f t="shared" si="4"/>
        <v>0</v>
      </c>
      <c r="J52" s="74">
        <f t="shared" si="4"/>
        <v>0</v>
      </c>
      <c r="K52" s="74">
        <f t="shared" si="4"/>
        <v>0</v>
      </c>
      <c r="L52" s="74">
        <f t="shared" si="4"/>
        <v>0</v>
      </c>
      <c r="M52" s="74">
        <f t="shared" si="4"/>
        <v>0</v>
      </c>
      <c r="N52" s="74">
        <f t="shared" si="4"/>
        <v>0</v>
      </c>
      <c r="O52" s="74">
        <f t="shared" si="4"/>
        <v>0</v>
      </c>
      <c r="P52" s="74">
        <f t="shared" si="4"/>
        <v>0</v>
      </c>
      <c r="Q52" s="74">
        <f t="shared" si="4"/>
        <v>73510.024397333298</v>
      </c>
      <c r="R52" s="74">
        <f t="shared" si="4"/>
        <v>161478.08020666664</v>
      </c>
      <c r="S52" s="74">
        <f t="shared" si="4"/>
        <v>245621.43793733348</v>
      </c>
      <c r="T52" s="74">
        <f t="shared" si="4"/>
        <v>329764.79566800012</v>
      </c>
      <c r="U52" s="74">
        <f t="shared" si="4"/>
        <v>413908.15339866676</v>
      </c>
      <c r="V52" s="74">
        <f t="shared" si="4"/>
        <v>501876.20920800022</v>
      </c>
      <c r="W52" s="74">
        <f t="shared" si="4"/>
        <v>520999.69960133347</v>
      </c>
      <c r="X52" s="74">
        <f t="shared" si="4"/>
        <v>543947.88807333296</v>
      </c>
      <c r="Y52" s="74">
        <f t="shared" si="4"/>
        <v>563071.37846666633</v>
      </c>
      <c r="Z52" s="74">
        <f t="shared" si="4"/>
        <v>586019.56693866628</v>
      </c>
      <c r="AA52" s="74">
        <f t="shared" si="4"/>
        <v>608967.75541066658</v>
      </c>
      <c r="AB52" s="74">
        <f t="shared" si="4"/>
        <v>628091.24580400006</v>
      </c>
      <c r="AC52" s="74">
        <f t="shared" si="4"/>
        <v>649976.10094266641</v>
      </c>
      <c r="AD52" s="74">
        <f t="shared" si="4"/>
        <v>669099.59133600025</v>
      </c>
      <c r="AE52" s="74">
        <f t="shared" si="4"/>
        <v>692047.77980800008</v>
      </c>
      <c r="AF52" s="74">
        <f t="shared" si="4"/>
        <v>714995.96827999991</v>
      </c>
      <c r="AG52" s="74">
        <f t="shared" si="4"/>
        <v>734119.45867333352</v>
      </c>
      <c r="AH52" s="74">
        <f t="shared" si="4"/>
        <v>757067.64714533312</v>
      </c>
      <c r="AI52" s="74">
        <f t="shared" si="4"/>
        <v>776191.13753866672</v>
      </c>
      <c r="AJ52" s="74">
        <f t="shared" si="4"/>
        <v>799139.32601066679</v>
      </c>
      <c r="AK52" s="74">
        <f t="shared" si="4"/>
        <v>822087.51448266674</v>
      </c>
      <c r="AL52" s="74">
        <f t="shared" si="4"/>
        <v>841211.00487599976</v>
      </c>
      <c r="AM52" s="74">
        <f t="shared" si="4"/>
        <v>864159.19334799983</v>
      </c>
      <c r="AN52" s="74">
        <f t="shared" si="4"/>
        <v>883282.68374133343</v>
      </c>
    </row>
    <row r="53" spans="2:40" x14ac:dyDescent="0.25">
      <c r="C53" s="63"/>
      <c r="E53" s="105" t="str">
        <f>IFERROR(E52/E37,"")</f>
        <v/>
      </c>
      <c r="F53" s="105" t="str">
        <f t="shared" ref="F53:AN53" si="5">IFERROR(F52/F37,"")</f>
        <v/>
      </c>
      <c r="G53" s="105" t="str">
        <f t="shared" si="5"/>
        <v/>
      </c>
      <c r="H53" s="105" t="str">
        <f t="shared" si="5"/>
        <v/>
      </c>
      <c r="I53" s="105" t="str">
        <f t="shared" si="5"/>
        <v/>
      </c>
      <c r="J53" s="105" t="str">
        <f t="shared" si="5"/>
        <v/>
      </c>
      <c r="K53" s="105" t="str">
        <f t="shared" si="5"/>
        <v/>
      </c>
      <c r="L53" s="105" t="str">
        <f t="shared" si="5"/>
        <v/>
      </c>
      <c r="M53" s="105" t="str">
        <f t="shared" si="5"/>
        <v/>
      </c>
      <c r="N53" s="105" t="str">
        <f t="shared" si="5"/>
        <v/>
      </c>
      <c r="O53" s="105" t="str">
        <f t="shared" si="5"/>
        <v/>
      </c>
      <c r="P53" s="105" t="str">
        <f t="shared" si="5"/>
        <v/>
      </c>
      <c r="Q53" s="105">
        <f t="shared" si="5"/>
        <v>0.39444292986621354</v>
      </c>
      <c r="R53" s="105">
        <f t="shared" si="5"/>
        <v>0.42360526923980291</v>
      </c>
      <c r="S53" s="105">
        <f t="shared" si="5"/>
        <v>0.43276462826434375</v>
      </c>
      <c r="T53" s="105">
        <f t="shared" si="5"/>
        <v>0.4373957648497856</v>
      </c>
      <c r="U53" s="105">
        <f t="shared" si="5"/>
        <v>0.44019113558153883</v>
      </c>
      <c r="V53" s="105">
        <f t="shared" si="5"/>
        <v>0.4421321545394421</v>
      </c>
      <c r="W53" s="105">
        <f t="shared" si="5"/>
        <v>0.44246911591624422</v>
      </c>
      <c r="X53" s="105">
        <f t="shared" si="5"/>
        <v>0.44284279446375963</v>
      </c>
      <c r="Y53" s="105">
        <f t="shared" si="5"/>
        <v>0.443131357342119</v>
      </c>
      <c r="Z53" s="105">
        <f t="shared" si="5"/>
        <v>0.44345321593721215</v>
      </c>
      <c r="AA53" s="105">
        <f t="shared" si="5"/>
        <v>0.44375123315489107</v>
      </c>
      <c r="AB53" s="105">
        <f t="shared" si="5"/>
        <v>0.44398322260577888</v>
      </c>
      <c r="AC53" s="105">
        <f t="shared" si="5"/>
        <v>0.44351833183795358</v>
      </c>
      <c r="AD53" s="105">
        <f t="shared" si="5"/>
        <v>0.4437425270339253</v>
      </c>
      <c r="AE53" s="105">
        <f t="shared" si="5"/>
        <v>0.44399547770068448</v>
      </c>
      <c r="AF53" s="105">
        <f t="shared" si="5"/>
        <v>0.4442324525358588</v>
      </c>
      <c r="AG53" s="105">
        <f t="shared" si="5"/>
        <v>0.44441879172249177</v>
      </c>
      <c r="AH53" s="105">
        <f t="shared" si="5"/>
        <v>0.44463016154613488</v>
      </c>
      <c r="AI53" s="105">
        <f t="shared" si="5"/>
        <v>0.44479689745070794</v>
      </c>
      <c r="AJ53" s="105">
        <f t="shared" si="5"/>
        <v>0.44498659886666547</v>
      </c>
      <c r="AK53" s="105">
        <f t="shared" si="5"/>
        <v>0.44516585800284553</v>
      </c>
      <c r="AL53" s="105">
        <f t="shared" si="5"/>
        <v>0.4453078719672332</v>
      </c>
      <c r="AM53" s="105">
        <f t="shared" si="5"/>
        <v>0.44547010276672594</v>
      </c>
      <c r="AN53" s="105">
        <f t="shared" si="5"/>
        <v>0.44559893990449984</v>
      </c>
    </row>
    <row r="54" spans="2:40" x14ac:dyDescent="0.25">
      <c r="C54" s="63"/>
    </row>
    <row r="55" spans="2:40" x14ac:dyDescent="0.25">
      <c r="B55" t="s">
        <v>57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500000</v>
      </c>
      <c r="D55" s="12">
        <f>C55-SUM(_xlfn.ANCHORARRAY(E55))</f>
        <v>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100000</v>
      </c>
      <c r="Q55" s="12">
        <v>100000</v>
      </c>
      <c r="R55" s="12">
        <v>100000</v>
      </c>
      <c r="S55" s="12">
        <v>100000</v>
      </c>
      <c r="T55" s="12">
        <v>100000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</row>
    <row r="56" spans="2:40" x14ac:dyDescent="0.25">
      <c r="B56" t="s">
        <v>285</v>
      </c>
      <c r="C56" s="12"/>
      <c r="D56" s="12"/>
      <c r="E56" s="12" cm="1">
        <f t="array" ref="E56">_xlfn.LET(_xlpm.site,$B$1&amp;"-"&amp;$C$1,_xlpm.locations,Base!$D$4:$BD$4,_xlpm.ar_col,Base!$D$13:$BD$18,_xlpm.site_col,_xlfn.XLOOKUP(_xlpm.site,_xlpm.locations,_xlpm.ar_col,0,0),
_xlpm.rev_1,E$37,_xlpm.rev_1*_xlfn.CHOOSEROWS(_xlpm.site_col,1))</f>
        <v>0</v>
      </c>
      <c r="F56" s="12" cm="1">
        <f t="array" ref="F56">_xlfn.LET(_xlpm.site,$B$1&amp;"-"&amp;$C$1,_xlpm.locations,Base!$D$4:$BD$4,_xlpm.ar_col,Base!$D$13:$BD$18,_xlpm.site_col,_xlfn.XLOOKUP(_xlpm.site,_xlpm.locations,_xlpm.ar_col,0,0),
_xlpm.rev_1,F$37,_xlpm.rev_1*_xlfn.CHOOSEROWS(_xlpm.site_col,1))</f>
        <v>0</v>
      </c>
      <c r="G56" s="12" cm="1">
        <f t="array" ref="G56">_xlfn.LET(_xlpm.site,$B$1&amp;"-"&amp;$C$1,_xlpm.locations,Base!$D$4:$BD$4,_xlpm.ar_col,Base!$D$13:$BD$18,_xlpm.site_col,_xlfn.XLOOKUP(_xlpm.site,_xlpm.locations,_xlpm.ar_col,0,0),
_xlpm.rev_1,G$37,_xlpm.rev_1*_xlfn.CHOOSEROWS(_xlpm.site_col,1))</f>
        <v>0</v>
      </c>
      <c r="H56" s="12" cm="1">
        <f t="array" ref="H56">_xlfn.LET(_xlpm.site,$B$1&amp;"-"&amp;$C$1,_xlpm.locations,Base!$D$4:$BD$4,_xlpm.ar_col,Base!$D$13:$BD$18,_xlpm.site_col,_xlfn.XLOOKUP(_xlpm.site,_xlpm.locations,_xlpm.ar_col,0,0),
_xlpm.rev_1,H$37,_xlpm.rev_1*_xlfn.CHOOSEROWS(_xlpm.site_col,1))</f>
        <v>0</v>
      </c>
      <c r="I56" s="12" cm="1">
        <f t="array" ref="I56">_xlfn.LET(_xlpm.site,$B$1&amp;"-"&amp;$C$1,_xlpm.locations,Base!$D$4:$BD$4,_xlpm.ar_col,Base!$D$13:$BD$18,_xlpm.site_col,_xlfn.XLOOKUP(_xlpm.site,_xlpm.locations,_xlpm.ar_col,0,0),
_xlpm.rev_1,I$37,_xlpm.rev_1*_xlfn.CHOOSEROWS(_xlpm.site_col,1))</f>
        <v>0</v>
      </c>
      <c r="J56" s="12" cm="1">
        <f t="array" ref="J56">_xlfn.LET(_xlpm.site,$B$1&amp;"-"&amp;$C$1,_xlpm.locations,Base!$D$4:$BD$4,_xlpm.ar_col,Base!$D$13:$BD$18,_xlpm.site_col,_xlfn.XLOOKUP(_xlpm.site,_xlpm.locations,_xlpm.ar_col,0,0),
_xlpm.rev_1,J$37,_xlpm.rev_1*_xlfn.CHOOSEROWS(_xlpm.site_col,1))</f>
        <v>0</v>
      </c>
      <c r="K56" s="12" cm="1">
        <f t="array" ref="K56">_xlfn.LET(_xlpm.site,$B$1&amp;"-"&amp;$C$1,_xlpm.locations,Base!$D$4:$BD$4,_xlpm.ar_col,Base!$D$13:$BD$18,_xlpm.site_col,_xlfn.XLOOKUP(_xlpm.site,_xlpm.locations,_xlpm.ar_col,0,0),
_xlpm.rev_1,K$37,_xlpm.rev_1*_xlfn.CHOOSEROWS(_xlpm.site_col,1))</f>
        <v>0</v>
      </c>
      <c r="L56" s="12" cm="1">
        <f t="array" ref="L56">_xlfn.LET(_xlpm.site,$B$1&amp;"-"&amp;$C$1,_xlpm.locations,Base!$D$4:$BD$4,_xlpm.ar_col,Base!$D$13:$BD$18,_xlpm.site_col,_xlfn.XLOOKUP(_xlpm.site,_xlpm.locations,_xlpm.ar_col,0,0),
_xlpm.rev_1,L$37,_xlpm.rev_1*_xlfn.CHOOSEROWS(_xlpm.site_col,1))</f>
        <v>0</v>
      </c>
      <c r="M56" s="12" cm="1">
        <f t="array" ref="M56">_xlfn.LET(_xlpm.site,$B$1&amp;"-"&amp;$C$1,_xlpm.locations,Base!$D$4:$BD$4,_xlpm.ar_col,Base!$D$13:$BD$18,_xlpm.site_col,_xlfn.XLOOKUP(_xlpm.site,_xlpm.locations,_xlpm.ar_col,0,0),
_xlpm.rev_1,M$37,_xlpm.rev_1*_xlfn.CHOOSEROWS(_xlpm.site_col,1))</f>
        <v>0</v>
      </c>
      <c r="N56" s="12" cm="1">
        <f t="array" ref="N56">_xlfn.LET(_xlpm.site,$B$1&amp;"-"&amp;$C$1,_xlpm.locations,Base!$D$4:$BD$4,_xlpm.ar_col,Base!$D$13:$BD$18,_xlpm.site_col,_xlfn.XLOOKUP(_xlpm.site,_xlpm.locations,_xlpm.ar_col,0,0),
_xlpm.rev_1,N$37,_xlpm.rev_1*_xlfn.CHOOSEROWS(_xlpm.site_col,1))</f>
        <v>0</v>
      </c>
      <c r="O56" s="12" cm="1">
        <f t="array" ref="O56">_xlfn.LET(_xlpm.site,$B$1&amp;"-"&amp;$C$1,_xlpm.locations,Base!$D$4:$BD$4,_xlpm.ar_col,Base!$D$13:$BD$18,_xlpm.site_col,_xlfn.XLOOKUP(_xlpm.site,_xlpm.locations,_xlpm.ar_col,0,0),
_xlpm.rev_1,O$37,_xlpm.rev_1*_xlfn.CHOOSEROWS(_xlpm.site_col,1))</f>
        <v>0</v>
      </c>
      <c r="P56" s="12" cm="1">
        <f t="array" ref="P56">_xlfn.LET(_xlpm.site,$B$1&amp;"-"&amp;$C$1,_xlpm.locations,Base!$D$4:$BD$4,_xlpm.ar_col,Base!$D$13:$BD$18,_xlpm.site_col,_xlfn.XLOOKUP(_xlpm.site,_xlpm.locations,_xlpm.ar_col,0,0),
_xlpm.rev_1,P$37,_xlpm.rev_1*_xlfn.CHOOSEROWS(_xlpm.site_col,1))</f>
        <v>0</v>
      </c>
      <c r="Q56" s="12" cm="1">
        <f t="array" ref="Q56">_xlfn.LET(_xlpm.site,$B$1&amp;"-"&amp;$C$1,_xlpm.locations,Base!$D$4:$BD$4,_xlpm.ar_col,Base!$D$13:$BD$18,_xlpm.site_col,_xlfn.XLOOKUP(_xlpm.site,_xlpm.locations,_xlpm.ar_col,0,0),
_xlpm.rev_1,Q$37,_xlpm.rev_1*_xlfn.CHOOSEROWS(_xlpm.site_col,1))</f>
        <v>-136045.83514338665</v>
      </c>
      <c r="R56" s="12" cm="1">
        <f t="array" ref="R56">_xlfn.LET(_xlpm.site,$B$1&amp;"-"&amp;$C$1,_xlpm.locations,Base!$D$4:$BD$4,_xlpm.ar_col,Base!$D$13:$BD$18,_xlpm.site_col,_xlfn.XLOOKUP(_xlpm.site,_xlpm.locations,_xlpm.ar_col,0,0),
_xlpm.rev_1,R$37,_xlpm.rev_1*_xlfn.CHOOSEROWS(_xlpm.site_col,1))</f>
        <v>-278275.57188419992</v>
      </c>
      <c r="S56" s="12" cm="1">
        <f t="array" ref="S56">_xlfn.LET(_xlpm.site,$B$1&amp;"-"&amp;$C$1,_xlpm.locations,Base!$D$4:$BD$4,_xlpm.ar_col,Base!$D$13:$BD$18,_xlpm.site_col,_xlfn.XLOOKUP(_xlpm.site,_xlpm.locations,_xlpm.ar_col,0,0),
_xlpm.rev_1,S$37,_xlpm.rev_1*_xlfn.CHOOSEROWS(_xlpm.site_col,1))</f>
        <v>-414321.40702758677</v>
      </c>
      <c r="T56" s="12" cm="1">
        <f t="array" ref="T56">_xlfn.LET(_xlpm.site,$B$1&amp;"-"&amp;$C$1,_xlpm.locations,Base!$D$4:$BD$4,_xlpm.ar_col,Base!$D$13:$BD$18,_xlpm.site_col,_xlfn.XLOOKUP(_xlpm.site,_xlpm.locations,_xlpm.ar_col,0,0),
_xlpm.rev_1,T$37,_xlpm.rev_1*_xlfn.CHOOSEROWS(_xlpm.site_col,1))</f>
        <v>-550367.24217097345</v>
      </c>
      <c r="U56" s="12" cm="1">
        <f t="array" ref="U56">_xlfn.LET(_xlpm.site,$B$1&amp;"-"&amp;$C$1,_xlpm.locations,Base!$D$4:$BD$4,_xlpm.ar_col,Base!$D$13:$BD$18,_xlpm.site_col,_xlfn.XLOOKUP(_xlpm.site,_xlpm.locations,_xlpm.ar_col,0,0),
_xlpm.rev_1,U$37,_xlpm.rev_1*_xlfn.CHOOSEROWS(_xlpm.site_col,1))</f>
        <v>-686413.07731436007</v>
      </c>
      <c r="V56" s="12" cm="1">
        <f t="array" ref="V56">_xlfn.LET(_xlpm.site,$B$1&amp;"-"&amp;$C$1,_xlpm.locations,Base!$D$4:$BD$4,_xlpm.ar_col,Base!$D$13:$BD$18,_xlpm.site_col,_xlfn.XLOOKUP(_xlpm.site,_xlpm.locations,_xlpm.ar_col,0,0),
_xlpm.rev_1,V$37,_xlpm.rev_1*_xlfn.CHOOSEROWS(_xlpm.site_col,1))</f>
        <v>-828642.81405517354</v>
      </c>
      <c r="W56" s="12" cm="1">
        <f t="array" ref="W56">_xlfn.LET(_xlpm.site,$B$1&amp;"-"&amp;$C$1,_xlpm.locations,Base!$D$4:$BD$4,_xlpm.ar_col,Base!$D$13:$BD$18,_xlpm.site_col,_xlfn.XLOOKUP(_xlpm.site,_xlpm.locations,_xlpm.ar_col,0,0),
_xlpm.rev_1,W$37,_xlpm.rev_1*_xlfn.CHOOSEROWS(_xlpm.site_col,1))</f>
        <v>-859562.32204230665</v>
      </c>
      <c r="X56" s="12" cm="1">
        <f t="array" ref="X56">_xlfn.LET(_xlpm.site,$B$1&amp;"-"&amp;$C$1,_xlpm.locations,Base!$D$4:$BD$4,_xlpm.ar_col,Base!$D$13:$BD$18,_xlpm.site_col,_xlfn.XLOOKUP(_xlpm.site,_xlpm.locations,_xlpm.ar_col,0,0),
_xlpm.rev_1,X$37,_xlpm.rev_1*_xlfn.CHOOSEROWS(_xlpm.site_col,1))</f>
        <v>-896665.73162686639</v>
      </c>
      <c r="Y56" s="12" cm="1">
        <f t="array" ref="Y56">_xlfn.LET(_xlpm.site,$B$1&amp;"-"&amp;$C$1,_xlpm.locations,Base!$D$4:$BD$4,_xlpm.ar_col,Base!$D$13:$BD$18,_xlpm.site_col,_xlfn.XLOOKUP(_xlpm.site,_xlpm.locations,_xlpm.ar_col,0,0),
_xlpm.rev_1,Y$37,_xlpm.rev_1*_xlfn.CHOOSEROWS(_xlpm.site_col,1))</f>
        <v>-927585.23961399973</v>
      </c>
      <c r="Z56" s="12" cm="1">
        <f t="array" ref="Z56">_xlfn.LET(_xlpm.site,$B$1&amp;"-"&amp;$C$1,_xlpm.locations,Base!$D$4:$BD$4,_xlpm.ar_col,Base!$D$13:$BD$18,_xlpm.site_col,_xlfn.XLOOKUP(_xlpm.site,_xlpm.locations,_xlpm.ar_col,0,0),
_xlpm.rev_1,Z$37,_xlpm.rev_1*_xlfn.CHOOSEROWS(_xlpm.site_col,1))</f>
        <v>-964688.64919855969</v>
      </c>
      <c r="AA56" s="12" cm="1">
        <f t="array" ref="AA56">_xlfn.LET(_xlpm.site,$B$1&amp;"-"&amp;$C$1,_xlpm.locations,Base!$D$4:$BD$4,_xlpm.ar_col,Base!$D$13:$BD$18,_xlpm.site_col,_xlfn.XLOOKUP(_xlpm.site,_xlpm.locations,_xlpm.ar_col,0,0),
_xlpm.rev_1,AA$37,_xlpm.rev_1*_xlfn.CHOOSEROWS(_xlpm.site_col,1))</f>
        <v>-1001792.0587831199</v>
      </c>
      <c r="AB56" s="12" cm="1">
        <f t="array" ref="AB56">_xlfn.LET(_xlpm.site,$B$1&amp;"-"&amp;$C$1,_xlpm.locations,Base!$D$4:$BD$4,_xlpm.ar_col,Base!$D$13:$BD$18,_xlpm.site_col,_xlfn.XLOOKUP(_xlpm.site,_xlpm.locations,_xlpm.ar_col,0,0),
_xlpm.rev_1,AB$37,_xlpm.rev_1*_xlfn.CHOOSEROWS(_xlpm.site_col,1))</f>
        <v>-1032711.5667702532</v>
      </c>
      <c r="AC56" s="12" cm="1">
        <f t="array" ref="AC56">_xlfn.LET(_xlpm.site,$B$1&amp;"-"&amp;$C$1,_xlpm.locations,Base!$D$4:$BD$4,_xlpm.ar_col,Base!$D$13:$BD$18,_xlpm.site_col,_xlfn.XLOOKUP(_xlpm.site,_xlpm.locations,_xlpm.ar_col,0,0),
_xlpm.rev_1,AC$37,_xlpm.rev_1*_xlfn.CHOOSEROWS(_xlpm.site_col,1))</f>
        <v>-1069814.9763548132</v>
      </c>
      <c r="AD56" s="12" cm="1">
        <f t="array" ref="AD56">_xlfn.LET(_xlpm.site,$B$1&amp;"-"&amp;$C$1,_xlpm.locations,Base!$D$4:$BD$4,_xlpm.ar_col,Base!$D$13:$BD$18,_xlpm.site_col,_xlfn.XLOOKUP(_xlpm.site,_xlpm.locations,_xlpm.ar_col,0,0),
_xlpm.rev_1,AD$37,_xlpm.rev_1*_xlfn.CHOOSEROWS(_xlpm.site_col,1))</f>
        <v>-1100734.4843419469</v>
      </c>
      <c r="AE56" s="12" cm="1">
        <f t="array" ref="AE56">_xlfn.LET(_xlpm.site,$B$1&amp;"-"&amp;$C$1,_xlpm.locations,Base!$D$4:$BD$4,_xlpm.ar_col,Base!$D$13:$BD$18,_xlpm.site_col,_xlfn.XLOOKUP(_xlpm.site,_xlpm.locations,_xlpm.ar_col,0,0),
_xlpm.rev_1,AE$37,_xlpm.rev_1*_xlfn.CHOOSEROWS(_xlpm.site_col,1))</f>
        <v>-1137837.8939265066</v>
      </c>
      <c r="AF56" s="12" cm="1">
        <f t="array" ref="AF56">_xlfn.LET(_xlpm.site,$B$1&amp;"-"&amp;$C$1,_xlpm.locations,Base!$D$4:$BD$4,_xlpm.ar_col,Base!$D$13:$BD$18,_xlpm.site_col,_xlfn.XLOOKUP(_xlpm.site,_xlpm.locations,_xlpm.ar_col,0,0),
_xlpm.rev_1,AF$37,_xlpm.rev_1*_xlfn.CHOOSEROWS(_xlpm.site_col,1))</f>
        <v>-1174941.3035110664</v>
      </c>
      <c r="AG56" s="12" cm="1">
        <f t="array" ref="AG56">_xlfn.LET(_xlpm.site,$B$1&amp;"-"&amp;$C$1,_xlpm.locations,Base!$D$4:$BD$4,_xlpm.ar_col,Base!$D$13:$BD$18,_xlpm.site_col,_xlfn.XLOOKUP(_xlpm.site,_xlpm.locations,_xlpm.ar_col,0,0),
_xlpm.rev_1,AG$37,_xlpm.rev_1*_xlfn.CHOOSEROWS(_xlpm.site_col,1))</f>
        <v>-1205860.8114982001</v>
      </c>
      <c r="AH56" s="12" cm="1">
        <f t="array" ref="AH56">_xlfn.LET(_xlpm.site,$B$1&amp;"-"&amp;$C$1,_xlpm.locations,Base!$D$4:$BD$4,_xlpm.ar_col,Base!$D$13:$BD$18,_xlpm.site_col,_xlfn.XLOOKUP(_xlpm.site,_xlpm.locations,_xlpm.ar_col,0,0),
_xlpm.rev_1,AH$37,_xlpm.rev_1*_xlfn.CHOOSEROWS(_xlpm.site_col,1))</f>
        <v>-1242964.2210827598</v>
      </c>
      <c r="AI56" s="12" cm="1">
        <f t="array" ref="AI56">_xlfn.LET(_xlpm.site,$B$1&amp;"-"&amp;$C$1,_xlpm.locations,Base!$D$4:$BD$4,_xlpm.ar_col,Base!$D$13:$BD$18,_xlpm.site_col,_xlfn.XLOOKUP(_xlpm.site,_xlpm.locations,_xlpm.ar_col,0,0),
_xlpm.rev_1,AI$37,_xlpm.rev_1*_xlfn.CHOOSEROWS(_xlpm.site_col,1))</f>
        <v>-1273883.7290698932</v>
      </c>
      <c r="AJ56" s="12" cm="1">
        <f t="array" ref="AJ56">_xlfn.LET(_xlpm.site,$B$1&amp;"-"&amp;$C$1,_xlpm.locations,Base!$D$4:$BD$4,_xlpm.ar_col,Base!$D$13:$BD$18,_xlpm.site_col,_xlfn.XLOOKUP(_xlpm.site,_xlpm.locations,_xlpm.ar_col,0,0),
_xlpm.rev_1,AJ$37,_xlpm.rev_1*_xlfn.CHOOSEROWS(_xlpm.site_col,1))</f>
        <v>-1310987.1386544532</v>
      </c>
      <c r="AK56" s="12" cm="1">
        <f t="array" ref="AK56">_xlfn.LET(_xlpm.site,$B$1&amp;"-"&amp;$C$1,_xlpm.locations,Base!$D$4:$BD$4,_xlpm.ar_col,Base!$D$13:$BD$18,_xlpm.site_col,_xlfn.XLOOKUP(_xlpm.site,_xlpm.locations,_xlpm.ar_col,0,0),
_xlpm.rev_1,AK$37,_xlpm.rev_1*_xlfn.CHOOSEROWS(_xlpm.site_col,1))</f>
        <v>-1348090.5482390132</v>
      </c>
      <c r="AL56" s="12" cm="1">
        <f t="array" ref="AL56">_xlfn.LET(_xlpm.site,$B$1&amp;"-"&amp;$C$1,_xlpm.locations,Base!$D$4:$BD$4,_xlpm.ar_col,Base!$D$13:$BD$18,_xlpm.site_col,_xlfn.XLOOKUP(_xlpm.site,_xlpm.locations,_xlpm.ar_col,0,0),
_xlpm.rev_1,AL$37,_xlpm.rev_1*_xlfn.CHOOSEROWS(_xlpm.site_col,1))</f>
        <v>-1379010.0562261462</v>
      </c>
      <c r="AM56" s="12" cm="1">
        <f t="array" ref="AM56">_xlfn.LET(_xlpm.site,$B$1&amp;"-"&amp;$C$1,_xlpm.locations,Base!$D$4:$BD$4,_xlpm.ar_col,Base!$D$13:$BD$18,_xlpm.site_col,_xlfn.XLOOKUP(_xlpm.site,_xlpm.locations,_xlpm.ar_col,0,0),
_xlpm.rev_1,AM$37,_xlpm.rev_1*_xlfn.CHOOSEROWS(_xlpm.site_col,1))</f>
        <v>-1416113.4658107064</v>
      </c>
      <c r="AN56" s="12" cm="1">
        <f t="array" ref="AN56">_xlfn.LET(_xlpm.site,$B$1&amp;"-"&amp;$C$1,_xlpm.locations,Base!$D$4:$BD$4,_xlpm.ar_col,Base!$D$13:$BD$18,_xlpm.site_col,_xlfn.XLOOKUP(_xlpm.site,_xlpm.locations,_xlpm.ar_col,0,0),
_xlpm.rev_1,AN$37,_xlpm.rev_1*_xlfn.CHOOSEROWS(_xlpm.site_col,1))</f>
        <v>-1447032.9737978401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276</v>
      </c>
      <c r="E58" s="13">
        <f>E37-E50-E55+E56</f>
        <v>0</v>
      </c>
      <c r="F58" s="13">
        <f t="shared" ref="F58:AN58" si="6">F37-F50-F55+F56</f>
        <v>0</v>
      </c>
      <c r="G58" s="13">
        <f t="shared" si="6"/>
        <v>0</v>
      </c>
      <c r="H58" s="13">
        <f t="shared" si="6"/>
        <v>0</v>
      </c>
      <c r="I58" s="13">
        <f t="shared" si="6"/>
        <v>0</v>
      </c>
      <c r="J58" s="13">
        <f t="shared" si="6"/>
        <v>0</v>
      </c>
      <c r="K58" s="13">
        <f t="shared" si="6"/>
        <v>0</v>
      </c>
      <c r="L58" s="13">
        <f t="shared" si="6"/>
        <v>0</v>
      </c>
      <c r="M58" s="13">
        <f t="shared" si="6"/>
        <v>0</v>
      </c>
      <c r="N58" s="13">
        <f t="shared" si="6"/>
        <v>0</v>
      </c>
      <c r="O58" s="13">
        <f t="shared" si="6"/>
        <v>0</v>
      </c>
      <c r="P58" s="13">
        <f t="shared" si="6"/>
        <v>-100000</v>
      </c>
      <c r="Q58" s="13">
        <f t="shared" si="6"/>
        <v>-162535.81074605335</v>
      </c>
      <c r="R58" s="13">
        <f t="shared" si="6"/>
        <v>-216797.49167753328</v>
      </c>
      <c r="S58" s="13">
        <f t="shared" si="6"/>
        <v>-268699.96909025329</v>
      </c>
      <c r="T58" s="13">
        <f t="shared" si="6"/>
        <v>-320602.44650297333</v>
      </c>
      <c r="U58" s="13">
        <f t="shared" si="6"/>
        <v>-272504.9239156933</v>
      </c>
      <c r="V58" s="13">
        <f t="shared" si="6"/>
        <v>-326766.60484717332</v>
      </c>
      <c r="W58" s="13">
        <f t="shared" si="6"/>
        <v>-338562.62244097318</v>
      </c>
      <c r="X58" s="13">
        <f t="shared" si="6"/>
        <v>-352717.84355353343</v>
      </c>
      <c r="Y58" s="13">
        <f t="shared" si="6"/>
        <v>-364513.8611473334</v>
      </c>
      <c r="Z58" s="13">
        <f t="shared" si="6"/>
        <v>-378669.08225989342</v>
      </c>
      <c r="AA58" s="13">
        <f t="shared" si="6"/>
        <v>-392824.30337245332</v>
      </c>
      <c r="AB58" s="13">
        <f t="shared" si="6"/>
        <v>-404620.32096625317</v>
      </c>
      <c r="AC58" s="13">
        <f t="shared" si="6"/>
        <v>-419838.87541214679</v>
      </c>
      <c r="AD58" s="13">
        <f t="shared" si="6"/>
        <v>-431634.89300594665</v>
      </c>
      <c r="AE58" s="13">
        <f t="shared" si="6"/>
        <v>-445790.11411850655</v>
      </c>
      <c r="AF58" s="13">
        <f t="shared" si="6"/>
        <v>-459945.33523106645</v>
      </c>
      <c r="AG58" s="13">
        <f t="shared" si="6"/>
        <v>-471741.35282486654</v>
      </c>
      <c r="AH58" s="13">
        <f t="shared" si="6"/>
        <v>-485896.57393742667</v>
      </c>
      <c r="AI58" s="13">
        <f t="shared" si="6"/>
        <v>-497692.59153122653</v>
      </c>
      <c r="AJ58" s="13">
        <f t="shared" si="6"/>
        <v>-511847.81264378643</v>
      </c>
      <c r="AK58" s="13">
        <f t="shared" si="6"/>
        <v>-526003.03375634644</v>
      </c>
      <c r="AL58" s="13">
        <f t="shared" si="6"/>
        <v>-537799.05135014642</v>
      </c>
      <c r="AM58" s="13">
        <f t="shared" si="6"/>
        <v>-551954.27246270655</v>
      </c>
      <c r="AN58" s="13">
        <f t="shared" si="6"/>
        <v>-563750.29005650664</v>
      </c>
    </row>
    <row r="59" spans="2:40" x14ac:dyDescent="0.25">
      <c r="B59" t="s">
        <v>277</v>
      </c>
      <c r="E59" s="12" cm="1">
        <f t="array" ref="E59:AN59">_xlfn.SCAN(-D55,E58:AN58,_xlfn.LAMBDA(_xlpm.capex,_xlpm.fcf,_xlpm.capex+_xlpm.fcf))</f>
        <v>0</v>
      </c>
      <c r="F59" s="12">
        <v>0</v>
      </c>
      <c r="G59" s="12">
        <v>0</v>
      </c>
      <c r="H59" s="12">
        <v>0</v>
      </c>
      <c r="I59" s="12">
        <v>0</v>
      </c>
      <c r="J59" s="12">
        <v>0</v>
      </c>
      <c r="K59" s="12">
        <v>0</v>
      </c>
      <c r="L59" s="12">
        <v>0</v>
      </c>
      <c r="M59" s="12">
        <v>0</v>
      </c>
      <c r="N59" s="12">
        <v>0</v>
      </c>
      <c r="O59" s="12">
        <v>0</v>
      </c>
      <c r="P59" s="12">
        <v>-100000</v>
      </c>
      <c r="Q59" s="12">
        <v>-262535.81074605335</v>
      </c>
      <c r="R59" s="12">
        <v>-479333.3024235866</v>
      </c>
      <c r="S59" s="12">
        <v>-748033.27151383995</v>
      </c>
      <c r="T59" s="12">
        <v>-1068635.7180168133</v>
      </c>
      <c r="U59" s="12">
        <v>-1341140.6419325066</v>
      </c>
      <c r="V59" s="12">
        <v>-1667907.2467796798</v>
      </c>
      <c r="W59" s="12">
        <v>-2006469.8692206531</v>
      </c>
      <c r="X59" s="12">
        <v>-2359187.7127741864</v>
      </c>
      <c r="Y59" s="12">
        <v>-2723701.5739215198</v>
      </c>
      <c r="Z59" s="12">
        <v>-3102370.6561814132</v>
      </c>
      <c r="AA59" s="12">
        <v>-3495194.9595538666</v>
      </c>
      <c r="AB59" s="12">
        <v>-3899815.2805201197</v>
      </c>
      <c r="AC59" s="12">
        <v>-4319654.1559322663</v>
      </c>
      <c r="AD59" s="12">
        <v>-4751289.0489382129</v>
      </c>
      <c r="AE59" s="12">
        <v>-5197079.1630567191</v>
      </c>
      <c r="AF59" s="12">
        <v>-5657024.4982877858</v>
      </c>
      <c r="AG59" s="12">
        <v>-6128765.8511126526</v>
      </c>
      <c r="AH59" s="12">
        <v>-6614662.4250500789</v>
      </c>
      <c r="AI59" s="12">
        <v>-7112355.0165813053</v>
      </c>
      <c r="AJ59" s="12">
        <v>-7624202.8292250913</v>
      </c>
      <c r="AK59" s="12">
        <v>-8150205.8629814377</v>
      </c>
      <c r="AL59" s="12">
        <v>-8688004.9143315833</v>
      </c>
      <c r="AM59" s="12">
        <v>-9239959.1867942903</v>
      </c>
      <c r="AN59" s="12">
        <v>-9803709.4768507965</v>
      </c>
    </row>
    <row r="63" spans="2:40" x14ac:dyDescent="0.25">
      <c r="E63" s="12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9C3FE-245E-4460-8E35-27EF1D855584}">
  <dimension ref="B1:AX66"/>
  <sheetViews>
    <sheetView workbookViewId="0">
      <pane xSplit="4" ySplit="25" topLeftCell="E53" activePane="bottomRight" state="frozen"/>
      <selection activeCell="B22" sqref="B22"/>
      <selection pane="topRight" activeCell="B22" sqref="B22"/>
      <selection pane="bottomLeft" activeCell="B22" sqref="B22"/>
      <selection pane="bottomRight" activeCell="B22" sqref="B22"/>
    </sheetView>
  </sheetViews>
  <sheetFormatPr defaultRowHeight="15" outlineLevelRow="1" x14ac:dyDescent="0.25"/>
  <cols>
    <col min="2" max="2" width="24.5703125" bestFit="1" customWidth="1"/>
    <col min="3" max="3" width="12.28515625" bestFit="1" customWidth="1"/>
    <col min="4" max="4" width="10.7109375" bestFit="1" customWidth="1"/>
    <col min="5" max="40" width="13.42578125" bestFit="1" customWidth="1"/>
  </cols>
  <sheetData>
    <row r="1" spans="2:40" x14ac:dyDescent="0.25">
      <c r="B1" s="10" t="s">
        <v>412</v>
      </c>
      <c r="C1" s="16" t="s">
        <v>43</v>
      </c>
      <c r="D1" s="55" t="s">
        <v>390</v>
      </c>
      <c r="E1" s="5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_xlpm.min_kiddos,_xlfn.XLOOKUP(_xlpm.site,_xlpm.locations,Base!$D$7:$BD$7,0,0),_xlpm.months_since,DATEDIF(_xlpm.launchdate,_xlfn.ANCHORARRAY($E$25),"m"),
IFERROR(_xlfn.BYCOL(_xlpm.months_since,_xlfn.LAMBDA(_xlpm.a,ROUND(_xlpm.min_kiddos*(MIN(6,_xlpm.a+1)/6)+(_xlpm.max_kiddos-_xlpm.min_kiddos)*(MIN(25,_xlpm.a+1)/25),0))),0))</f>
        <v>0</v>
      </c>
      <c r="F1" s="5">
        <v>0</v>
      </c>
      <c r="G1" s="5">
        <v>0</v>
      </c>
      <c r="H1" s="5">
        <v>0</v>
      </c>
      <c r="I1" s="5">
        <v>0</v>
      </c>
      <c r="J1" s="5">
        <v>0</v>
      </c>
      <c r="K1" s="5">
        <v>0</v>
      </c>
      <c r="L1" s="5">
        <v>0</v>
      </c>
      <c r="M1" s="5">
        <v>0</v>
      </c>
      <c r="N1" s="5">
        <v>0</v>
      </c>
      <c r="O1" s="5">
        <v>0</v>
      </c>
      <c r="P1" s="5">
        <v>0</v>
      </c>
      <c r="Q1" s="5">
        <v>0</v>
      </c>
      <c r="R1" s="5">
        <v>0</v>
      </c>
      <c r="S1" s="5">
        <v>0</v>
      </c>
      <c r="T1" s="5">
        <v>0</v>
      </c>
      <c r="U1" s="5">
        <v>0</v>
      </c>
      <c r="V1" s="5">
        <v>0</v>
      </c>
      <c r="W1" s="5">
        <v>0</v>
      </c>
      <c r="X1" s="5">
        <v>0</v>
      </c>
      <c r="Y1" s="5">
        <v>0</v>
      </c>
      <c r="Z1" s="5">
        <v>0</v>
      </c>
      <c r="AA1" s="5">
        <v>0</v>
      </c>
      <c r="AB1" s="5">
        <v>0</v>
      </c>
      <c r="AC1" s="5">
        <v>22</v>
      </c>
      <c r="AD1" s="5">
        <v>45</v>
      </c>
      <c r="AE1" s="5">
        <v>67</v>
      </c>
      <c r="AF1" s="5">
        <v>89</v>
      </c>
      <c r="AG1" s="5">
        <v>111</v>
      </c>
      <c r="AH1" s="5">
        <v>134</v>
      </c>
      <c r="AI1" s="5">
        <v>139</v>
      </c>
      <c r="AJ1" s="5">
        <v>145</v>
      </c>
      <c r="AK1" s="5">
        <v>150</v>
      </c>
      <c r="AL1" s="5">
        <v>156</v>
      </c>
      <c r="AM1" s="5">
        <v>162</v>
      </c>
      <c r="AN1" s="5">
        <v>167</v>
      </c>
    </row>
    <row r="2" spans="2:40" x14ac:dyDescent="0.25">
      <c r="B2" s="3" t="str">
        <f>_xlfn.XLOOKUP($B$1&amp;"-"&amp;$C$1,Base!$D$4:$BD$4,Base!$D$2:$BD$2,"",0)</f>
        <v>M&amp;A</v>
      </c>
      <c r="C2" s="55"/>
      <c r="D2" s="5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</row>
    <row r="3" spans="2:40" hidden="1" outlineLevel="1" x14ac:dyDescent="0.25">
      <c r="B3" s="55"/>
      <c r="C3" s="55"/>
      <c r="D3" s="5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</row>
    <row r="4" spans="2:40" hidden="1" outlineLevel="1" x14ac:dyDescent="0.25">
      <c r="B4" s="55"/>
      <c r="C4" s="55"/>
      <c r="D4" s="5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</row>
    <row r="5" spans="2:40" hidden="1" outlineLevel="1" x14ac:dyDescent="0.25">
      <c r="B5" s="55"/>
      <c r="C5" s="55"/>
      <c r="D5" s="55"/>
      <c r="E5" s="153" t="e" cm="1">
        <f t="array" ref="E5:AN5">_xlfn.LET(_xlpm.site,$B$1&amp;"-"&amp;$C$1,_xlpm.locations,Base!$D$4:$BD$4,_xlpm.rates,Base!$A$31:$BD$39,_xlpm.hours,Base!$A$74:$BD$82,_xlpm.comp,_xlpm.rates*_xlpm.hours,_xlpm.kiddos,_xlfn.ANCHORARRAY($E$1),
_xlpm.rev_weekly_kiddo,_xlfn.XLOOKUP(_xlpm.site,_xlpm.locations,_xlpm.comp,0,0),_xlpm.annual_increase,_xlfn.XLOOKUP(YEAR(_xlfn.ANCHORARRAY($E$25)),Base!$BJ$4:$BL$4,Base!$BJ$73:$BL$73,0,0),
_xlpm.bad_debt,_xlfn.XLOOKUP(_xlpm.site,_xlpm.locations,Base!$A$28:$BD$28,0,0),
SUM(_xlpm.rev_weekly_kiddo)*_xlpm.kiddos*_xlpm.bad_debt*_xlpm.annual_increase*(52/12))</f>
        <v>#VALUE!</v>
      </c>
      <c r="F5" s="153" t="e">
        <v>#VALUE!</v>
      </c>
      <c r="G5" s="153" t="e">
        <v>#VALUE!</v>
      </c>
      <c r="H5" s="153" t="e">
        <v>#VALUE!</v>
      </c>
      <c r="I5" s="153" t="e">
        <v>#VALUE!</v>
      </c>
      <c r="J5" s="153" t="e">
        <v>#VALUE!</v>
      </c>
      <c r="K5" s="153" t="e">
        <v>#VALUE!</v>
      </c>
      <c r="L5" s="153" t="e">
        <v>#VALUE!</v>
      </c>
      <c r="M5" s="153" t="e">
        <v>#VALUE!</v>
      </c>
      <c r="N5" s="153" t="e">
        <v>#VALUE!</v>
      </c>
      <c r="O5" s="153" t="e">
        <v>#VALUE!</v>
      </c>
      <c r="P5" s="153" t="e">
        <v>#VALUE!</v>
      </c>
      <c r="Q5" s="153" t="e">
        <v>#VALUE!</v>
      </c>
      <c r="R5" s="153" t="e">
        <v>#VALUE!</v>
      </c>
      <c r="S5" s="153" t="e">
        <v>#VALUE!</v>
      </c>
      <c r="T5" s="153" t="e">
        <v>#VALUE!</v>
      </c>
      <c r="U5" s="153" t="e">
        <v>#VALUE!</v>
      </c>
      <c r="V5" s="153" t="e">
        <v>#VALUE!</v>
      </c>
      <c r="W5" s="153" t="e">
        <v>#VALUE!</v>
      </c>
      <c r="X5" s="153" t="e">
        <v>#VALUE!</v>
      </c>
      <c r="Y5" s="153" t="e">
        <v>#VALUE!</v>
      </c>
      <c r="Z5" s="153" t="e">
        <v>#VALUE!</v>
      </c>
      <c r="AA5" s="153" t="e">
        <v>#VALUE!</v>
      </c>
      <c r="AB5" s="153" t="e">
        <v>#VALUE!</v>
      </c>
      <c r="AC5" s="153" t="e">
        <v>#VALUE!</v>
      </c>
      <c r="AD5" s="153" t="e">
        <v>#VALUE!</v>
      </c>
      <c r="AE5" s="153" t="e">
        <v>#VALUE!</v>
      </c>
      <c r="AF5" s="153" t="e">
        <v>#VALUE!</v>
      </c>
      <c r="AG5" s="153" t="e">
        <v>#VALUE!</v>
      </c>
      <c r="AH5" s="153" t="e">
        <v>#VALUE!</v>
      </c>
      <c r="AI5" s="153" t="e">
        <v>#VALUE!</v>
      </c>
      <c r="AJ5" s="153" t="e">
        <v>#VALUE!</v>
      </c>
      <c r="AK5" s="153" t="e">
        <v>#VALUE!</v>
      </c>
      <c r="AL5" s="153" t="e">
        <v>#VALUE!</v>
      </c>
      <c r="AM5" s="153" t="e">
        <v>#VALUE!</v>
      </c>
      <c r="AN5" s="153" t="e">
        <v>#VALUE!</v>
      </c>
    </row>
    <row r="6" spans="2:40" hidden="1" outlineLevel="1" x14ac:dyDescent="0.25">
      <c r="B6" s="55"/>
      <c r="C6" s="55"/>
      <c r="D6" s="5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</row>
    <row r="7" spans="2:40" hidden="1" outlineLevel="1" collapsed="1" x14ac:dyDescent="0.25">
      <c r="B7" s="1" t="s">
        <v>107</v>
      </c>
      <c r="C7" s="3"/>
      <c r="D7" s="3"/>
      <c r="E7" s="68"/>
      <c r="F7" s="68"/>
      <c r="G7" s="5"/>
      <c r="H7" s="68"/>
      <c r="I7" s="68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</row>
    <row r="8" spans="2:40" collapsed="1" x14ac:dyDescent="0.25">
      <c r="B8" s="39"/>
      <c r="C8" s="3"/>
      <c r="D8" s="3"/>
      <c r="E8" s="69"/>
      <c r="F8" s="69"/>
      <c r="G8" s="69"/>
      <c r="H8" s="69"/>
      <c r="I8" s="69"/>
      <c r="J8" s="69"/>
      <c r="K8" s="69"/>
      <c r="L8" s="69"/>
      <c r="M8" s="69"/>
      <c r="N8" s="69"/>
      <c r="O8" s="69"/>
      <c r="P8" s="69"/>
      <c r="Q8" s="69"/>
      <c r="R8" s="69"/>
      <c r="S8" s="69"/>
      <c r="T8" s="69"/>
      <c r="U8" s="69"/>
      <c r="V8" s="69"/>
      <c r="W8" s="69"/>
      <c r="X8" s="69"/>
      <c r="Y8" s="69"/>
      <c r="Z8" s="69"/>
      <c r="AA8" s="69"/>
      <c r="AB8" s="69"/>
      <c r="AC8" s="69"/>
      <c r="AD8" s="69"/>
      <c r="AE8" s="69"/>
      <c r="AF8" s="69"/>
      <c r="AG8" s="69"/>
      <c r="AH8" s="69"/>
      <c r="AI8" s="69"/>
      <c r="AJ8" s="69"/>
      <c r="AK8" s="69"/>
      <c r="AL8" s="69"/>
      <c r="AM8" s="69"/>
      <c r="AN8" s="69"/>
    </row>
    <row r="9" spans="2:40" outlineLevel="1" x14ac:dyDescent="0.25">
      <c r="B9" s="3"/>
      <c r="C9" s="3"/>
      <c r="D9" s="3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</row>
    <row r="10" spans="2:40" x14ac:dyDescent="0.25">
      <c r="B10" s="55" t="s">
        <v>391</v>
      </c>
      <c r="C10" s="3"/>
      <c r="D10" s="3"/>
      <c r="E10" s="154">
        <v>0</v>
      </c>
      <c r="F10" s="69">
        <f t="shared" ref="F10:M10" si="0">F1-E1+E11</f>
        <v>0</v>
      </c>
      <c r="G10" s="69">
        <f t="shared" si="0"/>
        <v>0</v>
      </c>
      <c r="H10" s="69">
        <f t="shared" si="0"/>
        <v>0</v>
      </c>
      <c r="I10" s="69">
        <f t="shared" si="0"/>
        <v>0</v>
      </c>
      <c r="J10" s="69">
        <f t="shared" si="0"/>
        <v>0</v>
      </c>
      <c r="K10" s="69">
        <f t="shared" si="0"/>
        <v>0</v>
      </c>
      <c r="L10" s="69">
        <f t="shared" si="0"/>
        <v>0</v>
      </c>
      <c r="M10" s="69">
        <f t="shared" si="0"/>
        <v>0</v>
      </c>
      <c r="N10" s="69">
        <f>N1-M1+M11</f>
        <v>0</v>
      </c>
      <c r="O10" s="69">
        <f>O1-N1+N11</f>
        <v>0</v>
      </c>
      <c r="P10" s="69">
        <f t="shared" ref="P10:AN10" si="1">P1-O1+O11</f>
        <v>0</v>
      </c>
      <c r="Q10" s="69">
        <f t="shared" si="1"/>
        <v>0</v>
      </c>
      <c r="R10" s="69">
        <f t="shared" si="1"/>
        <v>0</v>
      </c>
      <c r="S10" s="69">
        <f t="shared" si="1"/>
        <v>0</v>
      </c>
      <c r="T10" s="69">
        <f t="shared" si="1"/>
        <v>0</v>
      </c>
      <c r="U10" s="69">
        <f t="shared" si="1"/>
        <v>0</v>
      </c>
      <c r="V10" s="69">
        <f t="shared" si="1"/>
        <v>0</v>
      </c>
      <c r="W10" s="69">
        <f t="shared" si="1"/>
        <v>0</v>
      </c>
      <c r="X10" s="69">
        <f t="shared" si="1"/>
        <v>0</v>
      </c>
      <c r="Y10" s="69">
        <f t="shared" si="1"/>
        <v>0</v>
      </c>
      <c r="Z10" s="69">
        <f t="shared" si="1"/>
        <v>0</v>
      </c>
      <c r="AA10" s="69">
        <f t="shared" si="1"/>
        <v>0</v>
      </c>
      <c r="AB10" s="69">
        <f t="shared" si="1"/>
        <v>0</v>
      </c>
      <c r="AC10" s="69">
        <f t="shared" si="1"/>
        <v>22</v>
      </c>
      <c r="AD10" s="69">
        <f t="shared" si="1"/>
        <v>25.2</v>
      </c>
      <c r="AE10" s="69">
        <f t="shared" si="1"/>
        <v>26.5</v>
      </c>
      <c r="AF10" s="69">
        <f t="shared" si="1"/>
        <v>28.7</v>
      </c>
      <c r="AG10" s="69">
        <f t="shared" si="1"/>
        <v>30.9</v>
      </c>
      <c r="AH10" s="69">
        <f t="shared" si="1"/>
        <v>34.1</v>
      </c>
      <c r="AI10" s="69">
        <f t="shared" si="1"/>
        <v>18.399999999999999</v>
      </c>
      <c r="AJ10" s="69">
        <f t="shared" si="1"/>
        <v>19.899999999999999</v>
      </c>
      <c r="AK10" s="69">
        <f t="shared" si="1"/>
        <v>19.5</v>
      </c>
      <c r="AL10" s="69">
        <f t="shared" si="1"/>
        <v>21</v>
      </c>
      <c r="AM10" s="69">
        <f t="shared" si="1"/>
        <v>21.6</v>
      </c>
      <c r="AN10" s="69">
        <f t="shared" si="1"/>
        <v>21.2</v>
      </c>
    </row>
    <row r="11" spans="2:40" x14ac:dyDescent="0.25">
      <c r="B11" s="55" t="s">
        <v>392</v>
      </c>
      <c r="C11" s="3"/>
      <c r="D11" s="3"/>
      <c r="E11" s="69">
        <f>E1*0.1</f>
        <v>0</v>
      </c>
      <c r="F11" s="69">
        <f t="shared" ref="F11:AN11" si="2">F1*0.1</f>
        <v>0</v>
      </c>
      <c r="G11" s="69">
        <f t="shared" si="2"/>
        <v>0</v>
      </c>
      <c r="H11" s="69">
        <f t="shared" si="2"/>
        <v>0</v>
      </c>
      <c r="I11" s="69">
        <f t="shared" si="2"/>
        <v>0</v>
      </c>
      <c r="J11" s="69">
        <f t="shared" si="2"/>
        <v>0</v>
      </c>
      <c r="K11" s="69">
        <f t="shared" si="2"/>
        <v>0</v>
      </c>
      <c r="L11" s="69">
        <f t="shared" si="2"/>
        <v>0</v>
      </c>
      <c r="M11" s="69">
        <f t="shared" si="2"/>
        <v>0</v>
      </c>
      <c r="N11" s="69">
        <f t="shared" si="2"/>
        <v>0</v>
      </c>
      <c r="O11" s="69">
        <f t="shared" si="2"/>
        <v>0</v>
      </c>
      <c r="P11" s="69">
        <f t="shared" si="2"/>
        <v>0</v>
      </c>
      <c r="Q11" s="69">
        <f t="shared" si="2"/>
        <v>0</v>
      </c>
      <c r="R11" s="69">
        <f t="shared" si="2"/>
        <v>0</v>
      </c>
      <c r="S11" s="69">
        <f t="shared" si="2"/>
        <v>0</v>
      </c>
      <c r="T11" s="69">
        <f t="shared" si="2"/>
        <v>0</v>
      </c>
      <c r="U11" s="69">
        <f t="shared" si="2"/>
        <v>0</v>
      </c>
      <c r="V11" s="69">
        <f t="shared" si="2"/>
        <v>0</v>
      </c>
      <c r="W11" s="69">
        <f t="shared" si="2"/>
        <v>0</v>
      </c>
      <c r="X11" s="69">
        <f t="shared" si="2"/>
        <v>0</v>
      </c>
      <c r="Y11" s="69">
        <f t="shared" si="2"/>
        <v>0</v>
      </c>
      <c r="Z11" s="69">
        <f t="shared" si="2"/>
        <v>0</v>
      </c>
      <c r="AA11" s="69">
        <f t="shared" si="2"/>
        <v>0</v>
      </c>
      <c r="AB11" s="69">
        <f t="shared" si="2"/>
        <v>0</v>
      </c>
      <c r="AC11" s="69">
        <f t="shared" si="2"/>
        <v>2.2000000000000002</v>
      </c>
      <c r="AD11" s="69">
        <f t="shared" si="2"/>
        <v>4.5</v>
      </c>
      <c r="AE11" s="69">
        <f t="shared" si="2"/>
        <v>6.7</v>
      </c>
      <c r="AF11" s="69">
        <f t="shared" si="2"/>
        <v>8.9</v>
      </c>
      <c r="AG11" s="69">
        <f t="shared" si="2"/>
        <v>11.100000000000001</v>
      </c>
      <c r="AH11" s="69">
        <f t="shared" si="2"/>
        <v>13.4</v>
      </c>
      <c r="AI11" s="69">
        <f t="shared" si="2"/>
        <v>13.9</v>
      </c>
      <c r="AJ11" s="69">
        <f t="shared" si="2"/>
        <v>14.5</v>
      </c>
      <c r="AK11" s="69">
        <f t="shared" si="2"/>
        <v>15</v>
      </c>
      <c r="AL11" s="69">
        <f t="shared" si="2"/>
        <v>15.600000000000001</v>
      </c>
      <c r="AM11" s="69">
        <f t="shared" si="2"/>
        <v>16.2</v>
      </c>
      <c r="AN11" s="69">
        <f t="shared" si="2"/>
        <v>16.7</v>
      </c>
    </row>
    <row r="12" spans="2:40" x14ac:dyDescent="0.25">
      <c r="B12" s="55" t="s">
        <v>393</v>
      </c>
      <c r="C12" s="3"/>
      <c r="D12" s="3"/>
      <c r="E12" s="69">
        <f t="shared" ref="E12:AN12" si="3">E1+E11</f>
        <v>0</v>
      </c>
      <c r="F12" s="69">
        <f t="shared" si="3"/>
        <v>0</v>
      </c>
      <c r="G12" s="69">
        <f t="shared" si="3"/>
        <v>0</v>
      </c>
      <c r="H12" s="69">
        <f t="shared" si="3"/>
        <v>0</v>
      </c>
      <c r="I12" s="69">
        <f t="shared" si="3"/>
        <v>0</v>
      </c>
      <c r="J12" s="69">
        <f t="shared" si="3"/>
        <v>0</v>
      </c>
      <c r="K12" s="69">
        <f t="shared" si="3"/>
        <v>0</v>
      </c>
      <c r="L12" s="69">
        <f t="shared" si="3"/>
        <v>0</v>
      </c>
      <c r="M12" s="69">
        <f t="shared" si="3"/>
        <v>0</v>
      </c>
      <c r="N12" s="69">
        <f t="shared" si="3"/>
        <v>0</v>
      </c>
      <c r="O12" s="69">
        <f t="shared" si="3"/>
        <v>0</v>
      </c>
      <c r="P12" s="69">
        <f t="shared" si="3"/>
        <v>0</v>
      </c>
      <c r="Q12" s="69">
        <f t="shared" si="3"/>
        <v>0</v>
      </c>
      <c r="R12" s="69">
        <f t="shared" si="3"/>
        <v>0</v>
      </c>
      <c r="S12" s="69">
        <f t="shared" si="3"/>
        <v>0</v>
      </c>
      <c r="T12" s="69">
        <f t="shared" si="3"/>
        <v>0</v>
      </c>
      <c r="U12" s="69">
        <f t="shared" si="3"/>
        <v>0</v>
      </c>
      <c r="V12" s="69">
        <f t="shared" si="3"/>
        <v>0</v>
      </c>
      <c r="W12" s="69">
        <f t="shared" si="3"/>
        <v>0</v>
      </c>
      <c r="X12" s="69">
        <f t="shared" si="3"/>
        <v>0</v>
      </c>
      <c r="Y12" s="69">
        <f t="shared" si="3"/>
        <v>0</v>
      </c>
      <c r="Z12" s="69">
        <f t="shared" si="3"/>
        <v>0</v>
      </c>
      <c r="AA12" s="69">
        <f t="shared" si="3"/>
        <v>0</v>
      </c>
      <c r="AB12" s="69">
        <f t="shared" si="3"/>
        <v>0</v>
      </c>
      <c r="AC12" s="69">
        <f t="shared" si="3"/>
        <v>24.2</v>
      </c>
      <c r="AD12" s="69">
        <f t="shared" si="3"/>
        <v>49.5</v>
      </c>
      <c r="AE12" s="69">
        <f t="shared" si="3"/>
        <v>73.7</v>
      </c>
      <c r="AF12" s="69">
        <f t="shared" si="3"/>
        <v>97.9</v>
      </c>
      <c r="AG12" s="69">
        <f t="shared" si="3"/>
        <v>122.1</v>
      </c>
      <c r="AH12" s="69">
        <f t="shared" si="3"/>
        <v>147.4</v>
      </c>
      <c r="AI12" s="69">
        <f t="shared" si="3"/>
        <v>152.9</v>
      </c>
      <c r="AJ12" s="69">
        <f t="shared" si="3"/>
        <v>159.5</v>
      </c>
      <c r="AK12" s="69">
        <f t="shared" si="3"/>
        <v>165</v>
      </c>
      <c r="AL12" s="69">
        <f t="shared" si="3"/>
        <v>171.6</v>
      </c>
      <c r="AM12" s="69">
        <f t="shared" si="3"/>
        <v>178.2</v>
      </c>
      <c r="AN12" s="69">
        <f t="shared" si="3"/>
        <v>183.7</v>
      </c>
    </row>
    <row r="13" spans="2:40" hidden="1" outlineLevel="1" x14ac:dyDescent="0.25"/>
    <row r="14" spans="2:40" hidden="1" outlineLevel="1" x14ac:dyDescent="0.25"/>
    <row r="15" spans="2:40" hidden="1" outlineLevel="1" x14ac:dyDescent="0.25"/>
    <row r="16" spans="2:40" hidden="1" outlineLevel="1" x14ac:dyDescent="0.25"/>
    <row r="17" spans="2:50" hidden="1" outlineLevel="1" x14ac:dyDescent="0.25"/>
    <row r="18" spans="2:50" hidden="1" outlineLevel="1" x14ac:dyDescent="0.25"/>
    <row r="19" spans="2:50" hidden="1" outlineLevel="1" x14ac:dyDescent="0.25"/>
    <row r="20" spans="2:50" hidden="1" outlineLevel="1" x14ac:dyDescent="0.25"/>
    <row r="21" spans="2:50" hidden="1" outlineLevel="1" x14ac:dyDescent="0.25"/>
    <row r="22" spans="2:50" collapsed="1" x14ac:dyDescent="0.25">
      <c r="B22" s="2" t="s">
        <v>394</v>
      </c>
      <c r="C22" s="3"/>
      <c r="D22" s="77">
        <f>MAX(_xlfn.ANCHORARRAY(E22))</f>
        <v>174.55720170454549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0</v>
      </c>
      <c r="F22" s="78">
        <v>0</v>
      </c>
      <c r="G22" s="78">
        <v>0</v>
      </c>
      <c r="H22" s="78">
        <v>0</v>
      </c>
      <c r="I22" s="78">
        <v>0</v>
      </c>
      <c r="J22" s="78">
        <v>0</v>
      </c>
      <c r="K22" s="78">
        <v>0</v>
      </c>
      <c r="L22" s="78">
        <v>0</v>
      </c>
      <c r="M22" s="78">
        <v>0</v>
      </c>
      <c r="N22" s="78">
        <v>0</v>
      </c>
      <c r="O22" s="78">
        <v>0</v>
      </c>
      <c r="P22" s="78">
        <v>0</v>
      </c>
      <c r="Q22" s="78">
        <v>0</v>
      </c>
      <c r="R22" s="78">
        <v>0</v>
      </c>
      <c r="S22" s="78">
        <v>0</v>
      </c>
      <c r="T22" s="78">
        <v>0</v>
      </c>
      <c r="U22" s="78">
        <v>0</v>
      </c>
      <c r="V22" s="78">
        <v>0</v>
      </c>
      <c r="W22" s="78">
        <v>0</v>
      </c>
      <c r="X22" s="78">
        <v>0</v>
      </c>
      <c r="Y22" s="78">
        <v>0</v>
      </c>
      <c r="Z22" s="78">
        <v>0</v>
      </c>
      <c r="AA22" s="78">
        <v>0</v>
      </c>
      <c r="AB22" s="78">
        <v>0</v>
      </c>
      <c r="AC22" s="78">
        <v>174.55720170454541</v>
      </c>
      <c r="AD22" s="78">
        <v>174.55720170454546</v>
      </c>
      <c r="AE22" s="78">
        <v>174.55720170454549</v>
      </c>
      <c r="AF22" s="78">
        <v>174.55720170454546</v>
      </c>
      <c r="AG22" s="78">
        <v>174.55720170454549</v>
      </c>
      <c r="AH22" s="78">
        <v>174.55720170454549</v>
      </c>
      <c r="AI22" s="78">
        <v>174.55720170454549</v>
      </c>
      <c r="AJ22" s="78">
        <v>174.55720170454541</v>
      </c>
      <c r="AK22" s="78">
        <v>174.55720170454541</v>
      </c>
      <c r="AL22" s="78">
        <v>174.55720170454541</v>
      </c>
      <c r="AM22" s="78">
        <v>174.55720170454546</v>
      </c>
      <c r="AN22" s="78">
        <v>174.55720170454549</v>
      </c>
    </row>
    <row r="23" spans="2:50" x14ac:dyDescent="0.25">
      <c r="B23" s="2" t="s">
        <v>53</v>
      </c>
      <c r="C23" s="3"/>
      <c r="D23" s="72"/>
      <c r="E23" s="52" cm="1">
        <f t="array" ref="E23:AN23">_xlfn.LET(_xlpm.site,$B$1&amp;"-"&amp;$C$1,_xlpm.locations,Base!$D$4:$BD$4,_xlpm.Customer,_xlfn.ANCHORARRAY(E1),_xlpm.hours,SUM(_xlfn.XLOOKUP(_xlpm.site,_xlpm.locations,Base!$D$74:$BD$78,0,0)),
_xlpm.collection,1-_xlfn.XLOOKUP(_xlpm.site,_xlpm.locations,Base!$D$26:$BD$26,0,0),
_xlpm.Customer*_xlpm.hours*_xlpm.collection*(52/12))</f>
        <v>0</v>
      </c>
      <c r="F23" s="52">
        <v>0</v>
      </c>
      <c r="G23" s="52">
        <v>0</v>
      </c>
      <c r="H23" s="52">
        <v>0</v>
      </c>
      <c r="I23" s="52">
        <v>0</v>
      </c>
      <c r="J23" s="52">
        <v>0</v>
      </c>
      <c r="K23" s="52">
        <v>0</v>
      </c>
      <c r="L23" s="52">
        <v>0</v>
      </c>
      <c r="M23" s="52">
        <v>0</v>
      </c>
      <c r="N23" s="52">
        <v>0</v>
      </c>
      <c r="O23" s="52">
        <v>0</v>
      </c>
      <c r="P23" s="52">
        <v>0</v>
      </c>
      <c r="Q23" s="52">
        <v>0</v>
      </c>
      <c r="R23" s="52">
        <v>0</v>
      </c>
      <c r="S23" s="52">
        <v>0</v>
      </c>
      <c r="T23" s="52">
        <v>0</v>
      </c>
      <c r="U23" s="52">
        <v>0</v>
      </c>
      <c r="V23" s="52">
        <v>0</v>
      </c>
      <c r="W23" s="52">
        <v>0</v>
      </c>
      <c r="X23" s="52">
        <v>0</v>
      </c>
      <c r="Y23" s="52">
        <v>0</v>
      </c>
      <c r="Z23" s="52">
        <v>0</v>
      </c>
      <c r="AA23" s="52">
        <v>0</v>
      </c>
      <c r="AB23" s="52">
        <v>0</v>
      </c>
      <c r="AC23" s="52">
        <v>1135.7866666666666</v>
      </c>
      <c r="AD23" s="52">
        <v>2323.1999999999994</v>
      </c>
      <c r="AE23" s="52">
        <v>3458.9866666666667</v>
      </c>
      <c r="AF23" s="52">
        <v>4594.7733333333335</v>
      </c>
      <c r="AG23" s="52">
        <v>5730.5599999999995</v>
      </c>
      <c r="AH23" s="52">
        <v>6917.9733333333334</v>
      </c>
      <c r="AI23" s="52">
        <v>7176.1066666666657</v>
      </c>
      <c r="AJ23" s="52">
        <v>7485.8666666666668</v>
      </c>
      <c r="AK23" s="52">
        <v>7744</v>
      </c>
      <c r="AL23" s="52">
        <v>8053.7599999999993</v>
      </c>
      <c r="AM23" s="52">
        <v>8363.5199999999986</v>
      </c>
      <c r="AN23" s="52">
        <v>8621.6533333333318</v>
      </c>
    </row>
    <row r="25" spans="2:50" x14ac:dyDescent="0.25">
      <c r="B25" s="1" t="s">
        <v>21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outlineLevel="1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_xlfn.LET(_xlpm.site,$B$1&amp;"-"&amp;$C$1,_xlpm.locations,Base!$D$4:$BD$4,_xlpm.rates,Base!$D31:$BD31,_xlpm.hours,Base!$D74:$BD74,_xlpm.comp,_xlpm.rates*_xlpm.hours,_xlpm.Customer,_xlfn.ANCHORARRAY($E$1),
_xlpm.Customer_comp,_xlfn.XLOOKUP(_xlpm.site,_xlpm.locations,_xlpm.comp,0,0),_xlpm.ann_incr,_xlfn.XLOOKUP(YEAR(_xlfn.ANCHORARRAY($E$25)),Base!$BJ$4:$BL$4,Base!$BJ74:$BL74,0,0),
_xlpm.bad_debt,_xlfn.XLOOKUP(_xlpm.site,_xlpm.locations,Base!$D$28:$BD$28,0,0),_xlpm.Customer_comp*_xlpm.Customer*_xlpm.bad_debt*_xlpm.ann_incr*(52/12))</f>
        <v>0</v>
      </c>
      <c r="F26" s="12">
        <v>0</v>
      </c>
      <c r="G26" s="12">
        <v>0</v>
      </c>
      <c r="H26" s="12">
        <v>0</v>
      </c>
      <c r="I26" s="12">
        <v>0</v>
      </c>
      <c r="J26" s="12">
        <v>0</v>
      </c>
      <c r="K26" s="12">
        <v>0</v>
      </c>
      <c r="L26" s="12">
        <v>0</v>
      </c>
      <c r="M26" s="12">
        <v>0</v>
      </c>
      <c r="N26" s="12">
        <v>0</v>
      </c>
      <c r="O26" s="12">
        <v>0</v>
      </c>
      <c r="P26" s="12">
        <v>0</v>
      </c>
      <c r="Q26" s="12">
        <v>0</v>
      </c>
      <c r="R26" s="12">
        <v>0</v>
      </c>
      <c r="S26" s="12">
        <v>0</v>
      </c>
      <c r="T26" s="12">
        <v>0</v>
      </c>
      <c r="U26" s="12">
        <v>0</v>
      </c>
      <c r="V26" s="12">
        <v>0</v>
      </c>
      <c r="W26" s="12">
        <v>0</v>
      </c>
      <c r="X26" s="12">
        <v>0</v>
      </c>
      <c r="Y26" s="12">
        <v>0</v>
      </c>
      <c r="Z26" s="12">
        <v>0</v>
      </c>
      <c r="AA26" s="12">
        <v>0</v>
      </c>
      <c r="AB26" s="12">
        <v>0</v>
      </c>
      <c r="AC26" s="12">
        <v>179388.4187333333</v>
      </c>
      <c r="AD26" s="12">
        <v>366930.85649999994</v>
      </c>
      <c r="AE26" s="12">
        <v>546319.27523333335</v>
      </c>
      <c r="AF26" s="12">
        <v>725707.6939666667</v>
      </c>
      <c r="AG26" s="12">
        <v>905096.11269999994</v>
      </c>
      <c r="AH26" s="12">
        <v>1092638.5504666667</v>
      </c>
      <c r="AI26" s="12">
        <v>1133408.6456333334</v>
      </c>
      <c r="AJ26" s="12">
        <v>1182332.7598333331</v>
      </c>
      <c r="AK26" s="12">
        <v>1223102.855</v>
      </c>
      <c r="AL26" s="12">
        <v>1272026.9691999997</v>
      </c>
      <c r="AM26" s="12">
        <v>1320951.0833999999</v>
      </c>
      <c r="AN26" s="12">
        <v>1361721.1785666668</v>
      </c>
    </row>
    <row r="27" spans="2:50" outlineLevel="1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_xlfn.LET(_xlpm.site,$B$1&amp;"-"&amp;$C$1,_xlpm.locations,Base!$D$4:$BD$4,_xlpm.rates,Base!$D32:$BD32,_xlpm.hours,Base!$D75:$BD75,_xlpm.comp,_xlpm.rates*_xlpm.hours,_xlpm.Customer,_xlfn.ANCHORARRAY($E$1),
_xlpm.Customer_comp,_xlfn.XLOOKUP(_xlpm.site,_xlpm.locations,_xlpm.comp,0,0),_xlpm.ann_incr,_xlfn.XLOOKUP(YEAR(_xlfn.ANCHORARRAY($E$25)),Base!$BJ$4:$BL$4,Base!$BJ75:$BL75,0,0),
_xlpm.bad_debt,_xlfn.XLOOKUP(_xlpm.site,_xlpm.locations,Base!$D$28:$BD$28,0,0),_xlpm.Customer_comp*_xlpm.Customer*_xlpm.bad_debt*_xlpm.ann_incr*(52/12))</f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12">
        <v>0</v>
      </c>
      <c r="AA27" s="12">
        <v>0</v>
      </c>
      <c r="AB27" s="12">
        <v>0</v>
      </c>
      <c r="AC27" s="12">
        <v>0</v>
      </c>
      <c r="AD27" s="12">
        <v>0</v>
      </c>
      <c r="AE27" s="12">
        <v>0</v>
      </c>
      <c r="AF27" s="12">
        <v>0</v>
      </c>
      <c r="AG27" s="12">
        <v>0</v>
      </c>
      <c r="AH27" s="12">
        <v>0</v>
      </c>
      <c r="AI27" s="12">
        <v>0</v>
      </c>
      <c r="AJ27" s="12">
        <v>0</v>
      </c>
      <c r="AK27" s="12">
        <v>0</v>
      </c>
      <c r="AL27" s="12">
        <v>0</v>
      </c>
      <c r="AM27" s="12">
        <v>0</v>
      </c>
      <c r="AN27" s="12">
        <v>0</v>
      </c>
    </row>
    <row r="28" spans="2:50" outlineLevel="1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_xlfn.LET(_xlpm.site,$B$1&amp;"-"&amp;$C$1,_xlpm.locations,Base!$D$4:$BD$4,_xlpm.rates,Base!$D33:$BD33,_xlpm.hours,Base!$D76:$BD76,_xlpm.comp,_xlpm.rates*_xlpm.hours,_xlpm.Customer,_xlfn.ANCHORARRAY($E$1),
_xlpm.Customer_comp,_xlfn.XLOOKUP(_xlpm.site,_xlpm.locations,_xlpm.comp,0,0),_xlpm.ann_incr,_xlfn.XLOOKUP(YEAR(_xlfn.ANCHORARRAY($E$25)),Base!$BJ$4:$BL$4,Base!$BJ76:$BL76,0,0),
_xlpm.bad_debt,_xlfn.XLOOKUP(_xlpm.site,_xlpm.locations,Base!$D$28:$BD$28,0,0),_xlpm.Customer_comp*_xlpm.Customer*_xlpm.bad_debt*_xlpm.ann_incr*(52/12))</f>
        <v>0</v>
      </c>
      <c r="F28" s="12">
        <v>0</v>
      </c>
      <c r="G28" s="12">
        <v>0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0</v>
      </c>
      <c r="N28" s="12">
        <v>0</v>
      </c>
      <c r="O28" s="12">
        <v>0</v>
      </c>
      <c r="P28" s="12">
        <v>0</v>
      </c>
      <c r="Q28" s="12">
        <v>0</v>
      </c>
      <c r="R28" s="12">
        <v>0</v>
      </c>
      <c r="S28" s="12">
        <v>0</v>
      </c>
      <c r="T28" s="12">
        <v>0</v>
      </c>
      <c r="U28" s="12">
        <v>0</v>
      </c>
      <c r="V28" s="12">
        <v>0</v>
      </c>
      <c r="W28" s="12">
        <v>0</v>
      </c>
      <c r="X28" s="12">
        <v>0</v>
      </c>
      <c r="Y28" s="12">
        <v>0</v>
      </c>
      <c r="Z28" s="12">
        <v>0</v>
      </c>
      <c r="AA28" s="12">
        <v>0</v>
      </c>
      <c r="AB28" s="12">
        <v>0</v>
      </c>
      <c r="AC28" s="12">
        <v>23910.764019999991</v>
      </c>
      <c r="AD28" s="12">
        <v>48908.380949999984</v>
      </c>
      <c r="AE28" s="12">
        <v>72819.144969999979</v>
      </c>
      <c r="AF28" s="12">
        <v>96729.908989999982</v>
      </c>
      <c r="AG28" s="12">
        <v>120640.67300999997</v>
      </c>
      <c r="AH28" s="12">
        <v>145638.28993999996</v>
      </c>
      <c r="AI28" s="12">
        <v>151072.55448999998</v>
      </c>
      <c r="AJ28" s="12">
        <v>157593.67194999996</v>
      </c>
      <c r="AK28" s="12">
        <v>163027.93649999992</v>
      </c>
      <c r="AL28" s="12">
        <v>169549.05395999999</v>
      </c>
      <c r="AM28" s="12">
        <v>176070.17141999997</v>
      </c>
      <c r="AN28" s="12">
        <v>181504.43596999993</v>
      </c>
    </row>
    <row r="29" spans="2:50" outlineLevel="1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_xlfn.LET(_xlpm.site,$B$1&amp;"-"&amp;$C$1,_xlpm.locations,Base!$D$4:$BD$4,_xlpm.rates,Base!$D34:$BD34,_xlpm.hours,Base!$D77:$BD77,_xlpm.comp,_xlpm.rates*_xlpm.hours,_xlpm.Customer,_xlfn.ANCHORARRAY($E$1),
_xlpm.Customer_comp,_xlfn.XLOOKUP(_xlpm.site,_xlpm.locations,_xlpm.comp,0,0),_xlpm.ann_incr,_xlfn.XLOOKUP(YEAR(_xlfn.ANCHORARRAY($E$25)),Base!$BJ$4:$BL$4,Base!$BJ77:$BL77,0,0),
_xlpm.bad_debt,_xlfn.XLOOKUP(_xlpm.site,_xlpm.locations,Base!$D$28:$BD$28,0,0),_xlpm.Customer_comp*_xlpm.Customer*_xlpm.bad_debt*_xlpm.ann_incr*(52/12))</f>
        <v>0</v>
      </c>
      <c r="F29" s="12">
        <v>0</v>
      </c>
      <c r="G29" s="12">
        <v>0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0</v>
      </c>
      <c r="N29" s="12">
        <v>0</v>
      </c>
      <c r="O29" s="12">
        <v>0</v>
      </c>
      <c r="P29" s="12">
        <v>0</v>
      </c>
      <c r="Q29" s="12">
        <v>0</v>
      </c>
      <c r="R29" s="12">
        <v>0</v>
      </c>
      <c r="S29" s="12">
        <v>0</v>
      </c>
      <c r="T29" s="12">
        <v>0</v>
      </c>
      <c r="U29" s="12">
        <v>0</v>
      </c>
      <c r="V29" s="12">
        <v>0</v>
      </c>
      <c r="W29" s="12">
        <v>0</v>
      </c>
      <c r="X29" s="12">
        <v>0</v>
      </c>
      <c r="Y29" s="12">
        <v>0</v>
      </c>
      <c r="Z29" s="12">
        <v>0</v>
      </c>
      <c r="AA29" s="12">
        <v>0</v>
      </c>
      <c r="AB29" s="12">
        <v>0</v>
      </c>
      <c r="AC29" s="12">
        <v>3678.5790799999995</v>
      </c>
      <c r="AD29" s="12">
        <v>7524.3662999999997</v>
      </c>
      <c r="AE29" s="12">
        <v>11202.945379999999</v>
      </c>
      <c r="AF29" s="12">
        <v>14881.524459999999</v>
      </c>
      <c r="AG29" s="12">
        <v>18560.10354</v>
      </c>
      <c r="AH29" s="12">
        <v>22405.890759999998</v>
      </c>
      <c r="AI29" s="12">
        <v>23241.931459999996</v>
      </c>
      <c r="AJ29" s="12">
        <v>24245.1803</v>
      </c>
      <c r="AK29" s="12">
        <v>25081.221000000001</v>
      </c>
      <c r="AL29" s="12">
        <v>26084.469840000005</v>
      </c>
      <c r="AM29" s="12">
        <v>27087.718680000002</v>
      </c>
      <c r="AN29" s="12">
        <v>27923.759379999996</v>
      </c>
    </row>
    <row r="30" spans="2:50" outlineLevel="1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_xlfn.LET(_xlpm.site,$B$1&amp;"-"&amp;$C$1,_xlpm.locations,Base!$D$4:$BD$4,_xlpm.rates,Base!$D35:$BD35,_xlpm.hours,Base!$D78:$BD78,_xlpm.comp,_xlpm.rates*_xlpm.hours,_xlpm.Customer,_xlfn.ANCHORARRAY($E$1),
_xlpm.Customer_comp,_xlfn.XLOOKUP(_xlpm.site,_xlpm.locations,_xlpm.comp,0,0),_xlpm.ann_incr,_xlfn.XLOOKUP(YEAR(_xlfn.ANCHORARRAY($E$25)),Base!$BJ$4:$BL$4,Base!$BJ78:$BL78,0,0),
_xlpm.bad_debt,_xlfn.XLOOKUP(_xlpm.site,_xlpm.locations,Base!$D$28:$BD$28,0,0),_xlpm.Customer_comp*_xlpm.Customer*_xlpm.bad_debt*_xlpm.ann_incr*(52/12))</f>
        <v>0</v>
      </c>
      <c r="F30" s="12">
        <v>0</v>
      </c>
      <c r="G30" s="12">
        <v>0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0</v>
      </c>
      <c r="N30" s="12">
        <v>0</v>
      </c>
      <c r="O30" s="12">
        <v>0</v>
      </c>
      <c r="P30" s="12">
        <v>0</v>
      </c>
      <c r="Q30" s="12">
        <v>0</v>
      </c>
      <c r="R30" s="12">
        <v>0</v>
      </c>
      <c r="S30" s="12">
        <v>0</v>
      </c>
      <c r="T30" s="12">
        <v>0</v>
      </c>
      <c r="U30" s="12">
        <v>0</v>
      </c>
      <c r="V30" s="12">
        <v>0</v>
      </c>
      <c r="W30" s="12">
        <v>0</v>
      </c>
      <c r="X30" s="12">
        <v>0</v>
      </c>
      <c r="Y30" s="12">
        <v>0</v>
      </c>
      <c r="Z30" s="12">
        <v>0</v>
      </c>
      <c r="AA30" s="12">
        <v>0</v>
      </c>
      <c r="AB30" s="12">
        <v>0</v>
      </c>
      <c r="AC30" s="12">
        <v>4799.6901333333326</v>
      </c>
      <c r="AD30" s="12">
        <v>9817.5479999999989</v>
      </c>
      <c r="AE30" s="12">
        <v>14617.238133333334</v>
      </c>
      <c r="AF30" s="12">
        <v>19416.928266666666</v>
      </c>
      <c r="AG30" s="12">
        <v>24216.618399999996</v>
      </c>
      <c r="AH30" s="12">
        <v>29234.476266666668</v>
      </c>
      <c r="AI30" s="12">
        <v>30325.314933333331</v>
      </c>
      <c r="AJ30" s="12">
        <v>31634.32133333333</v>
      </c>
      <c r="AK30" s="12">
        <v>32725.159999999996</v>
      </c>
      <c r="AL30" s="12">
        <v>34034.166400000002</v>
      </c>
      <c r="AM30" s="12">
        <v>35343.1728</v>
      </c>
      <c r="AN30" s="12">
        <v>36434.011466666663</v>
      </c>
    </row>
    <row r="31" spans="2:50" outlineLevel="1" x14ac:dyDescent="0.25">
      <c r="B31" s="39" t="str">
        <f>Base!B36</f>
        <v>Tertiary Direct Staff - Service A</v>
      </c>
      <c r="C31" s="4"/>
      <c r="E31" s="183" cm="1">
        <f t="array" ref="E31:AN31">_xlfn.BYCOL(_xlfn.ANCHORARRAY($E$25),_xlfn.LAMBDA(_xlpm.a,0))</f>
        <v>0</v>
      </c>
      <c r="F31" s="183">
        <v>0</v>
      </c>
      <c r="G31" s="183">
        <v>0</v>
      </c>
      <c r="H31" s="183">
        <v>0</v>
      </c>
      <c r="I31" s="183">
        <v>0</v>
      </c>
      <c r="J31" s="183">
        <v>0</v>
      </c>
      <c r="K31" s="183">
        <v>0</v>
      </c>
      <c r="L31" s="183">
        <v>0</v>
      </c>
      <c r="M31" s="183">
        <v>0</v>
      </c>
      <c r="N31" s="183">
        <v>0</v>
      </c>
      <c r="O31" s="183">
        <v>0</v>
      </c>
      <c r="P31" s="183">
        <v>0</v>
      </c>
      <c r="Q31" s="183">
        <v>0</v>
      </c>
      <c r="R31" s="183">
        <v>0</v>
      </c>
      <c r="S31" s="183">
        <v>0</v>
      </c>
      <c r="T31" s="183">
        <v>0</v>
      </c>
      <c r="U31" s="183">
        <v>0</v>
      </c>
      <c r="V31" s="183">
        <v>0</v>
      </c>
      <c r="W31" s="183">
        <v>0</v>
      </c>
      <c r="X31" s="183">
        <v>0</v>
      </c>
      <c r="Y31" s="183">
        <v>0</v>
      </c>
      <c r="Z31" s="183">
        <v>0</v>
      </c>
      <c r="AA31" s="183">
        <v>0</v>
      </c>
      <c r="AB31" s="183">
        <v>0</v>
      </c>
      <c r="AC31" s="183">
        <v>0</v>
      </c>
      <c r="AD31" s="183">
        <v>0</v>
      </c>
      <c r="AE31" s="183">
        <v>0</v>
      </c>
      <c r="AF31" s="183">
        <v>0</v>
      </c>
      <c r="AG31" s="183">
        <v>0</v>
      </c>
      <c r="AH31" s="183">
        <v>0</v>
      </c>
      <c r="AI31" s="183">
        <v>0</v>
      </c>
      <c r="AJ31" s="183">
        <v>0</v>
      </c>
      <c r="AK31" s="183">
        <v>0</v>
      </c>
      <c r="AL31" s="183">
        <v>0</v>
      </c>
      <c r="AM31" s="183">
        <v>0</v>
      </c>
      <c r="AN31" s="183">
        <v>0</v>
      </c>
    </row>
    <row r="32" spans="2:50" outlineLevel="1" x14ac:dyDescent="0.25">
      <c r="B32" s="39" t="str">
        <f>Base!B37</f>
        <v>Tertiary Direct Staff - Service B</v>
      </c>
      <c r="C32" s="4"/>
      <c r="E32" s="183" cm="1">
        <f t="array" ref="E32:AN32">_xlfn.BYCOL(_xlfn.ANCHORARRAY($E$25),_xlfn.LAMBDA(_xlpm.a,0))</f>
        <v>0</v>
      </c>
      <c r="F32" s="183">
        <v>0</v>
      </c>
      <c r="G32" s="183">
        <v>0</v>
      </c>
      <c r="H32" s="183">
        <v>0</v>
      </c>
      <c r="I32" s="183">
        <v>0</v>
      </c>
      <c r="J32" s="183">
        <v>0</v>
      </c>
      <c r="K32" s="183">
        <v>0</v>
      </c>
      <c r="L32" s="183">
        <v>0</v>
      </c>
      <c r="M32" s="183">
        <v>0</v>
      </c>
      <c r="N32" s="183">
        <v>0</v>
      </c>
      <c r="O32" s="183">
        <v>0</v>
      </c>
      <c r="P32" s="183">
        <v>0</v>
      </c>
      <c r="Q32" s="183">
        <v>0</v>
      </c>
      <c r="R32" s="183">
        <v>0</v>
      </c>
      <c r="S32" s="183">
        <v>0</v>
      </c>
      <c r="T32" s="183">
        <v>0</v>
      </c>
      <c r="U32" s="183">
        <v>0</v>
      </c>
      <c r="V32" s="183">
        <v>0</v>
      </c>
      <c r="W32" s="183">
        <v>0</v>
      </c>
      <c r="X32" s="183">
        <v>0</v>
      </c>
      <c r="Y32" s="183">
        <v>0</v>
      </c>
      <c r="Z32" s="183">
        <v>0</v>
      </c>
      <c r="AA32" s="183">
        <v>0</v>
      </c>
      <c r="AB32" s="183">
        <v>0</v>
      </c>
      <c r="AC32" s="183">
        <v>0</v>
      </c>
      <c r="AD32" s="183">
        <v>0</v>
      </c>
      <c r="AE32" s="183">
        <v>0</v>
      </c>
      <c r="AF32" s="183">
        <v>0</v>
      </c>
      <c r="AG32" s="183">
        <v>0</v>
      </c>
      <c r="AH32" s="183">
        <v>0</v>
      </c>
      <c r="AI32" s="183">
        <v>0</v>
      </c>
      <c r="AJ32" s="183">
        <v>0</v>
      </c>
      <c r="AK32" s="183">
        <v>0</v>
      </c>
      <c r="AL32" s="183">
        <v>0</v>
      </c>
      <c r="AM32" s="183">
        <v>0</v>
      </c>
      <c r="AN32" s="183">
        <v>0</v>
      </c>
    </row>
    <row r="33" spans="2:40" outlineLevel="1" x14ac:dyDescent="0.25">
      <c r="B33" s="39" t="str">
        <f>Base!B38</f>
        <v>Quaternary Direct Staff - Service A</v>
      </c>
      <c r="C33" s="4"/>
      <c r="E33" s="183" cm="1">
        <f t="array" ref="E33:AN33">_xlfn.BYCOL(_xlfn.ANCHORARRAY($E$25),_xlfn.LAMBDA(_xlpm.a,0))</f>
        <v>0</v>
      </c>
      <c r="F33" s="183">
        <v>0</v>
      </c>
      <c r="G33" s="183">
        <v>0</v>
      </c>
      <c r="H33" s="183">
        <v>0</v>
      </c>
      <c r="I33" s="183">
        <v>0</v>
      </c>
      <c r="J33" s="183">
        <v>0</v>
      </c>
      <c r="K33" s="183">
        <v>0</v>
      </c>
      <c r="L33" s="183">
        <v>0</v>
      </c>
      <c r="M33" s="183">
        <v>0</v>
      </c>
      <c r="N33" s="183">
        <v>0</v>
      </c>
      <c r="O33" s="183">
        <v>0</v>
      </c>
      <c r="P33" s="183">
        <v>0</v>
      </c>
      <c r="Q33" s="183">
        <v>0</v>
      </c>
      <c r="R33" s="183">
        <v>0</v>
      </c>
      <c r="S33" s="183">
        <v>0</v>
      </c>
      <c r="T33" s="183">
        <v>0</v>
      </c>
      <c r="U33" s="183">
        <v>0</v>
      </c>
      <c r="V33" s="183">
        <v>0</v>
      </c>
      <c r="W33" s="183">
        <v>0</v>
      </c>
      <c r="X33" s="183">
        <v>0</v>
      </c>
      <c r="Y33" s="183">
        <v>0</v>
      </c>
      <c r="Z33" s="183">
        <v>0</v>
      </c>
      <c r="AA33" s="183">
        <v>0</v>
      </c>
      <c r="AB33" s="183">
        <v>0</v>
      </c>
      <c r="AC33" s="183">
        <v>0</v>
      </c>
      <c r="AD33" s="183">
        <v>0</v>
      </c>
      <c r="AE33" s="183">
        <v>0</v>
      </c>
      <c r="AF33" s="183">
        <v>0</v>
      </c>
      <c r="AG33" s="183">
        <v>0</v>
      </c>
      <c r="AH33" s="183">
        <v>0</v>
      </c>
      <c r="AI33" s="183">
        <v>0</v>
      </c>
      <c r="AJ33" s="183">
        <v>0</v>
      </c>
      <c r="AK33" s="183">
        <v>0</v>
      </c>
      <c r="AL33" s="183">
        <v>0</v>
      </c>
      <c r="AM33" s="183">
        <v>0</v>
      </c>
      <c r="AN33" s="183">
        <v>0</v>
      </c>
    </row>
    <row r="34" spans="2:40" outlineLevel="1" x14ac:dyDescent="0.25">
      <c r="B34" s="39" t="str">
        <f>Base!B39</f>
        <v>Quinary Direct Staff - Service A</v>
      </c>
      <c r="C34" s="4"/>
      <c r="E34" s="183" cm="1">
        <f t="array" ref="E34:AN34">_xlfn.BYCOL(_xlfn.ANCHORARRAY($E$25),_xlfn.LAMBDA(_xlpm.a,0))</f>
        <v>0</v>
      </c>
      <c r="F34" s="183">
        <v>0</v>
      </c>
      <c r="G34" s="183">
        <v>0</v>
      </c>
      <c r="H34" s="183">
        <v>0</v>
      </c>
      <c r="I34" s="183">
        <v>0</v>
      </c>
      <c r="J34" s="183">
        <v>0</v>
      </c>
      <c r="K34" s="183">
        <v>0</v>
      </c>
      <c r="L34" s="183">
        <v>0</v>
      </c>
      <c r="M34" s="183">
        <v>0</v>
      </c>
      <c r="N34" s="183">
        <v>0</v>
      </c>
      <c r="O34" s="183">
        <v>0</v>
      </c>
      <c r="P34" s="183">
        <v>0</v>
      </c>
      <c r="Q34" s="183">
        <v>0</v>
      </c>
      <c r="R34" s="183">
        <v>0</v>
      </c>
      <c r="S34" s="183">
        <v>0</v>
      </c>
      <c r="T34" s="183">
        <v>0</v>
      </c>
      <c r="U34" s="183">
        <v>0</v>
      </c>
      <c r="V34" s="183">
        <v>0</v>
      </c>
      <c r="W34" s="183">
        <v>0</v>
      </c>
      <c r="X34" s="183">
        <v>0</v>
      </c>
      <c r="Y34" s="183">
        <v>0</v>
      </c>
      <c r="Z34" s="183">
        <v>0</v>
      </c>
      <c r="AA34" s="183">
        <v>0</v>
      </c>
      <c r="AB34" s="183">
        <v>0</v>
      </c>
      <c r="AC34" s="183">
        <v>0</v>
      </c>
      <c r="AD34" s="183">
        <v>0</v>
      </c>
      <c r="AE34" s="183">
        <v>0</v>
      </c>
      <c r="AF34" s="183">
        <v>0</v>
      </c>
      <c r="AG34" s="183">
        <v>0</v>
      </c>
      <c r="AH34" s="183">
        <v>0</v>
      </c>
      <c r="AI34" s="183">
        <v>0</v>
      </c>
      <c r="AJ34" s="183">
        <v>0</v>
      </c>
      <c r="AK34" s="183">
        <v>0</v>
      </c>
      <c r="AL34" s="183">
        <v>0</v>
      </c>
      <c r="AM34" s="183">
        <v>0</v>
      </c>
      <c r="AN34" s="183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0</v>
      </c>
      <c r="F35" s="12">
        <v>0</v>
      </c>
      <c r="G35" s="12">
        <v>0</v>
      </c>
      <c r="H35" s="12">
        <v>0</v>
      </c>
      <c r="I35" s="12">
        <v>0</v>
      </c>
      <c r="J35" s="12">
        <v>0</v>
      </c>
      <c r="K35" s="12">
        <v>0</v>
      </c>
      <c r="L35" s="12">
        <v>0</v>
      </c>
      <c r="M35" s="12">
        <v>0</v>
      </c>
      <c r="N35" s="12">
        <v>0</v>
      </c>
      <c r="O35" s="12">
        <v>0</v>
      </c>
      <c r="P35" s="12">
        <v>0</v>
      </c>
      <c r="Q35" s="12">
        <v>0</v>
      </c>
      <c r="R35" s="12">
        <v>0</v>
      </c>
      <c r="S35" s="12">
        <v>0</v>
      </c>
      <c r="T35" s="12">
        <v>0</v>
      </c>
      <c r="U35" s="12">
        <v>0</v>
      </c>
      <c r="V35" s="12">
        <v>0</v>
      </c>
      <c r="W35" s="12">
        <v>0</v>
      </c>
      <c r="X35" s="12">
        <v>0</v>
      </c>
      <c r="Y35" s="12">
        <v>0</v>
      </c>
      <c r="Z35" s="12">
        <v>0</v>
      </c>
      <c r="AA35" s="12">
        <v>0</v>
      </c>
      <c r="AB35" s="12">
        <v>0</v>
      </c>
      <c r="AC35" s="12">
        <v>-25413.294235999994</v>
      </c>
      <c r="AD35" s="12">
        <v>-51981.738209999989</v>
      </c>
      <c r="AE35" s="12">
        <v>-77395.032446000012</v>
      </c>
      <c r="AF35" s="12">
        <v>-102808.32668200001</v>
      </c>
      <c r="AG35" s="12">
        <v>-128221.620918</v>
      </c>
      <c r="AH35" s="12">
        <v>-154790.06489200002</v>
      </c>
      <c r="AI35" s="12">
        <v>-160565.813582</v>
      </c>
      <c r="AJ35" s="12">
        <v>-167496.71200999993</v>
      </c>
      <c r="AK35" s="12">
        <v>-173272.46069999994</v>
      </c>
      <c r="AL35" s="12">
        <v>-180203.35912799992</v>
      </c>
      <c r="AM35" s="12">
        <v>-187134.25755599997</v>
      </c>
      <c r="AN35" s="12">
        <v>-192910.006246</v>
      </c>
    </row>
    <row r="36" spans="2:40" x14ac:dyDescent="0.25">
      <c r="B36" s="39" t="s">
        <v>261</v>
      </c>
      <c r="C36" s="4"/>
      <c r="E36" s="183" cm="1">
        <f t="array" ref="E36:AN36">_xlfn.BYCOL(_xlfn.ANCHORARRAY($E$25),_xlfn.LAMBDA(_xlpm.a,0))</f>
        <v>0</v>
      </c>
      <c r="F36" s="183">
        <v>0</v>
      </c>
      <c r="G36" s="183">
        <v>0</v>
      </c>
      <c r="H36" s="183">
        <v>0</v>
      </c>
      <c r="I36" s="183">
        <v>0</v>
      </c>
      <c r="J36" s="183">
        <v>0</v>
      </c>
      <c r="K36" s="183">
        <v>0</v>
      </c>
      <c r="L36" s="183">
        <v>0</v>
      </c>
      <c r="M36" s="183">
        <v>0</v>
      </c>
      <c r="N36" s="183">
        <v>0</v>
      </c>
      <c r="O36" s="183">
        <v>0</v>
      </c>
      <c r="P36" s="183">
        <v>0</v>
      </c>
      <c r="Q36" s="183">
        <v>0</v>
      </c>
      <c r="R36" s="183">
        <v>0</v>
      </c>
      <c r="S36" s="183">
        <v>0</v>
      </c>
      <c r="T36" s="183">
        <v>0</v>
      </c>
      <c r="U36" s="183">
        <v>0</v>
      </c>
      <c r="V36" s="183">
        <v>0</v>
      </c>
      <c r="W36" s="183">
        <v>0</v>
      </c>
      <c r="X36" s="183">
        <v>0</v>
      </c>
      <c r="Y36" s="183">
        <v>0</v>
      </c>
      <c r="Z36" s="183">
        <v>0</v>
      </c>
      <c r="AA36" s="183">
        <v>0</v>
      </c>
      <c r="AB36" s="183">
        <v>0</v>
      </c>
      <c r="AC36" s="183">
        <v>0</v>
      </c>
      <c r="AD36" s="183">
        <v>0</v>
      </c>
      <c r="AE36" s="183">
        <v>0</v>
      </c>
      <c r="AF36" s="183">
        <v>0</v>
      </c>
      <c r="AG36" s="183">
        <v>0</v>
      </c>
      <c r="AH36" s="183">
        <v>0</v>
      </c>
      <c r="AI36" s="183">
        <v>0</v>
      </c>
      <c r="AJ36" s="183">
        <v>0</v>
      </c>
      <c r="AK36" s="183">
        <v>0</v>
      </c>
      <c r="AL36" s="183">
        <v>0</v>
      </c>
      <c r="AM36" s="183">
        <v>0</v>
      </c>
      <c r="AN36" s="183">
        <v>0</v>
      </c>
    </row>
    <row r="37" spans="2:40" x14ac:dyDescent="0.25">
      <c r="B37" s="1" t="s">
        <v>271</v>
      </c>
      <c r="C37" s="15"/>
      <c r="E37" s="13" cm="1">
        <f t="array" ref="E37:AN37">_xlfn.BYCOL(_xlfn.VSTACK(_xlfn.ANCHORARRAY(E26),_xlfn.ANCHORARRAY(E27),_xlfn.ANCHORARRAY(E28),_xlfn.ANCHORARRAY(E29),_xlfn.ANCHORARRAY(E30),_xlfn.ANCHORARRAY(E31),_xlfn.ANCHORARRAY(E32),_xlfn.ANCHORARRAY(E33),_xlfn.ANCHORARRAY(E34),_xlfn.ANCHORARRAY(E35),_xlfn.ANCHORARRAY(E36)),_xlfn.LAMBDA(_xlpm.a,SUM(_xlpm.a)))</f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0</v>
      </c>
      <c r="S37" s="13">
        <v>0</v>
      </c>
      <c r="T37" s="13">
        <v>0</v>
      </c>
      <c r="U37" s="13">
        <v>0</v>
      </c>
      <c r="V37" s="13">
        <v>0</v>
      </c>
      <c r="W37" s="13">
        <v>0</v>
      </c>
      <c r="X37" s="13">
        <v>0</v>
      </c>
      <c r="Y37" s="13">
        <v>0</v>
      </c>
      <c r="Z37" s="13">
        <v>0</v>
      </c>
      <c r="AA37" s="13">
        <v>0</v>
      </c>
      <c r="AB37" s="13">
        <v>0</v>
      </c>
      <c r="AC37" s="13">
        <v>186364.15773066663</v>
      </c>
      <c r="AD37" s="13">
        <v>381199.41353999992</v>
      </c>
      <c r="AE37" s="13">
        <v>567563.57127066678</v>
      </c>
      <c r="AF37" s="13">
        <v>753927.72900133347</v>
      </c>
      <c r="AG37" s="13">
        <v>940291.88673200004</v>
      </c>
      <c r="AH37" s="13">
        <v>1135127.1425413336</v>
      </c>
      <c r="AI37" s="13">
        <v>1177482.6329346667</v>
      </c>
      <c r="AJ37" s="13">
        <v>1228309.2214066663</v>
      </c>
      <c r="AK37" s="13">
        <v>1270664.7117999997</v>
      </c>
      <c r="AL37" s="13">
        <v>1321491.3002719996</v>
      </c>
      <c r="AM37" s="13">
        <v>1372317.8887439999</v>
      </c>
      <c r="AN37" s="13">
        <v>1414673.3791373332</v>
      </c>
    </row>
    <row r="39" spans="2:40" x14ac:dyDescent="0.25">
      <c r="B39" s="1" t="s">
        <v>118</v>
      </c>
    </row>
    <row r="40" spans="2:40" x14ac:dyDescent="0.25">
      <c r="B40" s="39" t="s">
        <v>23</v>
      </c>
      <c r="E40" s="12" cm="1">
        <f t="array" ref="E40:AN40">_xlfn.LET(_xlpm.site,$B$1&amp;"-"&amp;$C$1,_xlpm.locations,Base!$D$4:$BD$4,_xlpm.annual_increase,_xlfn.XLOOKUP(YEAR(_xlfn.ANCHORARRAY($E$25)),Base!$BJ$4:$BL$4,Base!$BJ$105:$BL$119,0,0),
_xlpm.benefits,1+_xlfn.XLOOKUP(_xlpm.site,_xlpm.locations,Base!$D$124:$BD$124,0,0),
_xlfn.BYCOL(_xlfn.XLOOKUP(_xlpm.site,_xlpm.locations,Base!$D$186:$BD$254)*Base!$C$186:$C$254*--(Base!$A$186:$A$254&lt;=_xlfn.ANCHORARRAY($E$25)),_xlfn.LAMBDA(_xlpm.a,SUM(_xlpm.a)))*_xlpm.benefits*_xlpm.annual_increase)</f>
        <v>0</v>
      </c>
      <c r="F40" s="12">
        <v>0</v>
      </c>
      <c r="G40" s="12">
        <v>0</v>
      </c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0</v>
      </c>
      <c r="N40" s="12">
        <v>0</v>
      </c>
      <c r="O40" s="12">
        <v>0</v>
      </c>
      <c r="P40" s="12">
        <v>0</v>
      </c>
      <c r="Q40" s="12">
        <v>0</v>
      </c>
      <c r="R40" s="12">
        <v>0</v>
      </c>
      <c r="S40" s="12">
        <v>0</v>
      </c>
      <c r="T40" s="12">
        <v>0</v>
      </c>
      <c r="U40" s="12">
        <v>0</v>
      </c>
      <c r="V40" s="12">
        <v>0</v>
      </c>
      <c r="W40" s="12">
        <v>0</v>
      </c>
      <c r="X40" s="12">
        <v>0</v>
      </c>
      <c r="Y40" s="12">
        <v>0</v>
      </c>
      <c r="Z40" s="12">
        <v>0</v>
      </c>
      <c r="AA40" s="12">
        <v>0</v>
      </c>
      <c r="AB40" s="12">
        <v>0</v>
      </c>
      <c r="AC40" s="12">
        <v>11696.666666666668</v>
      </c>
      <c r="AD40" s="12">
        <v>11696.666666666668</v>
      </c>
      <c r="AE40" s="12">
        <v>11696.666666666668</v>
      </c>
      <c r="AF40" s="12">
        <v>11696.666666666668</v>
      </c>
      <c r="AG40" s="12">
        <v>11696.666666666668</v>
      </c>
      <c r="AH40" s="12">
        <v>11696.666666666668</v>
      </c>
      <c r="AI40" s="12">
        <v>11696.666666666668</v>
      </c>
      <c r="AJ40" s="12">
        <v>11696.666666666668</v>
      </c>
      <c r="AK40" s="12">
        <v>11696.666666666668</v>
      </c>
      <c r="AL40" s="12">
        <v>11696.666666666668</v>
      </c>
      <c r="AM40" s="12">
        <v>11696.666666666668</v>
      </c>
      <c r="AN40" s="12">
        <v>11696.666666666668</v>
      </c>
    </row>
    <row r="41" spans="2:40" x14ac:dyDescent="0.25">
      <c r="B41" s="39" t="s">
        <v>388</v>
      </c>
      <c r="C41" s="142">
        <f>_xlfn.XLOOKUP($B$1&amp;"-"&amp;$C$1,Base!$D$4:$BD$4,Base!$D$12:$BD$12,0,0)</f>
        <v>90</v>
      </c>
      <c r="E41" s="12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102220.8</v>
      </c>
      <c r="AD41" s="12">
        <v>209087.99999999994</v>
      </c>
      <c r="AE41" s="12">
        <v>311308.79999999999</v>
      </c>
      <c r="AF41" s="12">
        <v>413529.60000000003</v>
      </c>
      <c r="AG41" s="12">
        <v>515750.39999999997</v>
      </c>
      <c r="AH41" s="12">
        <v>622617.59999999998</v>
      </c>
      <c r="AI41" s="12">
        <v>645849.59999999986</v>
      </c>
      <c r="AJ41" s="12">
        <v>673728</v>
      </c>
      <c r="AK41" s="12">
        <v>696960</v>
      </c>
      <c r="AL41" s="12">
        <v>724838.39999999991</v>
      </c>
      <c r="AM41" s="12">
        <v>752716.79999999993</v>
      </c>
      <c r="AN41" s="12">
        <v>775948.79999999981</v>
      </c>
    </row>
    <row r="42" spans="2:40" x14ac:dyDescent="0.25">
      <c r="B42" s="39" t="s">
        <v>28</v>
      </c>
      <c r="E42" s="12" cm="1">
        <f t="array" ref="E42:AN42">_xlfn.BYCOL(_xlfn.ANCHORARRAY($E$25),_xlfn.LAMBDA(_xlpm.a,0))</f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0</v>
      </c>
      <c r="AJ42" s="12">
        <v>0</v>
      </c>
      <c r="AK42" s="12">
        <v>0</v>
      </c>
      <c r="AL42" s="12">
        <v>0</v>
      </c>
      <c r="AM42" s="12">
        <v>0</v>
      </c>
      <c r="AN42" s="12">
        <v>0</v>
      </c>
    </row>
    <row r="43" spans="2:40" x14ac:dyDescent="0.25">
      <c r="B43" s="39" t="s">
        <v>31</v>
      </c>
      <c r="E43" s="12" cm="1">
        <f t="array" ref="E43:AN43">_xlfn.BYCOL(_xlfn.ANCHORARRAY($E$25),_xlfn.LAMBDA(_xlpm.a,0))</f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0</v>
      </c>
      <c r="X43" s="12">
        <v>0</v>
      </c>
      <c r="Y43" s="12">
        <v>0</v>
      </c>
      <c r="Z43" s="12">
        <v>0</v>
      </c>
      <c r="AA43" s="12">
        <v>0</v>
      </c>
      <c r="AB43" s="12">
        <v>0</v>
      </c>
      <c r="AC43" s="12">
        <v>0</v>
      </c>
      <c r="AD43" s="12">
        <v>0</v>
      </c>
      <c r="AE43" s="12">
        <v>0</v>
      </c>
      <c r="AF43" s="12">
        <v>0</v>
      </c>
      <c r="AG43" s="12">
        <v>0</v>
      </c>
      <c r="AH43" s="12">
        <v>0</v>
      </c>
      <c r="AI43" s="12">
        <v>0</v>
      </c>
      <c r="AJ43" s="12">
        <v>0</v>
      </c>
      <c r="AK43" s="12">
        <v>0</v>
      </c>
      <c r="AL43" s="12">
        <v>0</v>
      </c>
      <c r="AM43" s="12">
        <v>0</v>
      </c>
      <c r="AN43" s="12">
        <v>0</v>
      </c>
    </row>
    <row r="44" spans="2:40" x14ac:dyDescent="0.25">
      <c r="B44" s="39" t="s">
        <v>34</v>
      </c>
      <c r="E44" s="12" cm="1">
        <f t="array" ref="E44:AN44">_xlfn.BYCOL(_xlfn.ANCHORARRAY($E$25),_xlfn.LAMBDA(_xlpm.a,0))</f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  <c r="O44" s="12">
        <v>0</v>
      </c>
      <c r="P44" s="12">
        <v>0</v>
      </c>
      <c r="Q44" s="12">
        <v>0</v>
      </c>
      <c r="R44" s="12">
        <v>0</v>
      </c>
      <c r="S44" s="12">
        <v>0</v>
      </c>
      <c r="T44" s="12">
        <v>0</v>
      </c>
      <c r="U44" s="12">
        <v>0</v>
      </c>
      <c r="V44" s="12">
        <v>0</v>
      </c>
      <c r="W44" s="12">
        <v>0</v>
      </c>
      <c r="X44" s="12">
        <v>0</v>
      </c>
      <c r="Y44" s="12">
        <v>0</v>
      </c>
      <c r="Z44" s="12">
        <v>0</v>
      </c>
      <c r="AA44" s="12">
        <v>0</v>
      </c>
      <c r="AB44" s="12">
        <v>0</v>
      </c>
      <c r="AC44" s="12">
        <v>0</v>
      </c>
      <c r="AD44" s="12">
        <v>0</v>
      </c>
      <c r="AE44" s="12">
        <v>0</v>
      </c>
      <c r="AF44" s="12">
        <v>0</v>
      </c>
      <c r="AG44" s="12">
        <v>0</v>
      </c>
      <c r="AH44" s="12">
        <v>0</v>
      </c>
      <c r="AI44" s="12">
        <v>0</v>
      </c>
      <c r="AJ44" s="12">
        <v>0</v>
      </c>
      <c r="AK44" s="12">
        <v>0</v>
      </c>
      <c r="AL44" s="12">
        <v>0</v>
      </c>
      <c r="AM44" s="12">
        <v>0</v>
      </c>
      <c r="AN44" s="12">
        <v>0</v>
      </c>
    </row>
    <row r="45" spans="2:40" x14ac:dyDescent="0.25">
      <c r="B45" s="39" t="s">
        <v>36</v>
      </c>
      <c r="E45" s="12" cm="1">
        <f t="array" ref="E45:AN45">_xlfn.BYCOL(_xlfn.ANCHORARRAY($E$25),_xlfn.LAMBDA(_xlpm.a,0))</f>
        <v>0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12">
        <v>0</v>
      </c>
      <c r="R45" s="12">
        <v>0</v>
      </c>
      <c r="S45" s="12">
        <v>0</v>
      </c>
      <c r="T45" s="12">
        <v>0</v>
      </c>
      <c r="U45" s="12">
        <v>0</v>
      </c>
      <c r="V45" s="12">
        <v>0</v>
      </c>
      <c r="W45" s="12">
        <v>0</v>
      </c>
      <c r="X45" s="12">
        <v>0</v>
      </c>
      <c r="Y45" s="12">
        <v>0</v>
      </c>
      <c r="Z45" s="12">
        <v>0</v>
      </c>
      <c r="AA45" s="12">
        <v>0</v>
      </c>
      <c r="AB45" s="12">
        <v>0</v>
      </c>
      <c r="AC45" s="12">
        <v>0</v>
      </c>
      <c r="AD45" s="12">
        <v>0</v>
      </c>
      <c r="AE45" s="12">
        <v>0</v>
      </c>
      <c r="AF45" s="12">
        <v>0</v>
      </c>
      <c r="AG45" s="12">
        <v>0</v>
      </c>
      <c r="AH45" s="12">
        <v>0</v>
      </c>
      <c r="AI45" s="12">
        <v>0</v>
      </c>
      <c r="AJ45" s="12">
        <v>0</v>
      </c>
      <c r="AK45" s="12">
        <v>0</v>
      </c>
      <c r="AL45" s="12">
        <v>0</v>
      </c>
      <c r="AM45" s="12">
        <v>0</v>
      </c>
      <c r="AN45" s="12">
        <v>0</v>
      </c>
    </row>
    <row r="46" spans="2:40" x14ac:dyDescent="0.25">
      <c r="B46" s="39" t="s">
        <v>38</v>
      </c>
      <c r="E46" s="12" cm="1">
        <f t="array" ref="E46:AN46">_xlfn.BYCOL(_xlfn.ANCHORARRAY($E$25),_xlfn.LAMBDA(_xlpm.a,0))</f>
        <v>0</v>
      </c>
      <c r="F46" s="12">
        <v>0</v>
      </c>
      <c r="G46" s="12">
        <v>0</v>
      </c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0</v>
      </c>
      <c r="N46" s="12">
        <v>0</v>
      </c>
      <c r="O46" s="12">
        <v>0</v>
      </c>
      <c r="P46" s="12">
        <v>0</v>
      </c>
      <c r="Q46" s="12">
        <v>0</v>
      </c>
      <c r="R46" s="12">
        <v>0</v>
      </c>
      <c r="S46" s="12">
        <v>0</v>
      </c>
      <c r="T46" s="12">
        <v>0</v>
      </c>
      <c r="U46" s="12">
        <v>0</v>
      </c>
      <c r="V46" s="12">
        <v>0</v>
      </c>
      <c r="W46" s="12">
        <v>0</v>
      </c>
      <c r="X46" s="12">
        <v>0</v>
      </c>
      <c r="Y46" s="12">
        <v>0</v>
      </c>
      <c r="Z46" s="12">
        <v>0</v>
      </c>
      <c r="AA46" s="12">
        <v>0</v>
      </c>
      <c r="AB46" s="12">
        <v>0</v>
      </c>
      <c r="AC46" s="12">
        <v>0</v>
      </c>
      <c r="AD46" s="12">
        <v>0</v>
      </c>
      <c r="AE46" s="12">
        <v>0</v>
      </c>
      <c r="AF46" s="12">
        <v>0</v>
      </c>
      <c r="AG46" s="12">
        <v>0</v>
      </c>
      <c r="AH46" s="12">
        <v>0</v>
      </c>
      <c r="AI46" s="12">
        <v>0</v>
      </c>
      <c r="AJ46" s="12">
        <v>0</v>
      </c>
      <c r="AK46" s="12">
        <v>0</v>
      </c>
      <c r="AL46" s="12">
        <v>0</v>
      </c>
      <c r="AM46" s="12">
        <v>0</v>
      </c>
      <c r="AN46" s="12">
        <v>0</v>
      </c>
    </row>
    <row r="47" spans="2:40" x14ac:dyDescent="0.25">
      <c r="B47" s="39" t="s">
        <v>40</v>
      </c>
      <c r="E47" s="12" cm="1">
        <f t="array" ref="E47:AN47">_xlfn.BYCOL(_xlfn.ANCHORARRAY($E$25),_xlfn.LAMBDA(_xlpm.a,0))</f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  <c r="O47" s="12">
        <v>0</v>
      </c>
      <c r="P47" s="12">
        <v>0</v>
      </c>
      <c r="Q47" s="12">
        <v>0</v>
      </c>
      <c r="R47" s="12">
        <v>0</v>
      </c>
      <c r="S47" s="12">
        <v>0</v>
      </c>
      <c r="T47" s="12">
        <v>0</v>
      </c>
      <c r="U47" s="12">
        <v>0</v>
      </c>
      <c r="V47" s="12">
        <v>0</v>
      </c>
      <c r="W47" s="12">
        <v>0</v>
      </c>
      <c r="X47" s="12">
        <v>0</v>
      </c>
      <c r="Y47" s="12">
        <v>0</v>
      </c>
      <c r="Z47" s="12">
        <v>0</v>
      </c>
      <c r="AA47" s="12">
        <v>0</v>
      </c>
      <c r="AB47" s="12">
        <v>0</v>
      </c>
      <c r="AC47" s="12">
        <v>0</v>
      </c>
      <c r="AD47" s="12">
        <v>0</v>
      </c>
      <c r="AE47" s="12">
        <v>0</v>
      </c>
      <c r="AF47" s="12">
        <v>0</v>
      </c>
      <c r="AG47" s="12">
        <v>0</v>
      </c>
      <c r="AH47" s="12">
        <v>0</v>
      </c>
      <c r="AI47" s="12">
        <v>0</v>
      </c>
      <c r="AJ47" s="12">
        <v>0</v>
      </c>
      <c r="AK47" s="12">
        <v>0</v>
      </c>
      <c r="AL47" s="12">
        <v>0</v>
      </c>
      <c r="AM47" s="12">
        <v>0</v>
      </c>
      <c r="AN47" s="12">
        <v>0</v>
      </c>
    </row>
    <row r="48" spans="2:40" x14ac:dyDescent="0.25">
      <c r="B48" s="39" t="s">
        <v>41</v>
      </c>
      <c r="E48" s="12" cm="1">
        <f t="array" ref="E48:AN48">_xlfn.BYCOL(_xlfn.ANCHORARRAY($E$25),_xlfn.LAMBDA(_xlpm.a,0))</f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42</v>
      </c>
      <c r="C49" s="142"/>
      <c r="E49" s="12" cm="1">
        <f t="array" ref="E49:AN49">_xlfn.BYCOL(_xlfn.ANCHORARRAY($E$25),_xlfn.LAMBDA(_xlpm.a,0))</f>
        <v>0</v>
      </c>
      <c r="F49" s="12">
        <v>0</v>
      </c>
      <c r="G49" s="12">
        <v>0</v>
      </c>
      <c r="H49" s="12">
        <v>0</v>
      </c>
      <c r="I49" s="12">
        <v>0</v>
      </c>
      <c r="J49" s="12">
        <v>0</v>
      </c>
      <c r="K49" s="12">
        <v>0</v>
      </c>
      <c r="L49" s="12">
        <v>0</v>
      </c>
      <c r="M49" s="12">
        <v>0</v>
      </c>
      <c r="N49" s="12">
        <v>0</v>
      </c>
      <c r="O49" s="12">
        <v>0</v>
      </c>
      <c r="P49" s="12">
        <v>0</v>
      </c>
      <c r="Q49" s="12">
        <v>0</v>
      </c>
      <c r="R49" s="12">
        <v>0</v>
      </c>
      <c r="S49" s="12">
        <v>0</v>
      </c>
      <c r="T49" s="12">
        <v>0</v>
      </c>
      <c r="U49" s="12">
        <v>0</v>
      </c>
      <c r="V49" s="12">
        <v>0</v>
      </c>
      <c r="W49" s="12">
        <v>0</v>
      </c>
      <c r="X49" s="12">
        <v>0</v>
      </c>
      <c r="Y49" s="12">
        <v>0</v>
      </c>
      <c r="Z49" s="12">
        <v>0</v>
      </c>
      <c r="AA49" s="12">
        <v>0</v>
      </c>
      <c r="AB49" s="12">
        <v>0</v>
      </c>
      <c r="AC49" s="12">
        <v>0</v>
      </c>
      <c r="AD49" s="12">
        <v>0</v>
      </c>
      <c r="AE49" s="12">
        <v>0</v>
      </c>
      <c r="AF49" s="12">
        <v>0</v>
      </c>
      <c r="AG49" s="12">
        <v>0</v>
      </c>
      <c r="AH49" s="12">
        <v>0</v>
      </c>
      <c r="AI49" s="12">
        <v>0</v>
      </c>
      <c r="AJ49" s="12">
        <v>0</v>
      </c>
      <c r="AK49" s="12">
        <v>0</v>
      </c>
      <c r="AL49" s="12">
        <v>0</v>
      </c>
      <c r="AM49" s="12">
        <v>0</v>
      </c>
      <c r="AN49" s="12">
        <v>0</v>
      </c>
    </row>
    <row r="50" spans="2:40" x14ac:dyDescent="0.25">
      <c r="B50" s="1" t="s">
        <v>272</v>
      </c>
      <c r="E50" s="13" cm="1">
        <f t="array" ref="E50:AN50">_xlfn.BYCOL(_xlfn.VSTACK(_xlfn.ANCHORARRAY(E40),_xlfn.ANCHORARRAY(E41),_xlfn.ANCHORARRAY(E42),_xlfn.ANCHORARRAY(E43),_xlfn.ANCHORARRAY(E44),_xlfn.ANCHORARRAY(E45),_xlfn.ANCHORARRAY(E46),_xlfn.ANCHORARRAY(E47),_xlfn.ANCHORARRAY(E48),_xlfn.ANCHORARRAY(E49)),_xlfn.LAMBDA(_xlpm.a,SUM(_xlpm.a)))</f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0</v>
      </c>
      <c r="Q50" s="13">
        <v>0</v>
      </c>
      <c r="R50" s="13">
        <v>0</v>
      </c>
      <c r="S50" s="13">
        <v>0</v>
      </c>
      <c r="T50" s="13">
        <v>0</v>
      </c>
      <c r="U50" s="13">
        <v>0</v>
      </c>
      <c r="V50" s="13">
        <v>0</v>
      </c>
      <c r="W50" s="13">
        <v>0</v>
      </c>
      <c r="X50" s="13">
        <v>0</v>
      </c>
      <c r="Y50" s="13">
        <v>0</v>
      </c>
      <c r="Z50" s="13">
        <v>0</v>
      </c>
      <c r="AA50" s="13">
        <v>0</v>
      </c>
      <c r="AB50" s="13">
        <v>0</v>
      </c>
      <c r="AC50" s="13">
        <v>113917.46666666667</v>
      </c>
      <c r="AD50" s="13">
        <v>220784.6666666666</v>
      </c>
      <c r="AE50" s="13">
        <v>323005.46666666667</v>
      </c>
      <c r="AF50" s="13">
        <v>425226.26666666672</v>
      </c>
      <c r="AG50" s="13">
        <v>527447.06666666665</v>
      </c>
      <c r="AH50" s="13">
        <v>634314.2666666666</v>
      </c>
      <c r="AI50" s="13">
        <v>657546.26666666649</v>
      </c>
      <c r="AJ50" s="13">
        <v>685424.66666666663</v>
      </c>
      <c r="AK50" s="13">
        <v>708656.66666666663</v>
      </c>
      <c r="AL50" s="13">
        <v>736535.06666666653</v>
      </c>
      <c r="AM50" s="13">
        <v>764413.46666666656</v>
      </c>
      <c r="AN50" s="13">
        <v>787645.46666666644</v>
      </c>
    </row>
    <row r="51" spans="2:40" x14ac:dyDescent="0.25">
      <c r="C51" s="63"/>
    </row>
    <row r="52" spans="2:40" x14ac:dyDescent="0.25">
      <c r="B52" s="1" t="s">
        <v>48</v>
      </c>
      <c r="E52" s="74">
        <f>E37-E50</f>
        <v>0</v>
      </c>
      <c r="F52" s="74">
        <f t="shared" ref="F52:AN52" si="4">F37-F50</f>
        <v>0</v>
      </c>
      <c r="G52" s="74">
        <f t="shared" si="4"/>
        <v>0</v>
      </c>
      <c r="H52" s="74">
        <f t="shared" si="4"/>
        <v>0</v>
      </c>
      <c r="I52" s="74">
        <f t="shared" si="4"/>
        <v>0</v>
      </c>
      <c r="J52" s="74">
        <f t="shared" si="4"/>
        <v>0</v>
      </c>
      <c r="K52" s="74">
        <f t="shared" si="4"/>
        <v>0</v>
      </c>
      <c r="L52" s="74">
        <f t="shared" si="4"/>
        <v>0</v>
      </c>
      <c r="M52" s="74">
        <f t="shared" si="4"/>
        <v>0</v>
      </c>
      <c r="N52" s="74">
        <f t="shared" si="4"/>
        <v>0</v>
      </c>
      <c r="O52" s="74">
        <f t="shared" si="4"/>
        <v>0</v>
      </c>
      <c r="P52" s="74">
        <f t="shared" si="4"/>
        <v>0</v>
      </c>
      <c r="Q52" s="74">
        <f t="shared" si="4"/>
        <v>0</v>
      </c>
      <c r="R52" s="74">
        <f t="shared" si="4"/>
        <v>0</v>
      </c>
      <c r="S52" s="74">
        <f t="shared" si="4"/>
        <v>0</v>
      </c>
      <c r="T52" s="74">
        <f t="shared" si="4"/>
        <v>0</v>
      </c>
      <c r="U52" s="74">
        <f t="shared" si="4"/>
        <v>0</v>
      </c>
      <c r="V52" s="74">
        <f t="shared" si="4"/>
        <v>0</v>
      </c>
      <c r="W52" s="74">
        <f t="shared" si="4"/>
        <v>0</v>
      </c>
      <c r="X52" s="74">
        <f t="shared" si="4"/>
        <v>0</v>
      </c>
      <c r="Y52" s="74">
        <f t="shared" si="4"/>
        <v>0</v>
      </c>
      <c r="Z52" s="74">
        <f t="shared" si="4"/>
        <v>0</v>
      </c>
      <c r="AA52" s="74">
        <f t="shared" si="4"/>
        <v>0</v>
      </c>
      <c r="AB52" s="74">
        <f t="shared" si="4"/>
        <v>0</v>
      </c>
      <c r="AC52" s="74">
        <f t="shared" si="4"/>
        <v>72446.691063999955</v>
      </c>
      <c r="AD52" s="74">
        <f t="shared" si="4"/>
        <v>160414.74687333332</v>
      </c>
      <c r="AE52" s="74">
        <f t="shared" si="4"/>
        <v>244558.10460400011</v>
      </c>
      <c r="AF52" s="74">
        <f t="shared" si="4"/>
        <v>328701.46233466675</v>
      </c>
      <c r="AG52" s="74">
        <f t="shared" si="4"/>
        <v>412844.82006533339</v>
      </c>
      <c r="AH52" s="74">
        <f t="shared" si="4"/>
        <v>500812.87587466696</v>
      </c>
      <c r="AI52" s="74">
        <f t="shared" si="4"/>
        <v>519936.36626800022</v>
      </c>
      <c r="AJ52" s="74">
        <f t="shared" si="4"/>
        <v>542884.5547399997</v>
      </c>
      <c r="AK52" s="74">
        <f t="shared" si="4"/>
        <v>562008.04513333307</v>
      </c>
      <c r="AL52" s="74">
        <f t="shared" si="4"/>
        <v>584956.23360533302</v>
      </c>
      <c r="AM52" s="74">
        <f t="shared" si="4"/>
        <v>607904.42207733332</v>
      </c>
      <c r="AN52" s="74">
        <f t="shared" si="4"/>
        <v>627027.91247066681</v>
      </c>
    </row>
    <row r="53" spans="2:40" x14ac:dyDescent="0.25">
      <c r="C53" s="63"/>
      <c r="E53" s="105" t="str">
        <f>IFERROR(E52/E37,"")</f>
        <v/>
      </c>
      <c r="F53" s="105" t="str">
        <f t="shared" ref="F53:AN53" si="5">IFERROR(F52/F37,"")</f>
        <v/>
      </c>
      <c r="G53" s="105" t="str">
        <f t="shared" si="5"/>
        <v/>
      </c>
      <c r="H53" s="105" t="str">
        <f t="shared" si="5"/>
        <v/>
      </c>
      <c r="I53" s="105" t="str">
        <f t="shared" si="5"/>
        <v/>
      </c>
      <c r="J53" s="105" t="str">
        <f t="shared" si="5"/>
        <v/>
      </c>
      <c r="K53" s="105" t="str">
        <f t="shared" si="5"/>
        <v/>
      </c>
      <c r="L53" s="105" t="str">
        <f t="shared" si="5"/>
        <v/>
      </c>
      <c r="M53" s="105" t="str">
        <f t="shared" si="5"/>
        <v/>
      </c>
      <c r="N53" s="105" t="str">
        <f t="shared" si="5"/>
        <v/>
      </c>
      <c r="O53" s="105" t="str">
        <f t="shared" si="5"/>
        <v/>
      </c>
      <c r="P53" s="105" t="str">
        <f t="shared" si="5"/>
        <v/>
      </c>
      <c r="Q53" s="105" t="str">
        <f t="shared" si="5"/>
        <v/>
      </c>
      <c r="R53" s="105" t="str">
        <f t="shared" si="5"/>
        <v/>
      </c>
      <c r="S53" s="105" t="str">
        <f t="shared" si="5"/>
        <v/>
      </c>
      <c r="T53" s="105" t="str">
        <f t="shared" si="5"/>
        <v/>
      </c>
      <c r="U53" s="105" t="str">
        <f t="shared" si="5"/>
        <v/>
      </c>
      <c r="V53" s="105" t="str">
        <f t="shared" si="5"/>
        <v/>
      </c>
      <c r="W53" s="105" t="str">
        <f t="shared" si="5"/>
        <v/>
      </c>
      <c r="X53" s="105" t="str">
        <f t="shared" si="5"/>
        <v/>
      </c>
      <c r="Y53" s="105" t="str">
        <f t="shared" si="5"/>
        <v/>
      </c>
      <c r="Z53" s="105" t="str">
        <f t="shared" si="5"/>
        <v/>
      </c>
      <c r="AA53" s="105" t="str">
        <f t="shared" si="5"/>
        <v/>
      </c>
      <c r="AB53" s="105" t="str">
        <f t="shared" si="5"/>
        <v/>
      </c>
      <c r="AC53" s="105">
        <f t="shared" si="5"/>
        <v>0.38873725477138082</v>
      </c>
      <c r="AD53" s="105">
        <f t="shared" si="5"/>
        <v>0.4208158280823292</v>
      </c>
      <c r="AE53" s="105">
        <f t="shared" si="5"/>
        <v>0.43089112300932397</v>
      </c>
      <c r="AF53" s="105">
        <f t="shared" si="5"/>
        <v>0.43598537325331005</v>
      </c>
      <c r="AG53" s="105">
        <f t="shared" si="5"/>
        <v>0.43906028105823858</v>
      </c>
      <c r="AH53" s="105">
        <f t="shared" si="5"/>
        <v>0.44119540191193235</v>
      </c>
      <c r="AI53" s="105">
        <f t="shared" si="5"/>
        <v>0.44156605942641464</v>
      </c>
      <c r="AJ53" s="105">
        <f t="shared" si="5"/>
        <v>0.4419771058286816</v>
      </c>
      <c r="AK53" s="105">
        <f t="shared" si="5"/>
        <v>0.44229452499487693</v>
      </c>
      <c r="AL53" s="105">
        <f t="shared" si="5"/>
        <v>0.44264856944947939</v>
      </c>
      <c r="AM53" s="105">
        <f t="shared" si="5"/>
        <v>0.44297638838892622</v>
      </c>
      <c r="AN53" s="105">
        <f t="shared" si="5"/>
        <v>0.44323157678490277</v>
      </c>
    </row>
    <row r="54" spans="2:40" x14ac:dyDescent="0.25">
      <c r="C54" s="63"/>
    </row>
    <row r="55" spans="2:40" x14ac:dyDescent="0.25">
      <c r="B55" t="s">
        <v>57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500000</v>
      </c>
      <c r="D55" s="12">
        <f>C55-SUM(_xlfn.ANCHORARRAY(E55))</f>
        <v>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100000</v>
      </c>
      <c r="AC55" s="12">
        <v>100000</v>
      </c>
      <c r="AD55" s="12">
        <v>100000</v>
      </c>
      <c r="AE55" s="12">
        <v>100000</v>
      </c>
      <c r="AF55" s="12">
        <v>100000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</row>
    <row r="56" spans="2:40" x14ac:dyDescent="0.25">
      <c r="B56" t="s">
        <v>285</v>
      </c>
      <c r="C56" s="12"/>
      <c r="D56" s="12"/>
      <c r="E56" s="12" cm="1">
        <f t="array" ref="E56">_xlfn.LET(_xlpm.site,$B$1&amp;"-"&amp;$C$1,_xlpm.locations,Base!$D$4:$BD$4,_xlpm.ar_col,Base!$D$13:$BD$18,_xlpm.site_col,_xlfn.XLOOKUP(_xlpm.site,_xlpm.locations,_xlpm.ar_col,0,0),
_xlpm.rev_1,E$37,_xlpm.rev_1*_xlfn.CHOOSEROWS(_xlpm.site_col,1))</f>
        <v>0</v>
      </c>
      <c r="F56" s="12" cm="1">
        <f t="array" ref="F56">_xlfn.LET(_xlpm.site,$B$1&amp;"-"&amp;$C$1,_xlpm.locations,Base!$D$4:$BD$4,_xlpm.ar_col,Base!$D$13:$BD$18,_xlpm.site_col,_xlfn.XLOOKUP(_xlpm.site,_xlpm.locations,_xlpm.ar_col,0,0),
_xlpm.rev_1,F$37,_xlpm.rev_1*_xlfn.CHOOSEROWS(_xlpm.site_col,1))</f>
        <v>0</v>
      </c>
      <c r="G56" s="12" cm="1">
        <f t="array" ref="G56">_xlfn.LET(_xlpm.site,$B$1&amp;"-"&amp;$C$1,_xlpm.locations,Base!$D$4:$BD$4,_xlpm.ar_col,Base!$D$13:$BD$18,_xlpm.site_col,_xlfn.XLOOKUP(_xlpm.site,_xlpm.locations,_xlpm.ar_col,0,0),
_xlpm.rev_1,G$37,_xlpm.rev_1*_xlfn.CHOOSEROWS(_xlpm.site_col,1))</f>
        <v>0</v>
      </c>
      <c r="H56" s="12" cm="1">
        <f t="array" ref="H56">_xlfn.LET(_xlpm.site,$B$1&amp;"-"&amp;$C$1,_xlpm.locations,Base!$D$4:$BD$4,_xlpm.ar_col,Base!$D$13:$BD$18,_xlpm.site_col,_xlfn.XLOOKUP(_xlpm.site,_xlpm.locations,_xlpm.ar_col,0,0),
_xlpm.rev_1,H$37,_xlpm.rev_1*_xlfn.CHOOSEROWS(_xlpm.site_col,1))</f>
        <v>0</v>
      </c>
      <c r="I56" s="12" cm="1">
        <f t="array" ref="I56">_xlfn.LET(_xlpm.site,$B$1&amp;"-"&amp;$C$1,_xlpm.locations,Base!$D$4:$BD$4,_xlpm.ar_col,Base!$D$13:$BD$18,_xlpm.site_col,_xlfn.XLOOKUP(_xlpm.site,_xlpm.locations,_xlpm.ar_col,0,0),
_xlpm.rev_1,I$37,_xlpm.rev_1*_xlfn.CHOOSEROWS(_xlpm.site_col,1))</f>
        <v>0</v>
      </c>
      <c r="J56" s="12" cm="1">
        <f t="array" ref="J56">_xlfn.LET(_xlpm.site,$B$1&amp;"-"&amp;$C$1,_xlpm.locations,Base!$D$4:$BD$4,_xlpm.ar_col,Base!$D$13:$BD$18,_xlpm.site_col,_xlfn.XLOOKUP(_xlpm.site,_xlpm.locations,_xlpm.ar_col,0,0),
_xlpm.rev_1,J$37,_xlpm.rev_1*_xlfn.CHOOSEROWS(_xlpm.site_col,1))</f>
        <v>0</v>
      </c>
      <c r="K56" s="12" cm="1">
        <f t="array" ref="K56">_xlfn.LET(_xlpm.site,$B$1&amp;"-"&amp;$C$1,_xlpm.locations,Base!$D$4:$BD$4,_xlpm.ar_col,Base!$D$13:$BD$18,_xlpm.site_col,_xlfn.XLOOKUP(_xlpm.site,_xlpm.locations,_xlpm.ar_col,0,0),
_xlpm.rev_1,K$37,_xlpm.rev_1*_xlfn.CHOOSEROWS(_xlpm.site_col,1))</f>
        <v>0</v>
      </c>
      <c r="L56" s="12" cm="1">
        <f t="array" ref="L56">_xlfn.LET(_xlpm.site,$B$1&amp;"-"&amp;$C$1,_xlpm.locations,Base!$D$4:$BD$4,_xlpm.ar_col,Base!$D$13:$BD$18,_xlpm.site_col,_xlfn.XLOOKUP(_xlpm.site,_xlpm.locations,_xlpm.ar_col,0,0),
_xlpm.rev_1,L$37,_xlpm.rev_1*_xlfn.CHOOSEROWS(_xlpm.site_col,1))</f>
        <v>0</v>
      </c>
      <c r="M56" s="12" cm="1">
        <f t="array" ref="M56">_xlfn.LET(_xlpm.site,$B$1&amp;"-"&amp;$C$1,_xlpm.locations,Base!$D$4:$BD$4,_xlpm.ar_col,Base!$D$13:$BD$18,_xlpm.site_col,_xlfn.XLOOKUP(_xlpm.site,_xlpm.locations,_xlpm.ar_col,0,0),
_xlpm.rev_1,M$37,_xlpm.rev_1*_xlfn.CHOOSEROWS(_xlpm.site_col,1))</f>
        <v>0</v>
      </c>
      <c r="N56" s="12" cm="1">
        <f t="array" ref="N56">_xlfn.LET(_xlpm.site,$B$1&amp;"-"&amp;$C$1,_xlpm.locations,Base!$D$4:$BD$4,_xlpm.ar_col,Base!$D$13:$BD$18,_xlpm.site_col,_xlfn.XLOOKUP(_xlpm.site,_xlpm.locations,_xlpm.ar_col,0,0),
_xlpm.rev_1,N$37,_xlpm.rev_1*_xlfn.CHOOSEROWS(_xlpm.site_col,1))</f>
        <v>0</v>
      </c>
      <c r="O56" s="12" cm="1">
        <f t="array" ref="O56">_xlfn.LET(_xlpm.site,$B$1&amp;"-"&amp;$C$1,_xlpm.locations,Base!$D$4:$BD$4,_xlpm.ar_col,Base!$D$13:$BD$18,_xlpm.site_col,_xlfn.XLOOKUP(_xlpm.site,_xlpm.locations,_xlpm.ar_col,0,0),
_xlpm.rev_1,O$37,_xlpm.rev_1*_xlfn.CHOOSEROWS(_xlpm.site_col,1))</f>
        <v>0</v>
      </c>
      <c r="P56" s="12" cm="1">
        <f t="array" ref="P56">_xlfn.LET(_xlpm.site,$B$1&amp;"-"&amp;$C$1,_xlpm.locations,Base!$D$4:$BD$4,_xlpm.ar_col,Base!$D$13:$BD$18,_xlpm.site_col,_xlfn.XLOOKUP(_xlpm.site,_xlpm.locations,_xlpm.ar_col,0,0),
_xlpm.rev_1,P$37,_xlpm.rev_1*_xlfn.CHOOSEROWS(_xlpm.site_col,1))</f>
        <v>0</v>
      </c>
      <c r="Q56" s="12" cm="1">
        <f t="array" ref="Q56">_xlfn.LET(_xlpm.site,$B$1&amp;"-"&amp;$C$1,_xlpm.locations,Base!$D$4:$BD$4,_xlpm.ar_col,Base!$D$13:$BD$18,_xlpm.site_col,_xlfn.XLOOKUP(_xlpm.site,_xlpm.locations,_xlpm.ar_col,0,0),
_xlpm.rev_1,Q$37,_xlpm.rev_1*_xlfn.CHOOSEROWS(_xlpm.site_col,1))</f>
        <v>0</v>
      </c>
      <c r="R56" s="12" cm="1">
        <f t="array" ref="R56">_xlfn.LET(_xlpm.site,$B$1&amp;"-"&amp;$C$1,_xlpm.locations,Base!$D$4:$BD$4,_xlpm.ar_col,Base!$D$13:$BD$18,_xlpm.site_col,_xlfn.XLOOKUP(_xlpm.site,_xlpm.locations,_xlpm.ar_col,0,0),
_xlpm.rev_1,R$37,_xlpm.rev_1*_xlfn.CHOOSEROWS(_xlpm.site_col,1))</f>
        <v>0</v>
      </c>
      <c r="S56" s="12" cm="1">
        <f t="array" ref="S56">_xlfn.LET(_xlpm.site,$B$1&amp;"-"&amp;$C$1,_xlpm.locations,Base!$D$4:$BD$4,_xlpm.ar_col,Base!$D$13:$BD$18,_xlpm.site_col,_xlfn.XLOOKUP(_xlpm.site,_xlpm.locations,_xlpm.ar_col,0,0),
_xlpm.rev_1,S$37,_xlpm.rev_1*_xlfn.CHOOSEROWS(_xlpm.site_col,1))</f>
        <v>0</v>
      </c>
      <c r="T56" s="12" cm="1">
        <f t="array" ref="T56">_xlfn.LET(_xlpm.site,$B$1&amp;"-"&amp;$C$1,_xlpm.locations,Base!$D$4:$BD$4,_xlpm.ar_col,Base!$D$13:$BD$18,_xlpm.site_col,_xlfn.XLOOKUP(_xlpm.site,_xlpm.locations,_xlpm.ar_col,0,0),
_xlpm.rev_1,T$37,_xlpm.rev_1*_xlfn.CHOOSEROWS(_xlpm.site_col,1))</f>
        <v>0</v>
      </c>
      <c r="U56" s="12" cm="1">
        <f t="array" ref="U56">_xlfn.LET(_xlpm.site,$B$1&amp;"-"&amp;$C$1,_xlpm.locations,Base!$D$4:$BD$4,_xlpm.ar_col,Base!$D$13:$BD$18,_xlpm.site_col,_xlfn.XLOOKUP(_xlpm.site,_xlpm.locations,_xlpm.ar_col,0,0),
_xlpm.rev_1,U$37,_xlpm.rev_1*_xlfn.CHOOSEROWS(_xlpm.site_col,1))</f>
        <v>0</v>
      </c>
      <c r="V56" s="12" cm="1">
        <f t="array" ref="V56">_xlfn.LET(_xlpm.site,$B$1&amp;"-"&amp;$C$1,_xlpm.locations,Base!$D$4:$BD$4,_xlpm.ar_col,Base!$D$13:$BD$18,_xlpm.site_col,_xlfn.XLOOKUP(_xlpm.site,_xlpm.locations,_xlpm.ar_col,0,0),
_xlpm.rev_1,V$37,_xlpm.rev_1*_xlfn.CHOOSEROWS(_xlpm.site_col,1))</f>
        <v>0</v>
      </c>
      <c r="W56" s="12" cm="1">
        <f t="array" ref="W56">_xlfn.LET(_xlpm.site,$B$1&amp;"-"&amp;$C$1,_xlpm.locations,Base!$D$4:$BD$4,_xlpm.ar_col,Base!$D$13:$BD$18,_xlpm.site_col,_xlfn.XLOOKUP(_xlpm.site,_xlpm.locations,_xlpm.ar_col,0,0),
_xlpm.rev_1,W$37,_xlpm.rev_1*_xlfn.CHOOSEROWS(_xlpm.site_col,1))</f>
        <v>0</v>
      </c>
      <c r="X56" s="12" cm="1">
        <f t="array" ref="X56">_xlfn.LET(_xlpm.site,$B$1&amp;"-"&amp;$C$1,_xlpm.locations,Base!$D$4:$BD$4,_xlpm.ar_col,Base!$D$13:$BD$18,_xlpm.site_col,_xlfn.XLOOKUP(_xlpm.site,_xlpm.locations,_xlpm.ar_col,0,0),
_xlpm.rev_1,X$37,_xlpm.rev_1*_xlfn.CHOOSEROWS(_xlpm.site_col,1))</f>
        <v>0</v>
      </c>
      <c r="Y56" s="12" cm="1">
        <f t="array" ref="Y56">_xlfn.LET(_xlpm.site,$B$1&amp;"-"&amp;$C$1,_xlpm.locations,Base!$D$4:$BD$4,_xlpm.ar_col,Base!$D$13:$BD$18,_xlpm.site_col,_xlfn.XLOOKUP(_xlpm.site,_xlpm.locations,_xlpm.ar_col,0,0),
_xlpm.rev_1,Y$37,_xlpm.rev_1*_xlfn.CHOOSEROWS(_xlpm.site_col,1))</f>
        <v>0</v>
      </c>
      <c r="Z56" s="12" cm="1">
        <f t="array" ref="Z56">_xlfn.LET(_xlpm.site,$B$1&amp;"-"&amp;$C$1,_xlpm.locations,Base!$D$4:$BD$4,_xlpm.ar_col,Base!$D$13:$BD$18,_xlpm.site_col,_xlfn.XLOOKUP(_xlpm.site,_xlpm.locations,_xlpm.ar_col,0,0),
_xlpm.rev_1,Z$37,_xlpm.rev_1*_xlfn.CHOOSEROWS(_xlpm.site_col,1))</f>
        <v>0</v>
      </c>
      <c r="AA56" s="12" cm="1">
        <f t="array" ref="AA56">_xlfn.LET(_xlpm.site,$B$1&amp;"-"&amp;$C$1,_xlpm.locations,Base!$D$4:$BD$4,_xlpm.ar_col,Base!$D$13:$BD$18,_xlpm.site_col,_xlfn.XLOOKUP(_xlpm.site,_xlpm.locations,_xlpm.ar_col,0,0),
_xlpm.rev_1,AA$37,_xlpm.rev_1*_xlfn.CHOOSEROWS(_xlpm.site_col,1))</f>
        <v>0</v>
      </c>
      <c r="AB56" s="12" cm="1">
        <f t="array" ref="AB56">_xlfn.LET(_xlpm.site,$B$1&amp;"-"&amp;$C$1,_xlpm.locations,Base!$D$4:$BD$4,_xlpm.ar_col,Base!$D$13:$BD$18,_xlpm.site_col,_xlfn.XLOOKUP(_xlpm.site,_xlpm.locations,_xlpm.ar_col,0,0),
_xlpm.rev_1,AB$37,_xlpm.rev_1*_xlfn.CHOOSEROWS(_xlpm.site_col,1))</f>
        <v>0</v>
      </c>
      <c r="AC56" s="12" cm="1">
        <f t="array" ref="AC56">_xlfn.LET(_xlpm.site,$B$1&amp;"-"&amp;$C$1,_xlpm.locations,Base!$D$4:$BD$4,_xlpm.ar_col,Base!$D$13:$BD$18,_xlpm.site_col,_xlfn.XLOOKUP(_xlpm.site,_xlpm.locations,_xlpm.ar_col,0,0),
_xlpm.rev_1,AC$37,_xlpm.rev_1*_xlfn.CHOOSEROWS(_xlpm.site_col,1))</f>
        <v>-136045.83514338665</v>
      </c>
      <c r="AD56" s="12" cm="1">
        <f t="array" ref="AD56">_xlfn.LET(_xlpm.site,$B$1&amp;"-"&amp;$C$1,_xlpm.locations,Base!$D$4:$BD$4,_xlpm.ar_col,Base!$D$13:$BD$18,_xlpm.site_col,_xlfn.XLOOKUP(_xlpm.site,_xlpm.locations,_xlpm.ar_col,0,0),
_xlpm.rev_1,AD$37,_xlpm.rev_1*_xlfn.CHOOSEROWS(_xlpm.site_col,1))</f>
        <v>-278275.57188419992</v>
      </c>
      <c r="AE56" s="12" cm="1">
        <f t="array" ref="AE56">_xlfn.LET(_xlpm.site,$B$1&amp;"-"&amp;$C$1,_xlpm.locations,Base!$D$4:$BD$4,_xlpm.ar_col,Base!$D$13:$BD$18,_xlpm.site_col,_xlfn.XLOOKUP(_xlpm.site,_xlpm.locations,_xlpm.ar_col,0,0),
_xlpm.rev_1,AE$37,_xlpm.rev_1*_xlfn.CHOOSEROWS(_xlpm.site_col,1))</f>
        <v>-414321.40702758677</v>
      </c>
      <c r="AF56" s="12" cm="1">
        <f t="array" ref="AF56">_xlfn.LET(_xlpm.site,$B$1&amp;"-"&amp;$C$1,_xlpm.locations,Base!$D$4:$BD$4,_xlpm.ar_col,Base!$D$13:$BD$18,_xlpm.site_col,_xlfn.XLOOKUP(_xlpm.site,_xlpm.locations,_xlpm.ar_col,0,0),
_xlpm.rev_1,AF$37,_xlpm.rev_1*_xlfn.CHOOSEROWS(_xlpm.site_col,1))</f>
        <v>-550367.24217097345</v>
      </c>
      <c r="AG56" s="12" cm="1">
        <f t="array" ref="AG56">_xlfn.LET(_xlpm.site,$B$1&amp;"-"&amp;$C$1,_xlpm.locations,Base!$D$4:$BD$4,_xlpm.ar_col,Base!$D$13:$BD$18,_xlpm.site_col,_xlfn.XLOOKUP(_xlpm.site,_xlpm.locations,_xlpm.ar_col,0,0),
_xlpm.rev_1,AG$37,_xlpm.rev_1*_xlfn.CHOOSEROWS(_xlpm.site_col,1))</f>
        <v>-686413.07731436007</v>
      </c>
      <c r="AH56" s="12" cm="1">
        <f t="array" ref="AH56">_xlfn.LET(_xlpm.site,$B$1&amp;"-"&amp;$C$1,_xlpm.locations,Base!$D$4:$BD$4,_xlpm.ar_col,Base!$D$13:$BD$18,_xlpm.site_col,_xlfn.XLOOKUP(_xlpm.site,_xlpm.locations,_xlpm.ar_col,0,0),
_xlpm.rev_1,AH$37,_xlpm.rev_1*_xlfn.CHOOSEROWS(_xlpm.site_col,1))</f>
        <v>-828642.81405517354</v>
      </c>
      <c r="AI56" s="12" cm="1">
        <f t="array" ref="AI56">_xlfn.LET(_xlpm.site,$B$1&amp;"-"&amp;$C$1,_xlpm.locations,Base!$D$4:$BD$4,_xlpm.ar_col,Base!$D$13:$BD$18,_xlpm.site_col,_xlfn.XLOOKUP(_xlpm.site,_xlpm.locations,_xlpm.ar_col,0,0),
_xlpm.rev_1,AI$37,_xlpm.rev_1*_xlfn.CHOOSEROWS(_xlpm.site_col,1))</f>
        <v>-859562.32204230665</v>
      </c>
      <c r="AJ56" s="12" cm="1">
        <f t="array" ref="AJ56">_xlfn.LET(_xlpm.site,$B$1&amp;"-"&amp;$C$1,_xlpm.locations,Base!$D$4:$BD$4,_xlpm.ar_col,Base!$D$13:$BD$18,_xlpm.site_col,_xlfn.XLOOKUP(_xlpm.site,_xlpm.locations,_xlpm.ar_col,0,0),
_xlpm.rev_1,AJ$37,_xlpm.rev_1*_xlfn.CHOOSEROWS(_xlpm.site_col,1))</f>
        <v>-896665.73162686639</v>
      </c>
      <c r="AK56" s="12" cm="1">
        <f t="array" ref="AK56">_xlfn.LET(_xlpm.site,$B$1&amp;"-"&amp;$C$1,_xlpm.locations,Base!$D$4:$BD$4,_xlpm.ar_col,Base!$D$13:$BD$18,_xlpm.site_col,_xlfn.XLOOKUP(_xlpm.site,_xlpm.locations,_xlpm.ar_col,0,0),
_xlpm.rev_1,AK$37,_xlpm.rev_1*_xlfn.CHOOSEROWS(_xlpm.site_col,1))</f>
        <v>-927585.23961399973</v>
      </c>
      <c r="AL56" s="12" cm="1">
        <f t="array" ref="AL56">_xlfn.LET(_xlpm.site,$B$1&amp;"-"&amp;$C$1,_xlpm.locations,Base!$D$4:$BD$4,_xlpm.ar_col,Base!$D$13:$BD$18,_xlpm.site_col,_xlfn.XLOOKUP(_xlpm.site,_xlpm.locations,_xlpm.ar_col,0,0),
_xlpm.rev_1,AL$37,_xlpm.rev_1*_xlfn.CHOOSEROWS(_xlpm.site_col,1))</f>
        <v>-964688.64919855969</v>
      </c>
      <c r="AM56" s="12" cm="1">
        <f t="array" ref="AM56">_xlfn.LET(_xlpm.site,$B$1&amp;"-"&amp;$C$1,_xlpm.locations,Base!$D$4:$BD$4,_xlpm.ar_col,Base!$D$13:$BD$18,_xlpm.site_col,_xlfn.XLOOKUP(_xlpm.site,_xlpm.locations,_xlpm.ar_col,0,0),
_xlpm.rev_1,AM$37,_xlpm.rev_1*_xlfn.CHOOSEROWS(_xlpm.site_col,1))</f>
        <v>-1001792.0587831199</v>
      </c>
      <c r="AN56" s="12" cm="1">
        <f t="array" ref="AN56">_xlfn.LET(_xlpm.site,$B$1&amp;"-"&amp;$C$1,_xlpm.locations,Base!$D$4:$BD$4,_xlpm.ar_col,Base!$D$13:$BD$18,_xlpm.site_col,_xlfn.XLOOKUP(_xlpm.site,_xlpm.locations,_xlpm.ar_col,0,0),
_xlpm.rev_1,AN$37,_xlpm.rev_1*_xlfn.CHOOSEROWS(_xlpm.site_col,1))</f>
        <v>-1032711.5667702532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276</v>
      </c>
      <c r="E58" s="13">
        <f>E37-E50-E55+E56</f>
        <v>0</v>
      </c>
      <c r="F58" s="13">
        <f t="shared" ref="F58:AN58" si="6">F37-F50-F55+F56</f>
        <v>0</v>
      </c>
      <c r="G58" s="13">
        <f t="shared" si="6"/>
        <v>0</v>
      </c>
      <c r="H58" s="13">
        <f t="shared" si="6"/>
        <v>0</v>
      </c>
      <c r="I58" s="13">
        <f t="shared" si="6"/>
        <v>0</v>
      </c>
      <c r="J58" s="13">
        <f t="shared" si="6"/>
        <v>0</v>
      </c>
      <c r="K58" s="13">
        <f t="shared" si="6"/>
        <v>0</v>
      </c>
      <c r="L58" s="13">
        <f t="shared" si="6"/>
        <v>0</v>
      </c>
      <c r="M58" s="13">
        <f t="shared" si="6"/>
        <v>0</v>
      </c>
      <c r="N58" s="13">
        <f t="shared" si="6"/>
        <v>0</v>
      </c>
      <c r="O58" s="13">
        <f t="shared" si="6"/>
        <v>0</v>
      </c>
      <c r="P58" s="13">
        <f t="shared" si="6"/>
        <v>0</v>
      </c>
      <c r="Q58" s="13">
        <f t="shared" si="6"/>
        <v>0</v>
      </c>
      <c r="R58" s="13">
        <f t="shared" si="6"/>
        <v>0</v>
      </c>
      <c r="S58" s="13">
        <f t="shared" si="6"/>
        <v>0</v>
      </c>
      <c r="T58" s="13">
        <f t="shared" si="6"/>
        <v>0</v>
      </c>
      <c r="U58" s="13">
        <f t="shared" si="6"/>
        <v>0</v>
      </c>
      <c r="V58" s="13">
        <f t="shared" si="6"/>
        <v>0</v>
      </c>
      <c r="W58" s="13">
        <f t="shared" si="6"/>
        <v>0</v>
      </c>
      <c r="X58" s="13">
        <f t="shared" si="6"/>
        <v>0</v>
      </c>
      <c r="Y58" s="13">
        <f t="shared" si="6"/>
        <v>0</v>
      </c>
      <c r="Z58" s="13">
        <f t="shared" si="6"/>
        <v>0</v>
      </c>
      <c r="AA58" s="13">
        <f t="shared" si="6"/>
        <v>0</v>
      </c>
      <c r="AB58" s="13">
        <f t="shared" si="6"/>
        <v>-100000</v>
      </c>
      <c r="AC58" s="13">
        <f t="shared" si="6"/>
        <v>-163599.14407938669</v>
      </c>
      <c r="AD58" s="13">
        <f t="shared" si="6"/>
        <v>-217860.8250108666</v>
      </c>
      <c r="AE58" s="13">
        <f t="shared" si="6"/>
        <v>-269763.30242358666</v>
      </c>
      <c r="AF58" s="13">
        <f t="shared" si="6"/>
        <v>-321665.7798363067</v>
      </c>
      <c r="AG58" s="13">
        <f t="shared" si="6"/>
        <v>-273568.25724902668</v>
      </c>
      <c r="AH58" s="13">
        <f t="shared" si="6"/>
        <v>-327829.93818050658</v>
      </c>
      <c r="AI58" s="13">
        <f t="shared" si="6"/>
        <v>-339625.95577430644</v>
      </c>
      <c r="AJ58" s="13">
        <f t="shared" si="6"/>
        <v>-353781.17688686668</v>
      </c>
      <c r="AK58" s="13">
        <f t="shared" si="6"/>
        <v>-365577.19448066666</v>
      </c>
      <c r="AL58" s="13">
        <f t="shared" si="6"/>
        <v>-379732.41559322667</v>
      </c>
      <c r="AM58" s="13">
        <f t="shared" si="6"/>
        <v>-393887.63670578657</v>
      </c>
      <c r="AN58" s="13">
        <f t="shared" si="6"/>
        <v>-405683.65429958643</v>
      </c>
    </row>
    <row r="59" spans="2:40" x14ac:dyDescent="0.25">
      <c r="B59" t="s">
        <v>277</v>
      </c>
      <c r="E59" s="12" cm="1">
        <f t="array" ref="E59:AN59">_xlfn.SCAN(-D55,E58:AN58,_xlfn.LAMBDA(_xlpm.capex,_xlpm.fcf,_xlpm.capex+_xlpm.fcf))</f>
        <v>0</v>
      </c>
      <c r="F59" s="12">
        <v>0</v>
      </c>
      <c r="G59" s="12">
        <v>0</v>
      </c>
      <c r="H59" s="12">
        <v>0</v>
      </c>
      <c r="I59" s="12">
        <v>0</v>
      </c>
      <c r="J59" s="12">
        <v>0</v>
      </c>
      <c r="K59" s="12">
        <v>0</v>
      </c>
      <c r="L59" s="12">
        <v>0</v>
      </c>
      <c r="M59" s="12">
        <v>0</v>
      </c>
      <c r="N59" s="12">
        <v>0</v>
      </c>
      <c r="O59" s="12">
        <v>0</v>
      </c>
      <c r="P59" s="12">
        <v>0</v>
      </c>
      <c r="Q59" s="12">
        <v>0</v>
      </c>
      <c r="R59" s="12">
        <v>0</v>
      </c>
      <c r="S59" s="12">
        <v>0</v>
      </c>
      <c r="T59" s="12">
        <v>0</v>
      </c>
      <c r="U59" s="12">
        <v>0</v>
      </c>
      <c r="V59" s="12">
        <v>0</v>
      </c>
      <c r="W59" s="12">
        <v>0</v>
      </c>
      <c r="X59" s="12">
        <v>0</v>
      </c>
      <c r="Y59" s="12">
        <v>0</v>
      </c>
      <c r="Z59" s="12">
        <v>0</v>
      </c>
      <c r="AA59" s="12">
        <v>0</v>
      </c>
      <c r="AB59" s="12">
        <v>-100000</v>
      </c>
      <c r="AC59" s="12">
        <v>-263599.14407938672</v>
      </c>
      <c r="AD59" s="12">
        <v>-481459.96909025335</v>
      </c>
      <c r="AE59" s="12">
        <v>-751223.27151383995</v>
      </c>
      <c r="AF59" s="12">
        <v>-1072889.0513501465</v>
      </c>
      <c r="AG59" s="12">
        <v>-1346457.3085991731</v>
      </c>
      <c r="AH59" s="12">
        <v>-1674287.2467796798</v>
      </c>
      <c r="AI59" s="12">
        <v>-2013913.2025539861</v>
      </c>
      <c r="AJ59" s="12">
        <v>-2367694.3794408529</v>
      </c>
      <c r="AK59" s="12">
        <v>-2733271.5739215193</v>
      </c>
      <c r="AL59" s="12">
        <v>-3113003.9895147458</v>
      </c>
      <c r="AM59" s="12">
        <v>-3506891.6262205322</v>
      </c>
      <c r="AN59" s="12">
        <v>-3912575.2805201188</v>
      </c>
    </row>
    <row r="62" spans="2:40" x14ac:dyDescent="0.25">
      <c r="E62" s="14"/>
    </row>
    <row r="63" spans="2:40" x14ac:dyDescent="0.25">
      <c r="E63" s="89"/>
    </row>
    <row r="64" spans="2:40" x14ac:dyDescent="0.25">
      <c r="E64" s="14"/>
    </row>
    <row r="65" spans="5:5" x14ac:dyDescent="0.25">
      <c r="E65" s="14"/>
    </row>
    <row r="66" spans="5:5" x14ac:dyDescent="0.25">
      <c r="E66" s="14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1B1412-ECAF-46CF-BC87-8408D13E185C}">
  <dimension ref="A1:AX75"/>
  <sheetViews>
    <sheetView workbookViewId="0">
      <pane xSplit="4" ySplit="25" topLeftCell="E26" activePane="bottomRight" state="frozen"/>
      <selection pane="topRight" activeCell="E1" sqref="E1"/>
      <selection pane="bottomLeft" activeCell="A26" sqref="A26"/>
      <selection pane="bottomRight" activeCell="H21" sqref="H21"/>
    </sheetView>
  </sheetViews>
  <sheetFormatPr defaultRowHeight="15" outlineLevelRow="1" x14ac:dyDescent="0.25"/>
  <cols>
    <col min="2" max="2" width="24.5703125" bestFit="1" customWidth="1"/>
    <col min="3" max="4" width="10" bestFit="1" customWidth="1"/>
    <col min="5" max="5" width="12.5703125" bestFit="1" customWidth="1"/>
    <col min="6" max="18" width="12.28515625" bestFit="1" customWidth="1"/>
    <col min="19" max="40" width="12.5703125" bestFit="1" customWidth="1"/>
  </cols>
  <sheetData>
    <row r="1" spans="1:40" x14ac:dyDescent="0.25">
      <c r="A1" s="96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>2020</v>
      </c>
      <c r="B1" s="10" t="s">
        <v>418</v>
      </c>
      <c r="C1" s="16" t="s">
        <v>61</v>
      </c>
      <c r="D1" s="55" t="s">
        <v>390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IFERROR(_xlpm.kiddos,0))</f>
        <v>52</v>
      </c>
      <c r="F1" s="5">
        <v>52</v>
      </c>
      <c r="G1" s="5">
        <v>52</v>
      </c>
      <c r="H1" s="5">
        <v>52</v>
      </c>
      <c r="I1" s="5">
        <v>52</v>
      </c>
      <c r="J1" s="5">
        <v>52</v>
      </c>
      <c r="K1" s="5">
        <v>52</v>
      </c>
      <c r="L1" s="5">
        <v>52</v>
      </c>
      <c r="M1" s="5">
        <v>52</v>
      </c>
      <c r="N1" s="5">
        <v>52</v>
      </c>
      <c r="O1" s="5">
        <v>52</v>
      </c>
      <c r="P1" s="5">
        <v>52</v>
      </c>
      <c r="Q1" s="5">
        <v>52</v>
      </c>
      <c r="R1" s="5">
        <v>52</v>
      </c>
      <c r="S1" s="5">
        <v>52</v>
      </c>
      <c r="T1" s="5">
        <v>52</v>
      </c>
      <c r="U1" s="5">
        <v>52</v>
      </c>
      <c r="V1" s="5">
        <v>52</v>
      </c>
      <c r="W1" s="5">
        <v>52</v>
      </c>
      <c r="X1" s="5">
        <v>52</v>
      </c>
      <c r="Y1" s="5">
        <v>52</v>
      </c>
      <c r="Z1" s="5">
        <v>52</v>
      </c>
      <c r="AA1" s="5">
        <v>52</v>
      </c>
      <c r="AB1" s="5">
        <v>52</v>
      </c>
      <c r="AC1" s="5">
        <v>52</v>
      </c>
      <c r="AD1" s="5">
        <v>52</v>
      </c>
      <c r="AE1" s="5">
        <v>52</v>
      </c>
      <c r="AF1" s="5">
        <v>52</v>
      </c>
      <c r="AG1" s="5">
        <v>52</v>
      </c>
      <c r="AH1" s="5">
        <v>52</v>
      </c>
      <c r="AI1" s="5">
        <v>52</v>
      </c>
      <c r="AJ1" s="5">
        <v>52</v>
      </c>
      <c r="AK1" s="5">
        <v>52</v>
      </c>
      <c r="AL1" s="5">
        <v>52</v>
      </c>
      <c r="AM1" s="5">
        <v>52</v>
      </c>
      <c r="AN1" s="5">
        <v>52</v>
      </c>
    </row>
    <row r="2" spans="1:40" x14ac:dyDescent="0.25">
      <c r="A2" s="65"/>
      <c r="B2" s="3" t="str">
        <f>_xlfn.XLOOKUP($B$1&amp;"-"&amp;$C$1,Base!$D$4:$BD$4,Base!$D$2:$BD$2,"",0)</f>
        <v>Maryland</v>
      </c>
      <c r="C2" s="55"/>
      <c r="D2" s="55" t="s">
        <v>391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4</v>
      </c>
      <c r="F2" s="69">
        <v>4</v>
      </c>
      <c r="G2" s="69">
        <v>4</v>
      </c>
      <c r="H2" s="69">
        <v>4</v>
      </c>
      <c r="I2" s="69">
        <v>4</v>
      </c>
      <c r="J2" s="69">
        <v>4</v>
      </c>
      <c r="K2" s="69">
        <v>4</v>
      </c>
      <c r="L2" s="69">
        <v>4</v>
      </c>
      <c r="M2" s="69">
        <v>4</v>
      </c>
      <c r="N2" s="69">
        <v>4</v>
      </c>
      <c r="O2" s="69">
        <v>4</v>
      </c>
      <c r="P2" s="69">
        <v>4</v>
      </c>
      <c r="Q2" s="69">
        <v>4</v>
      </c>
      <c r="R2" s="69">
        <v>4</v>
      </c>
      <c r="S2" s="69">
        <v>4</v>
      </c>
      <c r="T2" s="69">
        <v>4</v>
      </c>
      <c r="U2" s="69">
        <v>4</v>
      </c>
      <c r="V2" s="69">
        <v>4</v>
      </c>
      <c r="W2" s="69">
        <v>4</v>
      </c>
      <c r="X2" s="69">
        <v>4</v>
      </c>
      <c r="Y2" s="69">
        <v>4</v>
      </c>
      <c r="Z2" s="69">
        <v>4</v>
      </c>
      <c r="AA2" s="69">
        <v>4</v>
      </c>
      <c r="AB2" s="69">
        <v>4</v>
      </c>
      <c r="AC2" s="69">
        <v>4</v>
      </c>
      <c r="AD2" s="69">
        <v>4</v>
      </c>
      <c r="AE2" s="69">
        <v>4</v>
      </c>
      <c r="AF2" s="69">
        <v>4</v>
      </c>
      <c r="AG2" s="69">
        <v>4</v>
      </c>
      <c r="AH2" s="69">
        <v>4</v>
      </c>
      <c r="AI2" s="69">
        <v>4</v>
      </c>
      <c r="AJ2" s="69">
        <v>4</v>
      </c>
      <c r="AK2" s="69">
        <v>4</v>
      </c>
      <c r="AL2" s="69">
        <v>4</v>
      </c>
      <c r="AM2" s="69">
        <v>4</v>
      </c>
      <c r="AN2" s="69">
        <v>4</v>
      </c>
    </row>
    <row r="3" spans="1:40" x14ac:dyDescent="0.25">
      <c r="A3" s="65"/>
      <c r="B3" s="55"/>
      <c r="C3" s="55"/>
      <c r="D3" s="55" t="s">
        <v>392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_xlpm.months_since,DATEDIF(_xlpm.launchdate,_xlfn.ANCHORARRAY($E$25),"m"),_xlfn.BYCOL(_xlpm.months_since,_xlfn.LAMBDA(_xlpm.a,IFERROR(MIN(_xlpm.a/6,_xlpm.max_kiddos),0))))</f>
        <v>4</v>
      </c>
      <c r="F3" s="69">
        <v>4</v>
      </c>
      <c r="G3" s="69">
        <v>4</v>
      </c>
      <c r="H3" s="69">
        <v>4</v>
      </c>
      <c r="I3" s="69">
        <v>4</v>
      </c>
      <c r="J3" s="69">
        <v>4</v>
      </c>
      <c r="K3" s="69">
        <v>4</v>
      </c>
      <c r="L3" s="69">
        <v>4</v>
      </c>
      <c r="M3" s="69">
        <v>4</v>
      </c>
      <c r="N3" s="69">
        <v>4</v>
      </c>
      <c r="O3" s="69">
        <v>4</v>
      </c>
      <c r="P3" s="69">
        <v>4</v>
      </c>
      <c r="Q3" s="69">
        <v>4</v>
      </c>
      <c r="R3" s="69">
        <v>4</v>
      </c>
      <c r="S3" s="69">
        <v>4</v>
      </c>
      <c r="T3" s="69">
        <v>4</v>
      </c>
      <c r="U3" s="69">
        <v>4</v>
      </c>
      <c r="V3" s="69">
        <v>4</v>
      </c>
      <c r="W3" s="69">
        <v>4</v>
      </c>
      <c r="X3" s="69">
        <v>4</v>
      </c>
      <c r="Y3" s="69">
        <v>4</v>
      </c>
      <c r="Z3" s="69">
        <v>4</v>
      </c>
      <c r="AA3" s="69">
        <v>4</v>
      </c>
      <c r="AB3" s="69">
        <v>4</v>
      </c>
      <c r="AC3" s="69">
        <v>4</v>
      </c>
      <c r="AD3" s="69">
        <v>4</v>
      </c>
      <c r="AE3" s="69">
        <v>4</v>
      </c>
      <c r="AF3" s="69">
        <v>4</v>
      </c>
      <c r="AG3" s="69">
        <v>4</v>
      </c>
      <c r="AH3" s="69">
        <v>4</v>
      </c>
      <c r="AI3" s="69">
        <v>4</v>
      </c>
      <c r="AJ3" s="69">
        <v>4</v>
      </c>
      <c r="AK3" s="69">
        <v>4</v>
      </c>
      <c r="AL3" s="69">
        <v>4</v>
      </c>
      <c r="AM3" s="69">
        <v>4</v>
      </c>
      <c r="AN3" s="69">
        <v>4</v>
      </c>
    </row>
    <row r="4" spans="1:40" x14ac:dyDescent="0.25">
      <c r="A4" s="65"/>
      <c r="B4" s="55"/>
      <c r="C4" s="55"/>
      <c r="D4" s="55" t="s">
        <v>393</v>
      </c>
      <c r="E4" s="69" cm="1">
        <f t="array" ref="E4:AN4">_xlfn.BYCOL(_xlfn.VSTACK(_xlfn.ANCHORARRAY($E$1),_xlfn.ANCHORARRAY($E$2)),_xlfn.LAMBDA(_xlpm.a,SUM(_xlpm.a)))</f>
        <v>56</v>
      </c>
      <c r="F4" s="69">
        <v>56</v>
      </c>
      <c r="G4" s="69">
        <v>56</v>
      </c>
      <c r="H4" s="69">
        <v>56</v>
      </c>
      <c r="I4" s="69">
        <v>56</v>
      </c>
      <c r="J4" s="69">
        <v>56</v>
      </c>
      <c r="K4" s="69">
        <v>56</v>
      </c>
      <c r="L4" s="69">
        <v>56</v>
      </c>
      <c r="M4" s="69">
        <v>56</v>
      </c>
      <c r="N4" s="69">
        <v>56</v>
      </c>
      <c r="O4" s="69">
        <v>56</v>
      </c>
      <c r="P4" s="69">
        <v>56</v>
      </c>
      <c r="Q4" s="69">
        <v>56</v>
      </c>
      <c r="R4" s="69">
        <v>56</v>
      </c>
      <c r="S4" s="69">
        <v>56</v>
      </c>
      <c r="T4" s="69">
        <v>56</v>
      </c>
      <c r="U4" s="69">
        <v>56</v>
      </c>
      <c r="V4" s="69">
        <v>56</v>
      </c>
      <c r="W4" s="69">
        <v>56</v>
      </c>
      <c r="X4" s="69">
        <v>56</v>
      </c>
      <c r="Y4" s="69">
        <v>56</v>
      </c>
      <c r="Z4" s="69">
        <v>56</v>
      </c>
      <c r="AA4" s="69">
        <v>56</v>
      </c>
      <c r="AB4" s="69">
        <v>56</v>
      </c>
      <c r="AC4" s="69">
        <v>56</v>
      </c>
      <c r="AD4" s="69">
        <v>56</v>
      </c>
      <c r="AE4" s="69">
        <v>56</v>
      </c>
      <c r="AF4" s="69">
        <v>56</v>
      </c>
      <c r="AG4" s="69">
        <v>56</v>
      </c>
      <c r="AH4" s="69">
        <v>56</v>
      </c>
      <c r="AI4" s="69">
        <v>56</v>
      </c>
      <c r="AJ4" s="69">
        <v>56</v>
      </c>
      <c r="AK4" s="69">
        <v>56</v>
      </c>
      <c r="AL4" s="69">
        <v>56</v>
      </c>
      <c r="AM4" s="69">
        <v>56</v>
      </c>
      <c r="AN4" s="69">
        <v>56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107</v>
      </c>
      <c r="C6" s="3"/>
      <c r="D6" s="3"/>
      <c r="E6" s="66" cm="1">
        <f t="array" ref="E6:AN6">ROUND(_xlfn.BYCOL(_xlfn.ANCHORARRAY(E7),_xlfn.LAMBDA(_xlpm.a,SUM(_xlpm.a))),0)</f>
        <v>62</v>
      </c>
      <c r="F6" s="66">
        <v>62</v>
      </c>
      <c r="G6" s="66">
        <v>62</v>
      </c>
      <c r="H6" s="66">
        <v>62</v>
      </c>
      <c r="I6" s="66">
        <v>62</v>
      </c>
      <c r="J6" s="66">
        <v>62</v>
      </c>
      <c r="K6" s="66">
        <v>62</v>
      </c>
      <c r="L6" s="66">
        <v>62</v>
      </c>
      <c r="M6" s="66">
        <v>62</v>
      </c>
      <c r="N6" s="66">
        <v>62</v>
      </c>
      <c r="O6" s="66">
        <v>62</v>
      </c>
      <c r="P6" s="66">
        <v>62</v>
      </c>
      <c r="Q6" s="66">
        <v>62</v>
      </c>
      <c r="R6" s="66">
        <v>62</v>
      </c>
      <c r="S6" s="66">
        <v>62</v>
      </c>
      <c r="T6" s="66">
        <v>62</v>
      </c>
      <c r="U6" s="66">
        <v>62</v>
      </c>
      <c r="V6" s="66">
        <v>62</v>
      </c>
      <c r="W6" s="66">
        <v>62</v>
      </c>
      <c r="X6" s="66">
        <v>62</v>
      </c>
      <c r="Y6" s="66">
        <v>62</v>
      </c>
      <c r="Z6" s="66">
        <v>62</v>
      </c>
      <c r="AA6" s="66">
        <v>62</v>
      </c>
      <c r="AB6" s="66">
        <v>62</v>
      </c>
      <c r="AC6" s="66">
        <v>62</v>
      </c>
      <c r="AD6" s="66">
        <v>62</v>
      </c>
      <c r="AE6" s="66">
        <v>62</v>
      </c>
      <c r="AF6" s="66">
        <v>62</v>
      </c>
      <c r="AG6" s="66">
        <v>62</v>
      </c>
      <c r="AH6" s="66">
        <v>62</v>
      </c>
      <c r="AI6" s="66">
        <v>62</v>
      </c>
      <c r="AJ6" s="66">
        <v>62</v>
      </c>
      <c r="AK6" s="66">
        <v>62</v>
      </c>
      <c r="AL6" s="66">
        <v>62</v>
      </c>
      <c r="AM6" s="66">
        <v>62</v>
      </c>
      <c r="AN6" s="66">
        <v>62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1"/>
      <c r="E7" s="106" cm="1">
        <f t="array" ref="E7:AN20">_xlfn.LET(_xlpm.Customer_staff,_xlfn._xlws.FILTER(Base!$D$85:$BD$98,ISNUMBER(SEARCH($B$1&amp;"-"&amp;$C$1,Base!$D$4:$BD$4))),_xlpm.Customer,_xlfn.ANCHORARRAY($E$1),_xlpm.headcount,_xlpm.Customer/_xlpm.Customer_staff,
_xlpm.patient_staff,_xlfn.ANCHORARRAY($E$2)/_xlpm.Customer_staff,_xlpm.prim_staff_tr_rec,_xlfn.ANCHORARRAY($E$2)/_xlfn.CHOOSEROWS(_xlpm.Customer_staff,{7,8})+(_xlfn.ANCHORARRAY($E$1)*0.0055),_xlpm.rounding,_xlfn.VSTACK(2,2,0,0,2,2,2,2,2,2,2,0,0,0),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prim_staff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44.58</v>
      </c>
      <c r="F7" s="106">
        <v>44.58</v>
      </c>
      <c r="G7" s="106">
        <v>44.58</v>
      </c>
      <c r="H7" s="106">
        <v>44.58</v>
      </c>
      <c r="I7" s="106">
        <v>44.58</v>
      </c>
      <c r="J7" s="106">
        <v>44.58</v>
      </c>
      <c r="K7" s="106">
        <v>44.58</v>
      </c>
      <c r="L7" s="106">
        <v>44.58</v>
      </c>
      <c r="M7" s="106">
        <v>44.58</v>
      </c>
      <c r="N7" s="106">
        <v>44.58</v>
      </c>
      <c r="O7" s="106">
        <v>44.58</v>
      </c>
      <c r="P7" s="106">
        <v>44.58</v>
      </c>
      <c r="Q7" s="106">
        <v>44.58</v>
      </c>
      <c r="R7" s="106">
        <v>44.58</v>
      </c>
      <c r="S7" s="106">
        <v>44.58</v>
      </c>
      <c r="T7" s="106">
        <v>44.58</v>
      </c>
      <c r="U7" s="106">
        <v>44.58</v>
      </c>
      <c r="V7" s="106">
        <v>44.58</v>
      </c>
      <c r="W7" s="106">
        <v>44.58</v>
      </c>
      <c r="X7" s="106">
        <v>44.58</v>
      </c>
      <c r="Y7" s="106">
        <v>44.58</v>
      </c>
      <c r="Z7" s="106">
        <v>44.58</v>
      </c>
      <c r="AA7" s="106">
        <v>44.58</v>
      </c>
      <c r="AB7" s="106">
        <v>44.58</v>
      </c>
      <c r="AC7" s="106">
        <v>44.58</v>
      </c>
      <c r="AD7" s="106">
        <v>44.58</v>
      </c>
      <c r="AE7" s="106">
        <v>44.58</v>
      </c>
      <c r="AF7" s="106">
        <v>44.58</v>
      </c>
      <c r="AG7" s="106">
        <v>44.58</v>
      </c>
      <c r="AH7" s="106">
        <v>44.58</v>
      </c>
      <c r="AI7" s="106">
        <v>44.58</v>
      </c>
      <c r="AJ7" s="106">
        <v>44.58</v>
      </c>
      <c r="AK7" s="106">
        <v>44.58</v>
      </c>
      <c r="AL7" s="106">
        <v>44.58</v>
      </c>
      <c r="AM7" s="106">
        <v>44.58</v>
      </c>
      <c r="AN7" s="106">
        <v>44.58</v>
      </c>
    </row>
    <row r="8" spans="1:40" hidden="1" outlineLevel="1" x14ac:dyDescent="0.25">
      <c r="B8" s="39" t="str">
        <v>Secondary Direct Staff</v>
      </c>
      <c r="C8" s="3"/>
      <c r="D8" s="3"/>
      <c r="E8" s="106">
        <v>7.43</v>
      </c>
      <c r="F8" s="106">
        <v>7.43</v>
      </c>
      <c r="G8" s="106">
        <v>7.43</v>
      </c>
      <c r="H8" s="106">
        <v>7.43</v>
      </c>
      <c r="I8" s="106">
        <v>7.43</v>
      </c>
      <c r="J8" s="106">
        <v>7.43</v>
      </c>
      <c r="K8" s="106">
        <v>7.43</v>
      </c>
      <c r="L8" s="106">
        <v>7.43</v>
      </c>
      <c r="M8" s="106">
        <v>7.43</v>
      </c>
      <c r="N8" s="106">
        <v>7.43</v>
      </c>
      <c r="O8" s="106">
        <v>7.43</v>
      </c>
      <c r="P8" s="106">
        <v>7.43</v>
      </c>
      <c r="Q8" s="106">
        <v>7.43</v>
      </c>
      <c r="R8" s="106">
        <v>7.43</v>
      </c>
      <c r="S8" s="106">
        <v>7.43</v>
      </c>
      <c r="T8" s="106">
        <v>7.43</v>
      </c>
      <c r="U8" s="106">
        <v>7.43</v>
      </c>
      <c r="V8" s="106">
        <v>7.43</v>
      </c>
      <c r="W8" s="106">
        <v>7.43</v>
      </c>
      <c r="X8" s="106">
        <v>7.43</v>
      </c>
      <c r="Y8" s="106">
        <v>7.43</v>
      </c>
      <c r="Z8" s="106">
        <v>7.43</v>
      </c>
      <c r="AA8" s="106">
        <v>7.43</v>
      </c>
      <c r="AB8" s="106">
        <v>7.43</v>
      </c>
      <c r="AC8" s="106">
        <v>7.43</v>
      </c>
      <c r="AD8" s="106">
        <v>7.43</v>
      </c>
      <c r="AE8" s="106">
        <v>7.43</v>
      </c>
      <c r="AF8" s="106">
        <v>7.43</v>
      </c>
      <c r="AG8" s="106">
        <v>7.43</v>
      </c>
      <c r="AH8" s="106">
        <v>7.43</v>
      </c>
      <c r="AI8" s="106">
        <v>7.43</v>
      </c>
      <c r="AJ8" s="106">
        <v>7.43</v>
      </c>
      <c r="AK8" s="106">
        <v>7.43</v>
      </c>
      <c r="AL8" s="106">
        <v>7.43</v>
      </c>
      <c r="AM8" s="106">
        <v>7.43</v>
      </c>
      <c r="AN8" s="106">
        <v>7.43</v>
      </c>
    </row>
    <row r="9" spans="1:40" hidden="1" outlineLevel="1" x14ac:dyDescent="0.25">
      <c r="B9" s="39" t="str">
        <v>Center Manager</v>
      </c>
      <c r="C9" s="3"/>
      <c r="D9" s="3"/>
      <c r="E9" s="106">
        <v>1</v>
      </c>
      <c r="F9" s="106">
        <v>1</v>
      </c>
      <c r="G9" s="106">
        <v>1</v>
      </c>
      <c r="H9" s="106">
        <v>1</v>
      </c>
      <c r="I9" s="106">
        <v>1</v>
      </c>
      <c r="J9" s="106">
        <v>1</v>
      </c>
      <c r="K9" s="106">
        <v>1</v>
      </c>
      <c r="L9" s="106">
        <v>1</v>
      </c>
      <c r="M9" s="106">
        <v>1</v>
      </c>
      <c r="N9" s="106">
        <v>1</v>
      </c>
      <c r="O9" s="106">
        <v>1</v>
      </c>
      <c r="P9" s="106">
        <v>1</v>
      </c>
      <c r="Q9" s="106">
        <v>1</v>
      </c>
      <c r="R9" s="106">
        <v>1</v>
      </c>
      <c r="S9" s="106">
        <v>1</v>
      </c>
      <c r="T9" s="106">
        <v>1</v>
      </c>
      <c r="U9" s="106">
        <v>1</v>
      </c>
      <c r="V9" s="106">
        <v>1</v>
      </c>
      <c r="W9" s="106">
        <v>1</v>
      </c>
      <c r="X9" s="106">
        <v>1</v>
      </c>
      <c r="Y9" s="106">
        <v>1</v>
      </c>
      <c r="Z9" s="106">
        <v>1</v>
      </c>
      <c r="AA9" s="106">
        <v>1</v>
      </c>
      <c r="AB9" s="106">
        <v>1</v>
      </c>
      <c r="AC9" s="106">
        <v>1</v>
      </c>
      <c r="AD9" s="106">
        <v>1</v>
      </c>
      <c r="AE9" s="106">
        <v>1</v>
      </c>
      <c r="AF9" s="106">
        <v>1</v>
      </c>
      <c r="AG9" s="106">
        <v>1</v>
      </c>
      <c r="AH9" s="106">
        <v>1</v>
      </c>
      <c r="AI9" s="106">
        <v>1</v>
      </c>
      <c r="AJ9" s="106">
        <v>1</v>
      </c>
      <c r="AK9" s="106">
        <v>1</v>
      </c>
      <c r="AL9" s="106">
        <v>1</v>
      </c>
      <c r="AM9" s="106">
        <v>1</v>
      </c>
      <c r="AN9" s="106">
        <v>1</v>
      </c>
    </row>
    <row r="10" spans="1:40" hidden="1" outlineLevel="1" x14ac:dyDescent="0.25">
      <c r="B10" s="39" t="str">
        <v>Intake</v>
      </c>
      <c r="C10" s="3"/>
      <c r="D10" s="3"/>
      <c r="E10" s="106">
        <v>1</v>
      </c>
      <c r="F10" s="106">
        <v>1</v>
      </c>
      <c r="G10" s="106">
        <v>1</v>
      </c>
      <c r="H10" s="106">
        <v>1</v>
      </c>
      <c r="I10" s="106">
        <v>1</v>
      </c>
      <c r="J10" s="106">
        <v>1</v>
      </c>
      <c r="K10" s="106">
        <v>1</v>
      </c>
      <c r="L10" s="106">
        <v>1</v>
      </c>
      <c r="M10" s="106">
        <v>1</v>
      </c>
      <c r="N10" s="106">
        <v>1</v>
      </c>
      <c r="O10" s="106">
        <v>1</v>
      </c>
      <c r="P10" s="106">
        <v>1</v>
      </c>
      <c r="Q10" s="106">
        <v>1</v>
      </c>
      <c r="R10" s="106">
        <v>1</v>
      </c>
      <c r="S10" s="106">
        <v>1</v>
      </c>
      <c r="T10" s="106">
        <v>1</v>
      </c>
      <c r="U10" s="106">
        <v>1</v>
      </c>
      <c r="V10" s="106">
        <v>1</v>
      </c>
      <c r="W10" s="106">
        <v>1</v>
      </c>
      <c r="X10" s="106">
        <v>1</v>
      </c>
      <c r="Y10" s="106">
        <v>1</v>
      </c>
      <c r="Z10" s="106">
        <v>1</v>
      </c>
      <c r="AA10" s="106">
        <v>1</v>
      </c>
      <c r="AB10" s="106">
        <v>1</v>
      </c>
      <c r="AC10" s="106">
        <v>1</v>
      </c>
      <c r="AD10" s="106">
        <v>1</v>
      </c>
      <c r="AE10" s="106">
        <v>1</v>
      </c>
      <c r="AF10" s="106">
        <v>1</v>
      </c>
      <c r="AG10" s="106">
        <v>1</v>
      </c>
      <c r="AH10" s="106">
        <v>1</v>
      </c>
      <c r="AI10" s="106">
        <v>1</v>
      </c>
      <c r="AJ10" s="106">
        <v>1</v>
      </c>
      <c r="AK10" s="106">
        <v>1</v>
      </c>
      <c r="AL10" s="106">
        <v>1</v>
      </c>
      <c r="AM10" s="106">
        <v>1</v>
      </c>
      <c r="AN10" s="106">
        <v>1</v>
      </c>
    </row>
    <row r="11" spans="1:40" hidden="1" outlineLevel="1" x14ac:dyDescent="0.25">
      <c r="B11" s="39" t="str">
        <v>Scheduler</v>
      </c>
      <c r="C11" s="3"/>
      <c r="D11" s="3"/>
      <c r="E11" s="106">
        <v>0.2</v>
      </c>
      <c r="F11" s="106">
        <v>0.2</v>
      </c>
      <c r="G11" s="106">
        <v>0.2</v>
      </c>
      <c r="H11" s="106">
        <v>0.2</v>
      </c>
      <c r="I11" s="106">
        <v>0.2</v>
      </c>
      <c r="J11" s="106">
        <v>0.2</v>
      </c>
      <c r="K11" s="106">
        <v>0.2</v>
      </c>
      <c r="L11" s="106">
        <v>0.2</v>
      </c>
      <c r="M11" s="106">
        <v>0.2</v>
      </c>
      <c r="N11" s="106">
        <v>0.2</v>
      </c>
      <c r="O11" s="106">
        <v>0.2</v>
      </c>
      <c r="P11" s="106">
        <v>0.2</v>
      </c>
      <c r="Q11" s="106">
        <v>0.2</v>
      </c>
      <c r="R11" s="106">
        <v>0.2</v>
      </c>
      <c r="S11" s="106">
        <v>0.2</v>
      </c>
      <c r="T11" s="106">
        <v>0.2</v>
      </c>
      <c r="U11" s="106">
        <v>0.2</v>
      </c>
      <c r="V11" s="106">
        <v>0.2</v>
      </c>
      <c r="W11" s="106">
        <v>0.2</v>
      </c>
      <c r="X11" s="106">
        <v>0.2</v>
      </c>
      <c r="Y11" s="106">
        <v>0.2</v>
      </c>
      <c r="Z11" s="106">
        <v>0.2</v>
      </c>
      <c r="AA11" s="106">
        <v>0.2</v>
      </c>
      <c r="AB11" s="106">
        <v>0.2</v>
      </c>
      <c r="AC11" s="106">
        <v>0.2</v>
      </c>
      <c r="AD11" s="106">
        <v>0.2</v>
      </c>
      <c r="AE11" s="106">
        <v>0.2</v>
      </c>
      <c r="AF11" s="106">
        <v>0.2</v>
      </c>
      <c r="AG11" s="106">
        <v>0.2</v>
      </c>
      <c r="AH11" s="106">
        <v>0.2</v>
      </c>
      <c r="AI11" s="106">
        <v>0.2</v>
      </c>
      <c r="AJ11" s="106">
        <v>0.2</v>
      </c>
      <c r="AK11" s="106">
        <v>0.2</v>
      </c>
      <c r="AL11" s="106">
        <v>0.2</v>
      </c>
      <c r="AM11" s="106">
        <v>0.2</v>
      </c>
      <c r="AN11" s="106">
        <v>0.2</v>
      </c>
    </row>
    <row r="12" spans="1:40" hidden="1" outlineLevel="1" x14ac:dyDescent="0.25">
      <c r="B12" s="39" t="str">
        <v>Initial Consultation Expert</v>
      </c>
      <c r="C12" s="3"/>
      <c r="D12" s="3"/>
      <c r="E12" s="106">
        <v>0.31</v>
      </c>
      <c r="F12" s="106">
        <v>0.31</v>
      </c>
      <c r="G12" s="106">
        <v>0.31</v>
      </c>
      <c r="H12" s="106">
        <v>0.31</v>
      </c>
      <c r="I12" s="106">
        <v>0.31</v>
      </c>
      <c r="J12" s="106">
        <v>0.31</v>
      </c>
      <c r="K12" s="106">
        <v>0.31</v>
      </c>
      <c r="L12" s="106">
        <v>0.31</v>
      </c>
      <c r="M12" s="106">
        <v>0.31</v>
      </c>
      <c r="N12" s="106">
        <v>0.31</v>
      </c>
      <c r="O12" s="106">
        <v>0.31</v>
      </c>
      <c r="P12" s="106">
        <v>0.31</v>
      </c>
      <c r="Q12" s="106">
        <v>0.31</v>
      </c>
      <c r="R12" s="106">
        <v>0.31</v>
      </c>
      <c r="S12" s="106">
        <v>0.31</v>
      </c>
      <c r="T12" s="106">
        <v>0.31</v>
      </c>
      <c r="U12" s="106">
        <v>0.31</v>
      </c>
      <c r="V12" s="106">
        <v>0.31</v>
      </c>
      <c r="W12" s="106">
        <v>0.31</v>
      </c>
      <c r="X12" s="106">
        <v>0.31</v>
      </c>
      <c r="Y12" s="106">
        <v>0.31</v>
      </c>
      <c r="Z12" s="106">
        <v>0.31</v>
      </c>
      <c r="AA12" s="106">
        <v>0.31</v>
      </c>
      <c r="AB12" s="106">
        <v>0.31</v>
      </c>
      <c r="AC12" s="106">
        <v>0.31</v>
      </c>
      <c r="AD12" s="106">
        <v>0.31</v>
      </c>
      <c r="AE12" s="106">
        <v>0.31</v>
      </c>
      <c r="AF12" s="106">
        <v>0.31</v>
      </c>
      <c r="AG12" s="106">
        <v>0.31</v>
      </c>
      <c r="AH12" s="106">
        <v>0.31</v>
      </c>
      <c r="AI12" s="106">
        <v>0.31</v>
      </c>
      <c r="AJ12" s="106">
        <v>0.31</v>
      </c>
      <c r="AK12" s="106">
        <v>0.31</v>
      </c>
      <c r="AL12" s="106">
        <v>0.31</v>
      </c>
      <c r="AM12" s="106">
        <v>0.31</v>
      </c>
      <c r="AN12" s="106">
        <v>0.31</v>
      </c>
    </row>
    <row r="13" spans="1:40" hidden="1" outlineLevel="1" x14ac:dyDescent="0.25">
      <c r="B13" s="39" t="str">
        <v>Trainer</v>
      </c>
      <c r="C13" s="3"/>
      <c r="D13" s="3"/>
      <c r="E13" s="106">
        <v>0.69000000000000006</v>
      </c>
      <c r="F13" s="106">
        <v>0.69000000000000006</v>
      </c>
      <c r="G13" s="106">
        <v>0.69000000000000006</v>
      </c>
      <c r="H13" s="106">
        <v>0.69000000000000006</v>
      </c>
      <c r="I13" s="106">
        <v>0.69000000000000006</v>
      </c>
      <c r="J13" s="106">
        <v>0.69000000000000006</v>
      </c>
      <c r="K13" s="106">
        <v>0.69000000000000006</v>
      </c>
      <c r="L13" s="106">
        <v>0.69000000000000006</v>
      </c>
      <c r="M13" s="106">
        <v>0.69000000000000006</v>
      </c>
      <c r="N13" s="106">
        <v>0.69000000000000006</v>
      </c>
      <c r="O13" s="106">
        <v>0.69000000000000006</v>
      </c>
      <c r="P13" s="106">
        <v>0.69000000000000006</v>
      </c>
      <c r="Q13" s="106">
        <v>0.69000000000000006</v>
      </c>
      <c r="R13" s="106">
        <v>0.69000000000000006</v>
      </c>
      <c r="S13" s="106">
        <v>0.69000000000000006</v>
      </c>
      <c r="T13" s="106">
        <v>0.69000000000000006</v>
      </c>
      <c r="U13" s="106">
        <v>0.69000000000000006</v>
      </c>
      <c r="V13" s="106">
        <v>0.69000000000000006</v>
      </c>
      <c r="W13" s="106">
        <v>0.69000000000000006</v>
      </c>
      <c r="X13" s="106">
        <v>0.69000000000000006</v>
      </c>
      <c r="Y13" s="106">
        <v>0.69000000000000006</v>
      </c>
      <c r="Z13" s="106">
        <v>0.69000000000000006</v>
      </c>
      <c r="AA13" s="106">
        <v>0.69000000000000006</v>
      </c>
      <c r="AB13" s="106">
        <v>0.69000000000000006</v>
      </c>
      <c r="AC13" s="106">
        <v>0.69000000000000006</v>
      </c>
      <c r="AD13" s="106">
        <v>0.69000000000000006</v>
      </c>
      <c r="AE13" s="106">
        <v>0.69000000000000006</v>
      </c>
      <c r="AF13" s="106">
        <v>0.69000000000000006</v>
      </c>
      <c r="AG13" s="106">
        <v>0.69000000000000006</v>
      </c>
      <c r="AH13" s="106">
        <v>0.69000000000000006</v>
      </c>
      <c r="AI13" s="106">
        <v>0.69000000000000006</v>
      </c>
      <c r="AJ13" s="106">
        <v>0.69000000000000006</v>
      </c>
      <c r="AK13" s="106">
        <v>0.69000000000000006</v>
      </c>
      <c r="AL13" s="106">
        <v>0.69000000000000006</v>
      </c>
      <c r="AM13" s="106">
        <v>0.69000000000000006</v>
      </c>
      <c r="AN13" s="106">
        <v>0.69000000000000006</v>
      </c>
    </row>
    <row r="14" spans="1:40" hidden="1" outlineLevel="1" x14ac:dyDescent="0.25">
      <c r="B14" s="39" t="str">
        <v>Recruiter</v>
      </c>
      <c r="C14" s="3"/>
      <c r="D14" s="3"/>
      <c r="E14" s="106">
        <v>0.49</v>
      </c>
      <c r="F14" s="106">
        <v>0.49</v>
      </c>
      <c r="G14" s="106">
        <v>0.49</v>
      </c>
      <c r="H14" s="106">
        <v>0.49</v>
      </c>
      <c r="I14" s="106">
        <v>0.49</v>
      </c>
      <c r="J14" s="106">
        <v>0.49</v>
      </c>
      <c r="K14" s="106">
        <v>0.49</v>
      </c>
      <c r="L14" s="106">
        <v>0.49</v>
      </c>
      <c r="M14" s="106">
        <v>0.49</v>
      </c>
      <c r="N14" s="106">
        <v>0.49</v>
      </c>
      <c r="O14" s="106">
        <v>0.49</v>
      </c>
      <c r="P14" s="106">
        <v>0.49</v>
      </c>
      <c r="Q14" s="106">
        <v>0.49</v>
      </c>
      <c r="R14" s="106">
        <v>0.49</v>
      </c>
      <c r="S14" s="106">
        <v>0.49</v>
      </c>
      <c r="T14" s="106">
        <v>0.49</v>
      </c>
      <c r="U14" s="106">
        <v>0.49</v>
      </c>
      <c r="V14" s="106">
        <v>0.49</v>
      </c>
      <c r="W14" s="106">
        <v>0.49</v>
      </c>
      <c r="X14" s="106">
        <v>0.49</v>
      </c>
      <c r="Y14" s="106">
        <v>0.49</v>
      </c>
      <c r="Z14" s="106">
        <v>0.49</v>
      </c>
      <c r="AA14" s="106">
        <v>0.49</v>
      </c>
      <c r="AB14" s="106">
        <v>0.49</v>
      </c>
      <c r="AC14" s="106">
        <v>0.49</v>
      </c>
      <c r="AD14" s="106">
        <v>0.49</v>
      </c>
      <c r="AE14" s="106">
        <v>0.49</v>
      </c>
      <c r="AF14" s="106">
        <v>0.49</v>
      </c>
      <c r="AG14" s="106">
        <v>0.49</v>
      </c>
      <c r="AH14" s="106">
        <v>0.49</v>
      </c>
      <c r="AI14" s="106">
        <v>0.49</v>
      </c>
      <c r="AJ14" s="106">
        <v>0.49</v>
      </c>
      <c r="AK14" s="106">
        <v>0.49</v>
      </c>
      <c r="AL14" s="106">
        <v>0.49</v>
      </c>
      <c r="AM14" s="106">
        <v>0.49</v>
      </c>
      <c r="AN14" s="106">
        <v>0.49</v>
      </c>
    </row>
    <row r="15" spans="1:40" hidden="1" outlineLevel="1" x14ac:dyDescent="0.25">
      <c r="B15" s="39" t="str">
        <v>Center Director / Remote Site Director</v>
      </c>
      <c r="C15" s="3"/>
      <c r="D15" s="3"/>
      <c r="E15" s="106">
        <v>0.21000000000000002</v>
      </c>
      <c r="F15" s="106">
        <v>0.21000000000000002</v>
      </c>
      <c r="G15" s="106">
        <v>0.21000000000000002</v>
      </c>
      <c r="H15" s="106">
        <v>0.21000000000000002</v>
      </c>
      <c r="I15" s="106">
        <v>0.21000000000000002</v>
      </c>
      <c r="J15" s="106">
        <v>0.21000000000000002</v>
      </c>
      <c r="K15" s="106">
        <v>0.21000000000000002</v>
      </c>
      <c r="L15" s="106">
        <v>0.21000000000000002</v>
      </c>
      <c r="M15" s="106">
        <v>0.21000000000000002</v>
      </c>
      <c r="N15" s="106">
        <v>0.21000000000000002</v>
      </c>
      <c r="O15" s="106">
        <v>0.21000000000000002</v>
      </c>
      <c r="P15" s="106">
        <v>0.21000000000000002</v>
      </c>
      <c r="Q15" s="106">
        <v>0.21000000000000002</v>
      </c>
      <c r="R15" s="106">
        <v>0.21000000000000002</v>
      </c>
      <c r="S15" s="106">
        <v>0.21000000000000002</v>
      </c>
      <c r="T15" s="106">
        <v>0.21000000000000002</v>
      </c>
      <c r="U15" s="106">
        <v>0.21000000000000002</v>
      </c>
      <c r="V15" s="106">
        <v>0.21000000000000002</v>
      </c>
      <c r="W15" s="106">
        <v>0.21000000000000002</v>
      </c>
      <c r="X15" s="106">
        <v>0.21000000000000002</v>
      </c>
      <c r="Y15" s="106">
        <v>0.21000000000000002</v>
      </c>
      <c r="Z15" s="106">
        <v>0.21000000000000002</v>
      </c>
      <c r="AA15" s="106">
        <v>0.21000000000000002</v>
      </c>
      <c r="AB15" s="106">
        <v>0.21000000000000002</v>
      </c>
      <c r="AC15" s="106">
        <v>0.21000000000000002</v>
      </c>
      <c r="AD15" s="106">
        <v>0.21000000000000002</v>
      </c>
      <c r="AE15" s="106">
        <v>0.21000000000000002</v>
      </c>
      <c r="AF15" s="106">
        <v>0.21000000000000002</v>
      </c>
      <c r="AG15" s="106">
        <v>0.21000000000000002</v>
      </c>
      <c r="AH15" s="106">
        <v>0.21000000000000002</v>
      </c>
      <c r="AI15" s="106">
        <v>0.21000000000000002</v>
      </c>
      <c r="AJ15" s="106">
        <v>0.21000000000000002</v>
      </c>
      <c r="AK15" s="106">
        <v>0.21000000000000002</v>
      </c>
      <c r="AL15" s="106">
        <v>0.21000000000000002</v>
      </c>
      <c r="AM15" s="106">
        <v>0.21000000000000002</v>
      </c>
      <c r="AN15" s="106">
        <v>0.21000000000000002</v>
      </c>
    </row>
    <row r="16" spans="1:40" hidden="1" outlineLevel="1" x14ac:dyDescent="0.25">
      <c r="B16" s="39" t="str">
        <v>Center Marketing Outreach</v>
      </c>
      <c r="C16" s="3"/>
      <c r="D16" s="3"/>
      <c r="E16" s="106">
        <v>0.21000000000000002</v>
      </c>
      <c r="F16" s="106">
        <v>0.21000000000000002</v>
      </c>
      <c r="G16" s="106">
        <v>0.21000000000000002</v>
      </c>
      <c r="H16" s="106">
        <v>0.21000000000000002</v>
      </c>
      <c r="I16" s="106">
        <v>0.21000000000000002</v>
      </c>
      <c r="J16" s="106">
        <v>0.21000000000000002</v>
      </c>
      <c r="K16" s="106">
        <v>0.21000000000000002</v>
      </c>
      <c r="L16" s="106">
        <v>0.21000000000000002</v>
      </c>
      <c r="M16" s="106">
        <v>0.21000000000000002</v>
      </c>
      <c r="N16" s="106">
        <v>0.21000000000000002</v>
      </c>
      <c r="O16" s="106">
        <v>0.21000000000000002</v>
      </c>
      <c r="P16" s="106">
        <v>0.21000000000000002</v>
      </c>
      <c r="Q16" s="106">
        <v>0.21000000000000002</v>
      </c>
      <c r="R16" s="106">
        <v>0.21000000000000002</v>
      </c>
      <c r="S16" s="106">
        <v>0.21000000000000002</v>
      </c>
      <c r="T16" s="106">
        <v>0.21000000000000002</v>
      </c>
      <c r="U16" s="106">
        <v>0.21000000000000002</v>
      </c>
      <c r="V16" s="106">
        <v>0.21000000000000002</v>
      </c>
      <c r="W16" s="106">
        <v>0.21000000000000002</v>
      </c>
      <c r="X16" s="106">
        <v>0.21000000000000002</v>
      </c>
      <c r="Y16" s="106">
        <v>0.21000000000000002</v>
      </c>
      <c r="Z16" s="106">
        <v>0.21000000000000002</v>
      </c>
      <c r="AA16" s="106">
        <v>0.21000000000000002</v>
      </c>
      <c r="AB16" s="106">
        <v>0.21000000000000002</v>
      </c>
      <c r="AC16" s="106">
        <v>0.21000000000000002</v>
      </c>
      <c r="AD16" s="106">
        <v>0.21000000000000002</v>
      </c>
      <c r="AE16" s="106">
        <v>0.21000000000000002</v>
      </c>
      <c r="AF16" s="106">
        <v>0.21000000000000002</v>
      </c>
      <c r="AG16" s="106">
        <v>0.21000000000000002</v>
      </c>
      <c r="AH16" s="106">
        <v>0.21000000000000002</v>
      </c>
      <c r="AI16" s="106">
        <v>0.21000000000000002</v>
      </c>
      <c r="AJ16" s="106">
        <v>0.21000000000000002</v>
      </c>
      <c r="AK16" s="106">
        <v>0.21000000000000002</v>
      </c>
      <c r="AL16" s="106">
        <v>0.21000000000000002</v>
      </c>
      <c r="AM16" s="106">
        <v>0.21000000000000002</v>
      </c>
      <c r="AN16" s="106">
        <v>0.21000000000000002</v>
      </c>
    </row>
    <row r="17" spans="2:50" hidden="1" outlineLevel="1" x14ac:dyDescent="0.25">
      <c r="B17" s="39" t="str">
        <v>Primary Direct Staff Lead</v>
      </c>
      <c r="C17" s="3"/>
      <c r="D17" s="3"/>
      <c r="E17" s="106">
        <v>5.2</v>
      </c>
      <c r="F17" s="106">
        <v>5.2</v>
      </c>
      <c r="G17" s="106">
        <v>5.2</v>
      </c>
      <c r="H17" s="106">
        <v>5.2</v>
      </c>
      <c r="I17" s="106">
        <v>5.2</v>
      </c>
      <c r="J17" s="106">
        <v>5.2</v>
      </c>
      <c r="K17" s="106">
        <v>5.2</v>
      </c>
      <c r="L17" s="106">
        <v>5.2</v>
      </c>
      <c r="M17" s="106">
        <v>5.2</v>
      </c>
      <c r="N17" s="106">
        <v>5.2</v>
      </c>
      <c r="O17" s="106">
        <v>5.2</v>
      </c>
      <c r="P17" s="106">
        <v>5.2</v>
      </c>
      <c r="Q17" s="106">
        <v>5.2</v>
      </c>
      <c r="R17" s="106">
        <v>5.2</v>
      </c>
      <c r="S17" s="106">
        <v>5.2</v>
      </c>
      <c r="T17" s="106">
        <v>5.2</v>
      </c>
      <c r="U17" s="106">
        <v>5.2</v>
      </c>
      <c r="V17" s="106">
        <v>5.2</v>
      </c>
      <c r="W17" s="106">
        <v>5.2</v>
      </c>
      <c r="X17" s="106">
        <v>5.2</v>
      </c>
      <c r="Y17" s="106">
        <v>5.2</v>
      </c>
      <c r="Z17" s="106">
        <v>5.2</v>
      </c>
      <c r="AA17" s="106">
        <v>5.2</v>
      </c>
      <c r="AB17" s="106">
        <v>5.2</v>
      </c>
      <c r="AC17" s="106">
        <v>5.2</v>
      </c>
      <c r="AD17" s="106">
        <v>5.2</v>
      </c>
      <c r="AE17" s="106">
        <v>5.2</v>
      </c>
      <c r="AF17" s="106">
        <v>5.2</v>
      </c>
      <c r="AG17" s="106">
        <v>5.2</v>
      </c>
      <c r="AH17" s="106">
        <v>5.2</v>
      </c>
      <c r="AI17" s="106">
        <v>5.2</v>
      </c>
      <c r="AJ17" s="106">
        <v>5.2</v>
      </c>
      <c r="AK17" s="106">
        <v>5.2</v>
      </c>
      <c r="AL17" s="106">
        <v>5.2</v>
      </c>
      <c r="AM17" s="106">
        <v>5.2</v>
      </c>
      <c r="AN17" s="106">
        <v>5.2</v>
      </c>
    </row>
    <row r="18" spans="2:50" hidden="1" outlineLevel="1" x14ac:dyDescent="0.25">
      <c r="B18" s="39" t="str">
        <v>Tertiary Direct Staff</v>
      </c>
      <c r="C18" s="3"/>
      <c r="D18" s="3"/>
      <c r="E18" s="106">
        <v>0</v>
      </c>
      <c r="F18" s="106">
        <v>0</v>
      </c>
      <c r="G18" s="106">
        <v>0</v>
      </c>
      <c r="H18" s="106">
        <v>0</v>
      </c>
      <c r="I18" s="106">
        <v>0</v>
      </c>
      <c r="J18" s="106">
        <v>0</v>
      </c>
      <c r="K18" s="106">
        <v>0</v>
      </c>
      <c r="L18" s="106">
        <v>0</v>
      </c>
      <c r="M18" s="106">
        <v>0</v>
      </c>
      <c r="N18" s="106">
        <v>0</v>
      </c>
      <c r="O18" s="106">
        <v>0</v>
      </c>
      <c r="P18" s="106">
        <v>0</v>
      </c>
      <c r="Q18" s="106">
        <v>0</v>
      </c>
      <c r="R18" s="106">
        <v>0</v>
      </c>
      <c r="S18" s="106">
        <v>0</v>
      </c>
      <c r="T18" s="106">
        <v>0</v>
      </c>
      <c r="U18" s="106">
        <v>0</v>
      </c>
      <c r="V18" s="106">
        <v>0</v>
      </c>
      <c r="W18" s="106">
        <v>0</v>
      </c>
      <c r="X18" s="106">
        <v>0</v>
      </c>
      <c r="Y18" s="106">
        <v>0</v>
      </c>
      <c r="Z18" s="106">
        <v>0</v>
      </c>
      <c r="AA18" s="106">
        <v>0</v>
      </c>
      <c r="AB18" s="106">
        <v>0</v>
      </c>
      <c r="AC18" s="106">
        <v>0</v>
      </c>
      <c r="AD18" s="106">
        <v>0</v>
      </c>
      <c r="AE18" s="106">
        <v>0</v>
      </c>
      <c r="AF18" s="106">
        <v>0</v>
      </c>
      <c r="AG18" s="106">
        <v>0</v>
      </c>
      <c r="AH18" s="106">
        <v>0</v>
      </c>
      <c r="AI18" s="106">
        <v>0</v>
      </c>
      <c r="AJ18" s="106">
        <v>0</v>
      </c>
      <c r="AK18" s="106">
        <v>0</v>
      </c>
      <c r="AL18" s="106">
        <v>0</v>
      </c>
      <c r="AM18" s="106">
        <v>0</v>
      </c>
      <c r="AN18" s="106">
        <v>0</v>
      </c>
    </row>
    <row r="19" spans="2:50" hidden="1" outlineLevel="1" x14ac:dyDescent="0.25">
      <c r="B19" s="39" t="str">
        <v>Quinary Direct Staff</v>
      </c>
      <c r="C19" s="3"/>
      <c r="D19" s="3"/>
      <c r="E19" s="106">
        <v>0</v>
      </c>
      <c r="F19" s="106">
        <v>0</v>
      </c>
      <c r="G19" s="106">
        <v>0</v>
      </c>
      <c r="H19" s="106">
        <v>0</v>
      </c>
      <c r="I19" s="106">
        <v>0</v>
      </c>
      <c r="J19" s="106">
        <v>0</v>
      </c>
      <c r="K19" s="106">
        <v>0</v>
      </c>
      <c r="L19" s="106">
        <v>0</v>
      </c>
      <c r="M19" s="106">
        <v>0</v>
      </c>
      <c r="N19" s="106">
        <v>0</v>
      </c>
      <c r="O19" s="106">
        <v>0</v>
      </c>
      <c r="P19" s="106">
        <v>0</v>
      </c>
      <c r="Q19" s="106">
        <v>0</v>
      </c>
      <c r="R19" s="106">
        <v>0</v>
      </c>
      <c r="S19" s="106">
        <v>0</v>
      </c>
      <c r="T19" s="106">
        <v>0</v>
      </c>
      <c r="U19" s="106">
        <v>0</v>
      </c>
      <c r="V19" s="106">
        <v>0</v>
      </c>
      <c r="W19" s="106">
        <v>0</v>
      </c>
      <c r="X19" s="106">
        <v>0</v>
      </c>
      <c r="Y19" s="106">
        <v>0</v>
      </c>
      <c r="Z19" s="106">
        <v>0</v>
      </c>
      <c r="AA19" s="106">
        <v>0</v>
      </c>
      <c r="AB19" s="106">
        <v>0</v>
      </c>
      <c r="AC19" s="106">
        <v>0</v>
      </c>
      <c r="AD19" s="106">
        <v>0</v>
      </c>
      <c r="AE19" s="106">
        <v>0</v>
      </c>
      <c r="AF19" s="106">
        <v>0</v>
      </c>
      <c r="AG19" s="106">
        <v>0</v>
      </c>
      <c r="AH19" s="106">
        <v>0</v>
      </c>
      <c r="AI19" s="106">
        <v>0</v>
      </c>
      <c r="AJ19" s="106">
        <v>0</v>
      </c>
      <c r="AK19" s="106">
        <v>0</v>
      </c>
      <c r="AL19" s="106">
        <v>0</v>
      </c>
      <c r="AM19" s="106">
        <v>0</v>
      </c>
      <c r="AN19" s="106">
        <v>0</v>
      </c>
    </row>
    <row r="20" spans="2:50" hidden="1" outlineLevel="1" x14ac:dyDescent="0.25">
      <c r="B20" s="39" t="str">
        <v>Quaternary Direct Staff</v>
      </c>
      <c r="C20" s="3"/>
      <c r="D20" s="3"/>
      <c r="E20" s="106">
        <v>1</v>
      </c>
      <c r="F20" s="106">
        <v>1</v>
      </c>
      <c r="G20" s="106">
        <v>1</v>
      </c>
      <c r="H20" s="106">
        <v>1</v>
      </c>
      <c r="I20" s="106">
        <v>1</v>
      </c>
      <c r="J20" s="106">
        <v>1</v>
      </c>
      <c r="K20" s="106">
        <v>1</v>
      </c>
      <c r="L20" s="106">
        <v>1</v>
      </c>
      <c r="M20" s="106">
        <v>1</v>
      </c>
      <c r="N20" s="106">
        <v>1</v>
      </c>
      <c r="O20" s="106">
        <v>1</v>
      </c>
      <c r="P20" s="106">
        <v>1</v>
      </c>
      <c r="Q20" s="106">
        <v>1</v>
      </c>
      <c r="R20" s="106">
        <v>1</v>
      </c>
      <c r="S20" s="106">
        <v>1</v>
      </c>
      <c r="T20" s="106">
        <v>1</v>
      </c>
      <c r="U20" s="106">
        <v>1</v>
      </c>
      <c r="V20" s="106">
        <v>1</v>
      </c>
      <c r="W20" s="106">
        <v>1</v>
      </c>
      <c r="X20" s="106">
        <v>1</v>
      </c>
      <c r="Y20" s="106">
        <v>1</v>
      </c>
      <c r="Z20" s="106">
        <v>1</v>
      </c>
      <c r="AA20" s="106">
        <v>1</v>
      </c>
      <c r="AB20" s="106">
        <v>1</v>
      </c>
      <c r="AC20" s="106">
        <v>1</v>
      </c>
      <c r="AD20" s="106">
        <v>1</v>
      </c>
      <c r="AE20" s="106">
        <v>1</v>
      </c>
      <c r="AF20" s="106">
        <v>1</v>
      </c>
      <c r="AG20" s="106">
        <v>1</v>
      </c>
      <c r="AH20" s="106">
        <v>1</v>
      </c>
      <c r="AI20" s="106">
        <v>1</v>
      </c>
      <c r="AJ20" s="106">
        <v>1</v>
      </c>
      <c r="AK20" s="106">
        <v>1</v>
      </c>
      <c r="AL20" s="106">
        <v>1</v>
      </c>
      <c r="AM20" s="106">
        <v>1</v>
      </c>
      <c r="AN20" s="106">
        <v>1</v>
      </c>
    </row>
    <row r="21" spans="2:50" collapsed="1" x14ac:dyDescent="0.25">
      <c r="B21" s="39" t="s">
        <v>389</v>
      </c>
      <c r="C21" s="3"/>
      <c r="D21" s="5"/>
      <c r="E21" s="117" cm="1">
        <f t="array" ref="E21:AN21">ROUND(_xlfn.BYCOL(_xlfn.CHOOSEROWS(_xlfn.ANCHORARRAY(E7),1,2),_xlfn.LAMBDA(_xlpm.col,SUM(_xlpm.col))),0)</f>
        <v>52</v>
      </c>
      <c r="F21" s="117">
        <v>52</v>
      </c>
      <c r="G21" s="117">
        <v>52</v>
      </c>
      <c r="H21" s="117">
        <v>52</v>
      </c>
      <c r="I21" s="117">
        <v>52</v>
      </c>
      <c r="J21" s="117">
        <v>52</v>
      </c>
      <c r="K21" s="117">
        <v>52</v>
      </c>
      <c r="L21" s="117">
        <v>52</v>
      </c>
      <c r="M21" s="117">
        <v>52</v>
      </c>
      <c r="N21" s="117">
        <v>52</v>
      </c>
      <c r="O21" s="117">
        <v>52</v>
      </c>
      <c r="P21" s="117">
        <v>52</v>
      </c>
      <c r="Q21" s="117">
        <v>52</v>
      </c>
      <c r="R21" s="117">
        <v>52</v>
      </c>
      <c r="S21" s="117">
        <v>52</v>
      </c>
      <c r="T21" s="117">
        <v>52</v>
      </c>
      <c r="U21" s="117">
        <v>52</v>
      </c>
      <c r="V21" s="117">
        <v>52</v>
      </c>
      <c r="W21" s="117">
        <v>52</v>
      </c>
      <c r="X21" s="117">
        <v>52</v>
      </c>
      <c r="Y21" s="117">
        <v>52</v>
      </c>
      <c r="Z21" s="117">
        <v>52</v>
      </c>
      <c r="AA21" s="117">
        <v>52</v>
      </c>
      <c r="AB21" s="117">
        <v>52</v>
      </c>
      <c r="AC21" s="117">
        <v>52</v>
      </c>
      <c r="AD21" s="117">
        <v>52</v>
      </c>
      <c r="AE21" s="117">
        <v>52</v>
      </c>
      <c r="AF21" s="117">
        <v>52</v>
      </c>
      <c r="AG21" s="117">
        <v>52</v>
      </c>
      <c r="AH21" s="117">
        <v>52</v>
      </c>
      <c r="AI21" s="117">
        <v>52</v>
      </c>
      <c r="AJ21" s="117">
        <v>52</v>
      </c>
      <c r="AK21" s="117">
        <v>52</v>
      </c>
      <c r="AL21" s="117">
        <v>52</v>
      </c>
      <c r="AM21" s="117">
        <v>52</v>
      </c>
      <c r="AN21" s="117">
        <v>52</v>
      </c>
    </row>
    <row r="22" spans="2:50" x14ac:dyDescent="0.25">
      <c r="B22" s="2" t="s">
        <v>394</v>
      </c>
      <c r="C22" s="3"/>
      <c r="D22" s="77">
        <f>MAX(_xlfn.ANCHORARRAY(E22))</f>
        <v>95.980542519553069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93.184992737430179</v>
      </c>
      <c r="F22" s="78">
        <v>93.184992737430179</v>
      </c>
      <c r="G22" s="78">
        <v>93.184992737430179</v>
      </c>
      <c r="H22" s="78">
        <v>93.184992737430179</v>
      </c>
      <c r="I22" s="78">
        <v>93.184992737430179</v>
      </c>
      <c r="J22" s="78">
        <v>93.184992737430179</v>
      </c>
      <c r="K22" s="78">
        <v>93.184992737430179</v>
      </c>
      <c r="L22" s="78">
        <v>93.184992737430179</v>
      </c>
      <c r="M22" s="78">
        <v>93.184992737430179</v>
      </c>
      <c r="N22" s="78">
        <v>93.184992737430179</v>
      </c>
      <c r="O22" s="78">
        <v>93.184992737430179</v>
      </c>
      <c r="P22" s="78">
        <v>93.184992737430179</v>
      </c>
      <c r="Q22" s="78">
        <v>95.980542519553069</v>
      </c>
      <c r="R22" s="78">
        <v>95.980542519553069</v>
      </c>
      <c r="S22" s="78">
        <v>95.980542519553069</v>
      </c>
      <c r="T22" s="78">
        <v>95.980542519553069</v>
      </c>
      <c r="U22" s="78">
        <v>95.980542519553069</v>
      </c>
      <c r="V22" s="78">
        <v>95.980542519553069</v>
      </c>
      <c r="W22" s="78">
        <v>95.980542519553069</v>
      </c>
      <c r="X22" s="78">
        <v>95.980542519553069</v>
      </c>
      <c r="Y22" s="78">
        <v>95.980542519553069</v>
      </c>
      <c r="Z22" s="78">
        <v>95.980542519553069</v>
      </c>
      <c r="AA22" s="78">
        <v>95.980542519553069</v>
      </c>
      <c r="AB22" s="78">
        <v>95.980542519553069</v>
      </c>
      <c r="AC22" s="78">
        <v>95.980542519553069</v>
      </c>
      <c r="AD22" s="78">
        <v>95.980542519553069</v>
      </c>
      <c r="AE22" s="78">
        <v>95.980542519553069</v>
      </c>
      <c r="AF22" s="78">
        <v>95.980542519553069</v>
      </c>
      <c r="AG22" s="78">
        <v>95.980542519553069</v>
      </c>
      <c r="AH22" s="78">
        <v>95.980542519553069</v>
      </c>
      <c r="AI22" s="78">
        <v>95.980542519553069</v>
      </c>
      <c r="AJ22" s="78">
        <v>95.980542519553069</v>
      </c>
      <c r="AK22" s="78">
        <v>95.980542519553069</v>
      </c>
      <c r="AL22" s="78">
        <v>95.980542519553069</v>
      </c>
      <c r="AM22" s="78">
        <v>95.980542519553069</v>
      </c>
      <c r="AN22" s="78">
        <v>95.980542519553069</v>
      </c>
    </row>
    <row r="23" spans="2:50" x14ac:dyDescent="0.25">
      <c r="B23" s="2" t="s">
        <v>53</v>
      </c>
      <c r="C23" s="3"/>
      <c r="D23" s="72"/>
      <c r="E23" s="52" cm="1">
        <f t="array" ref="E23:AN23">_xlfn.LET(_xlpm.site,$B$1&amp;"-"&amp;$C$1,_xlpm.locations,Base!$D$4:$BD$4,_xlpm.Customer,_xlfn.ANCHORARRAY(E1),_xlpm.hours,SUM(_xlfn.XLOOKUP(_xlpm.site,_xlpm.locations,Base!$D$74:$BD$78,0,0)),
_xlpm.collection,1-_xlfn.XLOOKUP(_xlpm.site,_xlpm.locations,Base!$D$26:$BD$26,0,0),
_xlpm.Customer*_xlpm.hours*_xlpm.collection*(52/12))</f>
        <v>5460.6933333333336</v>
      </c>
      <c r="F23" s="52">
        <v>5460.6933333333336</v>
      </c>
      <c r="G23" s="52">
        <v>5460.6933333333336</v>
      </c>
      <c r="H23" s="52">
        <v>5460.6933333333336</v>
      </c>
      <c r="I23" s="52">
        <v>5460.6933333333336</v>
      </c>
      <c r="J23" s="52">
        <v>5460.6933333333336</v>
      </c>
      <c r="K23" s="52">
        <v>5460.6933333333336</v>
      </c>
      <c r="L23" s="52">
        <v>5460.6933333333336</v>
      </c>
      <c r="M23" s="52">
        <v>5460.6933333333336</v>
      </c>
      <c r="N23" s="52">
        <v>5460.6933333333336</v>
      </c>
      <c r="O23" s="52">
        <v>5460.6933333333336</v>
      </c>
      <c r="P23" s="52">
        <v>5460.6933333333336</v>
      </c>
      <c r="Q23" s="52">
        <v>5460.6933333333336</v>
      </c>
      <c r="R23" s="52">
        <v>5460.6933333333336</v>
      </c>
      <c r="S23" s="52">
        <v>5460.6933333333336</v>
      </c>
      <c r="T23" s="52">
        <v>5460.6933333333336</v>
      </c>
      <c r="U23" s="52">
        <v>5460.6933333333336</v>
      </c>
      <c r="V23" s="52">
        <v>5460.6933333333336</v>
      </c>
      <c r="W23" s="52">
        <v>5460.6933333333336</v>
      </c>
      <c r="X23" s="52">
        <v>5460.6933333333336</v>
      </c>
      <c r="Y23" s="52">
        <v>5460.6933333333336</v>
      </c>
      <c r="Z23" s="52">
        <v>5460.6933333333336</v>
      </c>
      <c r="AA23" s="52">
        <v>5460.6933333333336</v>
      </c>
      <c r="AB23" s="52">
        <v>5460.6933333333336</v>
      </c>
      <c r="AC23" s="52">
        <v>5460.6933333333336</v>
      </c>
      <c r="AD23" s="52">
        <v>5460.6933333333336</v>
      </c>
      <c r="AE23" s="52">
        <v>5460.6933333333336</v>
      </c>
      <c r="AF23" s="52">
        <v>5460.6933333333336</v>
      </c>
      <c r="AG23" s="52">
        <v>5460.6933333333336</v>
      </c>
      <c r="AH23" s="52">
        <v>5460.6933333333336</v>
      </c>
      <c r="AI23" s="52">
        <v>5460.6933333333336</v>
      </c>
      <c r="AJ23" s="52">
        <v>5460.6933333333336</v>
      </c>
      <c r="AK23" s="52">
        <v>5460.6933333333336</v>
      </c>
      <c r="AL23" s="52">
        <v>5460.6933333333336</v>
      </c>
      <c r="AM23" s="52">
        <v>5460.6933333333336</v>
      </c>
      <c r="AN23" s="52">
        <v>5460.6933333333336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21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_xlfn.LET(_xlpm.site,$B$1&amp;"-"&amp;$C$1,_xlpm.locations,Base!$D$4:$BD$4,_xlpm.rates,Base!$D31:$BD31,_xlpm.hours,Base!$D74:$BD74,_xlpm.comp,_xlpm.rates*_xlpm.hours,_xlpm.Customer,_xlfn.ANCHORARRAY($E$1),
_xlpm.Customer_comp,_xlfn.XLOOKUP(_xlpm.site,_xlpm.locations,_xlpm.comp,0,0),_xlpm.ann_incr,_xlfn.XLOOKUP(YEAR(_xlfn.ANCHORARRAY($E$25)),Base!$BJ$4:$BL$4,Base!$BJ74:$BL74,0,0),
_xlpm.bad_debt,_xlfn.XLOOKUP(_xlpm.site,_xlpm.locations,Base!$D$28:$BD$28,0,0),_xlpm.Customer_comp*_xlpm.Customer*_xlpm.bad_debt*_xlpm.ann_incr*(52/12))</f>
        <v>394839.28598399996</v>
      </c>
      <c r="F26" s="12">
        <v>394839.28598399996</v>
      </c>
      <c r="G26" s="12">
        <v>394839.28598399996</v>
      </c>
      <c r="H26" s="12">
        <v>394839.28598399996</v>
      </c>
      <c r="I26" s="12">
        <v>394839.28598399996</v>
      </c>
      <c r="J26" s="12">
        <v>394839.28598399996</v>
      </c>
      <c r="K26" s="12">
        <v>394839.28598399996</v>
      </c>
      <c r="L26" s="12">
        <v>394839.28598399996</v>
      </c>
      <c r="M26" s="12">
        <v>394839.28598399996</v>
      </c>
      <c r="N26" s="12">
        <v>394839.28598399996</v>
      </c>
      <c r="O26" s="12">
        <v>394839.28598399996</v>
      </c>
      <c r="P26" s="12">
        <v>394839.28598399996</v>
      </c>
      <c r="Q26" s="12">
        <v>406684.46456351998</v>
      </c>
      <c r="R26" s="12">
        <v>406684.46456351998</v>
      </c>
      <c r="S26" s="12">
        <v>406684.46456351998</v>
      </c>
      <c r="T26" s="12">
        <v>406684.46456351998</v>
      </c>
      <c r="U26" s="12">
        <v>406684.46456351998</v>
      </c>
      <c r="V26" s="12">
        <v>406684.46456351998</v>
      </c>
      <c r="W26" s="12">
        <v>406684.46456351998</v>
      </c>
      <c r="X26" s="12">
        <v>406684.46456351998</v>
      </c>
      <c r="Y26" s="12">
        <v>406684.46456351998</v>
      </c>
      <c r="Z26" s="12">
        <v>406684.46456351998</v>
      </c>
      <c r="AA26" s="12">
        <v>406684.46456351998</v>
      </c>
      <c r="AB26" s="12">
        <v>406684.46456351998</v>
      </c>
      <c r="AC26" s="12">
        <v>406684.46456351998</v>
      </c>
      <c r="AD26" s="12">
        <v>406684.46456351998</v>
      </c>
      <c r="AE26" s="12">
        <v>406684.46456351998</v>
      </c>
      <c r="AF26" s="12">
        <v>406684.46456351998</v>
      </c>
      <c r="AG26" s="12">
        <v>406684.46456351998</v>
      </c>
      <c r="AH26" s="12">
        <v>406684.46456351998</v>
      </c>
      <c r="AI26" s="12">
        <v>406684.46456351998</v>
      </c>
      <c r="AJ26" s="12">
        <v>406684.46456351998</v>
      </c>
      <c r="AK26" s="12">
        <v>406684.46456351998</v>
      </c>
      <c r="AL26" s="12">
        <v>406684.46456351998</v>
      </c>
      <c r="AM26" s="12">
        <v>406684.46456351998</v>
      </c>
      <c r="AN26" s="12">
        <v>406684.46456351998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_xlfn.LET(_xlpm.site,$B$1&amp;"-"&amp;$C$1,_xlpm.locations,Base!$D$4:$BD$4,_xlpm.rates,Base!$D32:$BD32,_xlpm.hours,Base!$D75:$BD75,_xlpm.comp,_xlpm.rates*_xlpm.hours,_xlpm.Customer,_xlfn.ANCHORARRAY($E$1),
_xlpm.Customer_comp,_xlfn.XLOOKUP(_xlpm.site,_xlpm.locations,_xlpm.comp,0,0),_xlpm.ann_incr,_xlfn.XLOOKUP(YEAR(_xlfn.ANCHORARRAY($E$25)),Base!$BJ$4:$BL$4,Base!$BJ75:$BL75,0,0),
_xlpm.bad_debt,_xlfn.XLOOKUP(_xlpm.site,_xlpm.locations,Base!$D$28:$BD$28,0,0),_xlpm.Customer_comp*_xlpm.Customer*_xlpm.bad_debt*_xlpm.ann_incr*(52/12))</f>
        <v>26064.223743999995</v>
      </c>
      <c r="F27" s="12">
        <v>26064.223743999995</v>
      </c>
      <c r="G27" s="12">
        <v>26064.223743999995</v>
      </c>
      <c r="H27" s="12">
        <v>26064.223743999995</v>
      </c>
      <c r="I27" s="12">
        <v>26064.223743999995</v>
      </c>
      <c r="J27" s="12">
        <v>26064.223743999995</v>
      </c>
      <c r="K27" s="12">
        <v>26064.223743999995</v>
      </c>
      <c r="L27" s="12">
        <v>26064.223743999995</v>
      </c>
      <c r="M27" s="12">
        <v>26064.223743999995</v>
      </c>
      <c r="N27" s="12">
        <v>26064.223743999995</v>
      </c>
      <c r="O27" s="12">
        <v>26064.223743999995</v>
      </c>
      <c r="P27" s="12">
        <v>26064.223743999995</v>
      </c>
      <c r="Q27" s="12">
        <v>26846.150456319996</v>
      </c>
      <c r="R27" s="12">
        <v>26846.150456319996</v>
      </c>
      <c r="S27" s="12">
        <v>26846.150456319996</v>
      </c>
      <c r="T27" s="12">
        <v>26846.150456319996</v>
      </c>
      <c r="U27" s="12">
        <v>26846.150456319996</v>
      </c>
      <c r="V27" s="12">
        <v>26846.150456319996</v>
      </c>
      <c r="W27" s="12">
        <v>26846.150456319996</v>
      </c>
      <c r="X27" s="12">
        <v>26846.150456319996</v>
      </c>
      <c r="Y27" s="12">
        <v>26846.150456319996</v>
      </c>
      <c r="Z27" s="12">
        <v>26846.150456319996</v>
      </c>
      <c r="AA27" s="12">
        <v>26846.150456319996</v>
      </c>
      <c r="AB27" s="12">
        <v>26846.150456319996</v>
      </c>
      <c r="AC27" s="12">
        <v>26846.150456319996</v>
      </c>
      <c r="AD27" s="12">
        <v>26846.150456319996</v>
      </c>
      <c r="AE27" s="12">
        <v>26846.150456319996</v>
      </c>
      <c r="AF27" s="12">
        <v>26846.150456319996</v>
      </c>
      <c r="AG27" s="12">
        <v>26846.150456319996</v>
      </c>
      <c r="AH27" s="12">
        <v>26846.150456319996</v>
      </c>
      <c r="AI27" s="12">
        <v>26846.150456319996</v>
      </c>
      <c r="AJ27" s="12">
        <v>26846.150456319996</v>
      </c>
      <c r="AK27" s="12">
        <v>26846.150456319996</v>
      </c>
      <c r="AL27" s="12">
        <v>26846.150456319996</v>
      </c>
      <c r="AM27" s="12">
        <v>26846.150456319996</v>
      </c>
      <c r="AN27" s="12">
        <v>26846.150456319996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_xlfn.LET(_xlpm.site,$B$1&amp;"-"&amp;$C$1,_xlpm.locations,Base!$D$4:$BD$4,_xlpm.rates,Base!$D33:$BD33,_xlpm.hours,Base!$D76:$BD76,_xlpm.comp,_xlpm.rates*_xlpm.hours,_xlpm.Customer,_xlfn.ANCHORARRAY($E$1),
_xlpm.Customer_comp,_xlfn.XLOOKUP(_xlpm.site,_xlpm.locations,_xlpm.comp,0,0),_xlpm.ann_incr,_xlfn.XLOOKUP(YEAR(_xlfn.ANCHORARRAY($E$25)),Base!$BJ$4:$BL$4,Base!$BJ76:$BL76,0,0),
_xlpm.bad_debt,_xlfn.XLOOKUP(_xlpm.site,_xlpm.locations,Base!$D$28:$BD$28,0,0),_xlpm.Customer_comp*_xlpm.Customer*_xlpm.bad_debt*_xlpm.ann_incr*(52/12))</f>
        <v>107683.44163199999</v>
      </c>
      <c r="F28" s="12">
        <v>107683.44163199999</v>
      </c>
      <c r="G28" s="12">
        <v>107683.44163199999</v>
      </c>
      <c r="H28" s="12">
        <v>107683.44163199999</v>
      </c>
      <c r="I28" s="12">
        <v>107683.44163199999</v>
      </c>
      <c r="J28" s="12">
        <v>107683.44163199999</v>
      </c>
      <c r="K28" s="12">
        <v>107683.44163199999</v>
      </c>
      <c r="L28" s="12">
        <v>107683.44163199999</v>
      </c>
      <c r="M28" s="12">
        <v>107683.44163199999</v>
      </c>
      <c r="N28" s="12">
        <v>107683.44163199999</v>
      </c>
      <c r="O28" s="12">
        <v>107683.44163199999</v>
      </c>
      <c r="P28" s="12">
        <v>107683.44163199999</v>
      </c>
      <c r="Q28" s="12">
        <v>110913.94488096</v>
      </c>
      <c r="R28" s="12">
        <v>110913.94488096</v>
      </c>
      <c r="S28" s="12">
        <v>110913.94488096</v>
      </c>
      <c r="T28" s="12">
        <v>110913.94488096</v>
      </c>
      <c r="U28" s="12">
        <v>110913.94488096</v>
      </c>
      <c r="V28" s="12">
        <v>110913.94488096</v>
      </c>
      <c r="W28" s="12">
        <v>110913.94488096</v>
      </c>
      <c r="X28" s="12">
        <v>110913.94488096</v>
      </c>
      <c r="Y28" s="12">
        <v>110913.94488096</v>
      </c>
      <c r="Z28" s="12">
        <v>110913.94488096</v>
      </c>
      <c r="AA28" s="12">
        <v>110913.94488096</v>
      </c>
      <c r="AB28" s="12">
        <v>110913.94488096</v>
      </c>
      <c r="AC28" s="12">
        <v>110913.94488096</v>
      </c>
      <c r="AD28" s="12">
        <v>110913.94488096</v>
      </c>
      <c r="AE28" s="12">
        <v>110913.94488096</v>
      </c>
      <c r="AF28" s="12">
        <v>110913.94488096</v>
      </c>
      <c r="AG28" s="12">
        <v>110913.94488096</v>
      </c>
      <c r="AH28" s="12">
        <v>110913.94488096</v>
      </c>
      <c r="AI28" s="12">
        <v>110913.94488096</v>
      </c>
      <c r="AJ28" s="12">
        <v>110913.94488096</v>
      </c>
      <c r="AK28" s="12">
        <v>110913.94488096</v>
      </c>
      <c r="AL28" s="12">
        <v>110913.94488096</v>
      </c>
      <c r="AM28" s="12">
        <v>110913.94488096</v>
      </c>
      <c r="AN28" s="12">
        <v>110913.94488096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_xlfn.LET(_xlpm.site,$B$1&amp;"-"&amp;$C$1,_xlpm.locations,Base!$D$4:$BD$4,_xlpm.rates,Base!$D34:$BD34,_xlpm.hours,Base!$D77:$BD77,_xlpm.comp,_xlpm.rates*_xlpm.hours,_xlpm.Customer,_xlfn.ANCHORARRAY($E$1),
_xlpm.Customer_comp,_xlfn.XLOOKUP(_xlpm.site,_xlpm.locations,_xlpm.comp,0,0),_xlpm.ann_incr,_xlfn.XLOOKUP(YEAR(_xlfn.ANCHORARRAY($E$25)),Base!$BJ$4:$BL$4,Base!$BJ77:$BL77,0,0),
_xlpm.bad_debt,_xlfn.XLOOKUP(_xlpm.site,_xlpm.locations,Base!$D$28:$BD$28,0,0),_xlpm.Customer_comp*_xlpm.Customer*_xlpm.bad_debt*_xlpm.ann_incr*(52/12))</f>
        <v>4517.5971359999994</v>
      </c>
      <c r="F29" s="12">
        <v>4517.5971359999994</v>
      </c>
      <c r="G29" s="12">
        <v>4517.5971359999994</v>
      </c>
      <c r="H29" s="12">
        <v>4517.5971359999994</v>
      </c>
      <c r="I29" s="12">
        <v>4517.5971359999994</v>
      </c>
      <c r="J29" s="12">
        <v>4517.5971359999994</v>
      </c>
      <c r="K29" s="12">
        <v>4517.5971359999994</v>
      </c>
      <c r="L29" s="12">
        <v>4517.5971359999994</v>
      </c>
      <c r="M29" s="12">
        <v>4517.5971359999994</v>
      </c>
      <c r="N29" s="12">
        <v>4517.5971359999994</v>
      </c>
      <c r="O29" s="12">
        <v>4517.5971359999994</v>
      </c>
      <c r="P29" s="12">
        <v>4517.5971359999994</v>
      </c>
      <c r="Q29" s="12">
        <v>4653.1250500800006</v>
      </c>
      <c r="R29" s="12">
        <v>4653.1250500800006</v>
      </c>
      <c r="S29" s="12">
        <v>4653.1250500800006</v>
      </c>
      <c r="T29" s="12">
        <v>4653.1250500800006</v>
      </c>
      <c r="U29" s="12">
        <v>4653.1250500800006</v>
      </c>
      <c r="V29" s="12">
        <v>4653.1250500800006</v>
      </c>
      <c r="W29" s="12">
        <v>4653.1250500800006</v>
      </c>
      <c r="X29" s="12">
        <v>4653.1250500800006</v>
      </c>
      <c r="Y29" s="12">
        <v>4653.1250500800006</v>
      </c>
      <c r="Z29" s="12">
        <v>4653.1250500800006</v>
      </c>
      <c r="AA29" s="12">
        <v>4653.1250500800006</v>
      </c>
      <c r="AB29" s="12">
        <v>4653.1250500800006</v>
      </c>
      <c r="AC29" s="12">
        <v>4653.1250500800006</v>
      </c>
      <c r="AD29" s="12">
        <v>4653.1250500800006</v>
      </c>
      <c r="AE29" s="12">
        <v>4653.1250500800006</v>
      </c>
      <c r="AF29" s="12">
        <v>4653.1250500800006</v>
      </c>
      <c r="AG29" s="12">
        <v>4653.1250500800006</v>
      </c>
      <c r="AH29" s="12">
        <v>4653.1250500800006</v>
      </c>
      <c r="AI29" s="12">
        <v>4653.1250500800006</v>
      </c>
      <c r="AJ29" s="12">
        <v>4653.1250500800006</v>
      </c>
      <c r="AK29" s="12">
        <v>4653.1250500800006</v>
      </c>
      <c r="AL29" s="12">
        <v>4653.1250500800006</v>
      </c>
      <c r="AM29" s="12">
        <v>4653.1250500800006</v>
      </c>
      <c r="AN29" s="12">
        <v>4653.1250500800006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_xlfn.LET(_xlpm.site,$B$1&amp;"-"&amp;$C$1,_xlpm.locations,Base!$D$4:$BD$4,_xlpm.rates,Base!$D35:$BD35,_xlpm.hours,Base!$D78:$BD78,_xlpm.comp,_xlpm.rates*_xlpm.hours,_xlpm.Customer,_xlfn.ANCHORARRAY($E$1),
_xlpm.Customer_comp,_xlfn.XLOOKUP(_xlpm.site,_xlpm.locations,_xlpm.comp,0,0),_xlpm.ann_incr,_xlfn.XLOOKUP(YEAR(_xlfn.ANCHORARRAY($E$25)),Base!$BJ$4:$BL$4,Base!$BJ78:$BL78,0,0),
_xlpm.bad_debt,_xlfn.XLOOKUP(_xlpm.site,_xlpm.locations,Base!$D$28:$BD$28,0,0),_xlpm.Customer_comp*_xlpm.Customer*_xlpm.bad_debt*_xlpm.ann_incr*(52/12))</f>
        <v>10444.756607999998</v>
      </c>
      <c r="F30" s="12">
        <v>10444.756607999998</v>
      </c>
      <c r="G30" s="12">
        <v>10444.756607999998</v>
      </c>
      <c r="H30" s="12">
        <v>10444.756607999998</v>
      </c>
      <c r="I30" s="12">
        <v>10444.756607999998</v>
      </c>
      <c r="J30" s="12">
        <v>10444.756607999998</v>
      </c>
      <c r="K30" s="12">
        <v>10444.756607999998</v>
      </c>
      <c r="L30" s="12">
        <v>10444.756607999998</v>
      </c>
      <c r="M30" s="12">
        <v>10444.756607999998</v>
      </c>
      <c r="N30" s="12">
        <v>10444.756607999998</v>
      </c>
      <c r="O30" s="12">
        <v>10444.756607999998</v>
      </c>
      <c r="P30" s="12">
        <v>10444.756607999998</v>
      </c>
      <c r="Q30" s="12">
        <v>10758.099306239999</v>
      </c>
      <c r="R30" s="12">
        <v>10758.099306239999</v>
      </c>
      <c r="S30" s="12">
        <v>10758.099306239999</v>
      </c>
      <c r="T30" s="12">
        <v>10758.099306239999</v>
      </c>
      <c r="U30" s="12">
        <v>10758.099306239999</v>
      </c>
      <c r="V30" s="12">
        <v>10758.099306239999</v>
      </c>
      <c r="W30" s="12">
        <v>10758.099306239999</v>
      </c>
      <c r="X30" s="12">
        <v>10758.099306239999</v>
      </c>
      <c r="Y30" s="12">
        <v>10758.099306239999</v>
      </c>
      <c r="Z30" s="12">
        <v>10758.099306239999</v>
      </c>
      <c r="AA30" s="12">
        <v>10758.099306239999</v>
      </c>
      <c r="AB30" s="12">
        <v>10758.099306239999</v>
      </c>
      <c r="AC30" s="12">
        <v>10758.099306239999</v>
      </c>
      <c r="AD30" s="12">
        <v>10758.099306239999</v>
      </c>
      <c r="AE30" s="12">
        <v>10758.099306239999</v>
      </c>
      <c r="AF30" s="12">
        <v>10758.099306239999</v>
      </c>
      <c r="AG30" s="12">
        <v>10758.099306239999</v>
      </c>
      <c r="AH30" s="12">
        <v>10758.099306239999</v>
      </c>
      <c r="AI30" s="12">
        <v>10758.099306239999</v>
      </c>
      <c r="AJ30" s="12">
        <v>10758.099306239999</v>
      </c>
      <c r="AK30" s="12">
        <v>10758.099306239999</v>
      </c>
      <c r="AL30" s="12">
        <v>10758.099306239999</v>
      </c>
      <c r="AM30" s="12">
        <v>10758.099306239999</v>
      </c>
      <c r="AN30" s="12">
        <v>10758.099306239999</v>
      </c>
    </row>
    <row r="31" spans="2:50" x14ac:dyDescent="0.25">
      <c r="B31" s="39" t="str">
        <f>Base!B36</f>
        <v>Tertiary Direct Staff - Service A</v>
      </c>
      <c r="C31" s="4"/>
      <c r="E31" s="183" cm="1">
        <f t="array" ref="E31:AN31">_xlfn.LET(_xlpm.site,$B$1&amp;"-"&amp;$C$1,_xlpm.locations,Base!$D$4:$BD$4,_xlpm.rates,Base!$D36:$BD36,_xlpm.hours,Base!$D79:$BD79,_xlpm.comp,_xlpm.rates*_xlpm.hours,_xlpm.Customer,_xlfn.ANCHORARRAY($E$1)*0,
_xlpm.Customer_comp,_xlfn.XLOOKUP(_xlpm.site,_xlpm.locations,_xlpm.comp,0,0),_xlpm.ann_incr,_xlfn.XLOOKUP(YEAR(_xlfn.ANCHORARRAY($E$25)),Base!$BJ$4:$BL$4,Base!$BJ79:$BL79,0,0),
_xlpm.bad_debt,_xlfn.XLOOKUP(_xlpm.site,_xlpm.locations,Base!$D$28:$BD$28,0,0),_xlpm.Customer_comp*_xlpm.Customer*_xlpm.bad_debt*_xlpm.ann_incr*(52/12))</f>
        <v>0</v>
      </c>
      <c r="F31" s="183">
        <v>0</v>
      </c>
      <c r="G31" s="183">
        <v>0</v>
      </c>
      <c r="H31" s="183">
        <v>0</v>
      </c>
      <c r="I31" s="183">
        <v>0</v>
      </c>
      <c r="J31" s="183">
        <v>0</v>
      </c>
      <c r="K31" s="183">
        <v>0</v>
      </c>
      <c r="L31" s="183">
        <v>0</v>
      </c>
      <c r="M31" s="183">
        <v>0</v>
      </c>
      <c r="N31" s="183">
        <v>0</v>
      </c>
      <c r="O31" s="183">
        <v>0</v>
      </c>
      <c r="P31" s="183">
        <v>0</v>
      </c>
      <c r="Q31" s="183">
        <v>0</v>
      </c>
      <c r="R31" s="183">
        <v>0</v>
      </c>
      <c r="S31" s="183">
        <v>0</v>
      </c>
      <c r="T31" s="183">
        <v>0</v>
      </c>
      <c r="U31" s="183">
        <v>0</v>
      </c>
      <c r="V31" s="183">
        <v>0</v>
      </c>
      <c r="W31" s="183">
        <v>0</v>
      </c>
      <c r="X31" s="183">
        <v>0</v>
      </c>
      <c r="Y31" s="183">
        <v>0</v>
      </c>
      <c r="Z31" s="183">
        <v>0</v>
      </c>
      <c r="AA31" s="183">
        <v>0</v>
      </c>
      <c r="AB31" s="183">
        <v>0</v>
      </c>
      <c r="AC31" s="183">
        <v>0</v>
      </c>
      <c r="AD31" s="183">
        <v>0</v>
      </c>
      <c r="AE31" s="183">
        <v>0</v>
      </c>
      <c r="AF31" s="183">
        <v>0</v>
      </c>
      <c r="AG31" s="183">
        <v>0</v>
      </c>
      <c r="AH31" s="183">
        <v>0</v>
      </c>
      <c r="AI31" s="183">
        <v>0</v>
      </c>
      <c r="AJ31" s="183">
        <v>0</v>
      </c>
      <c r="AK31" s="183">
        <v>0</v>
      </c>
      <c r="AL31" s="183">
        <v>0</v>
      </c>
      <c r="AM31" s="183">
        <v>0</v>
      </c>
      <c r="AN31" s="183">
        <v>0</v>
      </c>
    </row>
    <row r="32" spans="2:50" x14ac:dyDescent="0.25">
      <c r="B32" s="39" t="str">
        <f>Base!B37</f>
        <v>Tertiary Direct Staff - Service B</v>
      </c>
      <c r="C32" s="4"/>
      <c r="E32" s="183" cm="1">
        <f t="array" ref="E32:AN32">_xlfn.LET(_xlpm.site,$B$1&amp;"-"&amp;$C$1,_xlpm.locations,Base!$D$4:$BD$4,_xlpm.rates,Base!$D37:$BD37,_xlpm.hours,Base!$D80:$BD80,_xlpm.comp,_xlpm.rates*_xlpm.hours,_xlpm.Customer,_xlfn.ANCHORARRAY($E$1)*0,
_xlpm.Customer_comp,_xlfn.XLOOKUP(_xlpm.site,_xlpm.locations,_xlpm.comp,0,0),_xlpm.ann_incr,_xlfn.XLOOKUP(YEAR(_xlfn.ANCHORARRAY($E$25)),Base!$BJ$4:$BL$4,Base!$BJ80:$BL80,0,0),
_xlpm.bad_debt,_xlfn.XLOOKUP(_xlpm.site,_xlpm.locations,Base!$D$28:$BD$28,0,0),_xlpm.Customer_comp*_xlpm.Customer*_xlpm.bad_debt*_xlpm.ann_incr*(52/12))</f>
        <v>0</v>
      </c>
      <c r="F32" s="183">
        <v>0</v>
      </c>
      <c r="G32" s="183">
        <v>0</v>
      </c>
      <c r="H32" s="183">
        <v>0</v>
      </c>
      <c r="I32" s="183">
        <v>0</v>
      </c>
      <c r="J32" s="183">
        <v>0</v>
      </c>
      <c r="K32" s="183">
        <v>0</v>
      </c>
      <c r="L32" s="183">
        <v>0</v>
      </c>
      <c r="M32" s="183">
        <v>0</v>
      </c>
      <c r="N32" s="183">
        <v>0</v>
      </c>
      <c r="O32" s="183">
        <v>0</v>
      </c>
      <c r="P32" s="183">
        <v>0</v>
      </c>
      <c r="Q32" s="183">
        <v>0</v>
      </c>
      <c r="R32" s="183">
        <v>0</v>
      </c>
      <c r="S32" s="183">
        <v>0</v>
      </c>
      <c r="T32" s="183">
        <v>0</v>
      </c>
      <c r="U32" s="183">
        <v>0</v>
      </c>
      <c r="V32" s="183">
        <v>0</v>
      </c>
      <c r="W32" s="183">
        <v>0</v>
      </c>
      <c r="X32" s="183">
        <v>0</v>
      </c>
      <c r="Y32" s="183">
        <v>0</v>
      </c>
      <c r="Z32" s="183">
        <v>0</v>
      </c>
      <c r="AA32" s="183">
        <v>0</v>
      </c>
      <c r="AB32" s="183">
        <v>0</v>
      </c>
      <c r="AC32" s="183">
        <v>0</v>
      </c>
      <c r="AD32" s="183">
        <v>0</v>
      </c>
      <c r="AE32" s="183">
        <v>0</v>
      </c>
      <c r="AF32" s="183">
        <v>0</v>
      </c>
      <c r="AG32" s="183">
        <v>0</v>
      </c>
      <c r="AH32" s="183">
        <v>0</v>
      </c>
      <c r="AI32" s="183">
        <v>0</v>
      </c>
      <c r="AJ32" s="183">
        <v>0</v>
      </c>
      <c r="AK32" s="183">
        <v>0</v>
      </c>
      <c r="AL32" s="183">
        <v>0</v>
      </c>
      <c r="AM32" s="183">
        <v>0</v>
      </c>
      <c r="AN32" s="183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_xlpm.Customer,_xlfn.ANCHORARRAY($E$2),_xlpm.ann_incr,_xlfn.XLOOKUP(YEAR(_xlfn.ANCHORARRAY($E$25)),Base!$BJ$4:$BL$4,Base!$BJ$81:$BL$81,0,0),
_xlpm.bad_debt,_xlfn.XLOOKUP(_xlpm.site,_xlpm.locations,Base!$D$28:$BD$28,0,0),
_xlpm.comp*_xlpm.bad_debt*_xlpm.ann_incr*(52/12))</f>
        <v>25085.175266666662</v>
      </c>
      <c r="F33" s="12">
        <v>25085.175266666662</v>
      </c>
      <c r="G33" s="12">
        <v>25085.175266666662</v>
      </c>
      <c r="H33" s="12">
        <v>25085.175266666662</v>
      </c>
      <c r="I33" s="12">
        <v>25085.175266666662</v>
      </c>
      <c r="J33" s="12">
        <v>25085.175266666662</v>
      </c>
      <c r="K33" s="12">
        <v>25085.175266666662</v>
      </c>
      <c r="L33" s="12">
        <v>25085.175266666662</v>
      </c>
      <c r="M33" s="12">
        <v>25085.175266666662</v>
      </c>
      <c r="N33" s="12">
        <v>25085.175266666662</v>
      </c>
      <c r="O33" s="12">
        <v>25085.175266666662</v>
      </c>
      <c r="P33" s="12">
        <v>25085.175266666662</v>
      </c>
      <c r="Q33" s="12">
        <v>25837.730524666658</v>
      </c>
      <c r="R33" s="12">
        <v>25837.730524666658</v>
      </c>
      <c r="S33" s="12">
        <v>25837.730524666658</v>
      </c>
      <c r="T33" s="12">
        <v>25837.730524666658</v>
      </c>
      <c r="U33" s="12">
        <v>25837.730524666658</v>
      </c>
      <c r="V33" s="12">
        <v>25837.730524666658</v>
      </c>
      <c r="W33" s="12">
        <v>25837.730524666658</v>
      </c>
      <c r="X33" s="12">
        <v>25837.730524666658</v>
      </c>
      <c r="Y33" s="12">
        <v>25837.730524666658</v>
      </c>
      <c r="Z33" s="12">
        <v>25837.730524666658</v>
      </c>
      <c r="AA33" s="12">
        <v>25837.730524666658</v>
      </c>
      <c r="AB33" s="12">
        <v>25837.730524666658</v>
      </c>
      <c r="AC33" s="12">
        <v>25837.730524666658</v>
      </c>
      <c r="AD33" s="12">
        <v>25837.730524666658</v>
      </c>
      <c r="AE33" s="12">
        <v>25837.730524666658</v>
      </c>
      <c r="AF33" s="12">
        <v>25837.730524666658</v>
      </c>
      <c r="AG33" s="12">
        <v>25837.730524666658</v>
      </c>
      <c r="AH33" s="12">
        <v>25837.730524666658</v>
      </c>
      <c r="AI33" s="12">
        <v>25837.730524666658</v>
      </c>
      <c r="AJ33" s="12">
        <v>25837.730524666658</v>
      </c>
      <c r="AK33" s="12">
        <v>25837.730524666658</v>
      </c>
      <c r="AL33" s="12">
        <v>25837.730524666658</v>
      </c>
      <c r="AM33" s="12">
        <v>25837.730524666658</v>
      </c>
      <c r="AN33" s="12">
        <v>25837.730524666658</v>
      </c>
    </row>
    <row r="34" spans="2:40" x14ac:dyDescent="0.25">
      <c r="B34" s="39" t="str">
        <f>Base!B39</f>
        <v>Quinary Direct Staff - Service A</v>
      </c>
      <c r="C34" s="4"/>
      <c r="E34" s="183" cm="1">
        <f t="array" ref="E34:AN34">_xlfn.LET(_xlpm.site,$B$1&amp;"-"&amp;$C$1,_xlpm.locations,Base!$D$4:$BD$4,_xlpm.rates,Base!$D39:$BD39,_xlpm.hours,Base!$D82:$BD82,_xlpm.comp,_xlpm.rates*_xlpm.hours,_xlpm.Customer,_xlfn.ANCHORARRAY($E$1)*0,
_xlpm.Customer_comp,_xlfn.XLOOKUP(_xlpm.site,_xlpm.locations,_xlpm.comp,0,0),_xlpm.ann_incr,_xlfn.XLOOKUP(YEAR(_xlfn.ANCHORARRAY($E$25)),Base!$BJ$4:$BL$4,Base!$BJ82:$BL82,0,0),
_xlpm.bad_debt,_xlfn.XLOOKUP(_xlpm.site,_xlpm.locations,Base!$D$28:$BD$28,0,0),_xlpm.Customer_comp*_xlpm.Customer*_xlpm.bad_debt*_xlpm.ann_incr*(52/12))</f>
        <v>0</v>
      </c>
      <c r="F34" s="183">
        <v>0</v>
      </c>
      <c r="G34" s="183">
        <v>0</v>
      </c>
      <c r="H34" s="183">
        <v>0</v>
      </c>
      <c r="I34" s="183">
        <v>0</v>
      </c>
      <c r="J34" s="183">
        <v>0</v>
      </c>
      <c r="K34" s="183">
        <v>0</v>
      </c>
      <c r="L34" s="183">
        <v>0</v>
      </c>
      <c r="M34" s="183">
        <v>0</v>
      </c>
      <c r="N34" s="183">
        <v>0</v>
      </c>
      <c r="O34" s="183">
        <v>0</v>
      </c>
      <c r="P34" s="183">
        <v>0</v>
      </c>
      <c r="Q34" s="183">
        <v>0</v>
      </c>
      <c r="R34" s="183">
        <v>0</v>
      </c>
      <c r="S34" s="183">
        <v>0</v>
      </c>
      <c r="T34" s="183">
        <v>0</v>
      </c>
      <c r="U34" s="183">
        <v>0</v>
      </c>
      <c r="V34" s="183">
        <v>0</v>
      </c>
      <c r="W34" s="183">
        <v>0</v>
      </c>
      <c r="X34" s="183">
        <v>0</v>
      </c>
      <c r="Y34" s="183">
        <v>0</v>
      </c>
      <c r="Z34" s="183">
        <v>0</v>
      </c>
      <c r="AA34" s="183">
        <v>0</v>
      </c>
      <c r="AB34" s="183">
        <v>0</v>
      </c>
      <c r="AC34" s="183">
        <v>0</v>
      </c>
      <c r="AD34" s="183">
        <v>0</v>
      </c>
      <c r="AE34" s="183">
        <v>0</v>
      </c>
      <c r="AF34" s="183">
        <v>0</v>
      </c>
      <c r="AG34" s="183">
        <v>0</v>
      </c>
      <c r="AH34" s="183">
        <v>0</v>
      </c>
      <c r="AI34" s="183">
        <v>0</v>
      </c>
      <c r="AJ34" s="183">
        <v>0</v>
      </c>
      <c r="AK34" s="183">
        <v>0</v>
      </c>
      <c r="AL34" s="183">
        <v>0</v>
      </c>
      <c r="AM34" s="183">
        <v>0</v>
      </c>
      <c r="AN34" s="183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-68236.137644479997</v>
      </c>
      <c r="F35" s="12">
        <v>-68236.137644479997</v>
      </c>
      <c r="G35" s="12">
        <v>-68236.137644479997</v>
      </c>
      <c r="H35" s="12">
        <v>-68236.137644479997</v>
      </c>
      <c r="I35" s="12">
        <v>-68236.137644479997</v>
      </c>
      <c r="J35" s="12">
        <v>-68236.137644479997</v>
      </c>
      <c r="K35" s="12">
        <v>-68236.137644479997</v>
      </c>
      <c r="L35" s="12">
        <v>-68236.137644479997</v>
      </c>
      <c r="M35" s="12">
        <v>-68236.137644479997</v>
      </c>
      <c r="N35" s="12">
        <v>-68236.137644479997</v>
      </c>
      <c r="O35" s="12">
        <v>-68236.137644479997</v>
      </c>
      <c r="P35" s="12">
        <v>-68236.137644479997</v>
      </c>
      <c r="Q35" s="12">
        <v>-70283.221773814395</v>
      </c>
      <c r="R35" s="12">
        <v>-70283.221773814395</v>
      </c>
      <c r="S35" s="12">
        <v>-70283.221773814395</v>
      </c>
      <c r="T35" s="12">
        <v>-70283.221773814395</v>
      </c>
      <c r="U35" s="12">
        <v>-70283.221773814395</v>
      </c>
      <c r="V35" s="12">
        <v>-70283.221773814395</v>
      </c>
      <c r="W35" s="12">
        <v>-70283.221773814395</v>
      </c>
      <c r="X35" s="12">
        <v>-70283.221773814395</v>
      </c>
      <c r="Y35" s="12">
        <v>-70283.221773814395</v>
      </c>
      <c r="Z35" s="12">
        <v>-70283.221773814395</v>
      </c>
      <c r="AA35" s="12">
        <v>-70283.221773814395</v>
      </c>
      <c r="AB35" s="12">
        <v>-70283.221773814395</v>
      </c>
      <c r="AC35" s="12">
        <v>-70283.221773814395</v>
      </c>
      <c r="AD35" s="12">
        <v>-70283.221773814395</v>
      </c>
      <c r="AE35" s="12">
        <v>-70283.221773814395</v>
      </c>
      <c r="AF35" s="12">
        <v>-70283.221773814395</v>
      </c>
      <c r="AG35" s="12">
        <v>-70283.221773814395</v>
      </c>
      <c r="AH35" s="12">
        <v>-70283.221773814395</v>
      </c>
      <c r="AI35" s="12">
        <v>-70283.221773814395</v>
      </c>
      <c r="AJ35" s="12">
        <v>-70283.221773814395</v>
      </c>
      <c r="AK35" s="12">
        <v>-70283.221773814395</v>
      </c>
      <c r="AL35" s="12">
        <v>-70283.221773814395</v>
      </c>
      <c r="AM35" s="12">
        <v>-70283.221773814395</v>
      </c>
      <c r="AN35" s="12">
        <v>-70283.221773814395</v>
      </c>
    </row>
    <row r="36" spans="2:40" x14ac:dyDescent="0.25">
      <c r="B36" s="39" t="s">
        <v>261</v>
      </c>
      <c r="C36" s="15"/>
      <c r="E36" s="183" cm="1">
        <f t="array" ref="E36:AN36">_xlfn.BYCOL(_xlfn.ANCHORARRAY($E$25),_xlfn.LAMBDA(_xlpm.a,0))</f>
        <v>0</v>
      </c>
      <c r="F36" s="183">
        <v>0</v>
      </c>
      <c r="G36" s="183">
        <v>0</v>
      </c>
      <c r="H36" s="183">
        <v>0</v>
      </c>
      <c r="I36" s="183">
        <v>0</v>
      </c>
      <c r="J36" s="183">
        <v>0</v>
      </c>
      <c r="K36" s="183">
        <v>0</v>
      </c>
      <c r="L36" s="183">
        <v>0</v>
      </c>
      <c r="M36" s="183">
        <v>0</v>
      </c>
      <c r="N36" s="183">
        <v>0</v>
      </c>
      <c r="O36" s="183">
        <v>0</v>
      </c>
      <c r="P36" s="183">
        <v>0</v>
      </c>
      <c r="Q36" s="183">
        <v>0</v>
      </c>
      <c r="R36" s="183">
        <v>0</v>
      </c>
      <c r="S36" s="183">
        <v>0</v>
      </c>
      <c r="T36" s="183">
        <v>0</v>
      </c>
      <c r="U36" s="183">
        <v>0</v>
      </c>
      <c r="V36" s="183">
        <v>0</v>
      </c>
      <c r="W36" s="183">
        <v>0</v>
      </c>
      <c r="X36" s="183">
        <v>0</v>
      </c>
      <c r="Y36" s="183">
        <v>0</v>
      </c>
      <c r="Z36" s="183">
        <v>0</v>
      </c>
      <c r="AA36" s="183">
        <v>0</v>
      </c>
      <c r="AB36" s="183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271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474334.11898218666</v>
      </c>
      <c r="F37" s="13">
        <v>474334.11898218666</v>
      </c>
      <c r="G37" s="13">
        <v>474334.11898218666</v>
      </c>
      <c r="H37" s="13">
        <v>474334.11898218666</v>
      </c>
      <c r="I37" s="13">
        <v>474334.11898218666</v>
      </c>
      <c r="J37" s="13">
        <v>474334.11898218666</v>
      </c>
      <c r="K37" s="13">
        <v>474334.11898218666</v>
      </c>
      <c r="L37" s="13">
        <v>474334.11898218666</v>
      </c>
      <c r="M37" s="13">
        <v>474334.11898218666</v>
      </c>
      <c r="N37" s="13">
        <v>474334.11898218666</v>
      </c>
      <c r="O37" s="13">
        <v>474334.11898218666</v>
      </c>
      <c r="P37" s="13">
        <v>474334.11898218666</v>
      </c>
      <c r="Q37" s="13">
        <v>488564.14255165216</v>
      </c>
      <c r="R37" s="13">
        <v>488564.14255165216</v>
      </c>
      <c r="S37" s="13">
        <v>488564.14255165216</v>
      </c>
      <c r="T37" s="13">
        <v>488564.14255165216</v>
      </c>
      <c r="U37" s="13">
        <v>488564.14255165216</v>
      </c>
      <c r="V37" s="13">
        <v>488564.14255165216</v>
      </c>
      <c r="W37" s="13">
        <v>488564.14255165216</v>
      </c>
      <c r="X37" s="13">
        <v>488564.14255165216</v>
      </c>
      <c r="Y37" s="13">
        <v>488564.14255165216</v>
      </c>
      <c r="Z37" s="13">
        <v>488564.14255165216</v>
      </c>
      <c r="AA37" s="13">
        <v>488564.14255165216</v>
      </c>
      <c r="AB37" s="13">
        <v>488564.14255165216</v>
      </c>
      <c r="AC37" s="13">
        <v>488564.14255165216</v>
      </c>
      <c r="AD37" s="13">
        <v>488564.14255165216</v>
      </c>
      <c r="AE37" s="13">
        <v>488564.14255165216</v>
      </c>
      <c r="AF37" s="13">
        <v>488564.14255165216</v>
      </c>
      <c r="AG37" s="13">
        <v>488564.14255165216</v>
      </c>
      <c r="AH37" s="13">
        <v>488564.14255165216</v>
      </c>
      <c r="AI37" s="13">
        <v>488564.14255165216</v>
      </c>
      <c r="AJ37" s="13">
        <v>488564.14255165216</v>
      </c>
      <c r="AK37" s="13">
        <v>488564.14255165216</v>
      </c>
      <c r="AL37" s="13">
        <v>488564.14255165216</v>
      </c>
      <c r="AM37" s="13">
        <v>488564.14255165216</v>
      </c>
      <c r="AN37" s="13">
        <v>488564.14255165216</v>
      </c>
    </row>
    <row r="38" spans="2:40" x14ac:dyDescent="0.25">
      <c r="E38" s="67"/>
      <c r="F38" s="67"/>
    </row>
    <row r="39" spans="2:40" x14ac:dyDescent="0.25">
      <c r="B39" s="1" t="s">
        <v>118</v>
      </c>
    </row>
    <row r="40" spans="2:40" x14ac:dyDescent="0.25">
      <c r="B40" s="39" t="s">
        <v>23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299707.31263827923</v>
      </c>
      <c r="F40" s="12">
        <v>299707.31263827923</v>
      </c>
      <c r="G40" s="12">
        <v>299707.31263827923</v>
      </c>
      <c r="H40" s="12">
        <v>299707.31263827923</v>
      </c>
      <c r="I40" s="12">
        <v>299707.31263827923</v>
      </c>
      <c r="J40" s="12">
        <v>299707.31263827923</v>
      </c>
      <c r="K40" s="12">
        <v>299707.31263827923</v>
      </c>
      <c r="L40" s="12">
        <v>299707.31263827923</v>
      </c>
      <c r="M40" s="12">
        <v>299707.31263827923</v>
      </c>
      <c r="N40" s="12">
        <v>299707.31263827923</v>
      </c>
      <c r="O40" s="12">
        <v>299707.31263827923</v>
      </c>
      <c r="P40" s="12">
        <v>299707.31263827923</v>
      </c>
      <c r="Q40" s="12">
        <v>329678.04390210717</v>
      </c>
      <c r="R40" s="12">
        <v>329678.04390210717</v>
      </c>
      <c r="S40" s="12">
        <v>329678.04390210717</v>
      </c>
      <c r="T40" s="12">
        <v>329678.04390210717</v>
      </c>
      <c r="U40" s="12">
        <v>329678.04390210717</v>
      </c>
      <c r="V40" s="12">
        <v>329678.04390210717</v>
      </c>
      <c r="W40" s="12">
        <v>329678.04390210717</v>
      </c>
      <c r="X40" s="12">
        <v>329678.04390210717</v>
      </c>
      <c r="Y40" s="12">
        <v>329678.04390210717</v>
      </c>
      <c r="Z40" s="12">
        <v>329678.04390210717</v>
      </c>
      <c r="AA40" s="12">
        <v>329678.04390210717</v>
      </c>
      <c r="AB40" s="12">
        <v>329678.04390210717</v>
      </c>
      <c r="AC40" s="12">
        <v>362645.84829231794</v>
      </c>
      <c r="AD40" s="12">
        <v>362645.84829231794</v>
      </c>
      <c r="AE40" s="12">
        <v>362645.84829231794</v>
      </c>
      <c r="AF40" s="12">
        <v>362645.84829231794</v>
      </c>
      <c r="AG40" s="12">
        <v>362645.84829231794</v>
      </c>
      <c r="AH40" s="12">
        <v>362645.84829231794</v>
      </c>
      <c r="AI40" s="12">
        <v>362645.84829231794</v>
      </c>
      <c r="AJ40" s="12">
        <v>362645.84829231794</v>
      </c>
      <c r="AK40" s="12">
        <v>362645.84829231794</v>
      </c>
      <c r="AL40" s="12">
        <v>362645.84829231794</v>
      </c>
      <c r="AM40" s="12">
        <v>362645.84829231794</v>
      </c>
      <c r="AN40" s="12">
        <v>362645.84829231794</v>
      </c>
    </row>
    <row r="41" spans="2:40" x14ac:dyDescent="0.25">
      <c r="B41" s="39" t="s">
        <v>388</v>
      </c>
      <c r="C41" s="142">
        <f>_xlfn.XLOOKUP($B$1&amp;"-"&amp;$C$1,Base!$D$4:$BD$4,Base!$D$12:$BD$12,0,0)</f>
        <v>0</v>
      </c>
      <c r="E41" s="183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28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14292.37</v>
      </c>
      <c r="F42" s="12">
        <v>14292.37</v>
      </c>
      <c r="G42" s="12">
        <v>14292.37</v>
      </c>
      <c r="H42" s="12">
        <v>14292.37</v>
      </c>
      <c r="I42" s="12">
        <v>14292.37</v>
      </c>
      <c r="J42" s="12">
        <v>14292.37</v>
      </c>
      <c r="K42" s="12">
        <v>14292.37</v>
      </c>
      <c r="L42" s="12">
        <v>14292.37</v>
      </c>
      <c r="M42" s="12">
        <v>14292.37</v>
      </c>
      <c r="N42" s="12">
        <v>14292.37</v>
      </c>
      <c r="O42" s="12">
        <v>14292.37</v>
      </c>
      <c r="P42" s="12">
        <v>14292.37</v>
      </c>
      <c r="Q42" s="12">
        <v>14721.141100000001</v>
      </c>
      <c r="R42" s="12">
        <v>14721.141100000001</v>
      </c>
      <c r="S42" s="12">
        <v>14721.141100000001</v>
      </c>
      <c r="T42" s="12">
        <v>14721.141100000001</v>
      </c>
      <c r="U42" s="12">
        <v>14721.141100000001</v>
      </c>
      <c r="V42" s="12">
        <v>14721.141100000001</v>
      </c>
      <c r="W42" s="12">
        <v>14721.141100000001</v>
      </c>
      <c r="X42" s="12">
        <v>14721.141100000001</v>
      </c>
      <c r="Y42" s="12">
        <v>14721.141100000001</v>
      </c>
      <c r="Z42" s="12">
        <v>14721.141100000001</v>
      </c>
      <c r="AA42" s="12">
        <v>14721.141100000001</v>
      </c>
      <c r="AB42" s="12">
        <v>14721.141100000001</v>
      </c>
      <c r="AC42" s="12">
        <v>15162.775333</v>
      </c>
      <c r="AD42" s="12">
        <v>15162.775333</v>
      </c>
      <c r="AE42" s="12">
        <v>15162.775333</v>
      </c>
      <c r="AF42" s="12">
        <v>15162.775333</v>
      </c>
      <c r="AG42" s="12">
        <v>15162.775333</v>
      </c>
      <c r="AH42" s="12">
        <v>15162.775333</v>
      </c>
      <c r="AI42" s="12">
        <v>15162.775333</v>
      </c>
      <c r="AJ42" s="12">
        <v>15162.775333</v>
      </c>
      <c r="AK42" s="12">
        <v>15162.775333</v>
      </c>
      <c r="AL42" s="12">
        <v>15162.775333</v>
      </c>
      <c r="AM42" s="12">
        <v>15162.775333</v>
      </c>
      <c r="AN42" s="12">
        <v>15162.775333</v>
      </c>
    </row>
    <row r="43" spans="2:40" x14ac:dyDescent="0.25">
      <c r="B43" s="39" t="s">
        <v>31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4200</v>
      </c>
      <c r="F43" s="12">
        <v>4200</v>
      </c>
      <c r="G43" s="12">
        <v>4200</v>
      </c>
      <c r="H43" s="12">
        <v>4200</v>
      </c>
      <c r="I43" s="12">
        <v>4200</v>
      </c>
      <c r="J43" s="12">
        <v>4200</v>
      </c>
      <c r="K43" s="12">
        <v>4200</v>
      </c>
      <c r="L43" s="12">
        <v>4200</v>
      </c>
      <c r="M43" s="12">
        <v>4200</v>
      </c>
      <c r="N43" s="12">
        <v>4200</v>
      </c>
      <c r="O43" s="12">
        <v>4200</v>
      </c>
      <c r="P43" s="12">
        <v>4200</v>
      </c>
      <c r="Q43" s="12">
        <v>4368</v>
      </c>
      <c r="R43" s="12">
        <v>4368</v>
      </c>
      <c r="S43" s="12">
        <v>4368</v>
      </c>
      <c r="T43" s="12">
        <v>4368</v>
      </c>
      <c r="U43" s="12">
        <v>4368</v>
      </c>
      <c r="V43" s="12">
        <v>4368</v>
      </c>
      <c r="W43" s="12">
        <v>4368</v>
      </c>
      <c r="X43" s="12">
        <v>4368</v>
      </c>
      <c r="Y43" s="12">
        <v>4368</v>
      </c>
      <c r="Z43" s="12">
        <v>4368</v>
      </c>
      <c r="AA43" s="12">
        <v>4368</v>
      </c>
      <c r="AB43" s="12">
        <v>4368</v>
      </c>
      <c r="AC43" s="12">
        <v>4542.72</v>
      </c>
      <c r="AD43" s="12">
        <v>4542.72</v>
      </c>
      <c r="AE43" s="12">
        <v>4542.72</v>
      </c>
      <c r="AF43" s="12">
        <v>4542.72</v>
      </c>
      <c r="AG43" s="12">
        <v>4542.72</v>
      </c>
      <c r="AH43" s="12">
        <v>4542.72</v>
      </c>
      <c r="AI43" s="12">
        <v>4542.72</v>
      </c>
      <c r="AJ43" s="12">
        <v>4542.72</v>
      </c>
      <c r="AK43" s="12">
        <v>4542.72</v>
      </c>
      <c r="AL43" s="12">
        <v>4542.72</v>
      </c>
      <c r="AM43" s="12">
        <v>4542.72</v>
      </c>
      <c r="AN43" s="12">
        <v>4542.72</v>
      </c>
    </row>
    <row r="44" spans="2:40" x14ac:dyDescent="0.25">
      <c r="B44" s="39" t="s">
        <v>34</v>
      </c>
      <c r="C44" s="96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1384.8234</v>
      </c>
      <c r="F44" s="12">
        <v>1384.8234</v>
      </c>
      <c r="G44" s="12">
        <v>1384.8234</v>
      </c>
      <c r="H44" s="12">
        <v>1384.8234</v>
      </c>
      <c r="I44" s="12">
        <v>1384.8234</v>
      </c>
      <c r="J44" s="12">
        <v>1384.8234</v>
      </c>
      <c r="K44" s="12">
        <v>1384.8234</v>
      </c>
      <c r="L44" s="12">
        <v>1384.8234</v>
      </c>
      <c r="M44" s="12">
        <v>1384.8234</v>
      </c>
      <c r="N44" s="12">
        <v>1384.8234</v>
      </c>
      <c r="O44" s="12">
        <v>1384.8234</v>
      </c>
      <c r="P44" s="12">
        <v>1384.8234</v>
      </c>
      <c r="Q44" s="12">
        <v>1440.2163360000002</v>
      </c>
      <c r="R44" s="12">
        <v>1440.2163360000002</v>
      </c>
      <c r="S44" s="12">
        <v>1440.2163360000002</v>
      </c>
      <c r="T44" s="12">
        <v>1440.2163360000002</v>
      </c>
      <c r="U44" s="12">
        <v>1440.2163360000002</v>
      </c>
      <c r="V44" s="12">
        <v>1440.2163360000002</v>
      </c>
      <c r="W44" s="12">
        <v>1440.2163360000002</v>
      </c>
      <c r="X44" s="12">
        <v>1440.2163360000002</v>
      </c>
      <c r="Y44" s="12">
        <v>1440.2163360000002</v>
      </c>
      <c r="Z44" s="12">
        <v>1440.2163360000002</v>
      </c>
      <c r="AA44" s="12">
        <v>1440.2163360000002</v>
      </c>
      <c r="AB44" s="12">
        <v>1440.2163360000002</v>
      </c>
      <c r="AC44" s="12">
        <v>1497.8249894400003</v>
      </c>
      <c r="AD44" s="12">
        <v>1497.8249894400003</v>
      </c>
      <c r="AE44" s="12">
        <v>1497.8249894400003</v>
      </c>
      <c r="AF44" s="12">
        <v>1497.8249894400003</v>
      </c>
      <c r="AG44" s="12">
        <v>1497.8249894400003</v>
      </c>
      <c r="AH44" s="12">
        <v>1497.8249894400003</v>
      </c>
      <c r="AI44" s="12">
        <v>1497.8249894400003</v>
      </c>
      <c r="AJ44" s="12">
        <v>1497.8249894400003</v>
      </c>
      <c r="AK44" s="12">
        <v>1497.8249894400003</v>
      </c>
      <c r="AL44" s="12">
        <v>1497.8249894400003</v>
      </c>
      <c r="AM44" s="12">
        <v>1497.8249894400003</v>
      </c>
      <c r="AN44" s="12">
        <v>1497.8249894400003</v>
      </c>
    </row>
    <row r="45" spans="2:40" x14ac:dyDescent="0.25">
      <c r="B45" s="39" t="s">
        <v>36</v>
      </c>
      <c r="C45" s="96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4250</v>
      </c>
      <c r="F45" s="12">
        <v>4250</v>
      </c>
      <c r="G45" s="12">
        <v>4250</v>
      </c>
      <c r="H45" s="12">
        <v>4250</v>
      </c>
      <c r="I45" s="12">
        <v>4250</v>
      </c>
      <c r="J45" s="12">
        <v>4250</v>
      </c>
      <c r="K45" s="12">
        <v>4250</v>
      </c>
      <c r="L45" s="12">
        <v>4250</v>
      </c>
      <c r="M45" s="12">
        <v>4250</v>
      </c>
      <c r="N45" s="12">
        <v>4250</v>
      </c>
      <c r="O45" s="12">
        <v>4250</v>
      </c>
      <c r="P45" s="12">
        <v>4250</v>
      </c>
      <c r="Q45" s="12">
        <v>4335</v>
      </c>
      <c r="R45" s="12">
        <v>4335</v>
      </c>
      <c r="S45" s="12">
        <v>4335</v>
      </c>
      <c r="T45" s="12">
        <v>4335</v>
      </c>
      <c r="U45" s="12">
        <v>4335</v>
      </c>
      <c r="V45" s="12">
        <v>4335</v>
      </c>
      <c r="W45" s="12">
        <v>4335</v>
      </c>
      <c r="X45" s="12">
        <v>4335</v>
      </c>
      <c r="Y45" s="12">
        <v>4335</v>
      </c>
      <c r="Z45" s="12">
        <v>4335</v>
      </c>
      <c r="AA45" s="12">
        <v>4335</v>
      </c>
      <c r="AB45" s="12">
        <v>4335</v>
      </c>
      <c r="AC45" s="12">
        <v>4421.7</v>
      </c>
      <c r="AD45" s="12">
        <v>4421.7</v>
      </c>
      <c r="AE45" s="12">
        <v>4421.7</v>
      </c>
      <c r="AF45" s="12">
        <v>4421.7</v>
      </c>
      <c r="AG45" s="12">
        <v>4421.7</v>
      </c>
      <c r="AH45" s="12">
        <v>4421.7</v>
      </c>
      <c r="AI45" s="12">
        <v>4421.7</v>
      </c>
      <c r="AJ45" s="12">
        <v>4421.7</v>
      </c>
      <c r="AK45" s="12">
        <v>4421.7</v>
      </c>
      <c r="AL45" s="12">
        <v>4421.7</v>
      </c>
      <c r="AM45" s="12">
        <v>4421.7</v>
      </c>
      <c r="AN45" s="12">
        <v>4421.7</v>
      </c>
    </row>
    <row r="46" spans="2:40" x14ac:dyDescent="0.25">
      <c r="B46" s="39" t="s">
        <v>38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17140</v>
      </c>
      <c r="F46" s="12">
        <v>17140</v>
      </c>
      <c r="G46" s="12">
        <v>17140</v>
      </c>
      <c r="H46" s="12">
        <v>17140</v>
      </c>
      <c r="I46" s="12">
        <v>17140</v>
      </c>
      <c r="J46" s="12">
        <v>17140</v>
      </c>
      <c r="K46" s="12">
        <v>17140</v>
      </c>
      <c r="L46" s="12">
        <v>17140</v>
      </c>
      <c r="M46" s="12">
        <v>17140</v>
      </c>
      <c r="N46" s="12">
        <v>17140</v>
      </c>
      <c r="O46" s="12">
        <v>17140</v>
      </c>
      <c r="P46" s="12">
        <v>17140</v>
      </c>
      <c r="Q46" s="12">
        <v>17482.800000000003</v>
      </c>
      <c r="R46" s="12">
        <v>17482.800000000003</v>
      </c>
      <c r="S46" s="12">
        <v>17482.800000000003</v>
      </c>
      <c r="T46" s="12">
        <v>17482.800000000003</v>
      </c>
      <c r="U46" s="12">
        <v>17482.800000000003</v>
      </c>
      <c r="V46" s="12">
        <v>17482.800000000003</v>
      </c>
      <c r="W46" s="12">
        <v>17482.800000000003</v>
      </c>
      <c r="X46" s="12">
        <v>17482.800000000003</v>
      </c>
      <c r="Y46" s="12">
        <v>17482.800000000003</v>
      </c>
      <c r="Z46" s="12">
        <v>17482.800000000003</v>
      </c>
      <c r="AA46" s="12">
        <v>17482.800000000003</v>
      </c>
      <c r="AB46" s="12">
        <v>17482.800000000003</v>
      </c>
      <c r="AC46" s="12">
        <v>17832.456000000002</v>
      </c>
      <c r="AD46" s="12">
        <v>17832.456000000002</v>
      </c>
      <c r="AE46" s="12">
        <v>17832.456000000002</v>
      </c>
      <c r="AF46" s="12">
        <v>17832.456000000002</v>
      </c>
      <c r="AG46" s="12">
        <v>17832.456000000002</v>
      </c>
      <c r="AH46" s="12">
        <v>17832.456000000002</v>
      </c>
      <c r="AI46" s="12">
        <v>17832.456000000002</v>
      </c>
      <c r="AJ46" s="12">
        <v>17832.456000000002</v>
      </c>
      <c r="AK46" s="12">
        <v>17832.456000000002</v>
      </c>
      <c r="AL46" s="12">
        <v>17832.456000000002</v>
      </c>
      <c r="AM46" s="12">
        <v>17832.456000000002</v>
      </c>
      <c r="AN46" s="12">
        <v>17832.456000000002</v>
      </c>
    </row>
    <row r="47" spans="2:40" x14ac:dyDescent="0.25">
      <c r="B47" s="39" t="s">
        <v>40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4450</v>
      </c>
      <c r="F47" s="12">
        <v>4450</v>
      </c>
      <c r="G47" s="12">
        <v>4450</v>
      </c>
      <c r="H47" s="12">
        <v>4450</v>
      </c>
      <c r="I47" s="12">
        <v>4450</v>
      </c>
      <c r="J47" s="12">
        <v>4450</v>
      </c>
      <c r="K47" s="12">
        <v>4450</v>
      </c>
      <c r="L47" s="12">
        <v>4450</v>
      </c>
      <c r="M47" s="12">
        <v>4450</v>
      </c>
      <c r="N47" s="12">
        <v>4450</v>
      </c>
      <c r="O47" s="12">
        <v>4450</v>
      </c>
      <c r="P47" s="12">
        <v>4450</v>
      </c>
      <c r="Q47" s="12">
        <v>4672.5</v>
      </c>
      <c r="R47" s="12">
        <v>4672.5</v>
      </c>
      <c r="S47" s="12">
        <v>4672.5</v>
      </c>
      <c r="T47" s="12">
        <v>4672.5</v>
      </c>
      <c r="U47" s="12">
        <v>4672.5</v>
      </c>
      <c r="V47" s="12">
        <v>4672.5</v>
      </c>
      <c r="W47" s="12">
        <v>4672.5</v>
      </c>
      <c r="X47" s="12">
        <v>4672.5</v>
      </c>
      <c r="Y47" s="12">
        <v>4672.5</v>
      </c>
      <c r="Z47" s="12">
        <v>4672.5</v>
      </c>
      <c r="AA47" s="12">
        <v>4672.5</v>
      </c>
      <c r="AB47" s="12">
        <v>4672.5</v>
      </c>
      <c r="AC47" s="12">
        <v>4906.125</v>
      </c>
      <c r="AD47" s="12">
        <v>4906.125</v>
      </c>
      <c r="AE47" s="12">
        <v>4906.125</v>
      </c>
      <c r="AF47" s="12">
        <v>4906.125</v>
      </c>
      <c r="AG47" s="12">
        <v>4906.125</v>
      </c>
      <c r="AH47" s="12">
        <v>4906.125</v>
      </c>
      <c r="AI47" s="12">
        <v>4906.125</v>
      </c>
      <c r="AJ47" s="12">
        <v>4906.125</v>
      </c>
      <c r="AK47" s="12">
        <v>4906.125</v>
      </c>
      <c r="AL47" s="12">
        <v>4906.125</v>
      </c>
      <c r="AM47" s="12">
        <v>4906.125</v>
      </c>
      <c r="AN47" s="12">
        <v>4906.125</v>
      </c>
    </row>
    <row r="48" spans="2:40" x14ac:dyDescent="0.25">
      <c r="B48" s="39" t="s">
        <v>41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42</v>
      </c>
      <c r="E49" s="12">
        <f>'Corp.'!E$50*(E$37-(E31-E32-E34)*$C$35)/(SUM('MDA1:NCA9'!E$37)-SUM('MDA1:NCA9'!E$31)-SUM('MDA1:NCA9'!E$32)-SUM('MDA1:NCA9'!E$34))</f>
        <v>157225.91610334135</v>
      </c>
      <c r="F49" s="12">
        <f>'Corp.'!F$50*(F$37-(F31-F32-F34)*$C$35)/(SUM('MDA1:NCA9'!F$37)-SUM('MDA1:NCA9'!F$31)-SUM('MDA1:NCA9'!F$32)-SUM('MDA1:NCA9'!F$34))</f>
        <v>147580.65903859667</v>
      </c>
      <c r="G49" s="12">
        <f>'Corp.'!G$50*(G$37-(G31-G32-G34)*$C$35)/(SUM('MDA1:NCA9'!G$37)-SUM('MDA1:NCA9'!G$31)-SUM('MDA1:NCA9'!G$32)-SUM('MDA1:NCA9'!G$34))</f>
        <v>134315.88163534625</v>
      </c>
      <c r="H49" s="12">
        <f>'Corp.'!H$50*(H$37-(H31-H32-H34)*$C$35)/(SUM('MDA1:NCA9'!H$37)-SUM('MDA1:NCA9'!H$31)-SUM('MDA1:NCA9'!H$32)-SUM('MDA1:NCA9'!H$34))</f>
        <v>122802.63024149479</v>
      </c>
      <c r="I49" s="12">
        <f>'Corp.'!I$50*(I$37-(I31-I32-I34)*$C$35)/(SUM('MDA1:NCA9'!I$37)-SUM('MDA1:NCA9'!I$31)-SUM('MDA1:NCA9'!I$32)-SUM('MDA1:NCA9'!I$34))</f>
        <v>115558.05205026073</v>
      </c>
      <c r="J49" s="12">
        <f>'Corp.'!J$50*(J$37-(J31-J32-J34)*$C$35)/(SUM('MDA1:NCA9'!J$37)-SUM('MDA1:NCA9'!J$31)-SUM('MDA1:NCA9'!J$32)-SUM('MDA1:NCA9'!J$34))</f>
        <v>108008.29394880713</v>
      </c>
      <c r="K49" s="12">
        <f>'Corp.'!K$50*(K$37-(K31-K32-K34)*$C$35)/(SUM('MDA1:NCA9'!K$37)-SUM('MDA1:NCA9'!K$31)-SUM('MDA1:NCA9'!K$32)-SUM('MDA1:NCA9'!K$34))</f>
        <v>99204.351721471336</v>
      </c>
      <c r="L49" s="12">
        <f>'Corp.'!L$50*(L$37-(L31-L32-L34)*$C$35)/(SUM('MDA1:NCA9'!L$37)-SUM('MDA1:NCA9'!L$31)-SUM('MDA1:NCA9'!L$32)-SUM('MDA1:NCA9'!L$34))</f>
        <v>93747.898574060804</v>
      </c>
      <c r="M49" s="12">
        <f>'Corp.'!M$50*(M$37-(M31-M32-M34)*$C$35)/(SUM('MDA1:NCA9'!M$37)-SUM('MDA1:NCA9'!M$31)-SUM('MDA1:NCA9'!M$32)-SUM('MDA1:NCA9'!M$34))</f>
        <v>87856.051096068899</v>
      </c>
      <c r="N49" s="12">
        <f>'Corp.'!N$50*(N$37-(N31-N32-N34)*$C$35)/(SUM('MDA1:NCA9'!N$37)-SUM('MDA1:NCA9'!N$31)-SUM('MDA1:NCA9'!N$32)-SUM('MDA1:NCA9'!N$34))</f>
        <v>82785.092808624409</v>
      </c>
      <c r="O49" s="12">
        <f>'Corp.'!O$50*(O$37-(O31-O32-O34)*$C$35)/(SUM('MDA1:NCA9'!O$37)-SUM('MDA1:NCA9'!O$31)-SUM('MDA1:NCA9'!O$32)-SUM('MDA1:NCA9'!O$34))</f>
        <v>77478.489942846252</v>
      </c>
      <c r="P49" s="12">
        <f>'Corp.'!P$50*(P$37-(P31-P32-P34)*$C$35)/(SUM('MDA1:NCA9'!P$37)-SUM('MDA1:NCA9'!P$31)-SUM('MDA1:NCA9'!P$32)-SUM('MDA1:NCA9'!P$34))</f>
        <v>73112.372025784731</v>
      </c>
      <c r="Q49" s="12">
        <f>'Corp.'!Q$50*(Q$37-(Q31-Q32-Q34)*$C$35)/(SUM('MDA1:NCA9'!Q$37)-SUM('MDA1:NCA9'!Q$31)-SUM('MDA1:NCA9'!Q$32)-SUM('MDA1:NCA9'!Q$34))</f>
        <v>75581.956406497586</v>
      </c>
      <c r="R49" s="12">
        <f>'Corp.'!R$50*(R$37-(R31-R32-R34)*$C$35)/(SUM('MDA1:NCA9'!R$37)-SUM('MDA1:NCA9'!R$31)-SUM('MDA1:NCA9'!R$32)-SUM('MDA1:NCA9'!R$34))</f>
        <v>72719.160230828886</v>
      </c>
      <c r="S49" s="12">
        <f>'Corp.'!S$50*(S$37-(S31-S32-S34)*$C$35)/(SUM('MDA1:NCA9'!S$37)-SUM('MDA1:NCA9'!S$31)-SUM('MDA1:NCA9'!S$32)-SUM('MDA1:NCA9'!S$34))</f>
        <v>69572.367330641893</v>
      </c>
      <c r="T49" s="12">
        <f>'Corp.'!T$50*(T$37-(T31-T32-T34)*$C$35)/(SUM('MDA1:NCA9'!T$37)-SUM('MDA1:NCA9'!T$31)-SUM('MDA1:NCA9'!T$32)-SUM('MDA1:NCA9'!T$34))</f>
        <v>66908.732532108828</v>
      </c>
      <c r="U49" s="12">
        <f>'Corp.'!U$50*(U$37-(U31-U32-U34)*$C$35)/(SUM('MDA1:NCA9'!U$37)-SUM('MDA1:NCA9'!U$31)-SUM('MDA1:NCA9'!U$32)-SUM('MDA1:NCA9'!U$34))</f>
        <v>65082.508988682457</v>
      </c>
      <c r="V49" s="12">
        <f>'Corp.'!V$50*(V$37-(V31-V32-V34)*$C$35)/(SUM('MDA1:NCA9'!V$37)-SUM('MDA1:NCA9'!V$31)-SUM('MDA1:NCA9'!V$32)-SUM('MDA1:NCA9'!V$34))</f>
        <v>63593.593244392636</v>
      </c>
      <c r="W49" s="12">
        <f>'Corp.'!W$50*(W$37-(W31-W32-W34)*$C$35)/(SUM('MDA1:NCA9'!W$37)-SUM('MDA1:NCA9'!W$31)-SUM('MDA1:NCA9'!W$32)-SUM('MDA1:NCA9'!W$34))</f>
        <v>61660.82457629445</v>
      </c>
      <c r="X49" s="12">
        <f>'Corp.'!X$50*(X$37-(X31-X32-X34)*$C$35)/(SUM('MDA1:NCA9'!X$37)-SUM('MDA1:NCA9'!X$31)-SUM('MDA1:NCA9'!X$32)-SUM('MDA1:NCA9'!X$34))</f>
        <v>59729.382000304737</v>
      </c>
      <c r="Y49" s="12">
        <f>'Corp.'!Y$50*(Y$37-(Y31-Y32-Y34)*$C$35)/(SUM('MDA1:NCA9'!Y$37)-SUM('MDA1:NCA9'!Y$31)-SUM('MDA1:NCA9'!Y$32)-SUM('MDA1:NCA9'!Y$34))</f>
        <v>58463.930339991413</v>
      </c>
      <c r="Z49" s="12">
        <f>'Corp.'!Z$50*(Z$37-(Z31-Z32-Z34)*$C$35)/(SUM('MDA1:NCA9'!Z$37)-SUM('MDA1:NCA9'!Z$31)-SUM('MDA1:NCA9'!Z$32)-SUM('MDA1:NCA9'!Z$34))</f>
        <v>57194.234081943556</v>
      </c>
      <c r="AA49" s="12">
        <f>'Corp.'!AA$50*(AA$37-(AA31-AA32-AA34)*$C$35)/(SUM('MDA1:NCA9'!AA$37)-SUM('MDA1:NCA9'!AA$31)-SUM('MDA1:NCA9'!AA$32)-SUM('MDA1:NCA9'!AA$34))</f>
        <v>55886.583052846261</v>
      </c>
      <c r="AB49" s="12">
        <f>'Corp.'!AB$50*(AB$37-(AB31-AB32-AB34)*$C$35)/(SUM('MDA1:NCA9'!AB$37)-SUM('MDA1:NCA9'!AB$31)-SUM('MDA1:NCA9'!AB$32)-SUM('MDA1:NCA9'!AB$34))</f>
        <v>54618.29349429829</v>
      </c>
      <c r="AC49" s="12">
        <f>'Corp.'!AC$50*(AC$37-(AC31-AC32-AC34)*$C$35)/(SUM('MDA1:NCA9'!AC$37)-SUM('MDA1:NCA9'!AC$31)-SUM('MDA1:NCA9'!AC$32)-SUM('MDA1:NCA9'!AC$34))</f>
        <v>58618.934936349659</v>
      </c>
      <c r="AD49" s="12">
        <f>'Corp.'!AD$50*(AD$37-(AD31-AD32-AD34)*$C$35)/(SUM('MDA1:NCA9'!AD$37)-SUM('MDA1:NCA9'!AD$31)-SUM('MDA1:NCA9'!AD$32)-SUM('MDA1:NCA9'!AD$34))</f>
        <v>57655.93850469077</v>
      </c>
      <c r="AE49" s="12">
        <f>'Corp.'!AE$50*(AE$37-(AE31-AE32-AE34)*$C$35)/(SUM('MDA1:NCA9'!AE$37)-SUM('MDA1:NCA9'!AE$31)-SUM('MDA1:NCA9'!AE$32)-SUM('MDA1:NCA9'!AE$34))</f>
        <v>56747.924021571584</v>
      </c>
      <c r="AF49" s="12">
        <f>'Corp.'!AF$50*(AF$37-(AF31-AF32-AF34)*$C$35)/(SUM('MDA1:NCA9'!AF$37)-SUM('MDA1:NCA9'!AF$31)-SUM('MDA1:NCA9'!AF$32)-SUM('MDA1:NCA9'!AF$34))</f>
        <v>55897.084681844965</v>
      </c>
      <c r="AG49" s="12">
        <f>'Corp.'!AG$50*(AG$37-(AG31-AG32-AG34)*$C$35)/(SUM('MDA1:NCA9'!AG$37)-SUM('MDA1:NCA9'!AG$31)-SUM('MDA1:NCA9'!AG$32)-SUM('MDA1:NCA9'!AG$34))</f>
        <v>55214.751113466395</v>
      </c>
      <c r="AH49" s="12">
        <f>'Corp.'!AH$50*(AH$37-(AH31-AH32-AH34)*$C$35)/(SUM('MDA1:NCA9'!AH$37)-SUM('MDA1:NCA9'!AH$31)-SUM('MDA1:NCA9'!AH$32)-SUM('MDA1:NCA9'!AH$34))</f>
        <v>54317.227713928165</v>
      </c>
      <c r="AI49" s="12">
        <f>'Corp.'!AI$50*(AI$37-(AI31-AI32-AI34)*$C$35)/(SUM('MDA1:NCA9'!AI$37)-SUM('MDA1:NCA9'!AI$31)-SUM('MDA1:NCA9'!AI$32)-SUM('MDA1:NCA9'!AI$34))</f>
        <v>53381.903336592499</v>
      </c>
      <c r="AJ49" s="12">
        <f>'Corp.'!AJ$50*(AJ$37-(AJ31-AJ32-AJ34)*$C$35)/(SUM('MDA1:NCA9'!AJ$37)-SUM('MDA1:NCA9'!AJ$31)-SUM('MDA1:NCA9'!AJ$32)-SUM('MDA1:NCA9'!AJ$34))</f>
        <v>52423.60350084534</v>
      </c>
      <c r="AK49" s="12">
        <f>'Corp.'!AK$50*(AK$37-(AK31-AK32-AK34)*$C$35)/(SUM('MDA1:NCA9'!AK$37)-SUM('MDA1:NCA9'!AK$31)-SUM('MDA1:NCA9'!AK$32)-SUM('MDA1:NCA9'!AK$34))</f>
        <v>51538.732729450923</v>
      </c>
      <c r="AL49" s="12">
        <f>'Corp.'!AL$50*(AL$37-(AL31-AL32-AL34)*$C$35)/(SUM('MDA1:NCA9'!AL$37)-SUM('MDA1:NCA9'!AL$31)-SUM('MDA1:NCA9'!AL$32)-SUM('MDA1:NCA9'!AL$34))</f>
        <v>50726.721571312686</v>
      </c>
      <c r="AM49" s="12">
        <f>'Corp.'!AM$50*(AM$37-(AM31-AM32-AM34)*$C$35)/(SUM('MDA1:NCA9'!AM$37)-SUM('MDA1:NCA9'!AM$31)-SUM('MDA1:NCA9'!AM$32)-SUM('MDA1:NCA9'!AM$34))</f>
        <v>49852.226037778448</v>
      </c>
      <c r="AN49" s="12">
        <f>'Corp.'!AN$50*(AN$37-(AN31-AN32-AN34)*$C$35)/(SUM('MDA1:NCA9'!AN$37)-SUM('MDA1:NCA9'!AN$31)-SUM('MDA1:NCA9'!AN$32)-SUM('MDA1:NCA9'!AN$34))</f>
        <v>49106.790039556516</v>
      </c>
    </row>
    <row r="50" spans="2:40" x14ac:dyDescent="0.25">
      <c r="B50" s="1" t="s">
        <v>272</v>
      </c>
      <c r="E50" s="13" cm="1">
        <f t="array" ref="E50:AN50">_xlfn.BYCOL(_xlfn.VSTACK(_xlfn.ANCHORARRAY(E40),_xlfn.ANCHORARRAY(E42),_xlfn.ANCHORARRAY(E43),_xlfn.ANCHORARRAY(E44),_xlfn.ANCHORARRAY(E45),_xlfn.ANCHORARRAY(E46),_xlfn.ANCHORARRAY(E47),_xlfn.ANCHORARRAY(E48),_xlfn.HSTACK(E49:AN49)),_xlfn.LAMBDA(_xlpm.a,SUM(_xlpm.a)))</f>
        <v>502650.42214162054</v>
      </c>
      <c r="F50" s="13">
        <v>493005.16507687588</v>
      </c>
      <c r="G50" s="13">
        <v>479740.38767362549</v>
      </c>
      <c r="H50" s="13">
        <v>468227.13627977401</v>
      </c>
      <c r="I50" s="13">
        <v>460982.55808853992</v>
      </c>
      <c r="J50" s="13">
        <v>453432.79998708633</v>
      </c>
      <c r="K50" s="13">
        <v>444628.85775975056</v>
      </c>
      <c r="L50" s="13">
        <v>439172.40461234003</v>
      </c>
      <c r="M50" s="13">
        <v>433280.55713434808</v>
      </c>
      <c r="N50" s="13">
        <v>428209.59884690365</v>
      </c>
      <c r="O50" s="13">
        <v>422902.99598112545</v>
      </c>
      <c r="P50" s="13">
        <v>418536.87806406396</v>
      </c>
      <c r="Q50" s="13">
        <v>452279.65774460474</v>
      </c>
      <c r="R50" s="13">
        <v>449416.86156893603</v>
      </c>
      <c r="S50" s="13">
        <v>446270.06866874907</v>
      </c>
      <c r="T50" s="13">
        <v>443606.43387021602</v>
      </c>
      <c r="U50" s="13">
        <v>441780.21032678965</v>
      </c>
      <c r="V50" s="13">
        <v>440291.29458249983</v>
      </c>
      <c r="W50" s="13">
        <v>438358.52591440163</v>
      </c>
      <c r="X50" s="13">
        <v>436427.08333841193</v>
      </c>
      <c r="Y50" s="13">
        <v>435161.63167809858</v>
      </c>
      <c r="Z50" s="13">
        <v>433891.93542005075</v>
      </c>
      <c r="AA50" s="13">
        <v>432584.28439095343</v>
      </c>
      <c r="AB50" s="13">
        <v>431315.99483240547</v>
      </c>
      <c r="AC50" s="13">
        <v>469628.38455110753</v>
      </c>
      <c r="AD50" s="13">
        <v>468665.38811944867</v>
      </c>
      <c r="AE50" s="13">
        <v>467757.37363632949</v>
      </c>
      <c r="AF50" s="13">
        <v>466906.53429660288</v>
      </c>
      <c r="AG50" s="13">
        <v>466224.2007282243</v>
      </c>
      <c r="AH50" s="13">
        <v>465326.67732868606</v>
      </c>
      <c r="AI50" s="13">
        <v>464391.35295135039</v>
      </c>
      <c r="AJ50" s="13">
        <v>463433.05311560322</v>
      </c>
      <c r="AK50" s="13">
        <v>462548.18234420882</v>
      </c>
      <c r="AL50" s="13">
        <v>461736.1711860706</v>
      </c>
      <c r="AM50" s="13">
        <v>460861.67565253633</v>
      </c>
      <c r="AN50" s="13">
        <v>460116.23965431441</v>
      </c>
    </row>
    <row r="51" spans="2:40" x14ac:dyDescent="0.25">
      <c r="C51" s="63"/>
    </row>
    <row r="52" spans="2:40" x14ac:dyDescent="0.25">
      <c r="B52" s="1" t="s">
        <v>48</v>
      </c>
      <c r="E52" s="74">
        <f>E37-E50</f>
        <v>-28316.303159433883</v>
      </c>
      <c r="F52" s="74">
        <f t="shared" ref="F52:AN52" si="0">F37-F50</f>
        <v>-18671.046094689227</v>
      </c>
      <c r="G52" s="74">
        <f t="shared" si="0"/>
        <v>-5406.2686914388323</v>
      </c>
      <c r="H52" s="74">
        <f t="shared" si="0"/>
        <v>6106.9827024126425</v>
      </c>
      <c r="I52" s="74">
        <f t="shared" si="0"/>
        <v>13351.560893646732</v>
      </c>
      <c r="J52" s="74">
        <f t="shared" si="0"/>
        <v>20901.31899510033</v>
      </c>
      <c r="K52" s="74">
        <f t="shared" si="0"/>
        <v>29705.261222436093</v>
      </c>
      <c r="L52" s="74">
        <f t="shared" si="0"/>
        <v>35161.714369846624</v>
      </c>
      <c r="M52" s="74">
        <f t="shared" si="0"/>
        <v>41053.561847838573</v>
      </c>
      <c r="N52" s="74">
        <f t="shared" si="0"/>
        <v>46124.520135283004</v>
      </c>
      <c r="O52" s="74">
        <f t="shared" si="0"/>
        <v>51431.123001061205</v>
      </c>
      <c r="P52" s="74">
        <f t="shared" si="0"/>
        <v>55797.240918122698</v>
      </c>
      <c r="Q52" s="74">
        <f t="shared" si="0"/>
        <v>36284.484807047411</v>
      </c>
      <c r="R52" s="74">
        <f t="shared" si="0"/>
        <v>39147.280982716125</v>
      </c>
      <c r="S52" s="74">
        <f t="shared" si="0"/>
        <v>42294.073882903089</v>
      </c>
      <c r="T52" s="74">
        <f t="shared" si="0"/>
        <v>44957.708681436139</v>
      </c>
      <c r="U52" s="74">
        <f t="shared" si="0"/>
        <v>46783.93222486251</v>
      </c>
      <c r="V52" s="74">
        <f t="shared" si="0"/>
        <v>48272.847969152324</v>
      </c>
      <c r="W52" s="74">
        <f t="shared" si="0"/>
        <v>50205.616637250525</v>
      </c>
      <c r="X52" s="74">
        <f t="shared" si="0"/>
        <v>52137.059213240223</v>
      </c>
      <c r="Y52" s="74">
        <f t="shared" si="0"/>
        <v>53402.510873553576</v>
      </c>
      <c r="Z52" s="74">
        <f t="shared" si="0"/>
        <v>54672.207131601404</v>
      </c>
      <c r="AA52" s="74">
        <f t="shared" si="0"/>
        <v>55979.858160698728</v>
      </c>
      <c r="AB52" s="74">
        <f t="shared" si="0"/>
        <v>57248.147719246685</v>
      </c>
      <c r="AC52" s="74">
        <f t="shared" si="0"/>
        <v>18935.758000544622</v>
      </c>
      <c r="AD52" s="74">
        <f t="shared" si="0"/>
        <v>19898.754432203481</v>
      </c>
      <c r="AE52" s="74">
        <f t="shared" si="0"/>
        <v>20806.768915322667</v>
      </c>
      <c r="AF52" s="74">
        <f t="shared" si="0"/>
        <v>21657.608255049272</v>
      </c>
      <c r="AG52" s="74">
        <f t="shared" si="0"/>
        <v>22339.941823427856</v>
      </c>
      <c r="AH52" s="74">
        <f t="shared" si="0"/>
        <v>23237.465222966101</v>
      </c>
      <c r="AI52" s="74">
        <f t="shared" si="0"/>
        <v>24172.789600301767</v>
      </c>
      <c r="AJ52" s="74">
        <f t="shared" si="0"/>
        <v>25131.089436048933</v>
      </c>
      <c r="AK52" s="74">
        <f t="shared" si="0"/>
        <v>26015.960207443335</v>
      </c>
      <c r="AL52" s="74">
        <f t="shared" si="0"/>
        <v>26827.971365581558</v>
      </c>
      <c r="AM52" s="74">
        <f t="shared" si="0"/>
        <v>27702.466899115825</v>
      </c>
      <c r="AN52" s="74">
        <f t="shared" si="0"/>
        <v>28447.902897337743</v>
      </c>
    </row>
    <row r="53" spans="2:40" x14ac:dyDescent="0.25">
      <c r="C53" s="63"/>
      <c r="E53" s="105">
        <f>IFERROR(E52/E37,"")</f>
        <v>-5.9696956272498887E-2</v>
      </c>
      <c r="F53" s="105">
        <f t="shared" ref="F53:AN53" si="1">IFERROR(F52/F37,"")</f>
        <v>-3.9362646175976235E-2</v>
      </c>
      <c r="G53" s="105">
        <f t="shared" si="1"/>
        <v>-1.1397596072235869E-2</v>
      </c>
      <c r="H53" s="105">
        <f t="shared" si="1"/>
        <v>1.2874854365350822E-2</v>
      </c>
      <c r="I53" s="105">
        <f t="shared" si="1"/>
        <v>2.8148008670125083E-2</v>
      </c>
      <c r="J53" s="105">
        <f t="shared" si="1"/>
        <v>4.406454893008712E-2</v>
      </c>
      <c r="K53" s="105">
        <f t="shared" si="1"/>
        <v>6.2625183459660963E-2</v>
      </c>
      <c r="L53" s="105">
        <f t="shared" si="1"/>
        <v>7.4128579334110906E-2</v>
      </c>
      <c r="M53" s="105">
        <f t="shared" si="1"/>
        <v>8.6549881623380162E-2</v>
      </c>
      <c r="N53" s="105">
        <f t="shared" si="1"/>
        <v>9.7240570073803156E-2</v>
      </c>
      <c r="O53" s="105">
        <f t="shared" si="1"/>
        <v>0.10842804880117146</v>
      </c>
      <c r="P53" s="105">
        <f t="shared" si="1"/>
        <v>0.11763277969092949</v>
      </c>
      <c r="Q53" s="105">
        <f t="shared" si="1"/>
        <v>7.4267596916839484E-2</v>
      </c>
      <c r="R53" s="105">
        <f t="shared" si="1"/>
        <v>8.0127208636842154E-2</v>
      </c>
      <c r="S53" s="105">
        <f t="shared" si="1"/>
        <v>8.6568108871050972E-2</v>
      </c>
      <c r="T53" s="105">
        <f t="shared" si="1"/>
        <v>9.2020074266263005E-2</v>
      </c>
      <c r="U53" s="105">
        <f t="shared" si="1"/>
        <v>9.5758014455423118E-2</v>
      </c>
      <c r="V53" s="105">
        <f t="shared" si="1"/>
        <v>9.8805548268513801E-2</v>
      </c>
      <c r="W53" s="105">
        <f t="shared" si="1"/>
        <v>0.10276156652643141</v>
      </c>
      <c r="X53" s="105">
        <f t="shared" si="1"/>
        <v>0.10671487052025758</v>
      </c>
      <c r="Y53" s="105">
        <f t="shared" si="1"/>
        <v>0.1093050148843204</v>
      </c>
      <c r="Z53" s="105">
        <f t="shared" si="1"/>
        <v>0.11190384715108585</v>
      </c>
      <c r="AA53" s="105">
        <f t="shared" si="1"/>
        <v>0.1145803657802832</v>
      </c>
      <c r="AB53" s="105">
        <f t="shared" si="1"/>
        <v>0.11717631879460796</v>
      </c>
      <c r="AC53" s="105">
        <f t="shared" si="1"/>
        <v>3.8757977410392309E-2</v>
      </c>
      <c r="AD53" s="105">
        <f t="shared" si="1"/>
        <v>4.0729052132801043E-2</v>
      </c>
      <c r="AE53" s="105">
        <f t="shared" si="1"/>
        <v>4.258758902496191E-2</v>
      </c>
      <c r="AF53" s="105">
        <f t="shared" si="1"/>
        <v>4.4329099024616972E-2</v>
      </c>
      <c r="AG53" s="105">
        <f t="shared" si="1"/>
        <v>4.5725709027174516E-2</v>
      </c>
      <c r="AH53" s="105">
        <f t="shared" si="1"/>
        <v>4.756277262101645E-2</v>
      </c>
      <c r="AI53" s="105">
        <f t="shared" si="1"/>
        <v>4.9477207791085817E-2</v>
      </c>
      <c r="AJ53" s="105">
        <f t="shared" si="1"/>
        <v>5.1438669454527179E-2</v>
      </c>
      <c r="AK53" s="105">
        <f t="shared" si="1"/>
        <v>5.3249835470053693E-2</v>
      </c>
      <c r="AL53" s="105">
        <f t="shared" si="1"/>
        <v>5.491187139822739E-2</v>
      </c>
      <c r="AM53" s="105">
        <f t="shared" si="1"/>
        <v>5.6701801230095501E-2</v>
      </c>
      <c r="AN53" s="105">
        <f t="shared" si="1"/>
        <v>5.8227570178935435E-2</v>
      </c>
    </row>
    <row r="54" spans="2:40" x14ac:dyDescent="0.25">
      <c r="B54" s="39"/>
      <c r="C54" s="63"/>
      <c r="E54" s="105"/>
      <c r="F54" s="105"/>
      <c r="G54" s="105"/>
      <c r="H54" s="105"/>
      <c r="I54" s="105"/>
      <c r="J54" s="105"/>
      <c r="K54" s="105"/>
      <c r="L54" s="105"/>
      <c r="M54" s="105"/>
      <c r="N54" s="105"/>
      <c r="O54" s="105"/>
      <c r="P54" s="105"/>
      <c r="Q54" s="105"/>
      <c r="R54" s="105"/>
      <c r="S54" s="105"/>
      <c r="T54" s="105"/>
      <c r="U54" s="105"/>
      <c r="V54" s="105"/>
      <c r="W54" s="105"/>
      <c r="X54" s="105"/>
      <c r="Y54" s="105"/>
      <c r="Z54" s="105"/>
      <c r="AA54" s="105"/>
      <c r="AB54" s="105"/>
      <c r="AC54" s="105"/>
      <c r="AD54" s="105"/>
      <c r="AE54" s="105"/>
      <c r="AF54" s="105"/>
      <c r="AG54" s="105"/>
      <c r="AH54" s="105"/>
      <c r="AI54" s="105"/>
      <c r="AJ54" s="105"/>
      <c r="AK54" s="105"/>
      <c r="AL54" s="105"/>
      <c r="AM54" s="105"/>
      <c r="AN54" s="105"/>
    </row>
    <row r="55" spans="2:40" x14ac:dyDescent="0.25">
      <c r="B55" t="s">
        <v>57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0</v>
      </c>
      <c r="D55" s="12">
        <f>C55-SUM(_xlfn.ANCHORARRAY(E55))</f>
        <v>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</row>
    <row r="56" spans="2:40" x14ac:dyDescent="0.25">
      <c r="B56" t="s">
        <v>285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-71150.117847328002</v>
      </c>
      <c r="F56" s="90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-71150.117847328002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-71150.117847328002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-71150.117847328002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-71150.117847328002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-71150.117847328002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-71150.117847328002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-71150.117847328002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-71150.117847328002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-71150.117847328002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-71150.117847328002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-71150.117847328002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-71150.117847328002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-71150.117847328002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-71150.117847328002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-71150.117847328002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-71150.117847328002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-73284.62138274782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-73284.62138274782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-73284.62138274782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-73284.62138274782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-73284.62138274782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-73284.62138274782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-73284.62138274782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-73284.62138274782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-73284.62138274782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-73284.62138274782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-73284.62138274782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-73284.62138274782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-73284.62138274782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-73284.62138274782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-73284.62138274782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-73284.62138274782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-73284.62138274782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-73284.62138274782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-73284.62138274782</v>
      </c>
    </row>
    <row r="57" spans="2:40" x14ac:dyDescent="0.25">
      <c r="E57" s="12"/>
      <c r="F57" s="12"/>
      <c r="G57" s="12"/>
      <c r="H57" s="12"/>
      <c r="I57" s="12"/>
      <c r="J57" s="12"/>
      <c r="K57" s="144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276</v>
      </c>
      <c r="E58" s="13">
        <f t="shared" ref="E58:AN58" si="2">E37-E50-E55+E56</f>
        <v>-99466.421006761884</v>
      </c>
      <c r="F58" s="13">
        <f t="shared" si="2"/>
        <v>-89821.163942017229</v>
      </c>
      <c r="G58" s="13">
        <f t="shared" si="2"/>
        <v>-76556.386538766834</v>
      </c>
      <c r="H58" s="13">
        <f t="shared" si="2"/>
        <v>-65043.135144915359</v>
      </c>
      <c r="I58" s="13">
        <f t="shared" si="2"/>
        <v>-57798.556953681269</v>
      </c>
      <c r="J58" s="13">
        <f t="shared" si="2"/>
        <v>-50248.798852227672</v>
      </c>
      <c r="K58" s="13">
        <f t="shared" si="2"/>
        <v>-41444.856624891909</v>
      </c>
      <c r="L58" s="13">
        <f t="shared" si="2"/>
        <v>-35988.403477481377</v>
      </c>
      <c r="M58" s="13">
        <f t="shared" si="2"/>
        <v>-30096.555999489428</v>
      </c>
      <c r="N58" s="13">
        <f t="shared" si="2"/>
        <v>-25025.597712044997</v>
      </c>
      <c r="O58" s="13">
        <f t="shared" si="2"/>
        <v>-19718.994846266796</v>
      </c>
      <c r="P58" s="13">
        <f t="shared" si="2"/>
        <v>-15352.876929205304</v>
      </c>
      <c r="Q58" s="13">
        <f t="shared" si="2"/>
        <v>-34865.633040280591</v>
      </c>
      <c r="R58" s="13">
        <f t="shared" si="2"/>
        <v>-32002.836864611876</v>
      </c>
      <c r="S58" s="13">
        <f t="shared" si="2"/>
        <v>-28856.043964424913</v>
      </c>
      <c r="T58" s="13">
        <f t="shared" si="2"/>
        <v>-26192.409165891862</v>
      </c>
      <c r="U58" s="13">
        <f t="shared" si="2"/>
        <v>-24366.185622465491</v>
      </c>
      <c r="V58" s="13">
        <f t="shared" si="2"/>
        <v>-25011.773413595496</v>
      </c>
      <c r="W58" s="13">
        <f t="shared" si="2"/>
        <v>-23079.004745497296</v>
      </c>
      <c r="X58" s="13">
        <f t="shared" si="2"/>
        <v>-21147.562169507597</v>
      </c>
      <c r="Y58" s="13">
        <f t="shared" si="2"/>
        <v>-19882.110509194245</v>
      </c>
      <c r="Z58" s="13">
        <f t="shared" si="2"/>
        <v>-18612.414251146416</v>
      </c>
      <c r="AA58" s="13">
        <f t="shared" si="2"/>
        <v>-17304.763222049092</v>
      </c>
      <c r="AB58" s="13">
        <f t="shared" si="2"/>
        <v>-16036.473663501136</v>
      </c>
      <c r="AC58" s="13">
        <f t="shared" si="2"/>
        <v>-54348.863382203199</v>
      </c>
      <c r="AD58" s="13">
        <f t="shared" si="2"/>
        <v>-53385.866950544339</v>
      </c>
      <c r="AE58" s="13">
        <f t="shared" si="2"/>
        <v>-52477.852467425153</v>
      </c>
      <c r="AF58" s="13">
        <f t="shared" si="2"/>
        <v>-51627.013127698548</v>
      </c>
      <c r="AG58" s="13">
        <f t="shared" si="2"/>
        <v>-50944.679559319964</v>
      </c>
      <c r="AH58" s="13">
        <f t="shared" si="2"/>
        <v>-50047.15615978172</v>
      </c>
      <c r="AI58" s="13">
        <f t="shared" si="2"/>
        <v>-49111.831782446054</v>
      </c>
      <c r="AJ58" s="13">
        <f t="shared" si="2"/>
        <v>-48153.531946698888</v>
      </c>
      <c r="AK58" s="13">
        <f t="shared" si="2"/>
        <v>-47268.661175304485</v>
      </c>
      <c r="AL58" s="13">
        <f t="shared" si="2"/>
        <v>-46456.650017166263</v>
      </c>
      <c r="AM58" s="13">
        <f t="shared" si="2"/>
        <v>-45582.154483631995</v>
      </c>
      <c r="AN58" s="13">
        <f t="shared" si="2"/>
        <v>-44836.718485410078</v>
      </c>
    </row>
    <row r="59" spans="2:40" x14ac:dyDescent="0.25">
      <c r="B59" t="s">
        <v>277</v>
      </c>
      <c r="E59" s="12" cm="1">
        <f t="array" ref="E59:AN59">_xlfn.SCAN(-D55,E58:AN58,_xlfn.LAMBDA(_xlpm.capex,_xlpm.fcf,_xlpm.capex+_xlpm.fcf))</f>
        <v>-99466.421006761884</v>
      </c>
      <c r="F59" s="12">
        <v>-189287.58494877911</v>
      </c>
      <c r="G59" s="12">
        <v>-265843.97148754593</v>
      </c>
      <c r="H59" s="12">
        <v>-330887.10663246131</v>
      </c>
      <c r="I59" s="12">
        <v>-388685.66358614259</v>
      </c>
      <c r="J59" s="12">
        <v>-438934.46243837028</v>
      </c>
      <c r="K59" s="12">
        <v>-480379.3190632622</v>
      </c>
      <c r="L59" s="12">
        <v>-516367.72254074359</v>
      </c>
      <c r="M59" s="12">
        <v>-546464.27854023303</v>
      </c>
      <c r="N59" s="12">
        <v>-571489.87625227799</v>
      </c>
      <c r="O59" s="12">
        <v>-591208.8710985448</v>
      </c>
      <c r="P59" s="12">
        <v>-606561.74802775006</v>
      </c>
      <c r="Q59" s="12">
        <v>-641427.38106803061</v>
      </c>
      <c r="R59" s="12">
        <v>-673430.21793264244</v>
      </c>
      <c r="S59" s="12">
        <v>-702286.26189706731</v>
      </c>
      <c r="T59" s="12">
        <v>-728478.67106295913</v>
      </c>
      <c r="U59" s="12">
        <v>-752844.85668542457</v>
      </c>
      <c r="V59" s="12">
        <v>-777856.63009902008</v>
      </c>
      <c r="W59" s="12">
        <v>-800935.63484451734</v>
      </c>
      <c r="X59" s="12">
        <v>-822083.19701402495</v>
      </c>
      <c r="Y59" s="12">
        <v>-841965.30752321915</v>
      </c>
      <c r="Z59" s="12">
        <v>-860577.72177436552</v>
      </c>
      <c r="AA59" s="12">
        <v>-877882.48499641463</v>
      </c>
      <c r="AB59" s="12">
        <v>-893918.95865991572</v>
      </c>
      <c r="AC59" s="12">
        <v>-948267.82204211887</v>
      </c>
      <c r="AD59" s="12">
        <v>-1001653.6889926632</v>
      </c>
      <c r="AE59" s="12">
        <v>-1054131.5414600882</v>
      </c>
      <c r="AF59" s="12">
        <v>-1105758.5545877868</v>
      </c>
      <c r="AG59" s="12">
        <v>-1156703.2341471068</v>
      </c>
      <c r="AH59" s="12">
        <v>-1206750.3903068884</v>
      </c>
      <c r="AI59" s="12">
        <v>-1255862.2220893344</v>
      </c>
      <c r="AJ59" s="12">
        <v>-1304015.7540360333</v>
      </c>
      <c r="AK59" s="12">
        <v>-1351284.4152113379</v>
      </c>
      <c r="AL59" s="12">
        <v>-1397741.0652285041</v>
      </c>
      <c r="AM59" s="12">
        <v>-1443323.2197121361</v>
      </c>
      <c r="AN59" s="12">
        <v>-1488159.9381975462</v>
      </c>
    </row>
    <row r="61" spans="2:40" x14ac:dyDescent="0.25">
      <c r="B61" s="1" t="s">
        <v>302</v>
      </c>
    </row>
    <row r="63" spans="2:40" x14ac:dyDescent="0.25">
      <c r="B63" s="39" t="s">
        <v>103</v>
      </c>
      <c r="E63" s="12" cm="1">
        <f t="array" ref="E63:AN63">_xlfn.LET(_xlpm.site,$B$1&amp;"-"&amp;$C$1,_xlpm.locations,Base!$D$4:$BD$4,_xlpm.rates,Base!$D$36:$BD$36,_xlpm.hours,Base!$D$79:$BD$79,_xlpm.comp,_xlpm.rates*_xlpm.hours,_xlpm.Customer,_xlfn.ANCHORARRAY($E$1),
_xlpm.Customer_comp,_xlfn.XLOOKUP(_xlpm.site,_xlpm.locations,_xlpm.comp,0,0),_xlpm.ann_incr,_xlfn.XLOOKUP(YEAR(_xlfn.ANCHORARRAY($E$25)),Base!$BJ$4:$BL$4,Base!$BJ$79:$BL$79,0,0),
_xlpm.bad_debt,_xlfn.XLOOKUP(_xlpm.site,_xlpm.locations,Base!$D$28:$BD$28,0,0),_xlpm.Customer_comp*_xlpm.Customer*_xlpm.bad_debt*_xlpm.ann_incr*(52/12)*(1-$C$35))</f>
        <v>23134.871778303994</v>
      </c>
      <c r="F63" s="12">
        <v>23134.871778303994</v>
      </c>
      <c r="G63" s="12">
        <v>23134.871778303994</v>
      </c>
      <c r="H63" s="12">
        <v>23134.871778303994</v>
      </c>
      <c r="I63" s="12">
        <v>23134.871778303994</v>
      </c>
      <c r="J63" s="12">
        <v>23134.871778303994</v>
      </c>
      <c r="K63" s="12">
        <v>23134.871778303994</v>
      </c>
      <c r="L63" s="12">
        <v>23134.871778303994</v>
      </c>
      <c r="M63" s="12">
        <v>23134.871778303994</v>
      </c>
      <c r="N63" s="12">
        <v>23134.871778303994</v>
      </c>
      <c r="O63" s="12">
        <v>23134.871778303994</v>
      </c>
      <c r="P63" s="12">
        <v>23134.871778303994</v>
      </c>
      <c r="Q63" s="12">
        <v>23828.917931653115</v>
      </c>
      <c r="R63" s="12">
        <v>23828.917931653115</v>
      </c>
      <c r="S63" s="12">
        <v>23828.917931653115</v>
      </c>
      <c r="T63" s="12">
        <v>23828.917931653115</v>
      </c>
      <c r="U63" s="12">
        <v>23828.917931653115</v>
      </c>
      <c r="V63" s="12">
        <v>23828.917931653115</v>
      </c>
      <c r="W63" s="12">
        <v>23828.917931653115</v>
      </c>
      <c r="X63" s="12">
        <v>23828.917931653115</v>
      </c>
      <c r="Y63" s="12">
        <v>23828.917931653115</v>
      </c>
      <c r="Z63" s="12">
        <v>23828.917931653115</v>
      </c>
      <c r="AA63" s="12">
        <v>23828.917931653115</v>
      </c>
      <c r="AB63" s="12">
        <v>23828.917931653115</v>
      </c>
      <c r="AC63" s="12">
        <v>23828.917931653115</v>
      </c>
      <c r="AD63" s="12">
        <v>23828.917931653115</v>
      </c>
      <c r="AE63" s="12">
        <v>23828.917931653115</v>
      </c>
      <c r="AF63" s="12">
        <v>23828.917931653115</v>
      </c>
      <c r="AG63" s="12">
        <v>23828.917931653115</v>
      </c>
      <c r="AH63" s="12">
        <v>23828.917931653115</v>
      </c>
      <c r="AI63" s="12">
        <v>23828.917931653115</v>
      </c>
      <c r="AJ63" s="12">
        <v>23828.917931653115</v>
      </c>
      <c r="AK63" s="12">
        <v>23828.917931653115</v>
      </c>
      <c r="AL63" s="12">
        <v>23828.917931653115</v>
      </c>
      <c r="AM63" s="12">
        <v>23828.917931653115</v>
      </c>
      <c r="AN63" s="12">
        <v>23828.917931653115</v>
      </c>
    </row>
    <row r="64" spans="2:40" x14ac:dyDescent="0.25">
      <c r="B64" s="39" t="s">
        <v>104</v>
      </c>
      <c r="E64" s="12" cm="1">
        <f t="array" ref="E64:AN64">_xlfn.LET(_xlpm.site,$B$1&amp;"-"&amp;$C$1,_xlpm.locations,Base!$D$4:$BD$4,_xlpm.rates,Base!$D$37:$BD$37,_xlpm.hours,Base!$D$80:$BD$80,_xlpm.comp,_xlpm.rates*_xlpm.hours,_xlpm.Customer,_xlfn.ANCHORARRAY($E$1),
_xlpm.Customer_comp,_xlfn.XLOOKUP(_xlpm.site,_xlpm.locations,_xlpm.comp,0,0),_xlpm.ann_incr,_xlfn.XLOOKUP(YEAR(_xlfn.ANCHORARRAY($E$25)),Base!$BJ$4:$BL$4,Base!$BJ$80:$BL$80,0,0),
_xlpm.bad_debt,_xlfn.XLOOKUP(_xlpm.site,_xlpm.locations,Base!$D$28:$BD$28,0,0),_xlpm.Customer_comp*_xlpm.Customer*_xlpm.bad_debt*_xlpm.ann_incr*(52/12)*(1-$C$35))</f>
        <v>6472.2012692480002</v>
      </c>
      <c r="F64" s="12">
        <v>6472.2012692480002</v>
      </c>
      <c r="G64" s="12">
        <v>6472.2012692480002</v>
      </c>
      <c r="H64" s="12">
        <v>6472.2012692480002</v>
      </c>
      <c r="I64" s="12">
        <v>6472.2012692480002</v>
      </c>
      <c r="J64" s="12">
        <v>6472.2012692480002</v>
      </c>
      <c r="K64" s="12">
        <v>6472.2012692480002</v>
      </c>
      <c r="L64" s="12">
        <v>6472.2012692480002</v>
      </c>
      <c r="M64" s="12">
        <v>6472.2012692480002</v>
      </c>
      <c r="N64" s="12">
        <v>6472.2012692480002</v>
      </c>
      <c r="O64" s="12">
        <v>6472.2012692480002</v>
      </c>
      <c r="P64" s="12">
        <v>6472.2012692480002</v>
      </c>
      <c r="Q64" s="12">
        <v>6666.3673073254413</v>
      </c>
      <c r="R64" s="12">
        <v>6666.3673073254413</v>
      </c>
      <c r="S64" s="12">
        <v>6666.3673073254413</v>
      </c>
      <c r="T64" s="12">
        <v>6666.3673073254413</v>
      </c>
      <c r="U64" s="12">
        <v>6666.3673073254413</v>
      </c>
      <c r="V64" s="12">
        <v>6666.3673073254413</v>
      </c>
      <c r="W64" s="12">
        <v>6666.3673073254413</v>
      </c>
      <c r="X64" s="12">
        <v>6666.3673073254413</v>
      </c>
      <c r="Y64" s="12">
        <v>6666.3673073254413</v>
      </c>
      <c r="Z64" s="12">
        <v>6666.3673073254413</v>
      </c>
      <c r="AA64" s="12">
        <v>6666.3673073254413</v>
      </c>
      <c r="AB64" s="12">
        <v>6666.3673073254413</v>
      </c>
      <c r="AC64" s="12">
        <v>6666.3673073254413</v>
      </c>
      <c r="AD64" s="12">
        <v>6666.3673073254413</v>
      </c>
      <c r="AE64" s="12">
        <v>6666.3673073254413</v>
      </c>
      <c r="AF64" s="12">
        <v>6666.3673073254413</v>
      </c>
      <c r="AG64" s="12">
        <v>6666.3673073254413</v>
      </c>
      <c r="AH64" s="12">
        <v>6666.3673073254413</v>
      </c>
      <c r="AI64" s="12">
        <v>6666.3673073254413</v>
      </c>
      <c r="AJ64" s="12">
        <v>6666.3673073254413</v>
      </c>
      <c r="AK64" s="12">
        <v>6666.3673073254413</v>
      </c>
      <c r="AL64" s="12">
        <v>6666.3673073254413</v>
      </c>
      <c r="AM64" s="12">
        <v>6666.3673073254413</v>
      </c>
      <c r="AN64" s="12">
        <v>6666.3673073254413</v>
      </c>
    </row>
    <row r="65" spans="2:40" x14ac:dyDescent="0.25">
      <c r="B65" s="39" t="s">
        <v>56</v>
      </c>
      <c r="E65" s="12" cm="1">
        <f t="array" ref="E65:AN65">_xlfn.LET(_xlpm.site,$B$1&amp;"-"&amp;$C$1,_xlpm.locations,Base!$D$4:$BD$4,_xlpm.rates,Base!$D$39:$BD$39,_xlpm.hours,Base!$D$82:$BD$82,_xlpm.comp,_xlpm.rates*_xlpm.hours,_xlpm.Customer,_xlfn.ANCHORARRAY($E$1),
_xlpm.Customer_comp,_xlfn.XLOOKUP(_xlpm.site,_xlpm.locations,_xlpm.comp,0,0),_xlpm.ann_incr,_xlfn.XLOOKUP(YEAR(_xlfn.ANCHORARRAY($E$25)),Base!$BJ$4:$BL$4,Base!$BJ$82:$BL$82,0,0),
_xlpm.bad_debt,_xlfn.XLOOKUP(_xlpm.site,_xlpm.locations,Base!$D$28:$BD$28,0,0),_xlpm.Customer_comp*_xlpm.Customer*_xlpm.bad_debt*_xlpm.ann_incr*(52/12)*(1-$C$35))</f>
        <v>22106.414680063994</v>
      </c>
      <c r="F65" s="12">
        <v>22106.414680063994</v>
      </c>
      <c r="G65" s="12">
        <v>22106.414680063994</v>
      </c>
      <c r="H65" s="12">
        <v>22106.414680063994</v>
      </c>
      <c r="I65" s="12">
        <v>22106.414680063994</v>
      </c>
      <c r="J65" s="12">
        <v>22106.414680063994</v>
      </c>
      <c r="K65" s="12">
        <v>22106.414680063994</v>
      </c>
      <c r="L65" s="12">
        <v>22106.414680063994</v>
      </c>
      <c r="M65" s="12">
        <v>22106.414680063994</v>
      </c>
      <c r="N65" s="12">
        <v>22106.414680063994</v>
      </c>
      <c r="O65" s="12">
        <v>22106.414680063994</v>
      </c>
      <c r="P65" s="12">
        <v>22106.414680063994</v>
      </c>
      <c r="Q65" s="12">
        <v>22769.607120465917</v>
      </c>
      <c r="R65" s="12">
        <v>22769.607120465917</v>
      </c>
      <c r="S65" s="12">
        <v>22769.607120465917</v>
      </c>
      <c r="T65" s="12">
        <v>22769.607120465917</v>
      </c>
      <c r="U65" s="12">
        <v>22769.607120465917</v>
      </c>
      <c r="V65" s="12">
        <v>22769.607120465917</v>
      </c>
      <c r="W65" s="12">
        <v>22769.607120465917</v>
      </c>
      <c r="X65" s="12">
        <v>22769.607120465917</v>
      </c>
      <c r="Y65" s="12">
        <v>22769.607120465917</v>
      </c>
      <c r="Z65" s="12">
        <v>22769.607120465917</v>
      </c>
      <c r="AA65" s="12">
        <v>22769.607120465917</v>
      </c>
      <c r="AB65" s="12">
        <v>22769.607120465917</v>
      </c>
      <c r="AC65" s="12">
        <v>22769.607120465917</v>
      </c>
      <c r="AD65" s="12">
        <v>22769.607120465917</v>
      </c>
      <c r="AE65" s="12">
        <v>22769.607120465917</v>
      </c>
      <c r="AF65" s="12">
        <v>22769.607120465917</v>
      </c>
      <c r="AG65" s="12">
        <v>22769.607120465917</v>
      </c>
      <c r="AH65" s="12">
        <v>22769.607120465917</v>
      </c>
      <c r="AI65" s="12">
        <v>22769.607120465917</v>
      </c>
      <c r="AJ65" s="12">
        <v>22769.607120465917</v>
      </c>
      <c r="AK65" s="12">
        <v>22769.607120465917</v>
      </c>
      <c r="AL65" s="12">
        <v>22769.607120465917</v>
      </c>
      <c r="AM65" s="12">
        <v>22769.607120465917</v>
      </c>
      <c r="AN65" s="12">
        <v>22769.607120465917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303</v>
      </c>
      <c r="C67" s="12"/>
      <c r="E67" s="13" cm="1">
        <f t="array" ref="E67:AN67">_xlfn.BYCOL(_xlfn.VSTACK(_xlfn.ANCHORARRAY($E$63),_xlfn.ANCHORARRAY($E$64),_xlfn.ANCHORARRAY($E$65)),_xlfn.LAMBDA(_xlpm.a,SUM(_xlpm.a)))</f>
        <v>51713.48772761599</v>
      </c>
      <c r="F67" s="13">
        <v>51713.48772761599</v>
      </c>
      <c r="G67" s="13">
        <v>51713.48772761599</v>
      </c>
      <c r="H67" s="13">
        <v>51713.48772761599</v>
      </c>
      <c r="I67" s="13">
        <v>51713.48772761599</v>
      </c>
      <c r="J67" s="13">
        <v>51713.48772761599</v>
      </c>
      <c r="K67" s="13">
        <v>51713.48772761599</v>
      </c>
      <c r="L67" s="13">
        <v>51713.48772761599</v>
      </c>
      <c r="M67" s="13">
        <v>51713.48772761599</v>
      </c>
      <c r="N67" s="13">
        <v>51713.48772761599</v>
      </c>
      <c r="O67" s="13">
        <v>51713.48772761599</v>
      </c>
      <c r="P67" s="13">
        <v>51713.48772761599</v>
      </c>
      <c r="Q67" s="13">
        <v>53264.892359444471</v>
      </c>
      <c r="R67" s="13">
        <v>53264.892359444471</v>
      </c>
      <c r="S67" s="13">
        <v>53264.892359444471</v>
      </c>
      <c r="T67" s="13">
        <v>53264.892359444471</v>
      </c>
      <c r="U67" s="13">
        <v>53264.892359444471</v>
      </c>
      <c r="V67" s="13">
        <v>53264.892359444471</v>
      </c>
      <c r="W67" s="13">
        <v>53264.892359444471</v>
      </c>
      <c r="X67" s="13">
        <v>53264.892359444471</v>
      </c>
      <c r="Y67" s="13">
        <v>53264.892359444471</v>
      </c>
      <c r="Z67" s="13">
        <v>53264.892359444471</v>
      </c>
      <c r="AA67" s="13">
        <v>53264.892359444471</v>
      </c>
      <c r="AB67" s="13">
        <v>53264.892359444471</v>
      </c>
      <c r="AC67" s="13">
        <v>53264.892359444471</v>
      </c>
      <c r="AD67" s="13">
        <v>53264.892359444471</v>
      </c>
      <c r="AE67" s="13">
        <v>53264.892359444471</v>
      </c>
      <c r="AF67" s="13">
        <v>53264.892359444471</v>
      </c>
      <c r="AG67" s="13">
        <v>53264.892359444471</v>
      </c>
      <c r="AH67" s="13">
        <v>53264.892359444471</v>
      </c>
      <c r="AI67" s="13">
        <v>53264.892359444471</v>
      </c>
      <c r="AJ67" s="13">
        <v>53264.892359444471</v>
      </c>
      <c r="AK67" s="13">
        <v>53264.892359444471</v>
      </c>
      <c r="AL67" s="13">
        <v>53264.892359444471</v>
      </c>
      <c r="AM67" s="13">
        <v>53264.892359444471</v>
      </c>
      <c r="AN67" s="13">
        <v>53264.892359444471</v>
      </c>
    </row>
    <row r="68" spans="2:40" x14ac:dyDescent="0.25">
      <c r="B68" s="39"/>
      <c r="C68" s="12"/>
    </row>
    <row r="69" spans="2:40" x14ac:dyDescent="0.25">
      <c r="B69" s="39" t="s">
        <v>304</v>
      </c>
      <c r="C69" s="12"/>
      <c r="E69" s="106" cm="1">
        <f t="array" ref="E69:AN70">_xlfn.LET(_xlpm.Customer_staff,_xlfn._xlws.FILTER(Base!$D$96:$BD$97,ISNUMBER(SEARCH($B$1&amp;"-"&amp;$C$1,Base!$D$4:$BD$4))),_xlpm.Customer,_xlfn.ANCHORARRAY($E$1),_xlpm.headcount,_xlpm.Customer/_xlpm.Customer_staff,
_xlpm.rounding,_xlfn.VSTACK(0,0),IFERROR(ROUND(_xlpm.headcount,_xlpm.rounding),0))</f>
        <v>1</v>
      </c>
      <c r="F69" s="106">
        <v>1</v>
      </c>
      <c r="G69" s="106">
        <v>1</v>
      </c>
      <c r="H69" s="106">
        <v>1</v>
      </c>
      <c r="I69" s="106">
        <v>1</v>
      </c>
      <c r="J69" s="106">
        <v>1</v>
      </c>
      <c r="K69" s="106">
        <v>1</v>
      </c>
      <c r="L69" s="106">
        <v>1</v>
      </c>
      <c r="M69" s="106">
        <v>1</v>
      </c>
      <c r="N69" s="106">
        <v>1</v>
      </c>
      <c r="O69" s="106">
        <v>1</v>
      </c>
      <c r="P69" s="106">
        <v>1</v>
      </c>
      <c r="Q69" s="106">
        <v>1</v>
      </c>
      <c r="R69" s="106">
        <v>1</v>
      </c>
      <c r="S69" s="106">
        <v>1</v>
      </c>
      <c r="T69" s="106">
        <v>1</v>
      </c>
      <c r="U69" s="106">
        <v>1</v>
      </c>
      <c r="V69" s="106">
        <v>1</v>
      </c>
      <c r="W69" s="106">
        <v>1</v>
      </c>
      <c r="X69" s="106">
        <v>1</v>
      </c>
      <c r="Y69" s="106">
        <v>1</v>
      </c>
      <c r="Z69" s="106">
        <v>1</v>
      </c>
      <c r="AA69" s="106">
        <v>1</v>
      </c>
      <c r="AB69" s="106">
        <v>1</v>
      </c>
      <c r="AC69" s="106">
        <v>1</v>
      </c>
      <c r="AD69" s="106">
        <v>1</v>
      </c>
      <c r="AE69" s="106">
        <v>1</v>
      </c>
      <c r="AF69" s="106">
        <v>1</v>
      </c>
      <c r="AG69" s="106">
        <v>1</v>
      </c>
      <c r="AH69" s="106">
        <v>1</v>
      </c>
      <c r="AI69" s="106">
        <v>1</v>
      </c>
      <c r="AJ69" s="106">
        <v>1</v>
      </c>
      <c r="AK69" s="106">
        <v>1</v>
      </c>
      <c r="AL69" s="106">
        <v>1</v>
      </c>
      <c r="AM69" s="106">
        <v>1</v>
      </c>
      <c r="AN69" s="106">
        <v>1</v>
      </c>
    </row>
    <row r="70" spans="2:40" x14ac:dyDescent="0.25">
      <c r="B70" s="39" t="s">
        <v>305</v>
      </c>
      <c r="C70" s="12"/>
      <c r="E70" s="106">
        <v>1</v>
      </c>
      <c r="F70" s="106">
        <v>1</v>
      </c>
      <c r="G70" s="106">
        <v>1</v>
      </c>
      <c r="H70" s="106">
        <v>1</v>
      </c>
      <c r="I70" s="106">
        <v>1</v>
      </c>
      <c r="J70" s="106">
        <v>1</v>
      </c>
      <c r="K70" s="106">
        <v>1</v>
      </c>
      <c r="L70" s="106">
        <v>1</v>
      </c>
      <c r="M70" s="106">
        <v>1</v>
      </c>
      <c r="N70" s="106">
        <v>1</v>
      </c>
      <c r="O70" s="106">
        <v>1</v>
      </c>
      <c r="P70" s="106">
        <v>1</v>
      </c>
      <c r="Q70" s="106">
        <v>1</v>
      </c>
      <c r="R70" s="106">
        <v>1</v>
      </c>
      <c r="S70" s="106">
        <v>1</v>
      </c>
      <c r="T70" s="106">
        <v>1</v>
      </c>
      <c r="U70" s="106">
        <v>1</v>
      </c>
      <c r="V70" s="106">
        <v>1</v>
      </c>
      <c r="W70" s="106">
        <v>1</v>
      </c>
      <c r="X70" s="106">
        <v>1</v>
      </c>
      <c r="Y70" s="106">
        <v>1</v>
      </c>
      <c r="Z70" s="106">
        <v>1</v>
      </c>
      <c r="AA70" s="106">
        <v>1</v>
      </c>
      <c r="AB70" s="106">
        <v>1</v>
      </c>
      <c r="AC70" s="106">
        <v>1</v>
      </c>
      <c r="AD70" s="106">
        <v>1</v>
      </c>
      <c r="AE70" s="106">
        <v>1</v>
      </c>
      <c r="AF70" s="106">
        <v>1</v>
      </c>
      <c r="AG70" s="106">
        <v>1</v>
      </c>
      <c r="AH70" s="106">
        <v>1</v>
      </c>
      <c r="AI70" s="106">
        <v>1</v>
      </c>
      <c r="AJ70" s="106">
        <v>1</v>
      </c>
      <c r="AK70" s="106">
        <v>1</v>
      </c>
      <c r="AL70" s="106">
        <v>1</v>
      </c>
      <c r="AM70" s="106">
        <v>1</v>
      </c>
      <c r="AN70" s="106">
        <v>1</v>
      </c>
    </row>
    <row r="71" spans="2:40" x14ac:dyDescent="0.25">
      <c r="B71" s="39"/>
      <c r="C71" s="12"/>
    </row>
    <row r="72" spans="2:40" x14ac:dyDescent="0.25">
      <c r="B72" s="39" t="s">
        <v>23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35268.840638279275</v>
      </c>
      <c r="F72" s="12">
        <v>35268.840638279275</v>
      </c>
      <c r="G72" s="12">
        <v>35268.840638279275</v>
      </c>
      <c r="H72" s="12">
        <v>35268.840638279275</v>
      </c>
      <c r="I72" s="12">
        <v>35268.840638279275</v>
      </c>
      <c r="J72" s="12">
        <v>35268.840638279275</v>
      </c>
      <c r="K72" s="12">
        <v>35268.840638279275</v>
      </c>
      <c r="L72" s="12">
        <v>35268.840638279275</v>
      </c>
      <c r="M72" s="12">
        <v>35268.840638279275</v>
      </c>
      <c r="N72" s="12">
        <v>35268.840638279275</v>
      </c>
      <c r="O72" s="12">
        <v>35268.840638279275</v>
      </c>
      <c r="P72" s="12">
        <v>35268.840638279275</v>
      </c>
      <c r="Q72" s="12">
        <v>38795.724702107203</v>
      </c>
      <c r="R72" s="12">
        <v>38795.724702107203</v>
      </c>
      <c r="S72" s="12">
        <v>38795.724702107203</v>
      </c>
      <c r="T72" s="12">
        <v>38795.724702107203</v>
      </c>
      <c r="U72" s="12">
        <v>38795.724702107203</v>
      </c>
      <c r="V72" s="12">
        <v>38795.724702107203</v>
      </c>
      <c r="W72" s="12">
        <v>38795.724702107203</v>
      </c>
      <c r="X72" s="12">
        <v>38795.724702107203</v>
      </c>
      <c r="Y72" s="12">
        <v>38795.724702107203</v>
      </c>
      <c r="Z72" s="12">
        <v>38795.724702107203</v>
      </c>
      <c r="AA72" s="12">
        <v>38795.724702107203</v>
      </c>
      <c r="AB72" s="12">
        <v>38795.724702107203</v>
      </c>
      <c r="AC72" s="12">
        <v>42675.297172317929</v>
      </c>
      <c r="AD72" s="12">
        <v>42675.297172317929</v>
      </c>
      <c r="AE72" s="12">
        <v>42675.297172317929</v>
      </c>
      <c r="AF72" s="12">
        <v>42675.297172317929</v>
      </c>
      <c r="AG72" s="12">
        <v>42675.297172317929</v>
      </c>
      <c r="AH72" s="12">
        <v>42675.297172317929</v>
      </c>
      <c r="AI72" s="12">
        <v>42675.297172317929</v>
      </c>
      <c r="AJ72" s="12">
        <v>42675.297172317929</v>
      </c>
      <c r="AK72" s="12">
        <v>42675.297172317929</v>
      </c>
      <c r="AL72" s="12">
        <v>42675.297172317929</v>
      </c>
      <c r="AM72" s="12">
        <v>42675.297172317929</v>
      </c>
      <c r="AN72" s="12">
        <v>42675.297172317929</v>
      </c>
    </row>
    <row r="73" spans="2:40" x14ac:dyDescent="0.25">
      <c r="B73" s="39" t="s">
        <v>24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306</v>
      </c>
      <c r="E75" s="74" cm="1">
        <f t="array" ref="E75:AN75">_xlfn.ANCHORARRAY(E67)-_xlfn.ANCHORARRAY(E72)-_xlfn.ANCHORARRAY(E73)</f>
        <v>16444.647089336715</v>
      </c>
      <c r="F75" s="74">
        <v>16444.647089336715</v>
      </c>
      <c r="G75" s="74">
        <v>16444.647089336715</v>
      </c>
      <c r="H75" s="74">
        <v>16444.647089336715</v>
      </c>
      <c r="I75" s="74">
        <v>16444.647089336715</v>
      </c>
      <c r="J75" s="74">
        <v>16444.647089336715</v>
      </c>
      <c r="K75" s="74">
        <v>16444.647089336715</v>
      </c>
      <c r="L75" s="74">
        <v>16444.647089336715</v>
      </c>
      <c r="M75" s="74">
        <v>16444.647089336715</v>
      </c>
      <c r="N75" s="74">
        <v>16444.647089336715</v>
      </c>
      <c r="O75" s="74">
        <v>16444.647089336715</v>
      </c>
      <c r="P75" s="74">
        <v>16444.647089336715</v>
      </c>
      <c r="Q75" s="74">
        <v>14469.167657337268</v>
      </c>
      <c r="R75" s="74">
        <v>14469.167657337268</v>
      </c>
      <c r="S75" s="74">
        <v>14469.167657337268</v>
      </c>
      <c r="T75" s="74">
        <v>14469.167657337268</v>
      </c>
      <c r="U75" s="74">
        <v>14469.167657337268</v>
      </c>
      <c r="V75" s="74">
        <v>14469.167657337268</v>
      </c>
      <c r="W75" s="74">
        <v>14469.167657337268</v>
      </c>
      <c r="X75" s="74">
        <v>14469.167657337268</v>
      </c>
      <c r="Y75" s="74">
        <v>14469.167657337268</v>
      </c>
      <c r="Z75" s="74">
        <v>14469.167657337268</v>
      </c>
      <c r="AA75" s="74">
        <v>14469.167657337268</v>
      </c>
      <c r="AB75" s="74">
        <v>14469.167657337268</v>
      </c>
      <c r="AC75" s="74">
        <v>10589.595187126542</v>
      </c>
      <c r="AD75" s="74">
        <v>10589.595187126542</v>
      </c>
      <c r="AE75" s="74">
        <v>10589.595187126542</v>
      </c>
      <c r="AF75" s="74">
        <v>10589.595187126542</v>
      </c>
      <c r="AG75" s="74">
        <v>10589.595187126542</v>
      </c>
      <c r="AH75" s="74">
        <v>10589.595187126542</v>
      </c>
      <c r="AI75" s="74">
        <v>10589.595187126542</v>
      </c>
      <c r="AJ75" s="74">
        <v>10589.595187126542</v>
      </c>
      <c r="AK75" s="74">
        <v>10589.595187126542</v>
      </c>
      <c r="AL75" s="74">
        <v>10589.595187126542</v>
      </c>
      <c r="AM75" s="74">
        <v>10589.595187126542</v>
      </c>
      <c r="AN75" s="74">
        <v>10589.595187126542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4FEA80-CAAB-4918-95BC-1DAB7953F7FC}">
  <dimension ref="A1:AX75"/>
  <sheetViews>
    <sheetView workbookViewId="0">
      <pane xSplit="4" ySplit="25" topLeftCell="E44" activePane="bottomRight" state="frozen"/>
      <selection activeCell="E63" sqref="E63:E65"/>
      <selection pane="topRight" activeCell="E63" sqref="E63:E65"/>
      <selection pane="bottomLeft" activeCell="E63" sqref="E63:E65"/>
      <selection pane="bottomRight" activeCell="H57" sqref="H57"/>
    </sheetView>
  </sheetViews>
  <sheetFormatPr defaultRowHeight="15" outlineLevelRow="1" x14ac:dyDescent="0.25"/>
  <cols>
    <col min="2" max="2" width="24.5703125" bestFit="1" customWidth="1"/>
    <col min="3" max="3" width="10.7109375" bestFit="1" customWidth="1"/>
    <col min="4" max="4" width="10" bestFit="1" customWidth="1"/>
    <col min="5" max="5" width="12.28515625" bestFit="1" customWidth="1"/>
    <col min="6" max="6" width="11.5703125" bestFit="1" customWidth="1"/>
    <col min="7" max="13" width="12.28515625" bestFit="1" customWidth="1"/>
    <col min="14" max="18" width="11.5703125" bestFit="1" customWidth="1"/>
    <col min="19" max="40" width="12.5703125" bestFit="1" customWidth="1"/>
  </cols>
  <sheetData>
    <row r="1" spans="1:40" x14ac:dyDescent="0.25">
      <c r="A1" s="96" t="str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/>
      </c>
      <c r="B1" s="10" t="s">
        <v>421</v>
      </c>
      <c r="C1" s="16" t="s">
        <v>344</v>
      </c>
      <c r="D1" s="3" t="s">
        <v>307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IFERROR(_xlpm.kiddos,0))</f>
        <v>36</v>
      </c>
      <c r="F1" s="69">
        <v>36</v>
      </c>
      <c r="G1" s="69">
        <v>36</v>
      </c>
      <c r="H1" s="69">
        <v>36</v>
      </c>
      <c r="I1" s="69">
        <v>36</v>
      </c>
      <c r="J1" s="69">
        <v>36</v>
      </c>
      <c r="K1" s="69">
        <v>36</v>
      </c>
      <c r="L1" s="69">
        <v>36</v>
      </c>
      <c r="M1" s="69">
        <v>36</v>
      </c>
      <c r="N1" s="69">
        <v>36</v>
      </c>
      <c r="O1" s="69">
        <v>36</v>
      </c>
      <c r="P1" s="69">
        <v>36</v>
      </c>
      <c r="Q1" s="69">
        <v>36</v>
      </c>
      <c r="R1" s="69">
        <v>36</v>
      </c>
      <c r="S1" s="69">
        <v>36</v>
      </c>
      <c r="T1" s="69">
        <v>36</v>
      </c>
      <c r="U1" s="69">
        <v>36</v>
      </c>
      <c r="V1" s="69">
        <v>36</v>
      </c>
      <c r="W1" s="69">
        <v>36</v>
      </c>
      <c r="X1" s="69">
        <v>36</v>
      </c>
      <c r="Y1" s="69">
        <v>36</v>
      </c>
      <c r="Z1" s="69">
        <v>36</v>
      </c>
      <c r="AA1" s="69">
        <v>36</v>
      </c>
      <c r="AB1" s="69">
        <v>36</v>
      </c>
      <c r="AC1" s="69">
        <v>36</v>
      </c>
      <c r="AD1" s="69">
        <v>36</v>
      </c>
      <c r="AE1" s="69">
        <v>36</v>
      </c>
      <c r="AF1" s="69">
        <v>36</v>
      </c>
      <c r="AG1" s="69">
        <v>36</v>
      </c>
      <c r="AH1" s="69">
        <v>36</v>
      </c>
      <c r="AI1" s="69">
        <v>36</v>
      </c>
      <c r="AJ1" s="69">
        <v>36</v>
      </c>
      <c r="AK1" s="69">
        <v>36</v>
      </c>
      <c r="AL1" s="69">
        <v>36</v>
      </c>
      <c r="AM1" s="69">
        <v>36</v>
      </c>
      <c r="AN1" s="69">
        <v>36</v>
      </c>
    </row>
    <row r="2" spans="1:40" x14ac:dyDescent="0.25">
      <c r="A2" s="65"/>
      <c r="B2" s="3" t="str">
        <f>_xlfn.XLOOKUP($B$1&amp;"-"&amp;$C$1,Base!$D$4:$BD$4,Base!$D$2:$BD$2,"",0)</f>
        <v>Maryland</v>
      </c>
      <c r="C2" s="55"/>
      <c r="D2" s="55" t="s">
        <v>259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2</v>
      </c>
      <c r="F2" s="69">
        <v>2</v>
      </c>
      <c r="G2" s="69">
        <v>2</v>
      </c>
      <c r="H2" s="69">
        <v>2</v>
      </c>
      <c r="I2" s="69">
        <v>2</v>
      </c>
      <c r="J2" s="69">
        <v>2</v>
      </c>
      <c r="K2" s="69">
        <v>2</v>
      </c>
      <c r="L2" s="69">
        <v>2</v>
      </c>
      <c r="M2" s="69">
        <v>2</v>
      </c>
      <c r="N2" s="69">
        <v>2</v>
      </c>
      <c r="O2" s="69">
        <v>2</v>
      </c>
      <c r="P2" s="69">
        <v>2</v>
      </c>
      <c r="Q2" s="69">
        <v>2</v>
      </c>
      <c r="R2" s="69">
        <v>2</v>
      </c>
      <c r="S2" s="69">
        <v>2</v>
      </c>
      <c r="T2" s="69">
        <v>2</v>
      </c>
      <c r="U2" s="69">
        <v>2</v>
      </c>
      <c r="V2" s="69">
        <v>2</v>
      </c>
      <c r="W2" s="69">
        <v>2</v>
      </c>
      <c r="X2" s="69">
        <v>2</v>
      </c>
      <c r="Y2" s="69">
        <v>2</v>
      </c>
      <c r="Z2" s="69">
        <v>2</v>
      </c>
      <c r="AA2" s="69">
        <v>2</v>
      </c>
      <c r="AB2" s="69">
        <v>2</v>
      </c>
      <c r="AC2" s="69">
        <v>2</v>
      </c>
      <c r="AD2" s="69">
        <v>2</v>
      </c>
      <c r="AE2" s="69">
        <v>2</v>
      </c>
      <c r="AF2" s="69">
        <v>2</v>
      </c>
      <c r="AG2" s="69">
        <v>2</v>
      </c>
      <c r="AH2" s="69">
        <v>2</v>
      </c>
      <c r="AI2" s="69">
        <v>2</v>
      </c>
      <c r="AJ2" s="69">
        <v>2</v>
      </c>
      <c r="AK2" s="69">
        <v>2</v>
      </c>
      <c r="AL2" s="69">
        <v>2</v>
      </c>
      <c r="AM2" s="69">
        <v>2</v>
      </c>
      <c r="AN2" s="69">
        <v>2</v>
      </c>
    </row>
    <row r="3" spans="1:40" x14ac:dyDescent="0.25">
      <c r="A3" s="65"/>
      <c r="B3" s="55"/>
      <c r="C3" s="55"/>
      <c r="D3" s="55" t="s">
        <v>62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_xlpm.months_since,DATEDIF(_xlpm.launchdate,_xlfn.ANCHORARRAY($E$25),"m"),_xlfn.BYCOL(_xlpm.months_since,_xlfn.LAMBDA(_xlpm.a,IFERROR(MIN(_xlpm.a/6,_xlpm.max_kiddos),0))))</f>
        <v>2</v>
      </c>
      <c r="F3" s="69">
        <v>2</v>
      </c>
      <c r="G3" s="69">
        <v>2</v>
      </c>
      <c r="H3" s="69">
        <v>2</v>
      </c>
      <c r="I3" s="69">
        <v>2</v>
      </c>
      <c r="J3" s="69">
        <v>2</v>
      </c>
      <c r="K3" s="69">
        <v>2</v>
      </c>
      <c r="L3" s="69">
        <v>2</v>
      </c>
      <c r="M3" s="69">
        <v>2</v>
      </c>
      <c r="N3" s="69">
        <v>2</v>
      </c>
      <c r="O3" s="69">
        <v>2</v>
      </c>
      <c r="P3" s="69">
        <v>2</v>
      </c>
      <c r="Q3" s="69">
        <v>2</v>
      </c>
      <c r="R3" s="69">
        <v>2</v>
      </c>
      <c r="S3" s="69">
        <v>2</v>
      </c>
      <c r="T3" s="69">
        <v>2</v>
      </c>
      <c r="U3" s="69">
        <v>2</v>
      </c>
      <c r="V3" s="69">
        <v>2</v>
      </c>
      <c r="W3" s="69">
        <v>2</v>
      </c>
      <c r="X3" s="69">
        <v>2</v>
      </c>
      <c r="Y3" s="69">
        <v>2</v>
      </c>
      <c r="Z3" s="69">
        <v>2</v>
      </c>
      <c r="AA3" s="69">
        <v>2</v>
      </c>
      <c r="AB3" s="69">
        <v>2</v>
      </c>
      <c r="AC3" s="69">
        <v>2</v>
      </c>
      <c r="AD3" s="69">
        <v>2</v>
      </c>
      <c r="AE3" s="69">
        <v>2</v>
      </c>
      <c r="AF3" s="69">
        <v>2</v>
      </c>
      <c r="AG3" s="69">
        <v>2</v>
      </c>
      <c r="AH3" s="69">
        <v>2</v>
      </c>
      <c r="AI3" s="69">
        <v>2</v>
      </c>
      <c r="AJ3" s="69">
        <v>2</v>
      </c>
      <c r="AK3" s="69">
        <v>2</v>
      </c>
      <c r="AL3" s="69">
        <v>2</v>
      </c>
      <c r="AM3" s="69">
        <v>2</v>
      </c>
      <c r="AN3" s="69">
        <v>2</v>
      </c>
    </row>
    <row r="4" spans="1:40" x14ac:dyDescent="0.25">
      <c r="A4" s="65"/>
      <c r="B4" s="55"/>
      <c r="C4" s="55"/>
      <c r="D4" s="55" t="s">
        <v>260</v>
      </c>
      <c r="E4" s="69" cm="1">
        <f t="array" ref="E4:AN4">_xlfn.BYCOL(_xlfn.VSTACK(_xlfn.ANCHORARRAY($E$1),_xlfn.ANCHORARRAY($E$2)),_xlfn.LAMBDA(_xlpm.a,SUM(_xlpm.a)))</f>
        <v>38</v>
      </c>
      <c r="F4" s="69">
        <v>38</v>
      </c>
      <c r="G4" s="69">
        <v>38</v>
      </c>
      <c r="H4" s="69">
        <v>38</v>
      </c>
      <c r="I4" s="69">
        <v>38</v>
      </c>
      <c r="J4" s="69">
        <v>38</v>
      </c>
      <c r="K4" s="69">
        <v>38</v>
      </c>
      <c r="L4" s="69">
        <v>38</v>
      </c>
      <c r="M4" s="69">
        <v>38</v>
      </c>
      <c r="N4" s="69">
        <v>38</v>
      </c>
      <c r="O4" s="69">
        <v>38</v>
      </c>
      <c r="P4" s="69">
        <v>38</v>
      </c>
      <c r="Q4" s="69">
        <v>38</v>
      </c>
      <c r="R4" s="69">
        <v>38</v>
      </c>
      <c r="S4" s="69">
        <v>38</v>
      </c>
      <c r="T4" s="69">
        <v>38</v>
      </c>
      <c r="U4" s="69">
        <v>38</v>
      </c>
      <c r="V4" s="69">
        <v>38</v>
      </c>
      <c r="W4" s="69">
        <v>38</v>
      </c>
      <c r="X4" s="69">
        <v>38</v>
      </c>
      <c r="Y4" s="69">
        <v>38</v>
      </c>
      <c r="Z4" s="69">
        <v>38</v>
      </c>
      <c r="AA4" s="69">
        <v>38</v>
      </c>
      <c r="AB4" s="69">
        <v>38</v>
      </c>
      <c r="AC4" s="69">
        <v>38</v>
      </c>
      <c r="AD4" s="69">
        <v>38</v>
      </c>
      <c r="AE4" s="69">
        <v>38</v>
      </c>
      <c r="AF4" s="69">
        <v>38</v>
      </c>
      <c r="AG4" s="69">
        <v>38</v>
      </c>
      <c r="AH4" s="69">
        <v>38</v>
      </c>
      <c r="AI4" s="69">
        <v>38</v>
      </c>
      <c r="AJ4" s="69">
        <v>38</v>
      </c>
      <c r="AK4" s="69">
        <v>38</v>
      </c>
      <c r="AL4" s="69">
        <v>38</v>
      </c>
      <c r="AM4" s="69">
        <v>38</v>
      </c>
      <c r="AN4" s="69">
        <v>38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107</v>
      </c>
      <c r="C6" s="3"/>
      <c r="D6" s="3"/>
      <c r="E6" s="66" cm="1">
        <f t="array" ref="E6:AN6">ROUND(_xlfn.BYCOL(_xlfn.ANCHORARRAY(E7),_xlfn.LAMBDA(_xlpm.a,SUM(_xlpm.a))),0)</f>
        <v>21</v>
      </c>
      <c r="F6" s="66">
        <v>21</v>
      </c>
      <c r="G6" s="66">
        <v>21</v>
      </c>
      <c r="H6" s="66">
        <v>21</v>
      </c>
      <c r="I6" s="66">
        <v>21</v>
      </c>
      <c r="J6" s="66">
        <v>21</v>
      </c>
      <c r="K6" s="66">
        <v>21</v>
      </c>
      <c r="L6" s="66">
        <v>21</v>
      </c>
      <c r="M6" s="66">
        <v>21</v>
      </c>
      <c r="N6" s="66">
        <v>21</v>
      </c>
      <c r="O6" s="66">
        <v>21</v>
      </c>
      <c r="P6" s="66">
        <v>21</v>
      </c>
      <c r="Q6" s="66">
        <v>21</v>
      </c>
      <c r="R6" s="66">
        <v>21</v>
      </c>
      <c r="S6" s="66">
        <v>21</v>
      </c>
      <c r="T6" s="66">
        <v>21</v>
      </c>
      <c r="U6" s="66">
        <v>21</v>
      </c>
      <c r="V6" s="66">
        <v>21</v>
      </c>
      <c r="W6" s="66">
        <v>21</v>
      </c>
      <c r="X6" s="66">
        <v>21</v>
      </c>
      <c r="Y6" s="66">
        <v>21</v>
      </c>
      <c r="Z6" s="66">
        <v>21</v>
      </c>
      <c r="AA6" s="66">
        <v>21</v>
      </c>
      <c r="AB6" s="66">
        <v>21</v>
      </c>
      <c r="AC6" s="66">
        <v>21</v>
      </c>
      <c r="AD6" s="66">
        <v>21</v>
      </c>
      <c r="AE6" s="66">
        <v>21</v>
      </c>
      <c r="AF6" s="66">
        <v>21</v>
      </c>
      <c r="AG6" s="66">
        <v>21</v>
      </c>
      <c r="AH6" s="66">
        <v>21</v>
      </c>
      <c r="AI6" s="66">
        <v>21</v>
      </c>
      <c r="AJ6" s="66">
        <v>21</v>
      </c>
      <c r="AK6" s="66">
        <v>21</v>
      </c>
      <c r="AL6" s="66">
        <v>21</v>
      </c>
      <c r="AM6" s="66">
        <v>21</v>
      </c>
      <c r="AN6" s="66">
        <v>21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1"/>
      <c r="E7" s="106" cm="1">
        <f t="array" ref="E7:AN20">_xlfn.LET(_xlpm.Customer_staff,_xlfn._xlws.FILTER(Base!$D$85:$BD$98,ISNUMBER(SEARCH($B$1&amp;"-"&amp;$C$1,Base!$D$4:$BD$4))),_xlpm.Customer,_xlfn.ANCHORARRAY($E$1),_xlpm.headcount,_xlpm.Customer/_xlpm.Customer_staff,
_xlpm.patient_staff,_xlfn.ANCHORARRAY($E$2)/_xlpm.Customer_staff,_xlpm.prim_staff_tr_rec,_xlfn.ANCHORARRAY($E$2)/_xlfn.CHOOSEROWS(_xlpm.Customer_staff,{7,8})+(_xlfn.ANCHORARRAY($E$1)*0.0055),_xlpm.rounding,_xlfn.VSTACK(2,2,0,0,2,2,2,2,2,2,2,0,0,0),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prim_staff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14.79</v>
      </c>
      <c r="F7" s="106">
        <v>14.79</v>
      </c>
      <c r="G7" s="106">
        <v>14.79</v>
      </c>
      <c r="H7" s="106">
        <v>14.79</v>
      </c>
      <c r="I7" s="106">
        <v>14.79</v>
      </c>
      <c r="J7" s="106">
        <v>14.79</v>
      </c>
      <c r="K7" s="106">
        <v>14.79</v>
      </c>
      <c r="L7" s="106">
        <v>14.79</v>
      </c>
      <c r="M7" s="106">
        <v>14.79</v>
      </c>
      <c r="N7" s="106">
        <v>14.79</v>
      </c>
      <c r="O7" s="106">
        <v>14.79</v>
      </c>
      <c r="P7" s="106">
        <v>14.79</v>
      </c>
      <c r="Q7" s="106">
        <v>14.79</v>
      </c>
      <c r="R7" s="106">
        <v>14.79</v>
      </c>
      <c r="S7" s="106">
        <v>14.79</v>
      </c>
      <c r="T7" s="106">
        <v>14.79</v>
      </c>
      <c r="U7" s="106">
        <v>14.79</v>
      </c>
      <c r="V7" s="106">
        <v>14.79</v>
      </c>
      <c r="W7" s="106">
        <v>14.79</v>
      </c>
      <c r="X7" s="106">
        <v>14.79</v>
      </c>
      <c r="Y7" s="106">
        <v>14.79</v>
      </c>
      <c r="Z7" s="106">
        <v>14.79</v>
      </c>
      <c r="AA7" s="106">
        <v>14.79</v>
      </c>
      <c r="AB7" s="106">
        <v>14.79</v>
      </c>
      <c r="AC7" s="106">
        <v>14.79</v>
      </c>
      <c r="AD7" s="106">
        <v>14.79</v>
      </c>
      <c r="AE7" s="106">
        <v>14.79</v>
      </c>
      <c r="AF7" s="106">
        <v>14.79</v>
      </c>
      <c r="AG7" s="106">
        <v>14.79</v>
      </c>
      <c r="AH7" s="106">
        <v>14.79</v>
      </c>
      <c r="AI7" s="106">
        <v>14.79</v>
      </c>
      <c r="AJ7" s="106">
        <v>14.79</v>
      </c>
      <c r="AK7" s="106">
        <v>14.79</v>
      </c>
      <c r="AL7" s="106">
        <v>14.79</v>
      </c>
      <c r="AM7" s="106">
        <v>14.79</v>
      </c>
      <c r="AN7" s="106">
        <v>14.79</v>
      </c>
    </row>
    <row r="8" spans="1:40" hidden="1" outlineLevel="1" x14ac:dyDescent="0.25">
      <c r="B8" s="39" t="str">
        <v>Secondary Direct Staff</v>
      </c>
      <c r="C8" s="3"/>
      <c r="D8" s="3"/>
      <c r="E8" s="106">
        <v>3</v>
      </c>
      <c r="F8" s="106">
        <v>3</v>
      </c>
      <c r="G8" s="106">
        <v>3</v>
      </c>
      <c r="H8" s="106">
        <v>3</v>
      </c>
      <c r="I8" s="106">
        <v>3</v>
      </c>
      <c r="J8" s="106">
        <v>3</v>
      </c>
      <c r="K8" s="106">
        <v>3</v>
      </c>
      <c r="L8" s="106">
        <v>3</v>
      </c>
      <c r="M8" s="106">
        <v>3</v>
      </c>
      <c r="N8" s="106">
        <v>3</v>
      </c>
      <c r="O8" s="106">
        <v>3</v>
      </c>
      <c r="P8" s="106">
        <v>3</v>
      </c>
      <c r="Q8" s="106">
        <v>3</v>
      </c>
      <c r="R8" s="106">
        <v>3</v>
      </c>
      <c r="S8" s="106">
        <v>3</v>
      </c>
      <c r="T8" s="106">
        <v>3</v>
      </c>
      <c r="U8" s="106">
        <v>3</v>
      </c>
      <c r="V8" s="106">
        <v>3</v>
      </c>
      <c r="W8" s="106">
        <v>3</v>
      </c>
      <c r="X8" s="106">
        <v>3</v>
      </c>
      <c r="Y8" s="106">
        <v>3</v>
      </c>
      <c r="Z8" s="106">
        <v>3</v>
      </c>
      <c r="AA8" s="106">
        <v>3</v>
      </c>
      <c r="AB8" s="106">
        <v>3</v>
      </c>
      <c r="AC8" s="106">
        <v>3</v>
      </c>
      <c r="AD8" s="106">
        <v>3</v>
      </c>
      <c r="AE8" s="106">
        <v>3</v>
      </c>
      <c r="AF8" s="106">
        <v>3</v>
      </c>
      <c r="AG8" s="106">
        <v>3</v>
      </c>
      <c r="AH8" s="106">
        <v>3</v>
      </c>
      <c r="AI8" s="106">
        <v>3</v>
      </c>
      <c r="AJ8" s="106">
        <v>3</v>
      </c>
      <c r="AK8" s="106">
        <v>3</v>
      </c>
      <c r="AL8" s="106">
        <v>3</v>
      </c>
      <c r="AM8" s="106">
        <v>3</v>
      </c>
      <c r="AN8" s="106">
        <v>3</v>
      </c>
    </row>
    <row r="9" spans="1:40" hidden="1" outlineLevel="1" x14ac:dyDescent="0.25">
      <c r="B9" s="39" t="str">
        <v>Center Manager</v>
      </c>
      <c r="C9" s="3"/>
      <c r="D9" s="3"/>
      <c r="E9" s="106">
        <v>1</v>
      </c>
      <c r="F9" s="106">
        <v>1</v>
      </c>
      <c r="G9" s="106">
        <v>1</v>
      </c>
      <c r="H9" s="106">
        <v>1</v>
      </c>
      <c r="I9" s="106">
        <v>1</v>
      </c>
      <c r="J9" s="106">
        <v>1</v>
      </c>
      <c r="K9" s="106">
        <v>1</v>
      </c>
      <c r="L9" s="106">
        <v>1</v>
      </c>
      <c r="M9" s="106">
        <v>1</v>
      </c>
      <c r="N9" s="106">
        <v>1</v>
      </c>
      <c r="O9" s="106">
        <v>1</v>
      </c>
      <c r="P9" s="106">
        <v>1</v>
      </c>
      <c r="Q9" s="106">
        <v>1</v>
      </c>
      <c r="R9" s="106">
        <v>1</v>
      </c>
      <c r="S9" s="106">
        <v>1</v>
      </c>
      <c r="T9" s="106">
        <v>1</v>
      </c>
      <c r="U9" s="106">
        <v>1</v>
      </c>
      <c r="V9" s="106">
        <v>1</v>
      </c>
      <c r="W9" s="106">
        <v>1</v>
      </c>
      <c r="X9" s="106">
        <v>1</v>
      </c>
      <c r="Y9" s="106">
        <v>1</v>
      </c>
      <c r="Z9" s="106">
        <v>1</v>
      </c>
      <c r="AA9" s="106">
        <v>1</v>
      </c>
      <c r="AB9" s="106">
        <v>1</v>
      </c>
      <c r="AC9" s="106">
        <v>1</v>
      </c>
      <c r="AD9" s="106">
        <v>1</v>
      </c>
      <c r="AE9" s="106">
        <v>1</v>
      </c>
      <c r="AF9" s="106">
        <v>1</v>
      </c>
      <c r="AG9" s="106">
        <v>1</v>
      </c>
      <c r="AH9" s="106">
        <v>1</v>
      </c>
      <c r="AI9" s="106">
        <v>1</v>
      </c>
      <c r="AJ9" s="106">
        <v>1</v>
      </c>
      <c r="AK9" s="106">
        <v>1</v>
      </c>
      <c r="AL9" s="106">
        <v>1</v>
      </c>
      <c r="AM9" s="106">
        <v>1</v>
      </c>
      <c r="AN9" s="106">
        <v>1</v>
      </c>
    </row>
    <row r="10" spans="1:40" hidden="1" outlineLevel="1" x14ac:dyDescent="0.25">
      <c r="B10" s="39" t="str">
        <v>Intake</v>
      </c>
      <c r="C10" s="3"/>
      <c r="D10" s="3"/>
      <c r="E10" s="106">
        <v>1</v>
      </c>
      <c r="F10" s="106">
        <v>1</v>
      </c>
      <c r="G10" s="106">
        <v>1</v>
      </c>
      <c r="H10" s="106">
        <v>1</v>
      </c>
      <c r="I10" s="106">
        <v>1</v>
      </c>
      <c r="J10" s="106">
        <v>1</v>
      </c>
      <c r="K10" s="106">
        <v>1</v>
      </c>
      <c r="L10" s="106">
        <v>1</v>
      </c>
      <c r="M10" s="106">
        <v>1</v>
      </c>
      <c r="N10" s="106">
        <v>1</v>
      </c>
      <c r="O10" s="106">
        <v>1</v>
      </c>
      <c r="P10" s="106">
        <v>1</v>
      </c>
      <c r="Q10" s="106">
        <v>1</v>
      </c>
      <c r="R10" s="106">
        <v>1</v>
      </c>
      <c r="S10" s="106">
        <v>1</v>
      </c>
      <c r="T10" s="106">
        <v>1</v>
      </c>
      <c r="U10" s="106">
        <v>1</v>
      </c>
      <c r="V10" s="106">
        <v>1</v>
      </c>
      <c r="W10" s="106">
        <v>1</v>
      </c>
      <c r="X10" s="106">
        <v>1</v>
      </c>
      <c r="Y10" s="106">
        <v>1</v>
      </c>
      <c r="Z10" s="106">
        <v>1</v>
      </c>
      <c r="AA10" s="106">
        <v>1</v>
      </c>
      <c r="AB10" s="106">
        <v>1</v>
      </c>
      <c r="AC10" s="106">
        <v>1</v>
      </c>
      <c r="AD10" s="106">
        <v>1</v>
      </c>
      <c r="AE10" s="106">
        <v>1</v>
      </c>
      <c r="AF10" s="106">
        <v>1</v>
      </c>
      <c r="AG10" s="106">
        <v>1</v>
      </c>
      <c r="AH10" s="106">
        <v>1</v>
      </c>
      <c r="AI10" s="106">
        <v>1</v>
      </c>
      <c r="AJ10" s="106">
        <v>1</v>
      </c>
      <c r="AK10" s="106">
        <v>1</v>
      </c>
      <c r="AL10" s="106">
        <v>1</v>
      </c>
      <c r="AM10" s="106">
        <v>1</v>
      </c>
      <c r="AN10" s="106">
        <v>1</v>
      </c>
    </row>
    <row r="11" spans="1:40" hidden="1" outlineLevel="1" x14ac:dyDescent="0.25">
      <c r="B11" s="39" t="str">
        <v>Scheduler</v>
      </c>
      <c r="C11" s="3"/>
      <c r="D11" s="3"/>
      <c r="E11" s="106">
        <v>0</v>
      </c>
      <c r="F11" s="106">
        <v>0</v>
      </c>
      <c r="G11" s="106">
        <v>0</v>
      </c>
      <c r="H11" s="106">
        <v>0</v>
      </c>
      <c r="I11" s="106">
        <v>0</v>
      </c>
      <c r="J11" s="106">
        <v>0</v>
      </c>
      <c r="K11" s="106">
        <v>0</v>
      </c>
      <c r="L11" s="106">
        <v>0</v>
      </c>
      <c r="M11" s="106">
        <v>0</v>
      </c>
      <c r="N11" s="106">
        <v>0</v>
      </c>
      <c r="O11" s="106">
        <v>0</v>
      </c>
      <c r="P11" s="106">
        <v>0</v>
      </c>
      <c r="Q11" s="106">
        <v>0</v>
      </c>
      <c r="R11" s="106">
        <v>0</v>
      </c>
      <c r="S11" s="106">
        <v>0</v>
      </c>
      <c r="T11" s="106">
        <v>0</v>
      </c>
      <c r="U11" s="106">
        <v>0</v>
      </c>
      <c r="V11" s="106">
        <v>0</v>
      </c>
      <c r="W11" s="106">
        <v>0</v>
      </c>
      <c r="X11" s="106">
        <v>0</v>
      </c>
      <c r="Y11" s="106">
        <v>0</v>
      </c>
      <c r="Z11" s="106">
        <v>0</v>
      </c>
      <c r="AA11" s="106">
        <v>0</v>
      </c>
      <c r="AB11" s="106">
        <v>0</v>
      </c>
      <c r="AC11" s="106">
        <v>0</v>
      </c>
      <c r="AD11" s="106">
        <v>0</v>
      </c>
      <c r="AE11" s="106">
        <v>0</v>
      </c>
      <c r="AF11" s="106">
        <v>0</v>
      </c>
      <c r="AG11" s="106">
        <v>0</v>
      </c>
      <c r="AH11" s="106">
        <v>0</v>
      </c>
      <c r="AI11" s="106">
        <v>0</v>
      </c>
      <c r="AJ11" s="106">
        <v>0</v>
      </c>
      <c r="AK11" s="106">
        <v>0</v>
      </c>
      <c r="AL11" s="106">
        <v>0</v>
      </c>
      <c r="AM11" s="106">
        <v>0</v>
      </c>
      <c r="AN11" s="106">
        <v>0</v>
      </c>
    </row>
    <row r="12" spans="1:40" hidden="1" outlineLevel="1" x14ac:dyDescent="0.25">
      <c r="B12" s="39" t="str">
        <v>Initial Consultation Expert</v>
      </c>
      <c r="C12" s="3"/>
      <c r="D12" s="3"/>
      <c r="E12" s="106">
        <v>0.16</v>
      </c>
      <c r="F12" s="106">
        <v>0.16</v>
      </c>
      <c r="G12" s="106">
        <v>0.16</v>
      </c>
      <c r="H12" s="106">
        <v>0.16</v>
      </c>
      <c r="I12" s="106">
        <v>0.16</v>
      </c>
      <c r="J12" s="106">
        <v>0.16</v>
      </c>
      <c r="K12" s="106">
        <v>0.16</v>
      </c>
      <c r="L12" s="106">
        <v>0.16</v>
      </c>
      <c r="M12" s="106">
        <v>0.16</v>
      </c>
      <c r="N12" s="106">
        <v>0.16</v>
      </c>
      <c r="O12" s="106">
        <v>0.16</v>
      </c>
      <c r="P12" s="106">
        <v>0.16</v>
      </c>
      <c r="Q12" s="106">
        <v>0.16</v>
      </c>
      <c r="R12" s="106">
        <v>0.16</v>
      </c>
      <c r="S12" s="106">
        <v>0.16</v>
      </c>
      <c r="T12" s="106">
        <v>0.16</v>
      </c>
      <c r="U12" s="106">
        <v>0.16</v>
      </c>
      <c r="V12" s="106">
        <v>0.16</v>
      </c>
      <c r="W12" s="106">
        <v>0.16</v>
      </c>
      <c r="X12" s="106">
        <v>0.16</v>
      </c>
      <c r="Y12" s="106">
        <v>0.16</v>
      </c>
      <c r="Z12" s="106">
        <v>0.16</v>
      </c>
      <c r="AA12" s="106">
        <v>0.16</v>
      </c>
      <c r="AB12" s="106">
        <v>0.16</v>
      </c>
      <c r="AC12" s="106">
        <v>0.16</v>
      </c>
      <c r="AD12" s="106">
        <v>0.16</v>
      </c>
      <c r="AE12" s="106">
        <v>0.16</v>
      </c>
      <c r="AF12" s="106">
        <v>0.16</v>
      </c>
      <c r="AG12" s="106">
        <v>0.16</v>
      </c>
      <c r="AH12" s="106">
        <v>0.16</v>
      </c>
      <c r="AI12" s="106">
        <v>0.16</v>
      </c>
      <c r="AJ12" s="106">
        <v>0.16</v>
      </c>
      <c r="AK12" s="106">
        <v>0.16</v>
      </c>
      <c r="AL12" s="106">
        <v>0.16</v>
      </c>
      <c r="AM12" s="106">
        <v>0.16</v>
      </c>
      <c r="AN12" s="106">
        <v>0.16</v>
      </c>
    </row>
    <row r="13" spans="1:40" hidden="1" outlineLevel="1" x14ac:dyDescent="0.25">
      <c r="B13" s="39" t="str">
        <v>Trainer</v>
      </c>
      <c r="C13" s="3"/>
      <c r="D13" s="3"/>
      <c r="E13" s="106">
        <v>0.4</v>
      </c>
      <c r="F13" s="106">
        <v>0.4</v>
      </c>
      <c r="G13" s="106">
        <v>0.4</v>
      </c>
      <c r="H13" s="106">
        <v>0.4</v>
      </c>
      <c r="I13" s="106">
        <v>0.4</v>
      </c>
      <c r="J13" s="106">
        <v>0.4</v>
      </c>
      <c r="K13" s="106">
        <v>0.4</v>
      </c>
      <c r="L13" s="106">
        <v>0.4</v>
      </c>
      <c r="M13" s="106">
        <v>0.4</v>
      </c>
      <c r="N13" s="106">
        <v>0.4</v>
      </c>
      <c r="O13" s="106">
        <v>0.4</v>
      </c>
      <c r="P13" s="106">
        <v>0.4</v>
      </c>
      <c r="Q13" s="106">
        <v>0.4</v>
      </c>
      <c r="R13" s="106">
        <v>0.4</v>
      </c>
      <c r="S13" s="106">
        <v>0.4</v>
      </c>
      <c r="T13" s="106">
        <v>0.4</v>
      </c>
      <c r="U13" s="106">
        <v>0.4</v>
      </c>
      <c r="V13" s="106">
        <v>0.4</v>
      </c>
      <c r="W13" s="106">
        <v>0.4</v>
      </c>
      <c r="X13" s="106">
        <v>0.4</v>
      </c>
      <c r="Y13" s="106">
        <v>0.4</v>
      </c>
      <c r="Z13" s="106">
        <v>0.4</v>
      </c>
      <c r="AA13" s="106">
        <v>0.4</v>
      </c>
      <c r="AB13" s="106">
        <v>0.4</v>
      </c>
      <c r="AC13" s="106">
        <v>0.4</v>
      </c>
      <c r="AD13" s="106">
        <v>0.4</v>
      </c>
      <c r="AE13" s="106">
        <v>0.4</v>
      </c>
      <c r="AF13" s="106">
        <v>0.4</v>
      </c>
      <c r="AG13" s="106">
        <v>0.4</v>
      </c>
      <c r="AH13" s="106">
        <v>0.4</v>
      </c>
      <c r="AI13" s="106">
        <v>0.4</v>
      </c>
      <c r="AJ13" s="106">
        <v>0.4</v>
      </c>
      <c r="AK13" s="106">
        <v>0.4</v>
      </c>
      <c r="AL13" s="106">
        <v>0.4</v>
      </c>
      <c r="AM13" s="106">
        <v>0.4</v>
      </c>
      <c r="AN13" s="106">
        <v>0.4</v>
      </c>
    </row>
    <row r="14" spans="1:40" hidden="1" outlineLevel="1" x14ac:dyDescent="0.25">
      <c r="B14" s="39" t="str">
        <v>Recruiter</v>
      </c>
      <c r="C14" s="3"/>
      <c r="D14" s="3"/>
      <c r="E14" s="106">
        <v>0.3</v>
      </c>
      <c r="F14" s="106">
        <v>0.3</v>
      </c>
      <c r="G14" s="106">
        <v>0.3</v>
      </c>
      <c r="H14" s="106">
        <v>0.3</v>
      </c>
      <c r="I14" s="106">
        <v>0.3</v>
      </c>
      <c r="J14" s="106">
        <v>0.3</v>
      </c>
      <c r="K14" s="106">
        <v>0.3</v>
      </c>
      <c r="L14" s="106">
        <v>0.3</v>
      </c>
      <c r="M14" s="106">
        <v>0.3</v>
      </c>
      <c r="N14" s="106">
        <v>0.3</v>
      </c>
      <c r="O14" s="106">
        <v>0.3</v>
      </c>
      <c r="P14" s="106">
        <v>0.3</v>
      </c>
      <c r="Q14" s="106">
        <v>0.3</v>
      </c>
      <c r="R14" s="106">
        <v>0.3</v>
      </c>
      <c r="S14" s="106">
        <v>0.3</v>
      </c>
      <c r="T14" s="106">
        <v>0.3</v>
      </c>
      <c r="U14" s="106">
        <v>0.3</v>
      </c>
      <c r="V14" s="106">
        <v>0.3</v>
      </c>
      <c r="W14" s="106">
        <v>0.3</v>
      </c>
      <c r="X14" s="106">
        <v>0.3</v>
      </c>
      <c r="Y14" s="106">
        <v>0.3</v>
      </c>
      <c r="Z14" s="106">
        <v>0.3</v>
      </c>
      <c r="AA14" s="106">
        <v>0.3</v>
      </c>
      <c r="AB14" s="106">
        <v>0.3</v>
      </c>
      <c r="AC14" s="106">
        <v>0.3</v>
      </c>
      <c r="AD14" s="106">
        <v>0.3</v>
      </c>
      <c r="AE14" s="106">
        <v>0.3</v>
      </c>
      <c r="AF14" s="106">
        <v>0.3</v>
      </c>
      <c r="AG14" s="106">
        <v>0.3</v>
      </c>
      <c r="AH14" s="106">
        <v>0.3</v>
      </c>
      <c r="AI14" s="106">
        <v>0.3</v>
      </c>
      <c r="AJ14" s="106">
        <v>0.3</v>
      </c>
      <c r="AK14" s="106">
        <v>0.3</v>
      </c>
      <c r="AL14" s="106">
        <v>0.3</v>
      </c>
      <c r="AM14" s="106">
        <v>0.3</v>
      </c>
      <c r="AN14" s="106">
        <v>0.3</v>
      </c>
    </row>
    <row r="15" spans="1:40" hidden="1" outlineLevel="1" x14ac:dyDescent="0.25">
      <c r="B15" s="39" t="str">
        <v>Center Director / Remote Site Director</v>
      </c>
      <c r="C15" s="3"/>
      <c r="D15" s="3"/>
      <c r="E15" s="106">
        <v>0.15000000000000002</v>
      </c>
      <c r="F15" s="106">
        <v>0.15000000000000002</v>
      </c>
      <c r="G15" s="106">
        <v>0.15000000000000002</v>
      </c>
      <c r="H15" s="106">
        <v>0.15000000000000002</v>
      </c>
      <c r="I15" s="106">
        <v>0.15000000000000002</v>
      </c>
      <c r="J15" s="106">
        <v>0.15000000000000002</v>
      </c>
      <c r="K15" s="106">
        <v>0.15000000000000002</v>
      </c>
      <c r="L15" s="106">
        <v>0.15000000000000002</v>
      </c>
      <c r="M15" s="106">
        <v>0.15000000000000002</v>
      </c>
      <c r="N15" s="106">
        <v>0.15000000000000002</v>
      </c>
      <c r="O15" s="106">
        <v>0.15000000000000002</v>
      </c>
      <c r="P15" s="106">
        <v>0.15000000000000002</v>
      </c>
      <c r="Q15" s="106">
        <v>0.15000000000000002</v>
      </c>
      <c r="R15" s="106">
        <v>0.15000000000000002</v>
      </c>
      <c r="S15" s="106">
        <v>0.15000000000000002</v>
      </c>
      <c r="T15" s="106">
        <v>0.15000000000000002</v>
      </c>
      <c r="U15" s="106">
        <v>0.15000000000000002</v>
      </c>
      <c r="V15" s="106">
        <v>0.15000000000000002</v>
      </c>
      <c r="W15" s="106">
        <v>0.15000000000000002</v>
      </c>
      <c r="X15" s="106">
        <v>0.15000000000000002</v>
      </c>
      <c r="Y15" s="106">
        <v>0.15000000000000002</v>
      </c>
      <c r="Z15" s="106">
        <v>0.15000000000000002</v>
      </c>
      <c r="AA15" s="106">
        <v>0.15000000000000002</v>
      </c>
      <c r="AB15" s="106">
        <v>0.15000000000000002</v>
      </c>
      <c r="AC15" s="106">
        <v>0.15000000000000002</v>
      </c>
      <c r="AD15" s="106">
        <v>0.15000000000000002</v>
      </c>
      <c r="AE15" s="106">
        <v>0.15000000000000002</v>
      </c>
      <c r="AF15" s="106">
        <v>0.15000000000000002</v>
      </c>
      <c r="AG15" s="106">
        <v>0.15000000000000002</v>
      </c>
      <c r="AH15" s="106">
        <v>0.15000000000000002</v>
      </c>
      <c r="AI15" s="106">
        <v>0.15000000000000002</v>
      </c>
      <c r="AJ15" s="106">
        <v>0.15000000000000002</v>
      </c>
      <c r="AK15" s="106">
        <v>0.15000000000000002</v>
      </c>
      <c r="AL15" s="106">
        <v>0.15000000000000002</v>
      </c>
      <c r="AM15" s="106">
        <v>0.15000000000000002</v>
      </c>
      <c r="AN15" s="106">
        <v>0.15000000000000002</v>
      </c>
    </row>
    <row r="16" spans="1:40" hidden="1" outlineLevel="1" x14ac:dyDescent="0.25">
      <c r="B16" s="39" t="str">
        <v>Center Marketing Outreach</v>
      </c>
      <c r="C16" s="3"/>
      <c r="D16" s="3"/>
      <c r="E16" s="106">
        <v>0.15000000000000002</v>
      </c>
      <c r="F16" s="106">
        <v>0.15000000000000002</v>
      </c>
      <c r="G16" s="106">
        <v>0.15000000000000002</v>
      </c>
      <c r="H16" s="106">
        <v>0.15000000000000002</v>
      </c>
      <c r="I16" s="106">
        <v>0.15000000000000002</v>
      </c>
      <c r="J16" s="106">
        <v>0.15000000000000002</v>
      </c>
      <c r="K16" s="106">
        <v>0.15000000000000002</v>
      </c>
      <c r="L16" s="106">
        <v>0.15000000000000002</v>
      </c>
      <c r="M16" s="106">
        <v>0.15000000000000002</v>
      </c>
      <c r="N16" s="106">
        <v>0.15000000000000002</v>
      </c>
      <c r="O16" s="106">
        <v>0.15000000000000002</v>
      </c>
      <c r="P16" s="106">
        <v>0.15000000000000002</v>
      </c>
      <c r="Q16" s="106">
        <v>0.15000000000000002</v>
      </c>
      <c r="R16" s="106">
        <v>0.15000000000000002</v>
      </c>
      <c r="S16" s="106">
        <v>0.15000000000000002</v>
      </c>
      <c r="T16" s="106">
        <v>0.15000000000000002</v>
      </c>
      <c r="U16" s="106">
        <v>0.15000000000000002</v>
      </c>
      <c r="V16" s="106">
        <v>0.15000000000000002</v>
      </c>
      <c r="W16" s="106">
        <v>0.15000000000000002</v>
      </c>
      <c r="X16" s="106">
        <v>0.15000000000000002</v>
      </c>
      <c r="Y16" s="106">
        <v>0.15000000000000002</v>
      </c>
      <c r="Z16" s="106">
        <v>0.15000000000000002</v>
      </c>
      <c r="AA16" s="106">
        <v>0.15000000000000002</v>
      </c>
      <c r="AB16" s="106">
        <v>0.15000000000000002</v>
      </c>
      <c r="AC16" s="106">
        <v>0.15000000000000002</v>
      </c>
      <c r="AD16" s="106">
        <v>0.15000000000000002</v>
      </c>
      <c r="AE16" s="106">
        <v>0.15000000000000002</v>
      </c>
      <c r="AF16" s="106">
        <v>0.15000000000000002</v>
      </c>
      <c r="AG16" s="106">
        <v>0.15000000000000002</v>
      </c>
      <c r="AH16" s="106">
        <v>0.15000000000000002</v>
      </c>
      <c r="AI16" s="106">
        <v>0.15000000000000002</v>
      </c>
      <c r="AJ16" s="106">
        <v>0.15000000000000002</v>
      </c>
      <c r="AK16" s="106">
        <v>0.15000000000000002</v>
      </c>
      <c r="AL16" s="106">
        <v>0.15000000000000002</v>
      </c>
      <c r="AM16" s="106">
        <v>0.15000000000000002</v>
      </c>
      <c r="AN16" s="106">
        <v>0.15000000000000002</v>
      </c>
    </row>
    <row r="17" spans="2:50" hidden="1" outlineLevel="1" x14ac:dyDescent="0.25">
      <c r="B17" s="39" t="str">
        <v>Primary Direct Staff Lead</v>
      </c>
      <c r="C17" s="3"/>
      <c r="D17" s="3"/>
      <c r="E17" s="106">
        <v>0</v>
      </c>
      <c r="F17" s="106">
        <v>0</v>
      </c>
      <c r="G17" s="106">
        <v>0</v>
      </c>
      <c r="H17" s="106">
        <v>0</v>
      </c>
      <c r="I17" s="106">
        <v>0</v>
      </c>
      <c r="J17" s="106">
        <v>0</v>
      </c>
      <c r="K17" s="106">
        <v>0</v>
      </c>
      <c r="L17" s="106">
        <v>0</v>
      </c>
      <c r="M17" s="106">
        <v>0</v>
      </c>
      <c r="N17" s="106">
        <v>0</v>
      </c>
      <c r="O17" s="106">
        <v>0</v>
      </c>
      <c r="P17" s="106">
        <v>0</v>
      </c>
      <c r="Q17" s="106">
        <v>0</v>
      </c>
      <c r="R17" s="106">
        <v>0</v>
      </c>
      <c r="S17" s="106">
        <v>0</v>
      </c>
      <c r="T17" s="106">
        <v>0</v>
      </c>
      <c r="U17" s="106">
        <v>0</v>
      </c>
      <c r="V17" s="106">
        <v>0</v>
      </c>
      <c r="W17" s="106">
        <v>0</v>
      </c>
      <c r="X17" s="106">
        <v>0</v>
      </c>
      <c r="Y17" s="106">
        <v>0</v>
      </c>
      <c r="Z17" s="106">
        <v>0</v>
      </c>
      <c r="AA17" s="106">
        <v>0</v>
      </c>
      <c r="AB17" s="106">
        <v>0</v>
      </c>
      <c r="AC17" s="106">
        <v>0</v>
      </c>
      <c r="AD17" s="106">
        <v>0</v>
      </c>
      <c r="AE17" s="106">
        <v>0</v>
      </c>
      <c r="AF17" s="106">
        <v>0</v>
      </c>
      <c r="AG17" s="106">
        <v>0</v>
      </c>
      <c r="AH17" s="106">
        <v>0</v>
      </c>
      <c r="AI17" s="106">
        <v>0</v>
      </c>
      <c r="AJ17" s="106">
        <v>0</v>
      </c>
      <c r="AK17" s="106">
        <v>0</v>
      </c>
      <c r="AL17" s="106">
        <v>0</v>
      </c>
      <c r="AM17" s="106">
        <v>0</v>
      </c>
      <c r="AN17" s="106">
        <v>0</v>
      </c>
    </row>
    <row r="18" spans="2:50" hidden="1" outlineLevel="1" x14ac:dyDescent="0.25">
      <c r="B18" s="39" t="str">
        <v>Tertiary Direct Staff</v>
      </c>
      <c r="C18" s="3"/>
      <c r="D18" s="3"/>
      <c r="E18" s="106">
        <v>0</v>
      </c>
      <c r="F18" s="106">
        <v>0</v>
      </c>
      <c r="G18" s="106">
        <v>0</v>
      </c>
      <c r="H18" s="106">
        <v>0</v>
      </c>
      <c r="I18" s="106">
        <v>0</v>
      </c>
      <c r="J18" s="106">
        <v>0</v>
      </c>
      <c r="K18" s="106">
        <v>0</v>
      </c>
      <c r="L18" s="106">
        <v>0</v>
      </c>
      <c r="M18" s="106">
        <v>0</v>
      </c>
      <c r="N18" s="106">
        <v>0</v>
      </c>
      <c r="O18" s="106">
        <v>0</v>
      </c>
      <c r="P18" s="106">
        <v>0</v>
      </c>
      <c r="Q18" s="106">
        <v>0</v>
      </c>
      <c r="R18" s="106">
        <v>0</v>
      </c>
      <c r="S18" s="106">
        <v>0</v>
      </c>
      <c r="T18" s="106">
        <v>0</v>
      </c>
      <c r="U18" s="106">
        <v>0</v>
      </c>
      <c r="V18" s="106">
        <v>0</v>
      </c>
      <c r="W18" s="106">
        <v>0</v>
      </c>
      <c r="X18" s="106">
        <v>0</v>
      </c>
      <c r="Y18" s="106">
        <v>0</v>
      </c>
      <c r="Z18" s="106">
        <v>0</v>
      </c>
      <c r="AA18" s="106">
        <v>0</v>
      </c>
      <c r="AB18" s="106">
        <v>0</v>
      </c>
      <c r="AC18" s="106">
        <v>0</v>
      </c>
      <c r="AD18" s="106">
        <v>0</v>
      </c>
      <c r="AE18" s="106">
        <v>0</v>
      </c>
      <c r="AF18" s="106">
        <v>0</v>
      </c>
      <c r="AG18" s="106">
        <v>0</v>
      </c>
      <c r="AH18" s="106">
        <v>0</v>
      </c>
      <c r="AI18" s="106">
        <v>0</v>
      </c>
      <c r="AJ18" s="106">
        <v>0</v>
      </c>
      <c r="AK18" s="106">
        <v>0</v>
      </c>
      <c r="AL18" s="106">
        <v>0</v>
      </c>
      <c r="AM18" s="106">
        <v>0</v>
      </c>
      <c r="AN18" s="106">
        <v>0</v>
      </c>
    </row>
    <row r="19" spans="2:50" hidden="1" outlineLevel="1" x14ac:dyDescent="0.25">
      <c r="B19" s="39" t="str">
        <v>Quinary Direct Staff</v>
      </c>
      <c r="C19" s="3"/>
      <c r="D19" s="3"/>
      <c r="E19" s="106">
        <v>0</v>
      </c>
      <c r="F19" s="106">
        <v>0</v>
      </c>
      <c r="G19" s="106">
        <v>0</v>
      </c>
      <c r="H19" s="106">
        <v>0</v>
      </c>
      <c r="I19" s="106">
        <v>0</v>
      </c>
      <c r="J19" s="106">
        <v>0</v>
      </c>
      <c r="K19" s="106">
        <v>0</v>
      </c>
      <c r="L19" s="106">
        <v>0</v>
      </c>
      <c r="M19" s="106">
        <v>0</v>
      </c>
      <c r="N19" s="106">
        <v>0</v>
      </c>
      <c r="O19" s="106">
        <v>0</v>
      </c>
      <c r="P19" s="106">
        <v>0</v>
      </c>
      <c r="Q19" s="106">
        <v>0</v>
      </c>
      <c r="R19" s="106">
        <v>0</v>
      </c>
      <c r="S19" s="106">
        <v>0</v>
      </c>
      <c r="T19" s="106">
        <v>0</v>
      </c>
      <c r="U19" s="106">
        <v>0</v>
      </c>
      <c r="V19" s="106">
        <v>0</v>
      </c>
      <c r="W19" s="106">
        <v>0</v>
      </c>
      <c r="X19" s="106">
        <v>0</v>
      </c>
      <c r="Y19" s="106">
        <v>0</v>
      </c>
      <c r="Z19" s="106">
        <v>0</v>
      </c>
      <c r="AA19" s="106">
        <v>0</v>
      </c>
      <c r="AB19" s="106">
        <v>0</v>
      </c>
      <c r="AC19" s="106">
        <v>0</v>
      </c>
      <c r="AD19" s="106">
        <v>0</v>
      </c>
      <c r="AE19" s="106">
        <v>0</v>
      </c>
      <c r="AF19" s="106">
        <v>0</v>
      </c>
      <c r="AG19" s="106">
        <v>0</v>
      </c>
      <c r="AH19" s="106">
        <v>0</v>
      </c>
      <c r="AI19" s="106">
        <v>0</v>
      </c>
      <c r="AJ19" s="106">
        <v>0</v>
      </c>
      <c r="AK19" s="106">
        <v>0</v>
      </c>
      <c r="AL19" s="106">
        <v>0</v>
      </c>
      <c r="AM19" s="106">
        <v>0</v>
      </c>
      <c r="AN19" s="106">
        <v>0</v>
      </c>
    </row>
    <row r="20" spans="2:50" hidden="1" outlineLevel="1" x14ac:dyDescent="0.25">
      <c r="B20" s="39" t="str">
        <v>Quaternary Direct Staff</v>
      </c>
      <c r="C20" s="3"/>
      <c r="D20" s="3"/>
      <c r="E20" s="106">
        <v>0</v>
      </c>
      <c r="F20" s="106">
        <v>0</v>
      </c>
      <c r="G20" s="106">
        <v>0</v>
      </c>
      <c r="H20" s="106">
        <v>0</v>
      </c>
      <c r="I20" s="106">
        <v>0</v>
      </c>
      <c r="J20" s="106">
        <v>0</v>
      </c>
      <c r="K20" s="106">
        <v>0</v>
      </c>
      <c r="L20" s="106">
        <v>0</v>
      </c>
      <c r="M20" s="106">
        <v>0</v>
      </c>
      <c r="N20" s="106">
        <v>0</v>
      </c>
      <c r="O20" s="106">
        <v>0</v>
      </c>
      <c r="P20" s="106">
        <v>0</v>
      </c>
      <c r="Q20" s="106">
        <v>0</v>
      </c>
      <c r="R20" s="106">
        <v>0</v>
      </c>
      <c r="S20" s="106">
        <v>0</v>
      </c>
      <c r="T20" s="106">
        <v>0</v>
      </c>
      <c r="U20" s="106">
        <v>0</v>
      </c>
      <c r="V20" s="106">
        <v>0</v>
      </c>
      <c r="W20" s="106">
        <v>0</v>
      </c>
      <c r="X20" s="106">
        <v>0</v>
      </c>
      <c r="Y20" s="106">
        <v>0</v>
      </c>
      <c r="Z20" s="106">
        <v>0</v>
      </c>
      <c r="AA20" s="106">
        <v>0</v>
      </c>
      <c r="AB20" s="106">
        <v>0</v>
      </c>
      <c r="AC20" s="106">
        <v>0</v>
      </c>
      <c r="AD20" s="106">
        <v>0</v>
      </c>
      <c r="AE20" s="106">
        <v>0</v>
      </c>
      <c r="AF20" s="106">
        <v>0</v>
      </c>
      <c r="AG20" s="106">
        <v>0</v>
      </c>
      <c r="AH20" s="106">
        <v>0</v>
      </c>
      <c r="AI20" s="106">
        <v>0</v>
      </c>
      <c r="AJ20" s="106">
        <v>0</v>
      </c>
      <c r="AK20" s="106">
        <v>0</v>
      </c>
      <c r="AL20" s="106">
        <v>0</v>
      </c>
      <c r="AM20" s="106">
        <v>0</v>
      </c>
      <c r="AN20" s="106">
        <v>0</v>
      </c>
    </row>
    <row r="21" spans="2:50" collapsed="1" x14ac:dyDescent="0.25">
      <c r="B21" s="39" t="s">
        <v>389</v>
      </c>
      <c r="C21" s="3"/>
      <c r="D21" s="5"/>
      <c r="E21" s="117" cm="1">
        <f t="array" ref="E21:AN21">ROUND(_xlfn.BYCOL(_xlfn.CHOOSEROWS(_xlfn.ANCHORARRAY(E7),1,2),_xlfn.LAMBDA(_xlpm.col,SUM(_xlpm.col))),0)</f>
        <v>18</v>
      </c>
      <c r="F21" s="117">
        <v>18</v>
      </c>
      <c r="G21" s="117">
        <v>18</v>
      </c>
      <c r="H21" s="117">
        <v>18</v>
      </c>
      <c r="I21" s="117">
        <v>18</v>
      </c>
      <c r="J21" s="117">
        <v>18</v>
      </c>
      <c r="K21" s="117">
        <v>18</v>
      </c>
      <c r="L21" s="117">
        <v>18</v>
      </c>
      <c r="M21" s="117">
        <v>18</v>
      </c>
      <c r="N21" s="117">
        <v>18</v>
      </c>
      <c r="O21" s="117">
        <v>18</v>
      </c>
      <c r="P21" s="117">
        <v>18</v>
      </c>
      <c r="Q21" s="117">
        <v>18</v>
      </c>
      <c r="R21" s="117">
        <v>18</v>
      </c>
      <c r="S21" s="117">
        <v>18</v>
      </c>
      <c r="T21" s="117">
        <v>18</v>
      </c>
      <c r="U21" s="117">
        <v>18</v>
      </c>
      <c r="V21" s="117">
        <v>18</v>
      </c>
      <c r="W21" s="117">
        <v>18</v>
      </c>
      <c r="X21" s="117">
        <v>18</v>
      </c>
      <c r="Y21" s="117">
        <v>18</v>
      </c>
      <c r="Z21" s="117">
        <v>18</v>
      </c>
      <c r="AA21" s="117">
        <v>18</v>
      </c>
      <c r="AB21" s="117">
        <v>18</v>
      </c>
      <c r="AC21" s="117">
        <v>18</v>
      </c>
      <c r="AD21" s="117">
        <v>18</v>
      </c>
      <c r="AE21" s="117">
        <v>18</v>
      </c>
      <c r="AF21" s="117">
        <v>18</v>
      </c>
      <c r="AG21" s="117">
        <v>18</v>
      </c>
      <c r="AH21" s="117">
        <v>18</v>
      </c>
      <c r="AI21" s="117">
        <v>18</v>
      </c>
      <c r="AJ21" s="117">
        <v>18</v>
      </c>
      <c r="AK21" s="117">
        <v>18</v>
      </c>
      <c r="AL21" s="117">
        <v>18</v>
      </c>
      <c r="AM21" s="117">
        <v>18</v>
      </c>
      <c r="AN21" s="117">
        <v>18</v>
      </c>
    </row>
    <row r="22" spans="2:50" x14ac:dyDescent="0.25">
      <c r="B22" s="2" t="s">
        <v>394</v>
      </c>
      <c r="C22" s="3"/>
      <c r="D22" s="77">
        <f>MAX(_xlfn.ANCHORARRAY(E22))</f>
        <v>98.845941528409099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95.966933522727288</v>
      </c>
      <c r="F22" s="78">
        <v>95.966933522727288</v>
      </c>
      <c r="G22" s="78">
        <v>95.966933522727288</v>
      </c>
      <c r="H22" s="78">
        <v>95.966933522727288</v>
      </c>
      <c r="I22" s="78">
        <v>95.966933522727288</v>
      </c>
      <c r="J22" s="78">
        <v>95.966933522727288</v>
      </c>
      <c r="K22" s="78">
        <v>95.966933522727288</v>
      </c>
      <c r="L22" s="78">
        <v>95.966933522727288</v>
      </c>
      <c r="M22" s="78">
        <v>95.966933522727288</v>
      </c>
      <c r="N22" s="78">
        <v>95.966933522727288</v>
      </c>
      <c r="O22" s="78">
        <v>95.966933522727288</v>
      </c>
      <c r="P22" s="78">
        <v>95.966933522727288</v>
      </c>
      <c r="Q22" s="78">
        <v>98.845941528409099</v>
      </c>
      <c r="R22" s="78">
        <v>98.845941528409099</v>
      </c>
      <c r="S22" s="78">
        <v>98.845941528409099</v>
      </c>
      <c r="T22" s="78">
        <v>98.845941528409099</v>
      </c>
      <c r="U22" s="78">
        <v>98.845941528409099</v>
      </c>
      <c r="V22" s="78">
        <v>98.845941528409099</v>
      </c>
      <c r="W22" s="78">
        <v>98.845941528409099</v>
      </c>
      <c r="X22" s="78">
        <v>98.845941528409099</v>
      </c>
      <c r="Y22" s="78">
        <v>98.845941528409099</v>
      </c>
      <c r="Z22" s="78">
        <v>98.845941528409099</v>
      </c>
      <c r="AA22" s="78">
        <v>98.845941528409099</v>
      </c>
      <c r="AB22" s="78">
        <v>98.845941528409099</v>
      </c>
      <c r="AC22" s="78">
        <v>98.845941528409099</v>
      </c>
      <c r="AD22" s="78">
        <v>98.845941528409099</v>
      </c>
      <c r="AE22" s="78">
        <v>98.845941528409099</v>
      </c>
      <c r="AF22" s="78">
        <v>98.845941528409099</v>
      </c>
      <c r="AG22" s="78">
        <v>98.845941528409099</v>
      </c>
      <c r="AH22" s="78">
        <v>98.845941528409099</v>
      </c>
      <c r="AI22" s="78">
        <v>98.845941528409099</v>
      </c>
      <c r="AJ22" s="78">
        <v>98.845941528409099</v>
      </c>
      <c r="AK22" s="78">
        <v>98.845941528409099</v>
      </c>
      <c r="AL22" s="78">
        <v>98.845941528409099</v>
      </c>
      <c r="AM22" s="78">
        <v>98.845941528409099</v>
      </c>
      <c r="AN22" s="78">
        <v>98.845941528409099</v>
      </c>
    </row>
    <row r="23" spans="2:50" x14ac:dyDescent="0.25">
      <c r="B23" s="2" t="s">
        <v>53</v>
      </c>
      <c r="C23" s="3"/>
      <c r="D23" s="72"/>
      <c r="E23" s="52" cm="1">
        <f t="array" ref="E23:AN23">_xlfn.LET(_xlpm.site,$B$1&amp;"-"&amp;$C$1,_xlpm.locations,Base!$D$4:$BD$4,_xlpm.Customer,_xlfn.ANCHORARRAY(E1),_xlpm.hours,SUM(_xlfn.XLOOKUP(_xlpm.site,_xlpm.locations,Base!$D$74:$BD$78,0,0)),
_xlpm.collection,1-_xlfn.XLOOKUP(_xlpm.site,_xlpm.locations,Base!$D$26:$BD$26,0,0),
_xlpm.Customer*_xlpm.hours*_xlpm.collection*(52/12))</f>
        <v>1858.5599999999997</v>
      </c>
      <c r="F23" s="52">
        <v>1858.5599999999997</v>
      </c>
      <c r="G23" s="52">
        <v>1858.5599999999997</v>
      </c>
      <c r="H23" s="52">
        <v>1858.5599999999997</v>
      </c>
      <c r="I23" s="52">
        <v>1858.5599999999997</v>
      </c>
      <c r="J23" s="52">
        <v>1858.5599999999997</v>
      </c>
      <c r="K23" s="52">
        <v>1858.5599999999997</v>
      </c>
      <c r="L23" s="52">
        <v>1858.5599999999997</v>
      </c>
      <c r="M23" s="52">
        <v>1858.5599999999997</v>
      </c>
      <c r="N23" s="52">
        <v>1858.5599999999997</v>
      </c>
      <c r="O23" s="52">
        <v>1858.5599999999997</v>
      </c>
      <c r="P23" s="52">
        <v>1858.5599999999997</v>
      </c>
      <c r="Q23" s="52">
        <v>1858.5599999999997</v>
      </c>
      <c r="R23" s="52">
        <v>1858.5599999999997</v>
      </c>
      <c r="S23" s="52">
        <v>1858.5599999999997</v>
      </c>
      <c r="T23" s="52">
        <v>1858.5599999999997</v>
      </c>
      <c r="U23" s="52">
        <v>1858.5599999999997</v>
      </c>
      <c r="V23" s="52">
        <v>1858.5599999999997</v>
      </c>
      <c r="W23" s="52">
        <v>1858.5599999999997</v>
      </c>
      <c r="X23" s="52">
        <v>1858.5599999999997</v>
      </c>
      <c r="Y23" s="52">
        <v>1858.5599999999997</v>
      </c>
      <c r="Z23" s="52">
        <v>1858.5599999999997</v>
      </c>
      <c r="AA23" s="52">
        <v>1858.5599999999997</v>
      </c>
      <c r="AB23" s="52">
        <v>1858.5599999999997</v>
      </c>
      <c r="AC23" s="52">
        <v>1858.5599999999997</v>
      </c>
      <c r="AD23" s="52">
        <v>1858.5599999999997</v>
      </c>
      <c r="AE23" s="52">
        <v>1858.5599999999997</v>
      </c>
      <c r="AF23" s="52">
        <v>1858.5599999999997</v>
      </c>
      <c r="AG23" s="52">
        <v>1858.5599999999997</v>
      </c>
      <c r="AH23" s="52">
        <v>1858.5599999999997</v>
      </c>
      <c r="AI23" s="52">
        <v>1858.5599999999997</v>
      </c>
      <c r="AJ23" s="52">
        <v>1858.5599999999997</v>
      </c>
      <c r="AK23" s="52">
        <v>1858.5599999999997</v>
      </c>
      <c r="AL23" s="52">
        <v>1858.5599999999997</v>
      </c>
      <c r="AM23" s="52">
        <v>1858.5599999999997</v>
      </c>
      <c r="AN23" s="52">
        <v>1858.5599999999997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21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_xlfn.LET(_xlpm.site,$B$1&amp;"-"&amp;$C$1,_xlpm.locations,Base!$D$4:$BD$4,_xlpm.rates,Base!$D31:$BD31,_xlpm.hours,Base!$D74:$BD74,_xlpm.comp,_xlpm.rates*_xlpm.hours,_xlpm.Customer,_xlfn.ANCHORARRAY($E$1),
_xlpm.Customer_comp,_xlfn.XLOOKUP(_xlpm.site,_xlpm.locations,_xlpm.comp,0,0),_xlpm.ann_incr,_xlfn.XLOOKUP(YEAR(_xlfn.ANCHORARRAY($E$25)),Base!$BJ$4:$BL$4,Base!$BJ74:$BL74,0,0),
_xlpm.bad_debt,_xlfn.XLOOKUP(_xlpm.site,_xlpm.locations,Base!$D$28:$BD$28,0,0),_xlpm.Customer_comp*_xlpm.Customer*_xlpm.bad_debt*_xlpm.ann_incr*(52/12))</f>
        <v>142887.64370399999</v>
      </c>
      <c r="F26" s="12">
        <v>142887.64370399999</v>
      </c>
      <c r="G26" s="12">
        <v>142887.64370399999</v>
      </c>
      <c r="H26" s="12">
        <v>142887.64370399999</v>
      </c>
      <c r="I26" s="12">
        <v>142887.64370399999</v>
      </c>
      <c r="J26" s="12">
        <v>142887.64370399999</v>
      </c>
      <c r="K26" s="12">
        <v>142887.64370399999</v>
      </c>
      <c r="L26" s="12">
        <v>142887.64370399999</v>
      </c>
      <c r="M26" s="12">
        <v>142887.64370399999</v>
      </c>
      <c r="N26" s="12">
        <v>142887.64370399999</v>
      </c>
      <c r="O26" s="12">
        <v>142887.64370399999</v>
      </c>
      <c r="P26" s="12">
        <v>142887.64370399999</v>
      </c>
      <c r="Q26" s="12">
        <v>147174.27301511998</v>
      </c>
      <c r="R26" s="12">
        <v>147174.27301511998</v>
      </c>
      <c r="S26" s="12">
        <v>147174.27301511998</v>
      </c>
      <c r="T26" s="12">
        <v>147174.27301511998</v>
      </c>
      <c r="U26" s="12">
        <v>147174.27301511998</v>
      </c>
      <c r="V26" s="12">
        <v>147174.27301511998</v>
      </c>
      <c r="W26" s="12">
        <v>147174.27301511998</v>
      </c>
      <c r="X26" s="12">
        <v>147174.27301511998</v>
      </c>
      <c r="Y26" s="12">
        <v>147174.27301511998</v>
      </c>
      <c r="Z26" s="12">
        <v>147174.27301511998</v>
      </c>
      <c r="AA26" s="12">
        <v>147174.27301511998</v>
      </c>
      <c r="AB26" s="12">
        <v>147174.27301511998</v>
      </c>
      <c r="AC26" s="12">
        <v>147174.27301511998</v>
      </c>
      <c r="AD26" s="12">
        <v>147174.27301511998</v>
      </c>
      <c r="AE26" s="12">
        <v>147174.27301511998</v>
      </c>
      <c r="AF26" s="12">
        <v>147174.27301511998</v>
      </c>
      <c r="AG26" s="12">
        <v>147174.27301511998</v>
      </c>
      <c r="AH26" s="12">
        <v>147174.27301511998</v>
      </c>
      <c r="AI26" s="12">
        <v>147174.27301511998</v>
      </c>
      <c r="AJ26" s="12">
        <v>147174.27301511998</v>
      </c>
      <c r="AK26" s="12">
        <v>147174.27301511998</v>
      </c>
      <c r="AL26" s="12">
        <v>147174.27301511998</v>
      </c>
      <c r="AM26" s="12">
        <v>147174.27301511998</v>
      </c>
      <c r="AN26" s="12">
        <v>147174.27301511998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_xlfn.LET(_xlpm.site,$B$1&amp;"-"&amp;$C$1,_xlpm.locations,Base!$D$4:$BD$4,_xlpm.rates,Base!$D32:$BD32,_xlpm.hours,Base!$D75:$BD75,_xlpm.comp,_xlpm.rates*_xlpm.hours,_xlpm.Customer,_xlfn.ANCHORARRAY($E$1),
_xlpm.Customer_comp,_xlfn.XLOOKUP(_xlpm.site,_xlpm.locations,_xlpm.comp,0,0),_xlpm.ann_incr,_xlfn.XLOOKUP(YEAR(_xlfn.ANCHORARRAY($E$25)),Base!$BJ$4:$BL$4,Base!$BJ75:$BL75,0,0),
_xlpm.bad_debt,_xlfn.XLOOKUP(_xlpm.site,_xlpm.locations,Base!$D$28:$BD$28,0,0),_xlpm.Customer_comp*_xlpm.Customer*_xlpm.bad_debt*_xlpm.ann_incr*(52/12))</f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12">
        <v>0</v>
      </c>
      <c r="AA27" s="12">
        <v>0</v>
      </c>
      <c r="AB27" s="12">
        <v>0</v>
      </c>
      <c r="AC27" s="12">
        <v>0</v>
      </c>
      <c r="AD27" s="12">
        <v>0</v>
      </c>
      <c r="AE27" s="12">
        <v>0</v>
      </c>
      <c r="AF27" s="12">
        <v>0</v>
      </c>
      <c r="AG27" s="12">
        <v>0</v>
      </c>
      <c r="AH27" s="12">
        <v>0</v>
      </c>
      <c r="AI27" s="12">
        <v>0</v>
      </c>
      <c r="AJ27" s="12">
        <v>0</v>
      </c>
      <c r="AK27" s="12">
        <v>0</v>
      </c>
      <c r="AL27" s="12">
        <v>0</v>
      </c>
      <c r="AM27" s="12">
        <v>0</v>
      </c>
      <c r="AN27" s="12">
        <v>0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_xlfn.LET(_xlpm.site,$B$1&amp;"-"&amp;$C$1,_xlpm.locations,Base!$D$4:$BD$4,_xlpm.rates,Base!$D33:$BD33,_xlpm.hours,Base!$D76:$BD76,_xlpm.comp,_xlpm.rates*_xlpm.hours,_xlpm.Customer,_xlfn.ANCHORARRAY($E$1),
_xlpm.Customer_comp,_xlfn.XLOOKUP(_xlpm.site,_xlpm.locations,_xlpm.comp,0,0),_xlpm.ann_incr,_xlfn.XLOOKUP(YEAR(_xlfn.ANCHORARRAY($E$25)),Base!$BJ$4:$BL$4,Base!$BJ76:$BL76,0,0),
_xlpm.bad_debt,_xlfn.XLOOKUP(_xlpm.site,_xlpm.locations,Base!$D$28:$BD$28,0,0),_xlpm.Customer_comp*_xlpm.Customer*_xlpm.bad_debt*_xlpm.ann_incr*(52/12))</f>
        <v>37275.037487999994</v>
      </c>
      <c r="F28" s="12">
        <v>37275.037487999994</v>
      </c>
      <c r="G28" s="12">
        <v>37275.037487999994</v>
      </c>
      <c r="H28" s="12">
        <v>37275.037487999994</v>
      </c>
      <c r="I28" s="12">
        <v>37275.037487999994</v>
      </c>
      <c r="J28" s="12">
        <v>37275.037487999994</v>
      </c>
      <c r="K28" s="12">
        <v>37275.037487999994</v>
      </c>
      <c r="L28" s="12">
        <v>37275.037487999994</v>
      </c>
      <c r="M28" s="12">
        <v>37275.037487999994</v>
      </c>
      <c r="N28" s="12">
        <v>37275.037487999994</v>
      </c>
      <c r="O28" s="12">
        <v>37275.037487999994</v>
      </c>
      <c r="P28" s="12">
        <v>37275.037487999994</v>
      </c>
      <c r="Q28" s="12">
        <v>38393.288612639997</v>
      </c>
      <c r="R28" s="12">
        <v>38393.288612639997</v>
      </c>
      <c r="S28" s="12">
        <v>38393.288612639997</v>
      </c>
      <c r="T28" s="12">
        <v>38393.288612639997</v>
      </c>
      <c r="U28" s="12">
        <v>38393.288612639997</v>
      </c>
      <c r="V28" s="12">
        <v>38393.288612639997</v>
      </c>
      <c r="W28" s="12">
        <v>38393.288612639997</v>
      </c>
      <c r="X28" s="12">
        <v>38393.288612639997</v>
      </c>
      <c r="Y28" s="12">
        <v>38393.288612639997</v>
      </c>
      <c r="Z28" s="12">
        <v>38393.288612639997</v>
      </c>
      <c r="AA28" s="12">
        <v>38393.288612639997</v>
      </c>
      <c r="AB28" s="12">
        <v>38393.288612639997</v>
      </c>
      <c r="AC28" s="12">
        <v>38393.288612639997</v>
      </c>
      <c r="AD28" s="12">
        <v>38393.288612639997</v>
      </c>
      <c r="AE28" s="12">
        <v>38393.288612639997</v>
      </c>
      <c r="AF28" s="12">
        <v>38393.288612639997</v>
      </c>
      <c r="AG28" s="12">
        <v>38393.288612639997</v>
      </c>
      <c r="AH28" s="12">
        <v>38393.288612639997</v>
      </c>
      <c r="AI28" s="12">
        <v>38393.288612639997</v>
      </c>
      <c r="AJ28" s="12">
        <v>38393.288612639997</v>
      </c>
      <c r="AK28" s="12">
        <v>38393.288612639997</v>
      </c>
      <c r="AL28" s="12">
        <v>38393.288612639997</v>
      </c>
      <c r="AM28" s="12">
        <v>38393.288612639997</v>
      </c>
      <c r="AN28" s="12">
        <v>38393.288612639997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_xlfn.LET(_xlpm.site,$B$1&amp;"-"&amp;$C$1,_xlpm.locations,Base!$D$4:$BD$4,_xlpm.rates,Base!$D34:$BD34,_xlpm.hours,Base!$D77:$BD77,_xlpm.comp,_xlpm.rates*_xlpm.hours,_xlpm.Customer,_xlfn.ANCHORARRAY($E$1),
_xlpm.Customer_comp,_xlfn.XLOOKUP(_xlpm.site,_xlpm.locations,_xlpm.comp,0,0),_xlpm.ann_incr,_xlfn.XLOOKUP(YEAR(_xlfn.ANCHORARRAY($E$25)),Base!$BJ$4:$BL$4,Base!$BJ77:$BL77,0,0),
_xlpm.bad_debt,_xlfn.XLOOKUP(_xlpm.site,_xlpm.locations,Base!$D$28:$BD$28,0,0),_xlpm.Customer_comp*_xlpm.Customer*_xlpm.bad_debt*_xlpm.ann_incr*(52/12))</f>
        <v>3127.5672479999998</v>
      </c>
      <c r="F29" s="12">
        <v>3127.5672479999998</v>
      </c>
      <c r="G29" s="12">
        <v>3127.5672479999998</v>
      </c>
      <c r="H29" s="12">
        <v>3127.5672479999998</v>
      </c>
      <c r="I29" s="12">
        <v>3127.5672479999998</v>
      </c>
      <c r="J29" s="12">
        <v>3127.5672479999998</v>
      </c>
      <c r="K29" s="12">
        <v>3127.5672479999998</v>
      </c>
      <c r="L29" s="12">
        <v>3127.5672479999998</v>
      </c>
      <c r="M29" s="12">
        <v>3127.5672479999998</v>
      </c>
      <c r="N29" s="12">
        <v>3127.5672479999998</v>
      </c>
      <c r="O29" s="12">
        <v>3127.5672479999998</v>
      </c>
      <c r="P29" s="12">
        <v>3127.5672479999998</v>
      </c>
      <c r="Q29" s="12">
        <v>3221.3942654400003</v>
      </c>
      <c r="R29" s="12">
        <v>3221.3942654400003</v>
      </c>
      <c r="S29" s="12">
        <v>3221.3942654400003</v>
      </c>
      <c r="T29" s="12">
        <v>3221.3942654400003</v>
      </c>
      <c r="U29" s="12">
        <v>3221.3942654400003</v>
      </c>
      <c r="V29" s="12">
        <v>3221.3942654400003</v>
      </c>
      <c r="W29" s="12">
        <v>3221.3942654400003</v>
      </c>
      <c r="X29" s="12">
        <v>3221.3942654400003</v>
      </c>
      <c r="Y29" s="12">
        <v>3221.3942654400003</v>
      </c>
      <c r="Z29" s="12">
        <v>3221.3942654400003</v>
      </c>
      <c r="AA29" s="12">
        <v>3221.3942654400003</v>
      </c>
      <c r="AB29" s="12">
        <v>3221.3942654400003</v>
      </c>
      <c r="AC29" s="12">
        <v>3221.3942654400003</v>
      </c>
      <c r="AD29" s="12">
        <v>3221.3942654400003</v>
      </c>
      <c r="AE29" s="12">
        <v>3221.3942654400003</v>
      </c>
      <c r="AF29" s="12">
        <v>3221.3942654400003</v>
      </c>
      <c r="AG29" s="12">
        <v>3221.3942654400003</v>
      </c>
      <c r="AH29" s="12">
        <v>3221.3942654400003</v>
      </c>
      <c r="AI29" s="12">
        <v>3221.3942654400003</v>
      </c>
      <c r="AJ29" s="12">
        <v>3221.3942654400003</v>
      </c>
      <c r="AK29" s="12">
        <v>3221.3942654400003</v>
      </c>
      <c r="AL29" s="12">
        <v>3221.3942654400003</v>
      </c>
      <c r="AM29" s="12">
        <v>3221.3942654400003</v>
      </c>
      <c r="AN29" s="12">
        <v>3221.3942654400003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_xlfn.LET(_xlpm.site,$B$1&amp;"-"&amp;$C$1,_xlpm.locations,Base!$D$4:$BD$4,_xlpm.rates,Base!$D35:$BD35,_xlpm.hours,Base!$D78:$BD78,_xlpm.comp,_xlpm.rates*_xlpm.hours,_xlpm.Customer,_xlfn.ANCHORARRAY($E$1),
_xlpm.Customer_comp,_xlfn.XLOOKUP(_xlpm.site,_xlpm.locations,_xlpm.comp,0,0),_xlpm.ann_incr,_xlfn.XLOOKUP(YEAR(_xlfn.ANCHORARRAY($E$25)),Base!$BJ$4:$BL$4,Base!$BJ78:$BL78,0,0),
_xlpm.bad_debt,_xlfn.XLOOKUP(_xlpm.site,_xlpm.locations,Base!$D$28:$BD$28,0,0),_xlpm.Customer_comp*_xlpm.Customer*_xlpm.bad_debt*_xlpm.ann_incr*(52/12))</f>
        <v>7230.9853439999997</v>
      </c>
      <c r="F30" s="12">
        <v>7230.9853439999997</v>
      </c>
      <c r="G30" s="12">
        <v>7230.9853439999997</v>
      </c>
      <c r="H30" s="12">
        <v>7230.9853439999997</v>
      </c>
      <c r="I30" s="12">
        <v>7230.9853439999997</v>
      </c>
      <c r="J30" s="12">
        <v>7230.9853439999997</v>
      </c>
      <c r="K30" s="12">
        <v>7230.9853439999997</v>
      </c>
      <c r="L30" s="12">
        <v>7230.9853439999997</v>
      </c>
      <c r="M30" s="12">
        <v>7230.9853439999997</v>
      </c>
      <c r="N30" s="12">
        <v>7230.9853439999997</v>
      </c>
      <c r="O30" s="12">
        <v>7230.9853439999997</v>
      </c>
      <c r="P30" s="12">
        <v>7230.9853439999997</v>
      </c>
      <c r="Q30" s="12">
        <v>7447.9149043199996</v>
      </c>
      <c r="R30" s="12">
        <v>7447.9149043199996</v>
      </c>
      <c r="S30" s="12">
        <v>7447.9149043199996</v>
      </c>
      <c r="T30" s="12">
        <v>7447.9149043199996</v>
      </c>
      <c r="U30" s="12">
        <v>7447.9149043199996</v>
      </c>
      <c r="V30" s="12">
        <v>7447.9149043199996</v>
      </c>
      <c r="W30" s="12">
        <v>7447.9149043199996</v>
      </c>
      <c r="X30" s="12">
        <v>7447.9149043199996</v>
      </c>
      <c r="Y30" s="12">
        <v>7447.9149043199996</v>
      </c>
      <c r="Z30" s="12">
        <v>7447.9149043199996</v>
      </c>
      <c r="AA30" s="12">
        <v>7447.9149043199996</v>
      </c>
      <c r="AB30" s="12">
        <v>7447.9149043199996</v>
      </c>
      <c r="AC30" s="12">
        <v>7447.9149043199996</v>
      </c>
      <c r="AD30" s="12">
        <v>7447.9149043199996</v>
      </c>
      <c r="AE30" s="12">
        <v>7447.9149043199996</v>
      </c>
      <c r="AF30" s="12">
        <v>7447.9149043199996</v>
      </c>
      <c r="AG30" s="12">
        <v>7447.9149043199996</v>
      </c>
      <c r="AH30" s="12">
        <v>7447.9149043199996</v>
      </c>
      <c r="AI30" s="12">
        <v>7447.9149043199996</v>
      </c>
      <c r="AJ30" s="12">
        <v>7447.9149043199996</v>
      </c>
      <c r="AK30" s="12">
        <v>7447.9149043199996</v>
      </c>
      <c r="AL30" s="12">
        <v>7447.9149043199996</v>
      </c>
      <c r="AM30" s="12">
        <v>7447.9149043199996</v>
      </c>
      <c r="AN30" s="12">
        <v>7447.9149043199996</v>
      </c>
    </row>
    <row r="31" spans="2:50" x14ac:dyDescent="0.25">
      <c r="B31" s="39" t="str">
        <f>Base!B36</f>
        <v>Tertiary Direct Staff - Service A</v>
      </c>
      <c r="C31" s="4"/>
      <c r="E31" s="183" cm="1">
        <f t="array" ref="E31:AN31">_xlfn.LET(_xlpm.site,$B$1&amp;"-"&amp;$C$1,_xlpm.locations,Base!$D$4:$BD$4,_xlpm.rates,Base!$D36:$BD36,_xlpm.hours,Base!$D79:$BD79,_xlpm.comp,_xlpm.rates*_xlpm.hours,_xlpm.Customer,_xlfn.ANCHORARRAY($E$1)*0,
_xlpm.Customer_comp,_xlfn.XLOOKUP(_xlpm.site,_xlpm.locations,_xlpm.comp,0,0),_xlpm.ann_incr,_xlfn.XLOOKUP(YEAR(_xlfn.ANCHORARRAY($E$25)),Base!$BJ$4:$BL$4,Base!$BJ79:$BL79,0,0),
_xlpm.bad_debt,_xlfn.XLOOKUP(_xlpm.site,_xlpm.locations,Base!$D$28:$BD$28,0,0),_xlpm.Customer_comp*_xlpm.Customer*_xlpm.bad_debt*_xlpm.ann_incr*(52/12))</f>
        <v>0</v>
      </c>
      <c r="F31" s="183">
        <v>0</v>
      </c>
      <c r="G31" s="183">
        <v>0</v>
      </c>
      <c r="H31" s="183">
        <v>0</v>
      </c>
      <c r="I31" s="183">
        <v>0</v>
      </c>
      <c r="J31" s="183">
        <v>0</v>
      </c>
      <c r="K31" s="183">
        <v>0</v>
      </c>
      <c r="L31" s="183">
        <v>0</v>
      </c>
      <c r="M31" s="183">
        <v>0</v>
      </c>
      <c r="N31" s="183">
        <v>0</v>
      </c>
      <c r="O31" s="183">
        <v>0</v>
      </c>
      <c r="P31" s="183">
        <v>0</v>
      </c>
      <c r="Q31" s="183">
        <v>0</v>
      </c>
      <c r="R31" s="183">
        <v>0</v>
      </c>
      <c r="S31" s="183">
        <v>0</v>
      </c>
      <c r="T31" s="183">
        <v>0</v>
      </c>
      <c r="U31" s="183">
        <v>0</v>
      </c>
      <c r="V31" s="183">
        <v>0</v>
      </c>
      <c r="W31" s="183">
        <v>0</v>
      </c>
      <c r="X31" s="183">
        <v>0</v>
      </c>
      <c r="Y31" s="183">
        <v>0</v>
      </c>
      <c r="Z31" s="183">
        <v>0</v>
      </c>
      <c r="AA31" s="183">
        <v>0</v>
      </c>
      <c r="AB31" s="183">
        <v>0</v>
      </c>
      <c r="AC31" s="183">
        <v>0</v>
      </c>
      <c r="AD31" s="183">
        <v>0</v>
      </c>
      <c r="AE31" s="183">
        <v>0</v>
      </c>
      <c r="AF31" s="183">
        <v>0</v>
      </c>
      <c r="AG31" s="183">
        <v>0</v>
      </c>
      <c r="AH31" s="183">
        <v>0</v>
      </c>
      <c r="AI31" s="183">
        <v>0</v>
      </c>
      <c r="AJ31" s="183">
        <v>0</v>
      </c>
      <c r="AK31" s="183">
        <v>0</v>
      </c>
      <c r="AL31" s="183">
        <v>0</v>
      </c>
      <c r="AM31" s="183">
        <v>0</v>
      </c>
      <c r="AN31" s="183">
        <v>0</v>
      </c>
    </row>
    <row r="32" spans="2:50" x14ac:dyDescent="0.25">
      <c r="B32" s="39" t="str">
        <f>Base!B37</f>
        <v>Tertiary Direct Staff - Service B</v>
      </c>
      <c r="C32" s="4"/>
      <c r="E32" s="183" cm="1">
        <f t="array" ref="E32:AN32">_xlfn.LET(_xlpm.site,$B$1&amp;"-"&amp;$C$1,_xlpm.locations,Base!$D$4:$BD$4,_xlpm.rates,Base!$D37:$BD37,_xlpm.hours,Base!$D80:$BD80,_xlpm.comp,_xlpm.rates*_xlpm.hours,_xlpm.Customer,_xlfn.ANCHORARRAY($E$1)*0,
_xlpm.Customer_comp,_xlfn.XLOOKUP(_xlpm.site,_xlpm.locations,_xlpm.comp,0,0),_xlpm.ann_incr,_xlfn.XLOOKUP(YEAR(_xlfn.ANCHORARRAY($E$25)),Base!$BJ$4:$BL$4,Base!$BJ80:$BL80,0,0),
_xlpm.bad_debt,_xlfn.XLOOKUP(_xlpm.site,_xlpm.locations,Base!$D$28:$BD$28,0,0),_xlpm.Customer_comp*_xlpm.Customer*_xlpm.bad_debt*_xlpm.ann_incr*(52/12))</f>
        <v>0</v>
      </c>
      <c r="F32" s="183">
        <v>0</v>
      </c>
      <c r="G32" s="183">
        <v>0</v>
      </c>
      <c r="H32" s="183">
        <v>0</v>
      </c>
      <c r="I32" s="183">
        <v>0</v>
      </c>
      <c r="J32" s="183">
        <v>0</v>
      </c>
      <c r="K32" s="183">
        <v>0</v>
      </c>
      <c r="L32" s="183">
        <v>0</v>
      </c>
      <c r="M32" s="183">
        <v>0</v>
      </c>
      <c r="N32" s="183">
        <v>0</v>
      </c>
      <c r="O32" s="183">
        <v>0</v>
      </c>
      <c r="P32" s="183">
        <v>0</v>
      </c>
      <c r="Q32" s="183">
        <v>0</v>
      </c>
      <c r="R32" s="183">
        <v>0</v>
      </c>
      <c r="S32" s="183">
        <v>0</v>
      </c>
      <c r="T32" s="183">
        <v>0</v>
      </c>
      <c r="U32" s="183">
        <v>0</v>
      </c>
      <c r="V32" s="183">
        <v>0</v>
      </c>
      <c r="W32" s="183">
        <v>0</v>
      </c>
      <c r="X32" s="183">
        <v>0</v>
      </c>
      <c r="Y32" s="183">
        <v>0</v>
      </c>
      <c r="Z32" s="183">
        <v>0</v>
      </c>
      <c r="AA32" s="183">
        <v>0</v>
      </c>
      <c r="AB32" s="183">
        <v>0</v>
      </c>
      <c r="AC32" s="183">
        <v>0</v>
      </c>
      <c r="AD32" s="183">
        <v>0</v>
      </c>
      <c r="AE32" s="183">
        <v>0</v>
      </c>
      <c r="AF32" s="183">
        <v>0</v>
      </c>
      <c r="AG32" s="183">
        <v>0</v>
      </c>
      <c r="AH32" s="183">
        <v>0</v>
      </c>
      <c r="AI32" s="183">
        <v>0</v>
      </c>
      <c r="AJ32" s="183">
        <v>0</v>
      </c>
      <c r="AK32" s="183">
        <v>0</v>
      </c>
      <c r="AL32" s="183">
        <v>0</v>
      </c>
      <c r="AM32" s="183">
        <v>0</v>
      </c>
      <c r="AN32" s="183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_xlpm.Customer,_xlfn.ANCHORARRAY($E$2),_xlpm.ann_incr,_xlfn.XLOOKUP(YEAR(_xlfn.ANCHORARRAY($E$25)),Base!$BJ$4:$BL$4,Base!$BJ$81:$BL$81,0,0),
_xlpm.bad_debt,_xlfn.XLOOKUP(_xlpm.site,_xlpm.locations,Base!$D$28:$BD$28,0,0),
_xlpm.comp*_xlpm.bad_debt*_xlpm.ann_incr*(52/12))</f>
        <v>0</v>
      </c>
      <c r="F33" s="12">
        <v>0</v>
      </c>
      <c r="G33" s="12">
        <v>0</v>
      </c>
      <c r="H33" s="12">
        <v>0</v>
      </c>
      <c r="I33" s="12">
        <v>0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2">
        <v>0</v>
      </c>
      <c r="Y33" s="12">
        <v>0</v>
      </c>
      <c r="Z33" s="12">
        <v>0</v>
      </c>
      <c r="AA33" s="12">
        <v>0</v>
      </c>
      <c r="AB33" s="12">
        <v>0</v>
      </c>
      <c r="AC33" s="12">
        <v>0</v>
      </c>
      <c r="AD33" s="12">
        <v>0</v>
      </c>
      <c r="AE33" s="12">
        <v>0</v>
      </c>
      <c r="AF33" s="12">
        <v>0</v>
      </c>
      <c r="AG33" s="12">
        <v>0</v>
      </c>
      <c r="AH33" s="12">
        <v>0</v>
      </c>
      <c r="AI33" s="12">
        <v>0</v>
      </c>
      <c r="AJ33" s="12">
        <v>0</v>
      </c>
      <c r="AK33" s="12">
        <v>0</v>
      </c>
      <c r="AL33" s="12">
        <v>0</v>
      </c>
      <c r="AM33" s="12">
        <v>0</v>
      </c>
      <c r="AN33" s="12">
        <v>0</v>
      </c>
    </row>
    <row r="34" spans="2:40" x14ac:dyDescent="0.25">
      <c r="B34" s="39" t="str">
        <f>Base!B39</f>
        <v>Quinary Direct Staff - Service A</v>
      </c>
      <c r="C34" s="4"/>
      <c r="E34" s="183" cm="1">
        <f t="array" ref="E34:AN34">_xlfn.LET(_xlpm.site,$B$1&amp;"-"&amp;$C$1,_xlpm.locations,Base!$D$4:$BD$4,_xlpm.rates,Base!$D39:$BD39,_xlpm.hours,Base!$D82:$BD82,_xlpm.comp,_xlpm.rates*_xlpm.hours,_xlpm.Customer,_xlfn.ANCHORARRAY($E$1)*0,
_xlpm.Customer_comp,_xlfn.XLOOKUP(_xlpm.site,_xlpm.locations,_xlpm.comp,0,0),_xlpm.ann_incr,_xlfn.XLOOKUP(YEAR(_xlfn.ANCHORARRAY($E$25)),Base!$BJ$4:$BL$4,Base!$BJ82:$BL82,0,0),
_xlpm.bad_debt,_xlfn.XLOOKUP(_xlpm.site,_xlpm.locations,Base!$D$28:$BD$28,0,0),_xlpm.Customer_comp*_xlpm.Customer*_xlpm.bad_debt*_xlpm.ann_incr*(52/12))</f>
        <v>0</v>
      </c>
      <c r="F34" s="183">
        <v>0</v>
      </c>
      <c r="G34" s="183">
        <v>0</v>
      </c>
      <c r="H34" s="183">
        <v>0</v>
      </c>
      <c r="I34" s="183">
        <v>0</v>
      </c>
      <c r="J34" s="183">
        <v>0</v>
      </c>
      <c r="K34" s="183">
        <v>0</v>
      </c>
      <c r="L34" s="183">
        <v>0</v>
      </c>
      <c r="M34" s="183">
        <v>0</v>
      </c>
      <c r="N34" s="183">
        <v>0</v>
      </c>
      <c r="O34" s="183">
        <v>0</v>
      </c>
      <c r="P34" s="183">
        <v>0</v>
      </c>
      <c r="Q34" s="183">
        <v>0</v>
      </c>
      <c r="R34" s="183">
        <v>0</v>
      </c>
      <c r="S34" s="183">
        <v>0</v>
      </c>
      <c r="T34" s="183">
        <v>0</v>
      </c>
      <c r="U34" s="183">
        <v>0</v>
      </c>
      <c r="V34" s="183">
        <v>0</v>
      </c>
      <c r="W34" s="183">
        <v>0</v>
      </c>
      <c r="X34" s="183">
        <v>0</v>
      </c>
      <c r="Y34" s="183">
        <v>0</v>
      </c>
      <c r="Z34" s="183">
        <v>0</v>
      </c>
      <c r="AA34" s="183">
        <v>0</v>
      </c>
      <c r="AB34" s="183">
        <v>0</v>
      </c>
      <c r="AC34" s="183">
        <v>0</v>
      </c>
      <c r="AD34" s="183">
        <v>0</v>
      </c>
      <c r="AE34" s="183">
        <v>0</v>
      </c>
      <c r="AF34" s="183">
        <v>0</v>
      </c>
      <c r="AG34" s="183">
        <v>0</v>
      </c>
      <c r="AH34" s="183">
        <v>0</v>
      </c>
      <c r="AI34" s="183">
        <v>0</v>
      </c>
      <c r="AJ34" s="183">
        <v>0</v>
      </c>
      <c r="AK34" s="183">
        <v>0</v>
      </c>
      <c r="AL34" s="183">
        <v>0</v>
      </c>
      <c r="AM34" s="183">
        <v>0</v>
      </c>
      <c r="AN34" s="183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-22862.548054079998</v>
      </c>
      <c r="F35" s="12">
        <v>-22862.548054079998</v>
      </c>
      <c r="G35" s="12">
        <v>-22862.548054079998</v>
      </c>
      <c r="H35" s="12">
        <v>-22862.548054079998</v>
      </c>
      <c r="I35" s="12">
        <v>-22862.548054079998</v>
      </c>
      <c r="J35" s="12">
        <v>-22862.548054079998</v>
      </c>
      <c r="K35" s="12">
        <v>-22862.548054079998</v>
      </c>
      <c r="L35" s="12">
        <v>-22862.548054079998</v>
      </c>
      <c r="M35" s="12">
        <v>-22862.548054079998</v>
      </c>
      <c r="N35" s="12">
        <v>-22862.548054079998</v>
      </c>
      <c r="O35" s="12">
        <v>-22862.548054079998</v>
      </c>
      <c r="P35" s="12">
        <v>-22862.548054079998</v>
      </c>
      <c r="Q35" s="12">
        <v>-23548.424495702398</v>
      </c>
      <c r="R35" s="12">
        <v>-23548.424495702398</v>
      </c>
      <c r="S35" s="12">
        <v>-23548.424495702398</v>
      </c>
      <c r="T35" s="12">
        <v>-23548.424495702398</v>
      </c>
      <c r="U35" s="12">
        <v>-23548.424495702398</v>
      </c>
      <c r="V35" s="12">
        <v>-23548.424495702398</v>
      </c>
      <c r="W35" s="12">
        <v>-23548.424495702398</v>
      </c>
      <c r="X35" s="12">
        <v>-23548.424495702398</v>
      </c>
      <c r="Y35" s="12">
        <v>-23548.424495702398</v>
      </c>
      <c r="Z35" s="12">
        <v>-23548.424495702398</v>
      </c>
      <c r="AA35" s="12">
        <v>-23548.424495702398</v>
      </c>
      <c r="AB35" s="12">
        <v>-23548.424495702398</v>
      </c>
      <c r="AC35" s="12">
        <v>-23548.424495702398</v>
      </c>
      <c r="AD35" s="12">
        <v>-23548.424495702398</v>
      </c>
      <c r="AE35" s="12">
        <v>-23548.424495702398</v>
      </c>
      <c r="AF35" s="12">
        <v>-23548.424495702398</v>
      </c>
      <c r="AG35" s="12">
        <v>-23548.424495702398</v>
      </c>
      <c r="AH35" s="12">
        <v>-23548.424495702398</v>
      </c>
      <c r="AI35" s="12">
        <v>-23548.424495702398</v>
      </c>
      <c r="AJ35" s="12">
        <v>-23548.424495702398</v>
      </c>
      <c r="AK35" s="12">
        <v>-23548.424495702398</v>
      </c>
      <c r="AL35" s="12">
        <v>-23548.424495702398</v>
      </c>
      <c r="AM35" s="12">
        <v>-23548.424495702398</v>
      </c>
      <c r="AN35" s="12">
        <v>-23548.424495702398</v>
      </c>
    </row>
    <row r="36" spans="2:40" x14ac:dyDescent="0.25">
      <c r="B36" s="39" t="s">
        <v>261</v>
      </c>
      <c r="C36" s="15"/>
      <c r="E36" s="183" cm="1">
        <f t="array" ref="E36:AN36">_xlfn.BYCOL(_xlfn.ANCHORARRAY($E$25),_xlfn.LAMBDA(_xlpm.a,0))</f>
        <v>0</v>
      </c>
      <c r="F36" s="183">
        <v>0</v>
      </c>
      <c r="G36" s="183">
        <v>0</v>
      </c>
      <c r="H36" s="183">
        <v>0</v>
      </c>
      <c r="I36" s="183">
        <v>0</v>
      </c>
      <c r="J36" s="183">
        <v>0</v>
      </c>
      <c r="K36" s="183">
        <v>0</v>
      </c>
      <c r="L36" s="183">
        <v>0</v>
      </c>
      <c r="M36" s="183">
        <v>0</v>
      </c>
      <c r="N36" s="183">
        <v>0</v>
      </c>
      <c r="O36" s="183">
        <v>0</v>
      </c>
      <c r="P36" s="183">
        <v>0</v>
      </c>
      <c r="Q36" s="183">
        <v>0</v>
      </c>
      <c r="R36" s="183">
        <v>0</v>
      </c>
      <c r="S36" s="183">
        <v>0</v>
      </c>
      <c r="T36" s="183">
        <v>0</v>
      </c>
      <c r="U36" s="183">
        <v>0</v>
      </c>
      <c r="V36" s="183">
        <v>0</v>
      </c>
      <c r="W36" s="183">
        <v>0</v>
      </c>
      <c r="X36" s="183">
        <v>0</v>
      </c>
      <c r="Y36" s="183">
        <v>0</v>
      </c>
      <c r="Z36" s="183">
        <v>0</v>
      </c>
      <c r="AA36" s="183">
        <v>0</v>
      </c>
      <c r="AB36" s="183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271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167658.68572991999</v>
      </c>
      <c r="F37" s="13">
        <v>167658.68572991999</v>
      </c>
      <c r="G37" s="13">
        <v>167658.68572991999</v>
      </c>
      <c r="H37" s="13">
        <v>167658.68572991999</v>
      </c>
      <c r="I37" s="13">
        <v>167658.68572991999</v>
      </c>
      <c r="J37" s="13">
        <v>167658.68572991999</v>
      </c>
      <c r="K37" s="13">
        <v>167658.68572991999</v>
      </c>
      <c r="L37" s="13">
        <v>167658.68572991999</v>
      </c>
      <c r="M37" s="13">
        <v>167658.68572991999</v>
      </c>
      <c r="N37" s="13">
        <v>167658.68572991999</v>
      </c>
      <c r="O37" s="13">
        <v>167658.68572991999</v>
      </c>
      <c r="P37" s="13">
        <v>167658.68572991999</v>
      </c>
      <c r="Q37" s="13">
        <v>172688.44630181757</v>
      </c>
      <c r="R37" s="13">
        <v>172688.44630181757</v>
      </c>
      <c r="S37" s="13">
        <v>172688.44630181757</v>
      </c>
      <c r="T37" s="13">
        <v>172688.44630181757</v>
      </c>
      <c r="U37" s="13">
        <v>172688.44630181757</v>
      </c>
      <c r="V37" s="13">
        <v>172688.44630181757</v>
      </c>
      <c r="W37" s="13">
        <v>172688.44630181757</v>
      </c>
      <c r="X37" s="13">
        <v>172688.44630181757</v>
      </c>
      <c r="Y37" s="13">
        <v>172688.44630181757</v>
      </c>
      <c r="Z37" s="13">
        <v>172688.44630181757</v>
      </c>
      <c r="AA37" s="13">
        <v>172688.44630181757</v>
      </c>
      <c r="AB37" s="13">
        <v>172688.44630181757</v>
      </c>
      <c r="AC37" s="13">
        <v>172688.44630181757</v>
      </c>
      <c r="AD37" s="13">
        <v>172688.44630181757</v>
      </c>
      <c r="AE37" s="13">
        <v>172688.44630181757</v>
      </c>
      <c r="AF37" s="13">
        <v>172688.44630181757</v>
      </c>
      <c r="AG37" s="13">
        <v>172688.44630181757</v>
      </c>
      <c r="AH37" s="13">
        <v>172688.44630181757</v>
      </c>
      <c r="AI37" s="13">
        <v>172688.44630181757</v>
      </c>
      <c r="AJ37" s="13">
        <v>172688.44630181757</v>
      </c>
      <c r="AK37" s="13">
        <v>172688.44630181757</v>
      </c>
      <c r="AL37" s="13">
        <v>172688.44630181757</v>
      </c>
      <c r="AM37" s="13">
        <v>172688.44630181757</v>
      </c>
      <c r="AN37" s="13">
        <v>172688.44630181757</v>
      </c>
    </row>
    <row r="38" spans="2:40" x14ac:dyDescent="0.25">
      <c r="E38" s="67"/>
      <c r="F38" s="67"/>
    </row>
    <row r="39" spans="2:40" x14ac:dyDescent="0.25">
      <c r="B39" s="1" t="s">
        <v>118</v>
      </c>
    </row>
    <row r="40" spans="2:40" x14ac:dyDescent="0.25">
      <c r="B40" s="39" t="s">
        <v>23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73133.135308417972</v>
      </c>
      <c r="F40" s="12">
        <v>73133.135308417972</v>
      </c>
      <c r="G40" s="12">
        <v>73133.135308417972</v>
      </c>
      <c r="H40" s="12">
        <v>73133.135308417972</v>
      </c>
      <c r="I40" s="12">
        <v>73133.135308417972</v>
      </c>
      <c r="J40" s="12">
        <v>73133.135308417972</v>
      </c>
      <c r="K40" s="12">
        <v>73133.135308417972</v>
      </c>
      <c r="L40" s="12">
        <v>73133.135308417972</v>
      </c>
      <c r="M40" s="12">
        <v>73133.135308417972</v>
      </c>
      <c r="N40" s="12">
        <v>73133.135308417972</v>
      </c>
      <c r="O40" s="12">
        <v>73133.135308417972</v>
      </c>
      <c r="P40" s="12">
        <v>73133.135308417972</v>
      </c>
      <c r="Q40" s="12">
        <v>80446.44883925977</v>
      </c>
      <c r="R40" s="12">
        <v>80446.44883925977</v>
      </c>
      <c r="S40" s="12">
        <v>80446.44883925977</v>
      </c>
      <c r="T40" s="12">
        <v>80446.44883925977</v>
      </c>
      <c r="U40" s="12">
        <v>80446.44883925977</v>
      </c>
      <c r="V40" s="12">
        <v>80446.44883925977</v>
      </c>
      <c r="W40" s="12">
        <v>80446.44883925977</v>
      </c>
      <c r="X40" s="12">
        <v>80446.44883925977</v>
      </c>
      <c r="Y40" s="12">
        <v>80446.44883925977</v>
      </c>
      <c r="Z40" s="12">
        <v>80446.44883925977</v>
      </c>
      <c r="AA40" s="12">
        <v>80446.44883925977</v>
      </c>
      <c r="AB40" s="12">
        <v>80446.44883925977</v>
      </c>
      <c r="AC40" s="12">
        <v>88491.093723185768</v>
      </c>
      <c r="AD40" s="12">
        <v>88491.093723185768</v>
      </c>
      <c r="AE40" s="12">
        <v>88491.093723185768</v>
      </c>
      <c r="AF40" s="12">
        <v>88491.093723185768</v>
      </c>
      <c r="AG40" s="12">
        <v>88491.093723185768</v>
      </c>
      <c r="AH40" s="12">
        <v>88491.093723185768</v>
      </c>
      <c r="AI40" s="12">
        <v>88491.093723185768</v>
      </c>
      <c r="AJ40" s="12">
        <v>88491.093723185768</v>
      </c>
      <c r="AK40" s="12">
        <v>88491.093723185768</v>
      </c>
      <c r="AL40" s="12">
        <v>88491.093723185768</v>
      </c>
      <c r="AM40" s="12">
        <v>88491.093723185768</v>
      </c>
      <c r="AN40" s="12">
        <v>88491.093723185768</v>
      </c>
    </row>
    <row r="41" spans="2:40" x14ac:dyDescent="0.25">
      <c r="B41" s="39" t="s">
        <v>388</v>
      </c>
      <c r="C41" s="142">
        <f>_xlfn.XLOOKUP($B$1&amp;"-"&amp;$C$1,Base!$D$4:$BD$4,Base!$D$12:$BD$12,0,0)</f>
        <v>0</v>
      </c>
      <c r="E41" s="183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28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0</v>
      </c>
      <c r="AJ42" s="12">
        <v>0</v>
      </c>
      <c r="AK42" s="12">
        <v>0</v>
      </c>
      <c r="AL42" s="12">
        <v>0</v>
      </c>
      <c r="AM42" s="12">
        <v>0</v>
      </c>
      <c r="AN42" s="12">
        <v>0</v>
      </c>
    </row>
    <row r="43" spans="2:40" x14ac:dyDescent="0.25">
      <c r="B43" s="39" t="s">
        <v>31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0</v>
      </c>
      <c r="X43" s="12">
        <v>0</v>
      </c>
      <c r="Y43" s="12">
        <v>0</v>
      </c>
      <c r="Z43" s="12">
        <v>0</v>
      </c>
      <c r="AA43" s="12">
        <v>0</v>
      </c>
      <c r="AB43" s="12">
        <v>0</v>
      </c>
      <c r="AC43" s="12">
        <v>0</v>
      </c>
      <c r="AD43" s="12">
        <v>0</v>
      </c>
      <c r="AE43" s="12">
        <v>0</v>
      </c>
      <c r="AF43" s="12">
        <v>0</v>
      </c>
      <c r="AG43" s="12">
        <v>0</v>
      </c>
      <c r="AH43" s="12">
        <v>0</v>
      </c>
      <c r="AI43" s="12">
        <v>0</v>
      </c>
      <c r="AJ43" s="12">
        <v>0</v>
      </c>
      <c r="AK43" s="12">
        <v>0</v>
      </c>
      <c r="AL43" s="12">
        <v>0</v>
      </c>
      <c r="AM43" s="12">
        <v>0</v>
      </c>
      <c r="AN43" s="12">
        <v>0</v>
      </c>
    </row>
    <row r="44" spans="2:40" x14ac:dyDescent="0.25">
      <c r="B44" s="39" t="s">
        <v>34</v>
      </c>
      <c r="C44" s="96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1064.7303999999999</v>
      </c>
      <c r="F44" s="12">
        <v>1064.7303999999999</v>
      </c>
      <c r="G44" s="12">
        <v>1064.7303999999999</v>
      </c>
      <c r="H44" s="12">
        <v>1064.7303999999999</v>
      </c>
      <c r="I44" s="12">
        <v>1064.7303999999999</v>
      </c>
      <c r="J44" s="12">
        <v>1064.7303999999999</v>
      </c>
      <c r="K44" s="12">
        <v>1064.7303999999999</v>
      </c>
      <c r="L44" s="12">
        <v>1064.7303999999999</v>
      </c>
      <c r="M44" s="12">
        <v>1064.7303999999999</v>
      </c>
      <c r="N44" s="12">
        <v>1064.7303999999999</v>
      </c>
      <c r="O44" s="12">
        <v>1064.7303999999999</v>
      </c>
      <c r="P44" s="12">
        <v>1064.7303999999999</v>
      </c>
      <c r="Q44" s="12">
        <v>1107.3196159999998</v>
      </c>
      <c r="R44" s="12">
        <v>1107.3196159999998</v>
      </c>
      <c r="S44" s="12">
        <v>1107.3196159999998</v>
      </c>
      <c r="T44" s="12">
        <v>1107.3196159999998</v>
      </c>
      <c r="U44" s="12">
        <v>1107.3196159999998</v>
      </c>
      <c r="V44" s="12">
        <v>1107.3196159999998</v>
      </c>
      <c r="W44" s="12">
        <v>1107.3196159999998</v>
      </c>
      <c r="X44" s="12">
        <v>1107.3196159999998</v>
      </c>
      <c r="Y44" s="12">
        <v>1107.3196159999998</v>
      </c>
      <c r="Z44" s="12">
        <v>1107.3196159999998</v>
      </c>
      <c r="AA44" s="12">
        <v>1107.3196159999998</v>
      </c>
      <c r="AB44" s="12">
        <v>1107.3196159999998</v>
      </c>
      <c r="AC44" s="12">
        <v>1151.61240064</v>
      </c>
      <c r="AD44" s="12">
        <v>1151.61240064</v>
      </c>
      <c r="AE44" s="12">
        <v>1151.61240064</v>
      </c>
      <c r="AF44" s="12">
        <v>1151.61240064</v>
      </c>
      <c r="AG44" s="12">
        <v>1151.61240064</v>
      </c>
      <c r="AH44" s="12">
        <v>1151.61240064</v>
      </c>
      <c r="AI44" s="12">
        <v>1151.61240064</v>
      </c>
      <c r="AJ44" s="12">
        <v>1151.61240064</v>
      </c>
      <c r="AK44" s="12">
        <v>1151.61240064</v>
      </c>
      <c r="AL44" s="12">
        <v>1151.61240064</v>
      </c>
      <c r="AM44" s="12">
        <v>1151.61240064</v>
      </c>
      <c r="AN44" s="12">
        <v>1151.61240064</v>
      </c>
    </row>
    <row r="45" spans="2:40" x14ac:dyDescent="0.25">
      <c r="B45" s="39" t="s">
        <v>36</v>
      </c>
      <c r="C45" s="96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0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12">
        <v>0</v>
      </c>
      <c r="R45" s="12">
        <v>0</v>
      </c>
      <c r="S45" s="12">
        <v>0</v>
      </c>
      <c r="T45" s="12">
        <v>0</v>
      </c>
      <c r="U45" s="12">
        <v>0</v>
      </c>
      <c r="V45" s="12">
        <v>0</v>
      </c>
      <c r="W45" s="12">
        <v>0</v>
      </c>
      <c r="X45" s="12">
        <v>0</v>
      </c>
      <c r="Y45" s="12">
        <v>0</v>
      </c>
      <c r="Z45" s="12">
        <v>0</v>
      </c>
      <c r="AA45" s="12">
        <v>0</v>
      </c>
      <c r="AB45" s="12">
        <v>0</v>
      </c>
      <c r="AC45" s="12">
        <v>0</v>
      </c>
      <c r="AD45" s="12">
        <v>0</v>
      </c>
      <c r="AE45" s="12">
        <v>0</v>
      </c>
      <c r="AF45" s="12">
        <v>0</v>
      </c>
      <c r="AG45" s="12">
        <v>0</v>
      </c>
      <c r="AH45" s="12">
        <v>0</v>
      </c>
      <c r="AI45" s="12">
        <v>0</v>
      </c>
      <c r="AJ45" s="12">
        <v>0</v>
      </c>
      <c r="AK45" s="12">
        <v>0</v>
      </c>
      <c r="AL45" s="12">
        <v>0</v>
      </c>
      <c r="AM45" s="12">
        <v>0</v>
      </c>
      <c r="AN45" s="12">
        <v>0</v>
      </c>
    </row>
    <row r="46" spans="2:40" x14ac:dyDescent="0.25">
      <c r="B46" s="39" t="s">
        <v>38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6597.4999999999991</v>
      </c>
      <c r="F46" s="12">
        <v>6597.4999999999991</v>
      </c>
      <c r="G46" s="12">
        <v>6597.4999999999991</v>
      </c>
      <c r="H46" s="12">
        <v>6597.4999999999991</v>
      </c>
      <c r="I46" s="12">
        <v>6597.4999999999991</v>
      </c>
      <c r="J46" s="12">
        <v>6597.4999999999991</v>
      </c>
      <c r="K46" s="12">
        <v>6597.4999999999991</v>
      </c>
      <c r="L46" s="12">
        <v>6597.4999999999991</v>
      </c>
      <c r="M46" s="12">
        <v>6597.4999999999991</v>
      </c>
      <c r="N46" s="12">
        <v>6597.4999999999991</v>
      </c>
      <c r="O46" s="12">
        <v>6597.4999999999991</v>
      </c>
      <c r="P46" s="12">
        <v>6597.4999999999991</v>
      </c>
      <c r="Q46" s="12">
        <v>6729.4499999999989</v>
      </c>
      <c r="R46" s="12">
        <v>6729.4499999999989</v>
      </c>
      <c r="S46" s="12">
        <v>6729.4499999999989</v>
      </c>
      <c r="T46" s="12">
        <v>6729.4499999999989</v>
      </c>
      <c r="U46" s="12">
        <v>6729.4499999999989</v>
      </c>
      <c r="V46" s="12">
        <v>6729.4499999999989</v>
      </c>
      <c r="W46" s="12">
        <v>6729.4499999999989</v>
      </c>
      <c r="X46" s="12">
        <v>6729.4499999999989</v>
      </c>
      <c r="Y46" s="12">
        <v>6729.4499999999989</v>
      </c>
      <c r="Z46" s="12">
        <v>6729.4499999999989</v>
      </c>
      <c r="AA46" s="12">
        <v>6729.4499999999989</v>
      </c>
      <c r="AB46" s="12">
        <v>6729.4499999999989</v>
      </c>
      <c r="AC46" s="12">
        <v>6864.0389999999989</v>
      </c>
      <c r="AD46" s="12">
        <v>6864.0389999999989</v>
      </c>
      <c r="AE46" s="12">
        <v>6864.0389999999989</v>
      </c>
      <c r="AF46" s="12">
        <v>6864.0389999999989</v>
      </c>
      <c r="AG46" s="12">
        <v>6864.0389999999989</v>
      </c>
      <c r="AH46" s="12">
        <v>6864.0389999999989</v>
      </c>
      <c r="AI46" s="12">
        <v>6864.0389999999989</v>
      </c>
      <c r="AJ46" s="12">
        <v>6864.0389999999989</v>
      </c>
      <c r="AK46" s="12">
        <v>6864.0389999999989</v>
      </c>
      <c r="AL46" s="12">
        <v>6864.0389999999989</v>
      </c>
      <c r="AM46" s="12">
        <v>6864.0389999999989</v>
      </c>
      <c r="AN46" s="12">
        <v>6864.0389999999989</v>
      </c>
    </row>
    <row r="47" spans="2:40" x14ac:dyDescent="0.25">
      <c r="B47" s="39" t="s">
        <v>40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  <c r="O47" s="12">
        <v>0</v>
      </c>
      <c r="P47" s="12">
        <v>0</v>
      </c>
      <c r="Q47" s="12">
        <v>0</v>
      </c>
      <c r="R47" s="12">
        <v>0</v>
      </c>
      <c r="S47" s="12">
        <v>0</v>
      </c>
      <c r="T47" s="12">
        <v>0</v>
      </c>
      <c r="U47" s="12">
        <v>0</v>
      </c>
      <c r="V47" s="12">
        <v>0</v>
      </c>
      <c r="W47" s="12">
        <v>0</v>
      </c>
      <c r="X47" s="12">
        <v>0</v>
      </c>
      <c r="Y47" s="12">
        <v>0</v>
      </c>
      <c r="Z47" s="12">
        <v>0</v>
      </c>
      <c r="AA47" s="12">
        <v>0</v>
      </c>
      <c r="AB47" s="12">
        <v>0</v>
      </c>
      <c r="AC47" s="12">
        <v>0</v>
      </c>
      <c r="AD47" s="12">
        <v>0</v>
      </c>
      <c r="AE47" s="12">
        <v>0</v>
      </c>
      <c r="AF47" s="12">
        <v>0</v>
      </c>
      <c r="AG47" s="12">
        <v>0</v>
      </c>
      <c r="AH47" s="12">
        <v>0</v>
      </c>
      <c r="AI47" s="12">
        <v>0</v>
      </c>
      <c r="AJ47" s="12">
        <v>0</v>
      </c>
      <c r="AK47" s="12">
        <v>0</v>
      </c>
      <c r="AL47" s="12">
        <v>0</v>
      </c>
      <c r="AM47" s="12">
        <v>0</v>
      </c>
      <c r="AN47" s="12">
        <v>0</v>
      </c>
    </row>
    <row r="48" spans="2:40" x14ac:dyDescent="0.25">
      <c r="B48" s="39" t="s">
        <v>41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42</v>
      </c>
      <c r="E49" s="12">
        <f>'Corp.'!E$50*(E$37-(E31-E32-E34)*$C$35)/(SUM('MDA1:NCA9'!E$37)-SUM('MDA1:NCA9'!E$31)-SUM('MDA1:NCA9'!E$32)-SUM('MDA1:NCA9'!E$34))</f>
        <v>55573.253961009752</v>
      </c>
      <c r="F49" s="12">
        <f>'Corp.'!F$50*(F$37-(F31-F32-F34)*$C$35)/(SUM('MDA1:NCA9'!F$37)-SUM('MDA1:NCA9'!F$31)-SUM('MDA1:NCA9'!F$32)-SUM('MDA1:NCA9'!F$34))</f>
        <v>52164.030255002108</v>
      </c>
      <c r="G49" s="12">
        <f>'Corp.'!G$50*(G$37-(G31-G32-G34)*$C$35)/(SUM('MDA1:NCA9'!G$37)-SUM('MDA1:NCA9'!G$31)-SUM('MDA1:NCA9'!G$32)-SUM('MDA1:NCA9'!G$34))</f>
        <v>47475.446708237629</v>
      </c>
      <c r="H49" s="12">
        <f>'Corp.'!H$50*(H$37-(H31-H32-H34)*$C$35)/(SUM('MDA1:NCA9'!H$37)-SUM('MDA1:NCA9'!H$31)-SUM('MDA1:NCA9'!H$32)-SUM('MDA1:NCA9'!H$34))</f>
        <v>43405.959568427221</v>
      </c>
      <c r="I49" s="12">
        <f>'Corp.'!I$50*(I$37-(I31-I32-I34)*$C$35)/(SUM('MDA1:NCA9'!I$37)-SUM('MDA1:NCA9'!I$31)-SUM('MDA1:NCA9'!I$32)-SUM('MDA1:NCA9'!I$34))</f>
        <v>40845.282590738512</v>
      </c>
      <c r="J49" s="12">
        <f>'Corp.'!J$50*(J$37-(J31-J32-J34)*$C$35)/(SUM('MDA1:NCA9'!J$37)-SUM('MDA1:NCA9'!J$31)-SUM('MDA1:NCA9'!J$32)-SUM('MDA1:NCA9'!J$34))</f>
        <v>38176.736369385922</v>
      </c>
      <c r="K49" s="12">
        <f>'Corp.'!K$50*(K$37-(K31-K32-K34)*$C$35)/(SUM('MDA1:NCA9'!K$37)-SUM('MDA1:NCA9'!K$31)-SUM('MDA1:NCA9'!K$32)-SUM('MDA1:NCA9'!K$34))</f>
        <v>35064.884777844185</v>
      </c>
      <c r="L49" s="12">
        <f>'Corp.'!L$50*(L$37-(L31-L32-L34)*$C$35)/(SUM('MDA1:NCA9'!L$37)-SUM('MDA1:NCA9'!L$31)-SUM('MDA1:NCA9'!L$32)-SUM('MDA1:NCA9'!L$34))</f>
        <v>33136.240544102926</v>
      </c>
      <c r="M49" s="12">
        <f>'Corp.'!M$50*(M$37-(M31-M32-M34)*$C$35)/(SUM('MDA1:NCA9'!M$37)-SUM('MDA1:NCA9'!M$31)-SUM('MDA1:NCA9'!M$32)-SUM('MDA1:NCA9'!M$34))</f>
        <v>31053.701327230014</v>
      </c>
      <c r="N49" s="12">
        <f>'Corp.'!N$50*(N$37-(N31-N32-N34)*$C$35)/(SUM('MDA1:NCA9'!N$37)-SUM('MDA1:NCA9'!N$31)-SUM('MDA1:NCA9'!N$32)-SUM('MDA1:NCA9'!N$34))</f>
        <v>29261.314552084037</v>
      </c>
      <c r="O49" s="12">
        <f>'Corp.'!O$50*(O$37-(O31-O32-O34)*$C$35)/(SUM('MDA1:NCA9'!O$37)-SUM('MDA1:NCA9'!O$31)-SUM('MDA1:NCA9'!O$32)-SUM('MDA1:NCA9'!O$34))</f>
        <v>27385.636572022042</v>
      </c>
      <c r="P49" s="12">
        <f>'Corp.'!P$50*(P$37-(P31-P32-P34)*$C$35)/(SUM('MDA1:NCA9'!P$37)-SUM('MDA1:NCA9'!P$31)-SUM('MDA1:NCA9'!P$32)-SUM('MDA1:NCA9'!P$34))</f>
        <v>25842.383488547606</v>
      </c>
      <c r="Q49" s="12">
        <f>'Corp.'!Q$50*(Q$37-(Q31-Q32-Q34)*$C$35)/(SUM('MDA1:NCA9'!Q$37)-SUM('MDA1:NCA9'!Q$31)-SUM('MDA1:NCA9'!Q$32)-SUM('MDA1:NCA9'!Q$34))</f>
        <v>26715.285637054039</v>
      </c>
      <c r="R49" s="12">
        <f>'Corp.'!R$50*(R$37-(R31-R32-R34)*$C$35)/(SUM('MDA1:NCA9'!R$37)-SUM('MDA1:NCA9'!R$31)-SUM('MDA1:NCA9'!R$32)-SUM('MDA1:NCA9'!R$34))</f>
        <v>25703.398393194864</v>
      </c>
      <c r="S49" s="12">
        <f>'Corp.'!S$50*(S$37-(S31-S32-S34)*$C$35)/(SUM('MDA1:NCA9'!S$37)-SUM('MDA1:NCA9'!S$31)-SUM('MDA1:NCA9'!S$32)-SUM('MDA1:NCA9'!S$34))</f>
        <v>24591.129338964314</v>
      </c>
      <c r="T49" s="12">
        <f>'Corp.'!T$50*(T$37-(T31-T32-T34)*$C$35)/(SUM('MDA1:NCA9'!T$37)-SUM('MDA1:NCA9'!T$31)-SUM('MDA1:NCA9'!T$32)-SUM('MDA1:NCA9'!T$34))</f>
        <v>23649.637905573869</v>
      </c>
      <c r="U49" s="12">
        <f>'Corp.'!U$50*(U$37-(U31-U32-U34)*$C$35)/(SUM('MDA1:NCA9'!U$37)-SUM('MDA1:NCA9'!U$31)-SUM('MDA1:NCA9'!U$32)-SUM('MDA1:NCA9'!U$34))</f>
        <v>23004.138821938694</v>
      </c>
      <c r="V49" s="12">
        <f>'Corp.'!V$50*(V$37-(V31-V32-V34)*$C$35)/(SUM('MDA1:NCA9'!V$37)-SUM('MDA1:NCA9'!V$31)-SUM('MDA1:NCA9'!V$32)-SUM('MDA1:NCA9'!V$34))</f>
        <v>22477.864942703804</v>
      </c>
      <c r="W49" s="12">
        <f>'Corp.'!W$50*(W$37-(W31-W32-W34)*$C$35)/(SUM('MDA1:NCA9'!W$37)-SUM('MDA1:NCA9'!W$31)-SUM('MDA1:NCA9'!W$32)-SUM('MDA1:NCA9'!W$34))</f>
        <v>21794.706296202392</v>
      </c>
      <c r="X49" s="12">
        <f>'Corp.'!X$50*(X$37-(X31-X32-X34)*$C$35)/(SUM('MDA1:NCA9'!X$37)-SUM('MDA1:NCA9'!X$31)-SUM('MDA1:NCA9'!X$32)-SUM('MDA1:NCA9'!X$34))</f>
        <v>21112.016371749782</v>
      </c>
      <c r="Y49" s="12">
        <f>'Corp.'!Y$50*(Y$37-(Y31-Y32-Y34)*$C$35)/(SUM('MDA1:NCA9'!Y$37)-SUM('MDA1:NCA9'!Y$31)-SUM('MDA1:NCA9'!Y$32)-SUM('MDA1:NCA9'!Y$34))</f>
        <v>20664.728365822371</v>
      </c>
      <c r="Z49" s="12">
        <f>'Corp.'!Z$50*(Z$37-(Z31-Z32-Z34)*$C$35)/(SUM('MDA1:NCA9'!Z$37)-SUM('MDA1:NCA9'!Z$31)-SUM('MDA1:NCA9'!Z$32)-SUM('MDA1:NCA9'!Z$34))</f>
        <v>20215.940059475604</v>
      </c>
      <c r="AA49" s="12">
        <f>'Corp.'!AA$50*(AA$37-(AA31-AA32-AA34)*$C$35)/(SUM('MDA1:NCA9'!AA$37)-SUM('MDA1:NCA9'!AA$31)-SUM('MDA1:NCA9'!AA$32)-SUM('MDA1:NCA9'!AA$34))</f>
        <v>19753.736215901656</v>
      </c>
      <c r="AB49" s="12">
        <f>'Corp.'!AB$50*(AB$37-(AB31-AB32-AB34)*$C$35)/(SUM('MDA1:NCA9'!AB$37)-SUM('MDA1:NCA9'!AB$31)-SUM('MDA1:NCA9'!AB$32)-SUM('MDA1:NCA9'!AB$34))</f>
        <v>19305.445123185385</v>
      </c>
      <c r="AC49" s="12">
        <f>'Corp.'!AC$50*(AC$37-(AC31-AC32-AC34)*$C$35)/(SUM('MDA1:NCA9'!AC$37)-SUM('MDA1:NCA9'!AC$31)-SUM('MDA1:NCA9'!AC$32)-SUM('MDA1:NCA9'!AC$34))</f>
        <v>20719.516469539816</v>
      </c>
      <c r="AD49" s="12">
        <f>'Corp.'!AD$50*(AD$37-(AD31-AD32-AD34)*$C$35)/(SUM('MDA1:NCA9'!AD$37)-SUM('MDA1:NCA9'!AD$31)-SUM('MDA1:NCA9'!AD$32)-SUM('MDA1:NCA9'!AD$34))</f>
        <v>20379.134638182251</v>
      </c>
      <c r="AE49" s="12">
        <f>'Corp.'!AE$50*(AE$37-(AE31-AE32-AE34)*$C$35)/(SUM('MDA1:NCA9'!AE$37)-SUM('MDA1:NCA9'!AE$31)-SUM('MDA1:NCA9'!AE$32)-SUM('MDA1:NCA9'!AE$34))</f>
        <v>20058.186789880387</v>
      </c>
      <c r="AF49" s="12">
        <f>'Corp.'!AF$50*(AF$37-(AF31-AF32-AF34)*$C$35)/(SUM('MDA1:NCA9'!AF$37)-SUM('MDA1:NCA9'!AF$31)-SUM('MDA1:NCA9'!AF$32)-SUM('MDA1:NCA9'!AF$34))</f>
        <v>19757.448133820872</v>
      </c>
      <c r="AG49" s="12">
        <f>'Corp.'!AG$50*(AG$37-(AG31-AG32-AG34)*$C$35)/(SUM('MDA1:NCA9'!AG$37)-SUM('MDA1:NCA9'!AG$31)-SUM('MDA1:NCA9'!AG$32)-SUM('MDA1:NCA9'!AG$34))</f>
        <v>19516.269722389636</v>
      </c>
      <c r="AH49" s="12">
        <f>'Corp.'!AH$50*(AH$37-(AH31-AH32-AH34)*$C$35)/(SUM('MDA1:NCA9'!AH$37)-SUM('MDA1:NCA9'!AH$31)-SUM('MDA1:NCA9'!AH$32)-SUM('MDA1:NCA9'!AH$34))</f>
        <v>19199.030064611441</v>
      </c>
      <c r="AI49" s="12">
        <f>'Corp.'!AI$50*(AI$37-(AI31-AI32-AI34)*$C$35)/(SUM('MDA1:NCA9'!AI$37)-SUM('MDA1:NCA9'!AI$31)-SUM('MDA1:NCA9'!AI$32)-SUM('MDA1:NCA9'!AI$34))</f>
        <v>18868.429229546611</v>
      </c>
      <c r="AJ49" s="12">
        <f>'Corp.'!AJ$50*(AJ$37-(AJ31-AJ32-AJ34)*$C$35)/(SUM('MDA1:NCA9'!AJ$37)-SUM('MDA1:NCA9'!AJ$31)-SUM('MDA1:NCA9'!AJ$32)-SUM('MDA1:NCA9'!AJ$34))</f>
        <v>18529.707462406346</v>
      </c>
      <c r="AK49" s="12">
        <f>'Corp.'!AK$50*(AK$37-(AK31-AK32-AK34)*$C$35)/(SUM('MDA1:NCA9'!AK$37)-SUM('MDA1:NCA9'!AK$31)-SUM('MDA1:NCA9'!AK$32)-SUM('MDA1:NCA9'!AK$34))</f>
        <v>18216.940017190416</v>
      </c>
      <c r="AL49" s="12">
        <f>'Corp.'!AL$50*(AL$37-(AL31-AL32-AL34)*$C$35)/(SUM('MDA1:NCA9'!AL$37)-SUM('MDA1:NCA9'!AL$31)-SUM('MDA1:NCA9'!AL$32)-SUM('MDA1:NCA9'!AL$34))</f>
        <v>17929.925615056291</v>
      </c>
      <c r="AM49" s="12">
        <f>'Corp.'!AM$50*(AM$37-(AM31-AM32-AM34)*$C$35)/(SUM('MDA1:NCA9'!AM$37)-SUM('MDA1:NCA9'!AM$31)-SUM('MDA1:NCA9'!AM$32)-SUM('MDA1:NCA9'!AM$34))</f>
        <v>17620.825413401722</v>
      </c>
      <c r="AN49" s="12">
        <f>'Corp.'!AN$50*(AN$37-(AN31-AN32-AN34)*$C$35)/(SUM('MDA1:NCA9'!AN$37)-SUM('MDA1:NCA9'!AN$31)-SUM('MDA1:NCA9'!AN$32)-SUM('MDA1:NCA9'!AN$34))</f>
        <v>17357.342744210993</v>
      </c>
    </row>
    <row r="50" spans="2:40" x14ac:dyDescent="0.25">
      <c r="B50" s="1" t="s">
        <v>272</v>
      </c>
      <c r="E50" s="13" cm="1">
        <f t="array" ref="E50:AN50">_xlfn.BYCOL(_xlfn.VSTACK(_xlfn.ANCHORARRAY(E40),_xlfn.ANCHORARRAY(E42),_xlfn.ANCHORARRAY(E43),_xlfn.ANCHORARRAY(E45),_xlfn.ANCHORARRAY(E46),_xlfn.ANCHORARRAY(E47),_xlfn.ANCHORARRAY(E48),_xlfn.HSTACK(E49:AN49)),_xlfn.LAMBDA(_xlpm.a,SUM(_xlpm.a)))</f>
        <v>135303.88926942772</v>
      </c>
      <c r="F50" s="13">
        <v>131894.66556342007</v>
      </c>
      <c r="G50" s="13">
        <v>127206.08201665559</v>
      </c>
      <c r="H50" s="13">
        <v>123136.59487684519</v>
      </c>
      <c r="I50" s="13">
        <v>120575.91789915648</v>
      </c>
      <c r="J50" s="13">
        <v>117907.37167780389</v>
      </c>
      <c r="K50" s="13">
        <v>114795.52008626216</v>
      </c>
      <c r="L50" s="13">
        <v>112866.8758525209</v>
      </c>
      <c r="M50" s="13">
        <v>110784.33663564798</v>
      </c>
      <c r="N50" s="13">
        <v>108991.94986050201</v>
      </c>
      <c r="O50" s="13">
        <v>107116.27188044001</v>
      </c>
      <c r="P50" s="13">
        <v>105573.01879696558</v>
      </c>
      <c r="Q50" s="13">
        <v>113891.18447631381</v>
      </c>
      <c r="R50" s="13">
        <v>112879.29723245463</v>
      </c>
      <c r="S50" s="13">
        <v>111767.02817822408</v>
      </c>
      <c r="T50" s="13">
        <v>110825.53674483363</v>
      </c>
      <c r="U50" s="13">
        <v>110180.03766119847</v>
      </c>
      <c r="V50" s="13">
        <v>109653.76378196357</v>
      </c>
      <c r="W50" s="13">
        <v>108970.60513546216</v>
      </c>
      <c r="X50" s="13">
        <v>108287.91521100955</v>
      </c>
      <c r="Y50" s="13">
        <v>107840.62720508214</v>
      </c>
      <c r="Z50" s="13">
        <v>107391.83889873537</v>
      </c>
      <c r="AA50" s="13">
        <v>106929.63505516143</v>
      </c>
      <c r="AB50" s="13">
        <v>106481.34396244516</v>
      </c>
      <c r="AC50" s="13">
        <v>116074.64919272558</v>
      </c>
      <c r="AD50" s="13">
        <v>115734.26736136802</v>
      </c>
      <c r="AE50" s="13">
        <v>115413.31951306616</v>
      </c>
      <c r="AF50" s="13">
        <v>115112.58085700664</v>
      </c>
      <c r="AG50" s="13">
        <v>114871.40244557541</v>
      </c>
      <c r="AH50" s="13">
        <v>114554.16278779722</v>
      </c>
      <c r="AI50" s="13">
        <v>114223.56195273239</v>
      </c>
      <c r="AJ50" s="13">
        <v>113884.84018559213</v>
      </c>
      <c r="AK50" s="13">
        <v>113572.07274037618</v>
      </c>
      <c r="AL50" s="13">
        <v>113285.05833824206</v>
      </c>
      <c r="AM50" s="13">
        <v>112975.95813658749</v>
      </c>
      <c r="AN50" s="13">
        <v>112712.47546739677</v>
      </c>
    </row>
    <row r="52" spans="2:40" x14ac:dyDescent="0.25">
      <c r="B52" s="1" t="s">
        <v>48</v>
      </c>
      <c r="E52" s="74">
        <f>E37-E50</f>
        <v>32354.796460492274</v>
      </c>
      <c r="F52" s="74">
        <f t="shared" ref="F52:AN52" si="0">F37-F50</f>
        <v>35764.020166499919</v>
      </c>
      <c r="G52" s="74">
        <f t="shared" si="0"/>
        <v>40452.603713264398</v>
      </c>
      <c r="H52" s="74">
        <f t="shared" si="0"/>
        <v>44522.090853074798</v>
      </c>
      <c r="I52" s="74">
        <f t="shared" si="0"/>
        <v>47082.767830763507</v>
      </c>
      <c r="J52" s="74">
        <f t="shared" si="0"/>
        <v>49751.314052116097</v>
      </c>
      <c r="K52" s="74">
        <f t="shared" si="0"/>
        <v>52863.165643657834</v>
      </c>
      <c r="L52" s="74">
        <f t="shared" si="0"/>
        <v>54791.809877399093</v>
      </c>
      <c r="M52" s="74">
        <f t="shared" si="0"/>
        <v>56874.349094272009</v>
      </c>
      <c r="N52" s="74">
        <f t="shared" si="0"/>
        <v>58666.735869417986</v>
      </c>
      <c r="O52" s="74">
        <f t="shared" si="0"/>
        <v>60542.413849479984</v>
      </c>
      <c r="P52" s="74">
        <f t="shared" si="0"/>
        <v>62085.666932954409</v>
      </c>
      <c r="Q52" s="74">
        <f t="shared" si="0"/>
        <v>58797.261825503767</v>
      </c>
      <c r="R52" s="74">
        <f t="shared" si="0"/>
        <v>59809.149069362946</v>
      </c>
      <c r="S52" s="74">
        <f t="shared" si="0"/>
        <v>60921.418123593496</v>
      </c>
      <c r="T52" s="74">
        <f t="shared" si="0"/>
        <v>61862.909556983941</v>
      </c>
      <c r="U52" s="74">
        <f t="shared" si="0"/>
        <v>62508.408640619105</v>
      </c>
      <c r="V52" s="74">
        <f t="shared" si="0"/>
        <v>63034.682519854003</v>
      </c>
      <c r="W52" s="74">
        <f t="shared" si="0"/>
        <v>63717.841166355414</v>
      </c>
      <c r="X52" s="74">
        <f t="shared" si="0"/>
        <v>64400.531090808028</v>
      </c>
      <c r="Y52" s="74">
        <f t="shared" si="0"/>
        <v>64847.819096735431</v>
      </c>
      <c r="Z52" s="74">
        <f t="shared" si="0"/>
        <v>65296.607403082206</v>
      </c>
      <c r="AA52" s="74">
        <f t="shared" si="0"/>
        <v>65758.811246656143</v>
      </c>
      <c r="AB52" s="74">
        <f t="shared" si="0"/>
        <v>66207.102339372417</v>
      </c>
      <c r="AC52" s="74">
        <f t="shared" si="0"/>
        <v>56613.797109091989</v>
      </c>
      <c r="AD52" s="74">
        <f t="shared" si="0"/>
        <v>56954.17894044955</v>
      </c>
      <c r="AE52" s="74">
        <f t="shared" si="0"/>
        <v>57275.126788751411</v>
      </c>
      <c r="AF52" s="74">
        <f t="shared" si="0"/>
        <v>57575.86544481093</v>
      </c>
      <c r="AG52" s="74">
        <f t="shared" si="0"/>
        <v>57817.043856242162</v>
      </c>
      <c r="AH52" s="74">
        <f t="shared" si="0"/>
        <v>58134.283514020353</v>
      </c>
      <c r="AI52" s="74">
        <f t="shared" si="0"/>
        <v>58464.884349085187</v>
      </c>
      <c r="AJ52" s="74">
        <f t="shared" si="0"/>
        <v>58803.606116225448</v>
      </c>
      <c r="AK52" s="74">
        <f t="shared" si="0"/>
        <v>59116.373561441389</v>
      </c>
      <c r="AL52" s="74">
        <f t="shared" si="0"/>
        <v>59403.387963575515</v>
      </c>
      <c r="AM52" s="74">
        <f t="shared" si="0"/>
        <v>59712.488165230083</v>
      </c>
      <c r="AN52" s="74">
        <f t="shared" si="0"/>
        <v>59975.970834420805</v>
      </c>
    </row>
    <row r="53" spans="2:40" x14ac:dyDescent="0.25">
      <c r="E53" s="105">
        <f>IFERROR(E52/E37,"")</f>
        <v>0.19298013890322599</v>
      </c>
      <c r="F53" s="105">
        <f t="shared" ref="F53:AN53" si="1">IFERROR(F52/F37,"")</f>
        <v>0.21331444899974875</v>
      </c>
      <c r="G53" s="105">
        <f t="shared" si="1"/>
        <v>0.24127949910348914</v>
      </c>
      <c r="H53" s="105">
        <f t="shared" si="1"/>
        <v>0.2655519495410758</v>
      </c>
      <c r="I53" s="105">
        <f t="shared" si="1"/>
        <v>0.28082510384584997</v>
      </c>
      <c r="J53" s="105">
        <f t="shared" si="1"/>
        <v>0.296741644105812</v>
      </c>
      <c r="K53" s="105">
        <f t="shared" si="1"/>
        <v>0.3153022786353859</v>
      </c>
      <c r="L53" s="105">
        <f t="shared" si="1"/>
        <v>0.32680567450983583</v>
      </c>
      <c r="M53" s="105">
        <f t="shared" si="1"/>
        <v>0.33922697679910502</v>
      </c>
      <c r="N53" s="105">
        <f t="shared" si="1"/>
        <v>0.34991766524952816</v>
      </c>
      <c r="O53" s="105">
        <f t="shared" si="1"/>
        <v>0.36110514397689641</v>
      </c>
      <c r="P53" s="105">
        <f t="shared" si="1"/>
        <v>0.3703098748666544</v>
      </c>
      <c r="Q53" s="105">
        <f t="shared" si="1"/>
        <v>0.34048173508226715</v>
      </c>
      <c r="R53" s="105">
        <f t="shared" si="1"/>
        <v>0.3463413468022698</v>
      </c>
      <c r="S53" s="105">
        <f t="shared" si="1"/>
        <v>0.3527822470364787</v>
      </c>
      <c r="T53" s="105">
        <f t="shared" si="1"/>
        <v>0.35823421243169079</v>
      </c>
      <c r="U53" s="105">
        <f t="shared" si="1"/>
        <v>0.36197215262085081</v>
      </c>
      <c r="V53" s="105">
        <f t="shared" si="1"/>
        <v>0.36501968643394156</v>
      </c>
      <c r="W53" s="105">
        <f t="shared" si="1"/>
        <v>0.36897570469185914</v>
      </c>
      <c r="X53" s="105">
        <f t="shared" si="1"/>
        <v>0.37292900868568529</v>
      </c>
      <c r="Y53" s="105">
        <f t="shared" si="1"/>
        <v>0.37551915304974803</v>
      </c>
      <c r="Z53" s="105">
        <f t="shared" si="1"/>
        <v>0.37811798531651358</v>
      </c>
      <c r="AA53" s="105">
        <f t="shared" si="1"/>
        <v>0.38079450394571079</v>
      </c>
      <c r="AB53" s="105">
        <f t="shared" si="1"/>
        <v>0.38339045696003565</v>
      </c>
      <c r="AC53" s="105">
        <f t="shared" si="1"/>
        <v>0.32783778140052744</v>
      </c>
      <c r="AD53" s="105">
        <f t="shared" si="1"/>
        <v>0.3298088561229362</v>
      </c>
      <c r="AE53" s="105">
        <f t="shared" si="1"/>
        <v>0.33166739301509707</v>
      </c>
      <c r="AF53" s="105">
        <f t="shared" si="1"/>
        <v>0.33340890301475212</v>
      </c>
      <c r="AG53" s="105">
        <f t="shared" si="1"/>
        <v>0.33480551301730965</v>
      </c>
      <c r="AH53" s="105">
        <f t="shared" si="1"/>
        <v>0.33664257661115154</v>
      </c>
      <c r="AI53" s="105">
        <f t="shared" si="1"/>
        <v>0.33855701178122088</v>
      </c>
      <c r="AJ53" s="105">
        <f t="shared" si="1"/>
        <v>0.34051847344466224</v>
      </c>
      <c r="AK53" s="105">
        <f t="shared" si="1"/>
        <v>0.34232963946018885</v>
      </c>
      <c r="AL53" s="105">
        <f t="shared" si="1"/>
        <v>0.34399167538836256</v>
      </c>
      <c r="AM53" s="105">
        <f t="shared" si="1"/>
        <v>0.34578160522023066</v>
      </c>
      <c r="AN53" s="105">
        <f t="shared" si="1"/>
        <v>0.34730737416907054</v>
      </c>
    </row>
    <row r="55" spans="2:40" x14ac:dyDescent="0.25">
      <c r="B55" t="s">
        <v>57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0</v>
      </c>
      <c r="D55" s="12">
        <f>C55-SUM(_xlfn.ANCHORARRAY(E55))</f>
        <v>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</row>
    <row r="56" spans="2:40" x14ac:dyDescent="0.25">
      <c r="B56" t="s">
        <v>285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-25148.802859487998</v>
      </c>
      <c r="F56" s="90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-25148.802859487998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-25148.802859487998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-25148.802859487998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-25148.802859487998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-25148.802859487998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-25148.802859487998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-25148.802859487998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-25148.802859487998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-25148.802859487998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-25148.802859487998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-25148.802859487998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-25148.802859487998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-25148.802859487998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-25148.802859487998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-25148.802859487998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-25148.802859487998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-25903.266945272637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-25903.266945272637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-25903.266945272637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-25903.266945272637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-25903.266945272637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-25903.266945272637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-25903.266945272637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-25903.266945272637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-25903.266945272637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-25903.266945272637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-25903.266945272637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-25903.266945272637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-25903.266945272637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-25903.266945272637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-25903.266945272637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-25903.266945272637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-25903.266945272637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-25903.266945272637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-25903.266945272637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276</v>
      </c>
      <c r="E58" s="13">
        <f>E37-E50-E55+E56</f>
        <v>7205.9936010042766</v>
      </c>
      <c r="F58" s="13">
        <f t="shared" ref="F58:AN58" si="2">F37-F50-F55+F56</f>
        <v>10615.217307011921</v>
      </c>
      <c r="G58" s="13">
        <f t="shared" si="2"/>
        <v>15303.8008537764</v>
      </c>
      <c r="H58" s="13">
        <f t="shared" si="2"/>
        <v>19373.2879935868</v>
      </c>
      <c r="I58" s="13">
        <f t="shared" si="2"/>
        <v>21933.964971275509</v>
      </c>
      <c r="J58" s="13">
        <f t="shared" si="2"/>
        <v>24602.511192628099</v>
      </c>
      <c r="K58" s="13">
        <f t="shared" si="2"/>
        <v>27714.362784169836</v>
      </c>
      <c r="L58" s="13">
        <f t="shared" si="2"/>
        <v>29643.007017911095</v>
      </c>
      <c r="M58" s="13">
        <f t="shared" si="2"/>
        <v>31725.546234784011</v>
      </c>
      <c r="N58" s="13">
        <f t="shared" si="2"/>
        <v>33517.933009929984</v>
      </c>
      <c r="O58" s="13">
        <f t="shared" si="2"/>
        <v>35393.610989991983</v>
      </c>
      <c r="P58" s="13">
        <f t="shared" si="2"/>
        <v>36936.864073466408</v>
      </c>
      <c r="Q58" s="13">
        <f t="shared" si="2"/>
        <v>33648.458966015765</v>
      </c>
      <c r="R58" s="13">
        <f t="shared" si="2"/>
        <v>34660.346209874944</v>
      </c>
      <c r="S58" s="13">
        <f t="shared" si="2"/>
        <v>35772.615264105494</v>
      </c>
      <c r="T58" s="13">
        <f t="shared" si="2"/>
        <v>36714.106697495939</v>
      </c>
      <c r="U58" s="13">
        <f t="shared" si="2"/>
        <v>37359.605781131104</v>
      </c>
      <c r="V58" s="13">
        <f t="shared" si="2"/>
        <v>37131.415574581362</v>
      </c>
      <c r="W58" s="13">
        <f t="shared" si="2"/>
        <v>37814.574221082774</v>
      </c>
      <c r="X58" s="13">
        <f t="shared" si="2"/>
        <v>38497.264145535388</v>
      </c>
      <c r="Y58" s="13">
        <f t="shared" si="2"/>
        <v>38944.552151462791</v>
      </c>
      <c r="Z58" s="13">
        <f t="shared" si="2"/>
        <v>39393.340457809565</v>
      </c>
      <c r="AA58" s="13">
        <f t="shared" si="2"/>
        <v>39855.544301383503</v>
      </c>
      <c r="AB58" s="13">
        <f t="shared" si="2"/>
        <v>40303.835394099777</v>
      </c>
      <c r="AC58" s="13">
        <f t="shared" si="2"/>
        <v>30710.530163819352</v>
      </c>
      <c r="AD58" s="13">
        <f t="shared" si="2"/>
        <v>31050.911995176913</v>
      </c>
      <c r="AE58" s="13">
        <f t="shared" si="2"/>
        <v>31371.859843478775</v>
      </c>
      <c r="AF58" s="13">
        <f t="shared" si="2"/>
        <v>31672.598499538293</v>
      </c>
      <c r="AG58" s="13">
        <f t="shared" si="2"/>
        <v>31913.776910969525</v>
      </c>
      <c r="AH58" s="13">
        <f t="shared" si="2"/>
        <v>32231.016568747717</v>
      </c>
      <c r="AI58" s="13">
        <f t="shared" si="2"/>
        <v>32561.61740381255</v>
      </c>
      <c r="AJ58" s="13">
        <f t="shared" si="2"/>
        <v>32900.339170952808</v>
      </c>
      <c r="AK58" s="13">
        <f t="shared" si="2"/>
        <v>33213.106616168749</v>
      </c>
      <c r="AL58" s="13">
        <f t="shared" si="2"/>
        <v>33500.121018302874</v>
      </c>
      <c r="AM58" s="13">
        <f t="shared" si="2"/>
        <v>33809.221219957442</v>
      </c>
      <c r="AN58" s="13">
        <f t="shared" si="2"/>
        <v>34072.703889148164</v>
      </c>
    </row>
    <row r="59" spans="2:40" x14ac:dyDescent="0.25">
      <c r="B59" t="s">
        <v>277</v>
      </c>
      <c r="E59" s="12" cm="1">
        <f t="array" ref="E59:AN59">_xlfn.SCAN(-D55,E58:AN58,_xlfn.LAMBDA(_xlpm.capex,_xlpm.fcf,_xlpm.capex+_xlpm.fcf))</f>
        <v>7205.9936010042766</v>
      </c>
      <c r="F59" s="12">
        <v>17821.210908016197</v>
      </c>
      <c r="G59" s="12">
        <v>33125.011761792601</v>
      </c>
      <c r="H59" s="12">
        <v>52498.299755379398</v>
      </c>
      <c r="I59" s="12">
        <v>74432.264726654903</v>
      </c>
      <c r="J59" s="12">
        <v>99034.775919282998</v>
      </c>
      <c r="K59" s="12">
        <v>126749.13870345283</v>
      </c>
      <c r="L59" s="12">
        <v>156392.14572136392</v>
      </c>
      <c r="M59" s="12">
        <v>188117.69195614793</v>
      </c>
      <c r="N59" s="12">
        <v>221635.62496607791</v>
      </c>
      <c r="O59" s="12">
        <v>257029.2359560699</v>
      </c>
      <c r="P59" s="12">
        <v>293966.10002953629</v>
      </c>
      <c r="Q59" s="12">
        <v>327614.55899555207</v>
      </c>
      <c r="R59" s="12">
        <v>362274.90520542703</v>
      </c>
      <c r="S59" s="12">
        <v>398047.52046953252</v>
      </c>
      <c r="T59" s="12">
        <v>434761.62716702849</v>
      </c>
      <c r="U59" s="12">
        <v>472121.23294815957</v>
      </c>
      <c r="V59" s="12">
        <v>509252.64852274093</v>
      </c>
      <c r="W59" s="12">
        <v>547067.22274382366</v>
      </c>
      <c r="X59" s="12">
        <v>585564.48688935908</v>
      </c>
      <c r="Y59" s="12">
        <v>624509.03904082184</v>
      </c>
      <c r="Z59" s="12">
        <v>663902.37949863146</v>
      </c>
      <c r="AA59" s="12">
        <v>703757.92380001501</v>
      </c>
      <c r="AB59" s="12">
        <v>744061.75919411483</v>
      </c>
      <c r="AC59" s="12">
        <v>774772.28935793415</v>
      </c>
      <c r="AD59" s="12">
        <v>805823.20135311107</v>
      </c>
      <c r="AE59" s="12">
        <v>837195.06119658984</v>
      </c>
      <c r="AF59" s="12">
        <v>868867.6596961281</v>
      </c>
      <c r="AG59" s="12">
        <v>900781.43660709762</v>
      </c>
      <c r="AH59" s="12">
        <v>933012.45317584532</v>
      </c>
      <c r="AI59" s="12">
        <v>965574.07057965791</v>
      </c>
      <c r="AJ59" s="12">
        <v>998474.40975061071</v>
      </c>
      <c r="AK59" s="12">
        <v>1031687.5163667795</v>
      </c>
      <c r="AL59" s="12">
        <v>1065187.6373850824</v>
      </c>
      <c r="AM59" s="12">
        <v>1098996.8586050398</v>
      </c>
      <c r="AN59" s="12">
        <v>1133069.5624941878</v>
      </c>
    </row>
    <row r="61" spans="2:40" x14ac:dyDescent="0.25">
      <c r="B61" s="1" t="s">
        <v>302</v>
      </c>
    </row>
    <row r="63" spans="2:40" x14ac:dyDescent="0.25">
      <c r="B63" s="39" t="s">
        <v>103</v>
      </c>
      <c r="E63" s="12" cm="1">
        <f t="array" ref="E63:AN63">_xlfn.LET(_xlpm.site,$B$1&amp;"-"&amp;$C$1,_xlpm.locations,Base!$D$4:$BD$4,_xlpm.rates,Base!$D$36:$BD$36,_xlpm.hours,Base!$D$79:$BD$79,_xlpm.comp,_xlpm.rates*_xlpm.hours,_xlpm.Customer,_xlfn.ANCHORARRAY($E$1),
_xlpm.Customer_comp,_xlfn.XLOOKUP(_xlpm.site,_xlpm.locations,_xlpm.comp,0,0),_xlpm.ann_incr,_xlfn.XLOOKUP(YEAR(_xlfn.ANCHORARRAY($E$25)),Base!$BJ$4:$BL$4,Base!$BJ$79:$BL$79,0,0),
_xlpm.bad_debt,_xlfn.XLOOKUP(_xlpm.site,_xlpm.locations,Base!$D$28:$BD$28,0,0),_xlpm.Customer_comp*_xlpm.Customer*_xlpm.bad_debt*_xlpm.ann_incr*(52/12)*(1-$C$35))</f>
        <v>0</v>
      </c>
      <c r="F63" s="12">
        <v>0</v>
      </c>
      <c r="G63" s="12">
        <v>0</v>
      </c>
      <c r="H63" s="12">
        <v>0</v>
      </c>
      <c r="I63" s="12">
        <v>0</v>
      </c>
      <c r="J63" s="12">
        <v>0</v>
      </c>
      <c r="K63" s="12">
        <v>0</v>
      </c>
      <c r="L63" s="12">
        <v>0</v>
      </c>
      <c r="M63" s="12">
        <v>0</v>
      </c>
      <c r="N63" s="12">
        <v>0</v>
      </c>
      <c r="O63" s="12">
        <v>0</v>
      </c>
      <c r="P63" s="12">
        <v>0</v>
      </c>
      <c r="Q63" s="12">
        <v>0</v>
      </c>
      <c r="R63" s="12">
        <v>0</v>
      </c>
      <c r="S63" s="12">
        <v>0</v>
      </c>
      <c r="T63" s="12">
        <v>0</v>
      </c>
      <c r="U63" s="12">
        <v>0</v>
      </c>
      <c r="V63" s="12">
        <v>0</v>
      </c>
      <c r="W63" s="12">
        <v>0</v>
      </c>
      <c r="X63" s="12">
        <v>0</v>
      </c>
      <c r="Y63" s="12">
        <v>0</v>
      </c>
      <c r="Z63" s="12">
        <v>0</v>
      </c>
      <c r="AA63" s="12">
        <v>0</v>
      </c>
      <c r="AB63" s="12">
        <v>0</v>
      </c>
      <c r="AC63" s="12">
        <v>0</v>
      </c>
      <c r="AD63" s="12">
        <v>0</v>
      </c>
      <c r="AE63" s="12">
        <v>0</v>
      </c>
      <c r="AF63" s="12">
        <v>0</v>
      </c>
      <c r="AG63" s="12">
        <v>0</v>
      </c>
      <c r="AH63" s="12">
        <v>0</v>
      </c>
      <c r="AI63" s="12">
        <v>0</v>
      </c>
      <c r="AJ63" s="12">
        <v>0</v>
      </c>
      <c r="AK63" s="12">
        <v>0</v>
      </c>
      <c r="AL63" s="12">
        <v>0</v>
      </c>
      <c r="AM63" s="12">
        <v>0</v>
      </c>
      <c r="AN63" s="12">
        <v>0</v>
      </c>
    </row>
    <row r="64" spans="2:40" x14ac:dyDescent="0.25">
      <c r="B64" s="39" t="s">
        <v>104</v>
      </c>
      <c r="E64" s="12" cm="1">
        <f t="array" ref="E64:AN64">_xlfn.LET(_xlpm.site,$B$1&amp;"-"&amp;$C$1,_xlpm.locations,Base!$D$4:$BD$4,_xlpm.rates,Base!$D$37:$BD$37,_xlpm.hours,Base!$D$80:$BD$80,_xlpm.comp,_xlpm.rates*_xlpm.hours,_xlpm.Customer,_xlfn.ANCHORARRAY($E$1),
_xlpm.Customer_comp,_xlfn.XLOOKUP(_xlpm.site,_xlpm.locations,_xlpm.comp,0,0),_xlpm.ann_incr,_xlfn.XLOOKUP(YEAR(_xlfn.ANCHORARRAY($E$25)),Base!$BJ$4:$BL$4,Base!$BJ$80:$BL$80,0,0),
_xlpm.bad_debt,_xlfn.XLOOKUP(_xlpm.site,_xlpm.locations,Base!$D$28:$BD$28,0,0),_xlpm.Customer_comp*_xlpm.Customer*_xlpm.bad_debt*_xlpm.ann_incr*(52/12)*(1-$C$35))</f>
        <v>0</v>
      </c>
      <c r="F64" s="12">
        <v>0</v>
      </c>
      <c r="G64" s="12">
        <v>0</v>
      </c>
      <c r="H64" s="12">
        <v>0</v>
      </c>
      <c r="I64" s="12">
        <v>0</v>
      </c>
      <c r="J64" s="12">
        <v>0</v>
      </c>
      <c r="K64" s="12">
        <v>0</v>
      </c>
      <c r="L64" s="12">
        <v>0</v>
      </c>
      <c r="M64" s="12">
        <v>0</v>
      </c>
      <c r="N64" s="12">
        <v>0</v>
      </c>
      <c r="O64" s="12">
        <v>0</v>
      </c>
      <c r="P64" s="12">
        <v>0</v>
      </c>
      <c r="Q64" s="12">
        <v>0</v>
      </c>
      <c r="R64" s="12">
        <v>0</v>
      </c>
      <c r="S64" s="12">
        <v>0</v>
      </c>
      <c r="T64" s="12">
        <v>0</v>
      </c>
      <c r="U64" s="12">
        <v>0</v>
      </c>
      <c r="V64" s="12">
        <v>0</v>
      </c>
      <c r="W64" s="12">
        <v>0</v>
      </c>
      <c r="X64" s="12">
        <v>0</v>
      </c>
      <c r="Y64" s="12">
        <v>0</v>
      </c>
      <c r="Z64" s="12">
        <v>0</v>
      </c>
      <c r="AA64" s="12">
        <v>0</v>
      </c>
      <c r="AB64" s="12">
        <v>0</v>
      </c>
      <c r="AC64" s="12">
        <v>0</v>
      </c>
      <c r="AD64" s="12">
        <v>0</v>
      </c>
      <c r="AE64" s="12">
        <v>0</v>
      </c>
      <c r="AF64" s="12">
        <v>0</v>
      </c>
      <c r="AG64" s="12">
        <v>0</v>
      </c>
      <c r="AH64" s="12">
        <v>0</v>
      </c>
      <c r="AI64" s="12">
        <v>0</v>
      </c>
      <c r="AJ64" s="12">
        <v>0</v>
      </c>
      <c r="AK64" s="12">
        <v>0</v>
      </c>
      <c r="AL64" s="12">
        <v>0</v>
      </c>
      <c r="AM64" s="12">
        <v>0</v>
      </c>
      <c r="AN64" s="12">
        <v>0</v>
      </c>
    </row>
    <row r="65" spans="2:40" x14ac:dyDescent="0.25">
      <c r="B65" s="39" t="s">
        <v>56</v>
      </c>
      <c r="E65" s="12" cm="1">
        <f t="array" ref="E65:AN65">_xlfn.LET(_xlpm.site,$B$1&amp;"-"&amp;$C$1,_xlpm.locations,Base!$D$4:$BD$4,_xlpm.rates,Base!$D$39:$BD$39,_xlpm.hours,Base!$D$82:$BD$82,_xlpm.comp,_xlpm.rates*_xlpm.hours,_xlpm.Customer,_xlfn.ANCHORARRAY($E$1),
_xlpm.Customer_comp,_xlfn.XLOOKUP(_xlpm.site,_xlpm.locations,_xlpm.comp,0,0),_xlpm.ann_incr,_xlfn.XLOOKUP(YEAR(_xlfn.ANCHORARRAY($E$25)),Base!$BJ$4:$BL$4,Base!$BJ$82:$BL$82,0,0),
_xlpm.bad_debt,_xlfn.XLOOKUP(_xlpm.site,_xlpm.locations,Base!$D$28:$BD$28,0,0),_xlpm.Customer_comp*_xlpm.Customer*_xlpm.bad_debt*_xlpm.ann_incr*(52/12)*(1-$C$35))</f>
        <v>0</v>
      </c>
      <c r="F65" s="12">
        <v>0</v>
      </c>
      <c r="G65" s="12">
        <v>0</v>
      </c>
      <c r="H65" s="12">
        <v>0</v>
      </c>
      <c r="I65" s="12">
        <v>0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  <c r="O65" s="12">
        <v>0</v>
      </c>
      <c r="P65" s="12">
        <v>0</v>
      </c>
      <c r="Q65" s="12">
        <v>0</v>
      </c>
      <c r="R65" s="12">
        <v>0</v>
      </c>
      <c r="S65" s="12">
        <v>0</v>
      </c>
      <c r="T65" s="12">
        <v>0</v>
      </c>
      <c r="U65" s="12">
        <v>0</v>
      </c>
      <c r="V65" s="12">
        <v>0</v>
      </c>
      <c r="W65" s="12">
        <v>0</v>
      </c>
      <c r="X65" s="12">
        <v>0</v>
      </c>
      <c r="Y65" s="12">
        <v>0</v>
      </c>
      <c r="Z65" s="12">
        <v>0</v>
      </c>
      <c r="AA65" s="12">
        <v>0</v>
      </c>
      <c r="AB65" s="12">
        <v>0</v>
      </c>
      <c r="AC65" s="12">
        <v>0</v>
      </c>
      <c r="AD65" s="12">
        <v>0</v>
      </c>
      <c r="AE65" s="12">
        <v>0</v>
      </c>
      <c r="AF65" s="12">
        <v>0</v>
      </c>
      <c r="AG65" s="12">
        <v>0</v>
      </c>
      <c r="AH65" s="12">
        <v>0</v>
      </c>
      <c r="AI65" s="12">
        <v>0</v>
      </c>
      <c r="AJ65" s="12">
        <v>0</v>
      </c>
      <c r="AK65" s="12">
        <v>0</v>
      </c>
      <c r="AL65" s="12">
        <v>0</v>
      </c>
      <c r="AM65" s="12">
        <v>0</v>
      </c>
      <c r="AN65" s="12">
        <v>0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303</v>
      </c>
      <c r="C67" s="12"/>
      <c r="E67" s="13" cm="1">
        <f t="array" ref="E67:AN67">_xlfn.BYCOL(_xlfn.VSTACK(_xlfn.ANCHORARRAY($E$63),_xlfn.ANCHORARRAY($E$64),_xlfn.ANCHORARRAY($E$65)),_xlfn.LAMBDA(_xlpm.a,SUM(_xlpm.a)))</f>
        <v>0</v>
      </c>
      <c r="F67" s="13">
        <v>0</v>
      </c>
      <c r="G67" s="13">
        <v>0</v>
      </c>
      <c r="H67" s="13">
        <v>0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  <c r="W67" s="13">
        <v>0</v>
      </c>
      <c r="X67" s="13">
        <v>0</v>
      </c>
      <c r="Y67" s="13">
        <v>0</v>
      </c>
      <c r="Z67" s="13">
        <v>0</v>
      </c>
      <c r="AA67" s="13">
        <v>0</v>
      </c>
      <c r="AB67" s="13">
        <v>0</v>
      </c>
      <c r="AC67" s="13">
        <v>0</v>
      </c>
      <c r="AD67" s="13">
        <v>0</v>
      </c>
      <c r="AE67" s="13">
        <v>0</v>
      </c>
      <c r="AF67" s="13">
        <v>0</v>
      </c>
      <c r="AG67" s="13">
        <v>0</v>
      </c>
      <c r="AH67" s="13">
        <v>0</v>
      </c>
      <c r="AI67" s="13">
        <v>0</v>
      </c>
      <c r="AJ67" s="13">
        <v>0</v>
      </c>
      <c r="AK67" s="13">
        <v>0</v>
      </c>
      <c r="AL67" s="13">
        <v>0</v>
      </c>
      <c r="AM67" s="13">
        <v>0</v>
      </c>
      <c r="AN67" s="13">
        <v>0</v>
      </c>
    </row>
    <row r="68" spans="2:40" x14ac:dyDescent="0.25">
      <c r="B68" s="39"/>
      <c r="C68" s="12"/>
    </row>
    <row r="69" spans="2:40" x14ac:dyDescent="0.25">
      <c r="B69" s="39" t="s">
        <v>304</v>
      </c>
      <c r="C69" s="12"/>
      <c r="E69" s="106" cm="1">
        <f t="array" ref="E69:AN70">_xlfn.LET(_xlpm.Customer_staff,_xlfn._xlws.FILTER(Base!$D$96:$BD$97,ISNUMBER(SEARCH($B$1&amp;"-"&amp;$C$1,Base!$D$4:$BD$4))),_xlpm.Customer,_xlfn.ANCHORARRAY($E$1),_xlpm.headcount,_xlpm.Customer/_xlpm.Customer_staff,
_xlpm.rounding,_xlfn.VSTACK(0,0),IFERROR(ROUND(_xlpm.headcount,_xlpm.rounding),0))</f>
        <v>0</v>
      </c>
      <c r="F69" s="106">
        <v>0</v>
      </c>
      <c r="G69" s="106">
        <v>0</v>
      </c>
      <c r="H69" s="106">
        <v>0</v>
      </c>
      <c r="I69" s="106">
        <v>0</v>
      </c>
      <c r="J69" s="106">
        <v>0</v>
      </c>
      <c r="K69" s="106">
        <v>0</v>
      </c>
      <c r="L69" s="106">
        <v>0</v>
      </c>
      <c r="M69" s="106">
        <v>0</v>
      </c>
      <c r="N69" s="106">
        <v>0</v>
      </c>
      <c r="O69" s="106">
        <v>0</v>
      </c>
      <c r="P69" s="106">
        <v>0</v>
      </c>
      <c r="Q69" s="106">
        <v>0</v>
      </c>
      <c r="R69" s="106">
        <v>0</v>
      </c>
      <c r="S69" s="106">
        <v>0</v>
      </c>
      <c r="T69" s="106">
        <v>0</v>
      </c>
      <c r="U69" s="106">
        <v>0</v>
      </c>
      <c r="V69" s="106">
        <v>0</v>
      </c>
      <c r="W69" s="106">
        <v>0</v>
      </c>
      <c r="X69" s="106">
        <v>0</v>
      </c>
      <c r="Y69" s="106">
        <v>0</v>
      </c>
      <c r="Z69" s="106">
        <v>0</v>
      </c>
      <c r="AA69" s="106">
        <v>0</v>
      </c>
      <c r="AB69" s="106">
        <v>0</v>
      </c>
      <c r="AC69" s="106">
        <v>0</v>
      </c>
      <c r="AD69" s="106">
        <v>0</v>
      </c>
      <c r="AE69" s="106">
        <v>0</v>
      </c>
      <c r="AF69" s="106">
        <v>0</v>
      </c>
      <c r="AG69" s="106">
        <v>0</v>
      </c>
      <c r="AH69" s="106">
        <v>0</v>
      </c>
      <c r="AI69" s="106">
        <v>0</v>
      </c>
      <c r="AJ69" s="106">
        <v>0</v>
      </c>
      <c r="AK69" s="106">
        <v>0</v>
      </c>
      <c r="AL69" s="106">
        <v>0</v>
      </c>
      <c r="AM69" s="106">
        <v>0</v>
      </c>
      <c r="AN69" s="106">
        <v>0</v>
      </c>
    </row>
    <row r="70" spans="2:40" x14ac:dyDescent="0.25">
      <c r="B70" s="39" t="s">
        <v>305</v>
      </c>
      <c r="C70" s="12"/>
      <c r="E70" s="106">
        <v>0</v>
      </c>
      <c r="F70" s="106">
        <v>0</v>
      </c>
      <c r="G70" s="106">
        <v>0</v>
      </c>
      <c r="H70" s="106">
        <v>0</v>
      </c>
      <c r="I70" s="106">
        <v>0</v>
      </c>
      <c r="J70" s="106">
        <v>0</v>
      </c>
      <c r="K70" s="106">
        <v>0</v>
      </c>
      <c r="L70" s="106">
        <v>0</v>
      </c>
      <c r="M70" s="106">
        <v>0</v>
      </c>
      <c r="N70" s="106">
        <v>0</v>
      </c>
      <c r="O70" s="106">
        <v>0</v>
      </c>
      <c r="P70" s="106">
        <v>0</v>
      </c>
      <c r="Q70" s="106">
        <v>0</v>
      </c>
      <c r="R70" s="106">
        <v>0</v>
      </c>
      <c r="S70" s="106">
        <v>0</v>
      </c>
      <c r="T70" s="106">
        <v>0</v>
      </c>
      <c r="U70" s="106">
        <v>0</v>
      </c>
      <c r="V70" s="106">
        <v>0</v>
      </c>
      <c r="W70" s="106">
        <v>0</v>
      </c>
      <c r="X70" s="106">
        <v>0</v>
      </c>
      <c r="Y70" s="106">
        <v>0</v>
      </c>
      <c r="Z70" s="106">
        <v>0</v>
      </c>
      <c r="AA70" s="106">
        <v>0</v>
      </c>
      <c r="AB70" s="106">
        <v>0</v>
      </c>
      <c r="AC70" s="106">
        <v>0</v>
      </c>
      <c r="AD70" s="106">
        <v>0</v>
      </c>
      <c r="AE70" s="106">
        <v>0</v>
      </c>
      <c r="AF70" s="106">
        <v>0</v>
      </c>
      <c r="AG70" s="106">
        <v>0</v>
      </c>
      <c r="AH70" s="106">
        <v>0</v>
      </c>
      <c r="AI70" s="106">
        <v>0</v>
      </c>
      <c r="AJ70" s="106">
        <v>0</v>
      </c>
      <c r="AK70" s="106">
        <v>0</v>
      </c>
      <c r="AL70" s="106">
        <v>0</v>
      </c>
      <c r="AM70" s="106">
        <v>0</v>
      </c>
      <c r="AN70" s="106">
        <v>0</v>
      </c>
    </row>
    <row r="71" spans="2:40" x14ac:dyDescent="0.25">
      <c r="B71" s="39"/>
      <c r="C71" s="12"/>
    </row>
    <row r="72" spans="2:40" x14ac:dyDescent="0.25">
      <c r="B72" s="39" t="s">
        <v>23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3.7758417977584176E-2</v>
      </c>
      <c r="F72" s="12">
        <v>3.7758417977584176E-2</v>
      </c>
      <c r="G72" s="12">
        <v>3.7758417977584176E-2</v>
      </c>
      <c r="H72" s="12">
        <v>3.7758417977584176E-2</v>
      </c>
      <c r="I72" s="12">
        <v>3.7758417977584176E-2</v>
      </c>
      <c r="J72" s="12">
        <v>3.7758417977584176E-2</v>
      </c>
      <c r="K72" s="12">
        <v>3.7758417977584176E-2</v>
      </c>
      <c r="L72" s="12">
        <v>3.7758417977584176E-2</v>
      </c>
      <c r="M72" s="12">
        <v>3.7758417977584176E-2</v>
      </c>
      <c r="N72" s="12">
        <v>3.7758417977584176E-2</v>
      </c>
      <c r="O72" s="12">
        <v>3.7758417977584176E-2</v>
      </c>
      <c r="P72" s="12">
        <v>3.7758417977584176E-2</v>
      </c>
      <c r="Q72" s="12">
        <v>4.1534259775342607E-2</v>
      </c>
      <c r="R72" s="12">
        <v>4.1534259775342607E-2</v>
      </c>
      <c r="S72" s="12">
        <v>4.1534259775342607E-2</v>
      </c>
      <c r="T72" s="12">
        <v>4.1534259775342607E-2</v>
      </c>
      <c r="U72" s="12">
        <v>4.1534259775342607E-2</v>
      </c>
      <c r="V72" s="12">
        <v>4.1534259775342607E-2</v>
      </c>
      <c r="W72" s="12">
        <v>4.1534259775342607E-2</v>
      </c>
      <c r="X72" s="12">
        <v>4.1534259775342607E-2</v>
      </c>
      <c r="Y72" s="12">
        <v>4.1534259775342607E-2</v>
      </c>
      <c r="Z72" s="12">
        <v>4.1534259775342607E-2</v>
      </c>
      <c r="AA72" s="12">
        <v>4.1534259775342607E-2</v>
      </c>
      <c r="AB72" s="12">
        <v>4.1534259775342607E-2</v>
      </c>
      <c r="AC72" s="12">
        <v>4.5687685752876864E-2</v>
      </c>
      <c r="AD72" s="12">
        <v>4.5687685752876864E-2</v>
      </c>
      <c r="AE72" s="12">
        <v>4.5687685752876864E-2</v>
      </c>
      <c r="AF72" s="12">
        <v>4.5687685752876864E-2</v>
      </c>
      <c r="AG72" s="12">
        <v>4.5687685752876864E-2</v>
      </c>
      <c r="AH72" s="12">
        <v>4.5687685752876864E-2</v>
      </c>
      <c r="AI72" s="12">
        <v>4.5687685752876864E-2</v>
      </c>
      <c r="AJ72" s="12">
        <v>4.5687685752876864E-2</v>
      </c>
      <c r="AK72" s="12">
        <v>4.5687685752876864E-2</v>
      </c>
      <c r="AL72" s="12">
        <v>4.5687685752876864E-2</v>
      </c>
      <c r="AM72" s="12">
        <v>4.5687685752876864E-2</v>
      </c>
      <c r="AN72" s="12">
        <v>4.5687685752876864E-2</v>
      </c>
    </row>
    <row r="73" spans="2:40" x14ac:dyDescent="0.25">
      <c r="B73" s="39" t="s">
        <v>24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306</v>
      </c>
      <c r="E75" s="74" cm="1">
        <f t="array" ref="E75:AN75">_xlfn.ANCHORARRAY(E67)-_xlfn.ANCHORARRAY(E72)-_xlfn.ANCHORARRAY(E73)</f>
        <v>-3.7758417977584176E-2</v>
      </c>
      <c r="F75" s="74">
        <v>-3.7758417977584176E-2</v>
      </c>
      <c r="G75" s="74">
        <v>-3.7758417977584176E-2</v>
      </c>
      <c r="H75" s="74">
        <v>-3.7758417977584176E-2</v>
      </c>
      <c r="I75" s="74">
        <v>-3.7758417977584176E-2</v>
      </c>
      <c r="J75" s="74">
        <v>-3.7758417977584176E-2</v>
      </c>
      <c r="K75" s="74">
        <v>-3.7758417977584176E-2</v>
      </c>
      <c r="L75" s="74">
        <v>-3.7758417977584176E-2</v>
      </c>
      <c r="M75" s="74">
        <v>-3.7758417977584176E-2</v>
      </c>
      <c r="N75" s="74">
        <v>-3.7758417977584176E-2</v>
      </c>
      <c r="O75" s="74">
        <v>-3.7758417977584176E-2</v>
      </c>
      <c r="P75" s="74">
        <v>-3.7758417977584176E-2</v>
      </c>
      <c r="Q75" s="74">
        <v>-4.1534259775342607E-2</v>
      </c>
      <c r="R75" s="74">
        <v>-4.1534259775342607E-2</v>
      </c>
      <c r="S75" s="74">
        <v>-4.1534259775342607E-2</v>
      </c>
      <c r="T75" s="74">
        <v>-4.1534259775342607E-2</v>
      </c>
      <c r="U75" s="74">
        <v>-4.1534259775342607E-2</v>
      </c>
      <c r="V75" s="74">
        <v>-4.1534259775342607E-2</v>
      </c>
      <c r="W75" s="74">
        <v>-4.1534259775342607E-2</v>
      </c>
      <c r="X75" s="74">
        <v>-4.1534259775342607E-2</v>
      </c>
      <c r="Y75" s="74">
        <v>-4.1534259775342607E-2</v>
      </c>
      <c r="Z75" s="74">
        <v>-4.1534259775342607E-2</v>
      </c>
      <c r="AA75" s="74">
        <v>-4.1534259775342607E-2</v>
      </c>
      <c r="AB75" s="74">
        <v>-4.1534259775342607E-2</v>
      </c>
      <c r="AC75" s="74">
        <v>-4.5687685752876864E-2</v>
      </c>
      <c r="AD75" s="74">
        <v>-4.5687685752876864E-2</v>
      </c>
      <c r="AE75" s="74">
        <v>-4.5687685752876864E-2</v>
      </c>
      <c r="AF75" s="74">
        <v>-4.5687685752876864E-2</v>
      </c>
      <c r="AG75" s="74">
        <v>-4.5687685752876864E-2</v>
      </c>
      <c r="AH75" s="74">
        <v>-4.5687685752876864E-2</v>
      </c>
      <c r="AI75" s="74">
        <v>-4.5687685752876864E-2</v>
      </c>
      <c r="AJ75" s="74">
        <v>-4.5687685752876864E-2</v>
      </c>
      <c r="AK75" s="74">
        <v>-4.5687685752876864E-2</v>
      </c>
      <c r="AL75" s="74">
        <v>-4.5687685752876864E-2</v>
      </c>
      <c r="AM75" s="74">
        <v>-4.5687685752876864E-2</v>
      </c>
      <c r="AN75" s="74">
        <v>-4.5687685752876864E-2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0F162E-4855-44BB-AEC3-9ACA0623EAF1}">
  <dimension ref="A1:AX75"/>
  <sheetViews>
    <sheetView workbookViewId="0">
      <pane xSplit="4" ySplit="25" topLeftCell="E50" activePane="bottomRight" state="frozen"/>
      <selection activeCell="E63" sqref="E63:E65"/>
      <selection pane="topRight" activeCell="E63" sqref="E63:E65"/>
      <selection pane="bottomLeft" activeCell="E63" sqref="E63:E65"/>
      <selection pane="bottomRight" activeCell="E63" sqref="E63:E65"/>
    </sheetView>
  </sheetViews>
  <sheetFormatPr defaultRowHeight="15" outlineLevelRow="1" x14ac:dyDescent="0.25"/>
  <cols>
    <col min="2" max="2" width="24.5703125" bestFit="1" customWidth="1"/>
    <col min="3" max="3" width="10.7109375" bestFit="1" customWidth="1"/>
    <col min="4" max="4" width="12.5703125" bestFit="1" customWidth="1"/>
    <col min="5" max="13" width="12.28515625" bestFit="1" customWidth="1"/>
    <col min="14" max="18" width="11.5703125" bestFit="1" customWidth="1"/>
    <col min="19" max="40" width="12.5703125" bestFit="1" customWidth="1"/>
  </cols>
  <sheetData>
    <row r="1" spans="1:40" x14ac:dyDescent="0.25">
      <c r="A1" s="96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>2024</v>
      </c>
      <c r="B1" s="10" t="s">
        <v>419</v>
      </c>
      <c r="C1" s="16" t="s">
        <v>61</v>
      </c>
      <c r="D1" s="3" t="s">
        <v>307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IFERROR(_xlpm.kiddos,0))</f>
        <v>37</v>
      </c>
      <c r="F1" s="69">
        <v>37</v>
      </c>
      <c r="G1" s="69">
        <v>37</v>
      </c>
      <c r="H1" s="69">
        <v>37</v>
      </c>
      <c r="I1" s="69">
        <v>37</v>
      </c>
      <c r="J1" s="69">
        <v>37</v>
      </c>
      <c r="K1" s="69">
        <v>37</v>
      </c>
      <c r="L1" s="69">
        <v>37</v>
      </c>
      <c r="M1" s="69">
        <v>37</v>
      </c>
      <c r="N1" s="69">
        <v>37</v>
      </c>
      <c r="O1" s="69">
        <v>37</v>
      </c>
      <c r="P1" s="69">
        <v>37</v>
      </c>
      <c r="Q1" s="69">
        <v>37</v>
      </c>
      <c r="R1" s="69">
        <v>37</v>
      </c>
      <c r="S1" s="69">
        <v>37</v>
      </c>
      <c r="T1" s="69">
        <v>37</v>
      </c>
      <c r="U1" s="69">
        <v>37</v>
      </c>
      <c r="V1" s="69">
        <v>37</v>
      </c>
      <c r="W1" s="69">
        <v>37</v>
      </c>
      <c r="X1" s="69">
        <v>37</v>
      </c>
      <c r="Y1" s="69">
        <v>37</v>
      </c>
      <c r="Z1" s="69">
        <v>37</v>
      </c>
      <c r="AA1" s="69">
        <v>37</v>
      </c>
      <c r="AB1" s="69">
        <v>37</v>
      </c>
      <c r="AC1" s="69">
        <v>37</v>
      </c>
      <c r="AD1" s="69">
        <v>37</v>
      </c>
      <c r="AE1" s="69">
        <v>37</v>
      </c>
      <c r="AF1" s="69">
        <v>37</v>
      </c>
      <c r="AG1" s="69">
        <v>37</v>
      </c>
      <c r="AH1" s="69">
        <v>37</v>
      </c>
      <c r="AI1" s="69">
        <v>37</v>
      </c>
      <c r="AJ1" s="69">
        <v>37</v>
      </c>
      <c r="AK1" s="69">
        <v>37</v>
      </c>
      <c r="AL1" s="69">
        <v>37</v>
      </c>
      <c r="AM1" s="69">
        <v>37</v>
      </c>
      <c r="AN1" s="69">
        <v>37</v>
      </c>
    </row>
    <row r="2" spans="1:40" x14ac:dyDescent="0.25">
      <c r="A2" s="65"/>
      <c r="B2" s="3" t="str">
        <f>_xlfn.XLOOKUP($B$1&amp;"-"&amp;$C$1,Base!$D$4:$BD$4,Base!$D$2:$BD$2,"",0)</f>
        <v>Maryland</v>
      </c>
      <c r="C2" s="55"/>
      <c r="D2" s="55" t="s">
        <v>259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2.8333333333333335</v>
      </c>
      <c r="F2" s="69">
        <v>3</v>
      </c>
      <c r="G2" s="69">
        <v>3.1666666666666665</v>
      </c>
      <c r="H2" s="69">
        <v>3.3333333333333335</v>
      </c>
      <c r="I2" s="69">
        <v>3.5</v>
      </c>
      <c r="J2" s="69">
        <v>3.6666666666666665</v>
      </c>
      <c r="K2" s="69">
        <v>3.8333333333333335</v>
      </c>
      <c r="L2" s="69">
        <v>4</v>
      </c>
      <c r="M2" s="69">
        <v>4</v>
      </c>
      <c r="N2" s="69">
        <v>4</v>
      </c>
      <c r="O2" s="69">
        <v>4</v>
      </c>
      <c r="P2" s="69">
        <v>4</v>
      </c>
      <c r="Q2" s="69">
        <v>4</v>
      </c>
      <c r="R2" s="69">
        <v>4</v>
      </c>
      <c r="S2" s="69">
        <v>4</v>
      </c>
      <c r="T2" s="69">
        <v>4</v>
      </c>
      <c r="U2" s="69">
        <v>4</v>
      </c>
      <c r="V2" s="69">
        <v>4</v>
      </c>
      <c r="W2" s="69">
        <v>4</v>
      </c>
      <c r="X2" s="69">
        <v>4</v>
      </c>
      <c r="Y2" s="69">
        <v>4</v>
      </c>
      <c r="Z2" s="69">
        <v>4</v>
      </c>
      <c r="AA2" s="69">
        <v>4</v>
      </c>
      <c r="AB2" s="69">
        <v>4</v>
      </c>
      <c r="AC2" s="69">
        <v>4</v>
      </c>
      <c r="AD2" s="69">
        <v>4</v>
      </c>
      <c r="AE2" s="69">
        <v>4</v>
      </c>
      <c r="AF2" s="69">
        <v>4</v>
      </c>
      <c r="AG2" s="69">
        <v>4</v>
      </c>
      <c r="AH2" s="69">
        <v>4</v>
      </c>
      <c r="AI2" s="69">
        <v>4</v>
      </c>
      <c r="AJ2" s="69">
        <v>4</v>
      </c>
      <c r="AK2" s="69">
        <v>4</v>
      </c>
      <c r="AL2" s="69">
        <v>4</v>
      </c>
      <c r="AM2" s="69">
        <v>4</v>
      </c>
      <c r="AN2" s="69">
        <v>4</v>
      </c>
    </row>
    <row r="3" spans="1:40" x14ac:dyDescent="0.25">
      <c r="A3" s="65"/>
      <c r="B3" s="55"/>
      <c r="C3" s="55"/>
      <c r="D3" s="55" t="s">
        <v>62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_xlpm.months_since,DATEDIF(_xlpm.launchdate,_xlfn.ANCHORARRAY($E$25),"m"),_xlfn.BYCOL(_xlpm.months_since,_xlfn.LAMBDA(_xlpm.a,IFERROR(MIN(_xlpm.a/6,_xlpm.max_kiddos),0))))</f>
        <v>2.8333333333333335</v>
      </c>
      <c r="F3" s="69">
        <v>3</v>
      </c>
      <c r="G3" s="69">
        <v>3.1666666666666665</v>
      </c>
      <c r="H3" s="69">
        <v>3.3333333333333335</v>
      </c>
      <c r="I3" s="69">
        <v>3.5</v>
      </c>
      <c r="J3" s="69">
        <v>3.6666666666666665</v>
      </c>
      <c r="K3" s="69">
        <v>3.8333333333333335</v>
      </c>
      <c r="L3" s="69">
        <v>4</v>
      </c>
      <c r="M3" s="69">
        <v>4</v>
      </c>
      <c r="N3" s="69">
        <v>4</v>
      </c>
      <c r="O3" s="69">
        <v>4</v>
      </c>
      <c r="P3" s="69">
        <v>4</v>
      </c>
      <c r="Q3" s="69">
        <v>4</v>
      </c>
      <c r="R3" s="69">
        <v>4</v>
      </c>
      <c r="S3" s="69">
        <v>4</v>
      </c>
      <c r="T3" s="69">
        <v>4</v>
      </c>
      <c r="U3" s="69">
        <v>4</v>
      </c>
      <c r="V3" s="69">
        <v>4</v>
      </c>
      <c r="W3" s="69">
        <v>4</v>
      </c>
      <c r="X3" s="69">
        <v>4</v>
      </c>
      <c r="Y3" s="69">
        <v>4</v>
      </c>
      <c r="Z3" s="69">
        <v>4</v>
      </c>
      <c r="AA3" s="69">
        <v>4</v>
      </c>
      <c r="AB3" s="69">
        <v>4</v>
      </c>
      <c r="AC3" s="69">
        <v>4</v>
      </c>
      <c r="AD3" s="69">
        <v>4</v>
      </c>
      <c r="AE3" s="69">
        <v>4</v>
      </c>
      <c r="AF3" s="69">
        <v>4</v>
      </c>
      <c r="AG3" s="69">
        <v>4</v>
      </c>
      <c r="AH3" s="69">
        <v>4</v>
      </c>
      <c r="AI3" s="69">
        <v>4</v>
      </c>
      <c r="AJ3" s="69">
        <v>4</v>
      </c>
      <c r="AK3" s="69">
        <v>4</v>
      </c>
      <c r="AL3" s="69">
        <v>4</v>
      </c>
      <c r="AM3" s="69">
        <v>4</v>
      </c>
      <c r="AN3" s="69">
        <v>4</v>
      </c>
    </row>
    <row r="4" spans="1:40" x14ac:dyDescent="0.25">
      <c r="A4" s="65"/>
      <c r="B4" s="55"/>
      <c r="C4" s="55"/>
      <c r="D4" s="55" t="s">
        <v>260</v>
      </c>
      <c r="E4" s="69" cm="1">
        <f t="array" ref="E4:AN4">_xlfn.BYCOL(_xlfn.VSTACK(_xlfn.ANCHORARRAY($E$1),_xlfn.ANCHORARRAY($E$2)),_xlfn.LAMBDA(_xlpm.a,SUM(_xlpm.a)))</f>
        <v>39.833333333333336</v>
      </c>
      <c r="F4" s="69">
        <v>40</v>
      </c>
      <c r="G4" s="69">
        <v>40.166666666666664</v>
      </c>
      <c r="H4" s="69">
        <v>40.333333333333336</v>
      </c>
      <c r="I4" s="69">
        <v>40.5</v>
      </c>
      <c r="J4" s="69">
        <v>40.666666666666664</v>
      </c>
      <c r="K4" s="69">
        <v>40.833333333333336</v>
      </c>
      <c r="L4" s="69">
        <v>41</v>
      </c>
      <c r="M4" s="69">
        <v>41</v>
      </c>
      <c r="N4" s="69">
        <v>41</v>
      </c>
      <c r="O4" s="69">
        <v>41</v>
      </c>
      <c r="P4" s="69">
        <v>41</v>
      </c>
      <c r="Q4" s="69">
        <v>41</v>
      </c>
      <c r="R4" s="69">
        <v>41</v>
      </c>
      <c r="S4" s="69">
        <v>41</v>
      </c>
      <c r="T4" s="69">
        <v>41</v>
      </c>
      <c r="U4" s="69">
        <v>41</v>
      </c>
      <c r="V4" s="69">
        <v>41</v>
      </c>
      <c r="W4" s="69">
        <v>41</v>
      </c>
      <c r="X4" s="69">
        <v>41</v>
      </c>
      <c r="Y4" s="69">
        <v>41</v>
      </c>
      <c r="Z4" s="69">
        <v>41</v>
      </c>
      <c r="AA4" s="69">
        <v>41</v>
      </c>
      <c r="AB4" s="69">
        <v>41</v>
      </c>
      <c r="AC4" s="69">
        <v>41</v>
      </c>
      <c r="AD4" s="69">
        <v>41</v>
      </c>
      <c r="AE4" s="69">
        <v>41</v>
      </c>
      <c r="AF4" s="69">
        <v>41</v>
      </c>
      <c r="AG4" s="69">
        <v>41</v>
      </c>
      <c r="AH4" s="69">
        <v>41</v>
      </c>
      <c r="AI4" s="69">
        <v>41</v>
      </c>
      <c r="AJ4" s="69">
        <v>41</v>
      </c>
      <c r="AK4" s="69">
        <v>41</v>
      </c>
      <c r="AL4" s="69">
        <v>41</v>
      </c>
      <c r="AM4" s="69">
        <v>41</v>
      </c>
      <c r="AN4" s="69">
        <v>41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107</v>
      </c>
      <c r="C6" s="3"/>
      <c r="D6" s="3"/>
      <c r="E6" s="66" cm="1">
        <f t="array" ref="E6:AN6">ROUND(_xlfn.BYCOL(_xlfn.ANCHORARRAY(E7),_xlfn.LAMBDA(_xlpm.a,SUM(_xlpm.a))),0)</f>
        <v>45</v>
      </c>
      <c r="F6" s="66">
        <v>45</v>
      </c>
      <c r="G6" s="66">
        <v>45</v>
      </c>
      <c r="H6" s="66">
        <v>45</v>
      </c>
      <c r="I6" s="66">
        <v>45</v>
      </c>
      <c r="J6" s="66">
        <v>45</v>
      </c>
      <c r="K6" s="66">
        <v>45</v>
      </c>
      <c r="L6" s="66">
        <v>45</v>
      </c>
      <c r="M6" s="66">
        <v>45</v>
      </c>
      <c r="N6" s="66">
        <v>45</v>
      </c>
      <c r="O6" s="66">
        <v>45</v>
      </c>
      <c r="P6" s="66">
        <v>45</v>
      </c>
      <c r="Q6" s="66">
        <v>45</v>
      </c>
      <c r="R6" s="66">
        <v>45</v>
      </c>
      <c r="S6" s="66">
        <v>45</v>
      </c>
      <c r="T6" s="66">
        <v>45</v>
      </c>
      <c r="U6" s="66">
        <v>45</v>
      </c>
      <c r="V6" s="66">
        <v>45</v>
      </c>
      <c r="W6" s="66">
        <v>45</v>
      </c>
      <c r="X6" s="66">
        <v>45</v>
      </c>
      <c r="Y6" s="66">
        <v>45</v>
      </c>
      <c r="Z6" s="66">
        <v>45</v>
      </c>
      <c r="AA6" s="66">
        <v>45</v>
      </c>
      <c r="AB6" s="66">
        <v>45</v>
      </c>
      <c r="AC6" s="66">
        <v>45</v>
      </c>
      <c r="AD6" s="66">
        <v>45</v>
      </c>
      <c r="AE6" s="66">
        <v>45</v>
      </c>
      <c r="AF6" s="66">
        <v>45</v>
      </c>
      <c r="AG6" s="66">
        <v>45</v>
      </c>
      <c r="AH6" s="66">
        <v>45</v>
      </c>
      <c r="AI6" s="66">
        <v>45</v>
      </c>
      <c r="AJ6" s="66">
        <v>45</v>
      </c>
      <c r="AK6" s="66">
        <v>45</v>
      </c>
      <c r="AL6" s="66">
        <v>45</v>
      </c>
      <c r="AM6" s="66">
        <v>45</v>
      </c>
      <c r="AN6" s="66">
        <v>45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1"/>
      <c r="E7" s="106" cm="1">
        <f t="array" ref="E7:AN20">_xlfn.LET(_xlpm.Customer_staff,_xlfn._xlws.FILTER(Base!$D$85:$BD$98,ISNUMBER(SEARCH($B$1&amp;"-"&amp;$C$1,Base!$D$4:$BD$4))),_xlpm.Customer,_xlfn.ANCHORARRAY($E$1),_xlpm.headcount,_xlpm.Customer/_xlpm.Customer_staff,
_xlpm.patient_staff,_xlfn.ANCHORARRAY($E$2)/_xlpm.Customer_staff,_xlpm.prim_staff_tr_rec,_xlfn.ANCHORARRAY($E$2)/_xlfn.CHOOSEROWS(_xlpm.Customer_staff,{7,8})+(_xlfn.ANCHORARRAY($E$1)*0.0055),_xlpm.rounding,_xlfn.VSTACK(2,2,0,0,2,2,2,2,2,2,2,0,0,0),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prim_staff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31.720000000000002</v>
      </c>
      <c r="F7" s="106">
        <v>31.720000000000002</v>
      </c>
      <c r="G7" s="106">
        <v>31.720000000000002</v>
      </c>
      <c r="H7" s="106">
        <v>31.720000000000002</v>
      </c>
      <c r="I7" s="106">
        <v>31.720000000000002</v>
      </c>
      <c r="J7" s="106">
        <v>31.720000000000002</v>
      </c>
      <c r="K7" s="106">
        <v>31.720000000000002</v>
      </c>
      <c r="L7" s="106">
        <v>31.720000000000002</v>
      </c>
      <c r="M7" s="106">
        <v>31.720000000000002</v>
      </c>
      <c r="N7" s="106">
        <v>31.720000000000002</v>
      </c>
      <c r="O7" s="106">
        <v>31.720000000000002</v>
      </c>
      <c r="P7" s="106">
        <v>31.720000000000002</v>
      </c>
      <c r="Q7" s="106">
        <v>31.720000000000002</v>
      </c>
      <c r="R7" s="106">
        <v>31.720000000000002</v>
      </c>
      <c r="S7" s="106">
        <v>31.720000000000002</v>
      </c>
      <c r="T7" s="106">
        <v>31.720000000000002</v>
      </c>
      <c r="U7" s="106">
        <v>31.720000000000002</v>
      </c>
      <c r="V7" s="106">
        <v>31.720000000000002</v>
      </c>
      <c r="W7" s="106">
        <v>31.720000000000002</v>
      </c>
      <c r="X7" s="106">
        <v>31.720000000000002</v>
      </c>
      <c r="Y7" s="106">
        <v>31.720000000000002</v>
      </c>
      <c r="Z7" s="106">
        <v>31.720000000000002</v>
      </c>
      <c r="AA7" s="106">
        <v>31.720000000000002</v>
      </c>
      <c r="AB7" s="106">
        <v>31.720000000000002</v>
      </c>
      <c r="AC7" s="106">
        <v>31.720000000000002</v>
      </c>
      <c r="AD7" s="106">
        <v>31.720000000000002</v>
      </c>
      <c r="AE7" s="106">
        <v>31.720000000000002</v>
      </c>
      <c r="AF7" s="106">
        <v>31.720000000000002</v>
      </c>
      <c r="AG7" s="106">
        <v>31.720000000000002</v>
      </c>
      <c r="AH7" s="106">
        <v>31.720000000000002</v>
      </c>
      <c r="AI7" s="106">
        <v>31.720000000000002</v>
      </c>
      <c r="AJ7" s="106">
        <v>31.720000000000002</v>
      </c>
      <c r="AK7" s="106">
        <v>31.720000000000002</v>
      </c>
      <c r="AL7" s="106">
        <v>31.720000000000002</v>
      </c>
      <c r="AM7" s="106">
        <v>31.720000000000002</v>
      </c>
      <c r="AN7" s="106">
        <v>31.720000000000002</v>
      </c>
    </row>
    <row r="8" spans="1:40" hidden="1" outlineLevel="1" x14ac:dyDescent="0.25">
      <c r="B8" s="39" t="str">
        <v>Secondary Direct Staff</v>
      </c>
      <c r="C8" s="3"/>
      <c r="D8" s="3"/>
      <c r="E8" s="106">
        <v>5.29</v>
      </c>
      <c r="F8" s="106">
        <v>5.29</v>
      </c>
      <c r="G8" s="106">
        <v>5.29</v>
      </c>
      <c r="H8" s="106">
        <v>5.29</v>
      </c>
      <c r="I8" s="106">
        <v>5.29</v>
      </c>
      <c r="J8" s="106">
        <v>5.29</v>
      </c>
      <c r="K8" s="106">
        <v>5.29</v>
      </c>
      <c r="L8" s="106">
        <v>5.29</v>
      </c>
      <c r="M8" s="106">
        <v>5.29</v>
      </c>
      <c r="N8" s="106">
        <v>5.29</v>
      </c>
      <c r="O8" s="106">
        <v>5.29</v>
      </c>
      <c r="P8" s="106">
        <v>5.29</v>
      </c>
      <c r="Q8" s="106">
        <v>5.29</v>
      </c>
      <c r="R8" s="106">
        <v>5.29</v>
      </c>
      <c r="S8" s="106">
        <v>5.29</v>
      </c>
      <c r="T8" s="106">
        <v>5.29</v>
      </c>
      <c r="U8" s="106">
        <v>5.29</v>
      </c>
      <c r="V8" s="106">
        <v>5.29</v>
      </c>
      <c r="W8" s="106">
        <v>5.29</v>
      </c>
      <c r="X8" s="106">
        <v>5.29</v>
      </c>
      <c r="Y8" s="106">
        <v>5.29</v>
      </c>
      <c r="Z8" s="106">
        <v>5.29</v>
      </c>
      <c r="AA8" s="106">
        <v>5.29</v>
      </c>
      <c r="AB8" s="106">
        <v>5.29</v>
      </c>
      <c r="AC8" s="106">
        <v>5.29</v>
      </c>
      <c r="AD8" s="106">
        <v>5.29</v>
      </c>
      <c r="AE8" s="106">
        <v>5.29</v>
      </c>
      <c r="AF8" s="106">
        <v>5.29</v>
      </c>
      <c r="AG8" s="106">
        <v>5.29</v>
      </c>
      <c r="AH8" s="106">
        <v>5.29</v>
      </c>
      <c r="AI8" s="106">
        <v>5.29</v>
      </c>
      <c r="AJ8" s="106">
        <v>5.29</v>
      </c>
      <c r="AK8" s="106">
        <v>5.29</v>
      </c>
      <c r="AL8" s="106">
        <v>5.29</v>
      </c>
      <c r="AM8" s="106">
        <v>5.29</v>
      </c>
      <c r="AN8" s="106">
        <v>5.29</v>
      </c>
    </row>
    <row r="9" spans="1:40" hidden="1" outlineLevel="1" x14ac:dyDescent="0.25">
      <c r="B9" s="39" t="str">
        <v>Center Manager</v>
      </c>
      <c r="C9" s="3"/>
      <c r="D9" s="3"/>
      <c r="E9" s="106">
        <v>1</v>
      </c>
      <c r="F9" s="106">
        <v>1</v>
      </c>
      <c r="G9" s="106">
        <v>1</v>
      </c>
      <c r="H9" s="106">
        <v>1</v>
      </c>
      <c r="I9" s="106">
        <v>1</v>
      </c>
      <c r="J9" s="106">
        <v>1</v>
      </c>
      <c r="K9" s="106">
        <v>1</v>
      </c>
      <c r="L9" s="106">
        <v>1</v>
      </c>
      <c r="M9" s="106">
        <v>1</v>
      </c>
      <c r="N9" s="106">
        <v>1</v>
      </c>
      <c r="O9" s="106">
        <v>1</v>
      </c>
      <c r="P9" s="106">
        <v>1</v>
      </c>
      <c r="Q9" s="106">
        <v>1</v>
      </c>
      <c r="R9" s="106">
        <v>1</v>
      </c>
      <c r="S9" s="106">
        <v>1</v>
      </c>
      <c r="T9" s="106">
        <v>1</v>
      </c>
      <c r="U9" s="106">
        <v>1</v>
      </c>
      <c r="V9" s="106">
        <v>1</v>
      </c>
      <c r="W9" s="106">
        <v>1</v>
      </c>
      <c r="X9" s="106">
        <v>1</v>
      </c>
      <c r="Y9" s="106">
        <v>1</v>
      </c>
      <c r="Z9" s="106">
        <v>1</v>
      </c>
      <c r="AA9" s="106">
        <v>1</v>
      </c>
      <c r="AB9" s="106">
        <v>1</v>
      </c>
      <c r="AC9" s="106">
        <v>1</v>
      </c>
      <c r="AD9" s="106">
        <v>1</v>
      </c>
      <c r="AE9" s="106">
        <v>1</v>
      </c>
      <c r="AF9" s="106">
        <v>1</v>
      </c>
      <c r="AG9" s="106">
        <v>1</v>
      </c>
      <c r="AH9" s="106">
        <v>1</v>
      </c>
      <c r="AI9" s="106">
        <v>1</v>
      </c>
      <c r="AJ9" s="106">
        <v>1</v>
      </c>
      <c r="AK9" s="106">
        <v>1</v>
      </c>
      <c r="AL9" s="106">
        <v>1</v>
      </c>
      <c r="AM9" s="106">
        <v>1</v>
      </c>
      <c r="AN9" s="106">
        <v>1</v>
      </c>
    </row>
    <row r="10" spans="1:40" hidden="1" outlineLevel="1" x14ac:dyDescent="0.25">
      <c r="B10" s="39" t="str">
        <v>Intake</v>
      </c>
      <c r="C10" s="3"/>
      <c r="D10" s="3"/>
      <c r="E10" s="106">
        <v>1</v>
      </c>
      <c r="F10" s="106">
        <v>1</v>
      </c>
      <c r="G10" s="106">
        <v>1</v>
      </c>
      <c r="H10" s="106">
        <v>1</v>
      </c>
      <c r="I10" s="106">
        <v>1</v>
      </c>
      <c r="J10" s="106">
        <v>1</v>
      </c>
      <c r="K10" s="106">
        <v>1</v>
      </c>
      <c r="L10" s="106">
        <v>1</v>
      </c>
      <c r="M10" s="106">
        <v>1</v>
      </c>
      <c r="N10" s="106">
        <v>1</v>
      </c>
      <c r="O10" s="106">
        <v>1</v>
      </c>
      <c r="P10" s="106">
        <v>1</v>
      </c>
      <c r="Q10" s="106">
        <v>1</v>
      </c>
      <c r="R10" s="106">
        <v>1</v>
      </c>
      <c r="S10" s="106">
        <v>1</v>
      </c>
      <c r="T10" s="106">
        <v>1</v>
      </c>
      <c r="U10" s="106">
        <v>1</v>
      </c>
      <c r="V10" s="106">
        <v>1</v>
      </c>
      <c r="W10" s="106">
        <v>1</v>
      </c>
      <c r="X10" s="106">
        <v>1</v>
      </c>
      <c r="Y10" s="106">
        <v>1</v>
      </c>
      <c r="Z10" s="106">
        <v>1</v>
      </c>
      <c r="AA10" s="106">
        <v>1</v>
      </c>
      <c r="AB10" s="106">
        <v>1</v>
      </c>
      <c r="AC10" s="106">
        <v>1</v>
      </c>
      <c r="AD10" s="106">
        <v>1</v>
      </c>
      <c r="AE10" s="106">
        <v>1</v>
      </c>
      <c r="AF10" s="106">
        <v>1</v>
      </c>
      <c r="AG10" s="106">
        <v>1</v>
      </c>
      <c r="AH10" s="106">
        <v>1</v>
      </c>
      <c r="AI10" s="106">
        <v>1</v>
      </c>
      <c r="AJ10" s="106">
        <v>1</v>
      </c>
      <c r="AK10" s="106">
        <v>1</v>
      </c>
      <c r="AL10" s="106">
        <v>1</v>
      </c>
      <c r="AM10" s="106">
        <v>1</v>
      </c>
      <c r="AN10" s="106">
        <v>1</v>
      </c>
    </row>
    <row r="11" spans="1:40" hidden="1" outlineLevel="1" x14ac:dyDescent="0.25">
      <c r="B11" s="39" t="str">
        <v>Scheduler</v>
      </c>
      <c r="C11" s="3"/>
      <c r="D11" s="3"/>
      <c r="E11" s="106">
        <v>0</v>
      </c>
      <c r="F11" s="106">
        <v>0</v>
      </c>
      <c r="G11" s="106">
        <v>0</v>
      </c>
      <c r="H11" s="106">
        <v>0</v>
      </c>
      <c r="I11" s="106">
        <v>0</v>
      </c>
      <c r="J11" s="106">
        <v>0</v>
      </c>
      <c r="K11" s="106">
        <v>0</v>
      </c>
      <c r="L11" s="106">
        <v>0</v>
      </c>
      <c r="M11" s="106">
        <v>0</v>
      </c>
      <c r="N11" s="106">
        <v>0</v>
      </c>
      <c r="O11" s="106">
        <v>0</v>
      </c>
      <c r="P11" s="106">
        <v>0</v>
      </c>
      <c r="Q11" s="106">
        <v>0</v>
      </c>
      <c r="R11" s="106">
        <v>0</v>
      </c>
      <c r="S11" s="106">
        <v>0</v>
      </c>
      <c r="T11" s="106">
        <v>0</v>
      </c>
      <c r="U11" s="106">
        <v>0</v>
      </c>
      <c r="V11" s="106">
        <v>0</v>
      </c>
      <c r="W11" s="106">
        <v>0</v>
      </c>
      <c r="X11" s="106">
        <v>0</v>
      </c>
      <c r="Y11" s="106">
        <v>0</v>
      </c>
      <c r="Z11" s="106">
        <v>0</v>
      </c>
      <c r="AA11" s="106">
        <v>0</v>
      </c>
      <c r="AB11" s="106">
        <v>0</v>
      </c>
      <c r="AC11" s="106">
        <v>0</v>
      </c>
      <c r="AD11" s="106">
        <v>0</v>
      </c>
      <c r="AE11" s="106">
        <v>0</v>
      </c>
      <c r="AF11" s="106">
        <v>0</v>
      </c>
      <c r="AG11" s="106">
        <v>0</v>
      </c>
      <c r="AH11" s="106">
        <v>0</v>
      </c>
      <c r="AI11" s="106">
        <v>0</v>
      </c>
      <c r="AJ11" s="106">
        <v>0</v>
      </c>
      <c r="AK11" s="106">
        <v>0</v>
      </c>
      <c r="AL11" s="106">
        <v>0</v>
      </c>
      <c r="AM11" s="106">
        <v>0</v>
      </c>
      <c r="AN11" s="106">
        <v>0</v>
      </c>
    </row>
    <row r="12" spans="1:40" hidden="1" outlineLevel="1" x14ac:dyDescent="0.25">
      <c r="B12" s="39" t="str">
        <v>Initial Consultation Expert</v>
      </c>
      <c r="C12" s="3"/>
      <c r="D12" s="3"/>
      <c r="E12" s="106">
        <v>0.22</v>
      </c>
      <c r="F12" s="106">
        <v>0.24000000000000002</v>
      </c>
      <c r="G12" s="106">
        <v>0.25</v>
      </c>
      <c r="H12" s="106">
        <v>0.26</v>
      </c>
      <c r="I12" s="106">
        <v>0.27</v>
      </c>
      <c r="J12" s="106">
        <v>0.29000000000000004</v>
      </c>
      <c r="K12" s="106">
        <v>0.3</v>
      </c>
      <c r="L12" s="106">
        <v>0.31</v>
      </c>
      <c r="M12" s="106">
        <v>0.31</v>
      </c>
      <c r="N12" s="106">
        <v>0.31</v>
      </c>
      <c r="O12" s="106">
        <v>0.31</v>
      </c>
      <c r="P12" s="106">
        <v>0.31</v>
      </c>
      <c r="Q12" s="106">
        <v>0.31</v>
      </c>
      <c r="R12" s="106">
        <v>0.31</v>
      </c>
      <c r="S12" s="106">
        <v>0.31</v>
      </c>
      <c r="T12" s="106">
        <v>0.31</v>
      </c>
      <c r="U12" s="106">
        <v>0.31</v>
      </c>
      <c r="V12" s="106">
        <v>0.31</v>
      </c>
      <c r="W12" s="106">
        <v>0.31</v>
      </c>
      <c r="X12" s="106">
        <v>0.31</v>
      </c>
      <c r="Y12" s="106">
        <v>0.31</v>
      </c>
      <c r="Z12" s="106">
        <v>0.31</v>
      </c>
      <c r="AA12" s="106">
        <v>0.31</v>
      </c>
      <c r="AB12" s="106">
        <v>0.31</v>
      </c>
      <c r="AC12" s="106">
        <v>0.31</v>
      </c>
      <c r="AD12" s="106">
        <v>0.31</v>
      </c>
      <c r="AE12" s="106">
        <v>0.31</v>
      </c>
      <c r="AF12" s="106">
        <v>0.31</v>
      </c>
      <c r="AG12" s="106">
        <v>0.31</v>
      </c>
      <c r="AH12" s="106">
        <v>0.31</v>
      </c>
      <c r="AI12" s="106">
        <v>0.31</v>
      </c>
      <c r="AJ12" s="106">
        <v>0.31</v>
      </c>
      <c r="AK12" s="106">
        <v>0.31</v>
      </c>
      <c r="AL12" s="106">
        <v>0.31</v>
      </c>
      <c r="AM12" s="106">
        <v>0.31</v>
      </c>
      <c r="AN12" s="106">
        <v>0.31</v>
      </c>
    </row>
    <row r="13" spans="1:40" hidden="1" outlineLevel="1" x14ac:dyDescent="0.25">
      <c r="B13" s="39" t="str">
        <v>Trainer</v>
      </c>
      <c r="C13" s="3"/>
      <c r="D13" s="3"/>
      <c r="E13" s="106">
        <v>0.49</v>
      </c>
      <c r="F13" s="106">
        <v>0.51</v>
      </c>
      <c r="G13" s="106">
        <v>0.53</v>
      </c>
      <c r="H13" s="106">
        <v>0.54</v>
      </c>
      <c r="I13" s="106">
        <v>0.56000000000000005</v>
      </c>
      <c r="J13" s="106">
        <v>0.57999999999999996</v>
      </c>
      <c r="K13" s="106">
        <v>0.59</v>
      </c>
      <c r="L13" s="106">
        <v>0.61</v>
      </c>
      <c r="M13" s="106">
        <v>0.61</v>
      </c>
      <c r="N13" s="106">
        <v>0.61</v>
      </c>
      <c r="O13" s="106">
        <v>0.61</v>
      </c>
      <c r="P13" s="106">
        <v>0.61</v>
      </c>
      <c r="Q13" s="106">
        <v>0.61</v>
      </c>
      <c r="R13" s="106">
        <v>0.61</v>
      </c>
      <c r="S13" s="106">
        <v>0.61</v>
      </c>
      <c r="T13" s="106">
        <v>0.61</v>
      </c>
      <c r="U13" s="106">
        <v>0.61</v>
      </c>
      <c r="V13" s="106">
        <v>0.61</v>
      </c>
      <c r="W13" s="106">
        <v>0.61</v>
      </c>
      <c r="X13" s="106">
        <v>0.61</v>
      </c>
      <c r="Y13" s="106">
        <v>0.61</v>
      </c>
      <c r="Z13" s="106">
        <v>0.61</v>
      </c>
      <c r="AA13" s="106">
        <v>0.61</v>
      </c>
      <c r="AB13" s="106">
        <v>0.61</v>
      </c>
      <c r="AC13" s="106">
        <v>0.61</v>
      </c>
      <c r="AD13" s="106">
        <v>0.61</v>
      </c>
      <c r="AE13" s="106">
        <v>0.61</v>
      </c>
      <c r="AF13" s="106">
        <v>0.61</v>
      </c>
      <c r="AG13" s="106">
        <v>0.61</v>
      </c>
      <c r="AH13" s="106">
        <v>0.61</v>
      </c>
      <c r="AI13" s="106">
        <v>0.61</v>
      </c>
      <c r="AJ13" s="106">
        <v>0.61</v>
      </c>
      <c r="AK13" s="106">
        <v>0.61</v>
      </c>
      <c r="AL13" s="106">
        <v>0.61</v>
      </c>
      <c r="AM13" s="106">
        <v>0.61</v>
      </c>
      <c r="AN13" s="106">
        <v>0.61</v>
      </c>
    </row>
    <row r="14" spans="1:40" hidden="1" outlineLevel="1" x14ac:dyDescent="0.25">
      <c r="B14" s="39" t="str">
        <v>Recruiter</v>
      </c>
      <c r="C14" s="3"/>
      <c r="D14" s="3"/>
      <c r="E14" s="106">
        <v>0.35000000000000003</v>
      </c>
      <c r="F14" s="106">
        <v>0.36</v>
      </c>
      <c r="G14" s="106">
        <v>0.37</v>
      </c>
      <c r="H14" s="106">
        <v>0.38</v>
      </c>
      <c r="I14" s="106">
        <v>0.38</v>
      </c>
      <c r="J14" s="106">
        <v>0.39</v>
      </c>
      <c r="K14" s="106">
        <v>0.4</v>
      </c>
      <c r="L14" s="106">
        <v>0.41000000000000003</v>
      </c>
      <c r="M14" s="106">
        <v>0.41000000000000003</v>
      </c>
      <c r="N14" s="106">
        <v>0.41000000000000003</v>
      </c>
      <c r="O14" s="106">
        <v>0.41000000000000003</v>
      </c>
      <c r="P14" s="106">
        <v>0.41000000000000003</v>
      </c>
      <c r="Q14" s="106">
        <v>0.41000000000000003</v>
      </c>
      <c r="R14" s="106">
        <v>0.41000000000000003</v>
      </c>
      <c r="S14" s="106">
        <v>0.41000000000000003</v>
      </c>
      <c r="T14" s="106">
        <v>0.41000000000000003</v>
      </c>
      <c r="U14" s="106">
        <v>0.41000000000000003</v>
      </c>
      <c r="V14" s="106">
        <v>0.41000000000000003</v>
      </c>
      <c r="W14" s="106">
        <v>0.41000000000000003</v>
      </c>
      <c r="X14" s="106">
        <v>0.41000000000000003</v>
      </c>
      <c r="Y14" s="106">
        <v>0.41000000000000003</v>
      </c>
      <c r="Z14" s="106">
        <v>0.41000000000000003</v>
      </c>
      <c r="AA14" s="106">
        <v>0.41000000000000003</v>
      </c>
      <c r="AB14" s="106">
        <v>0.41000000000000003</v>
      </c>
      <c r="AC14" s="106">
        <v>0.41000000000000003</v>
      </c>
      <c r="AD14" s="106">
        <v>0.41000000000000003</v>
      </c>
      <c r="AE14" s="106">
        <v>0.41000000000000003</v>
      </c>
      <c r="AF14" s="106">
        <v>0.41000000000000003</v>
      </c>
      <c r="AG14" s="106">
        <v>0.41000000000000003</v>
      </c>
      <c r="AH14" s="106">
        <v>0.41000000000000003</v>
      </c>
      <c r="AI14" s="106">
        <v>0.41000000000000003</v>
      </c>
      <c r="AJ14" s="106">
        <v>0.41000000000000003</v>
      </c>
      <c r="AK14" s="106">
        <v>0.41000000000000003</v>
      </c>
      <c r="AL14" s="106">
        <v>0.41000000000000003</v>
      </c>
      <c r="AM14" s="106">
        <v>0.41000000000000003</v>
      </c>
      <c r="AN14" s="106">
        <v>0.41000000000000003</v>
      </c>
    </row>
    <row r="15" spans="1:40" hidden="1" outlineLevel="1" x14ac:dyDescent="0.25">
      <c r="B15" s="39" t="str">
        <v>Center Director / Remote Site Director</v>
      </c>
      <c r="C15" s="3"/>
      <c r="D15" s="3"/>
      <c r="E15" s="106">
        <v>0.15000000000000002</v>
      </c>
      <c r="F15" s="106">
        <v>0.15000000000000002</v>
      </c>
      <c r="G15" s="106">
        <v>0.15000000000000002</v>
      </c>
      <c r="H15" s="106">
        <v>0.15000000000000002</v>
      </c>
      <c r="I15" s="106">
        <v>0.15000000000000002</v>
      </c>
      <c r="J15" s="106">
        <v>0.15000000000000002</v>
      </c>
      <c r="K15" s="106">
        <v>0.15000000000000002</v>
      </c>
      <c r="L15" s="106">
        <v>0.15000000000000002</v>
      </c>
      <c r="M15" s="106">
        <v>0.15000000000000002</v>
      </c>
      <c r="N15" s="106">
        <v>0.15000000000000002</v>
      </c>
      <c r="O15" s="106">
        <v>0.15000000000000002</v>
      </c>
      <c r="P15" s="106">
        <v>0.15000000000000002</v>
      </c>
      <c r="Q15" s="106">
        <v>0.15000000000000002</v>
      </c>
      <c r="R15" s="106">
        <v>0.15000000000000002</v>
      </c>
      <c r="S15" s="106">
        <v>0.15000000000000002</v>
      </c>
      <c r="T15" s="106">
        <v>0.15000000000000002</v>
      </c>
      <c r="U15" s="106">
        <v>0.15000000000000002</v>
      </c>
      <c r="V15" s="106">
        <v>0.15000000000000002</v>
      </c>
      <c r="W15" s="106">
        <v>0.15000000000000002</v>
      </c>
      <c r="X15" s="106">
        <v>0.15000000000000002</v>
      </c>
      <c r="Y15" s="106">
        <v>0.15000000000000002</v>
      </c>
      <c r="Z15" s="106">
        <v>0.15000000000000002</v>
      </c>
      <c r="AA15" s="106">
        <v>0.15000000000000002</v>
      </c>
      <c r="AB15" s="106">
        <v>0.15000000000000002</v>
      </c>
      <c r="AC15" s="106">
        <v>0.15000000000000002</v>
      </c>
      <c r="AD15" s="106">
        <v>0.15000000000000002</v>
      </c>
      <c r="AE15" s="106">
        <v>0.15000000000000002</v>
      </c>
      <c r="AF15" s="106">
        <v>0.15000000000000002</v>
      </c>
      <c r="AG15" s="106">
        <v>0.15000000000000002</v>
      </c>
      <c r="AH15" s="106">
        <v>0.15000000000000002</v>
      </c>
      <c r="AI15" s="106">
        <v>0.15000000000000002</v>
      </c>
      <c r="AJ15" s="106">
        <v>0.15000000000000002</v>
      </c>
      <c r="AK15" s="106">
        <v>0.15000000000000002</v>
      </c>
      <c r="AL15" s="106">
        <v>0.15000000000000002</v>
      </c>
      <c r="AM15" s="106">
        <v>0.15000000000000002</v>
      </c>
      <c r="AN15" s="106">
        <v>0.15000000000000002</v>
      </c>
    </row>
    <row r="16" spans="1:40" hidden="1" outlineLevel="1" x14ac:dyDescent="0.25">
      <c r="B16" s="39" t="str">
        <v>Center Marketing Outreach</v>
      </c>
      <c r="C16" s="3"/>
      <c r="D16" s="3"/>
      <c r="E16" s="106">
        <v>0.15000000000000002</v>
      </c>
      <c r="F16" s="106">
        <v>0.15000000000000002</v>
      </c>
      <c r="G16" s="106">
        <v>0.15000000000000002</v>
      </c>
      <c r="H16" s="106">
        <v>0.15000000000000002</v>
      </c>
      <c r="I16" s="106">
        <v>0.15000000000000002</v>
      </c>
      <c r="J16" s="106">
        <v>0.15000000000000002</v>
      </c>
      <c r="K16" s="106">
        <v>0.15000000000000002</v>
      </c>
      <c r="L16" s="106">
        <v>0.15000000000000002</v>
      </c>
      <c r="M16" s="106">
        <v>0.15000000000000002</v>
      </c>
      <c r="N16" s="106">
        <v>0.15000000000000002</v>
      </c>
      <c r="O16" s="106">
        <v>0.15000000000000002</v>
      </c>
      <c r="P16" s="106">
        <v>0.15000000000000002</v>
      </c>
      <c r="Q16" s="106">
        <v>0.15000000000000002</v>
      </c>
      <c r="R16" s="106">
        <v>0.15000000000000002</v>
      </c>
      <c r="S16" s="106">
        <v>0.15000000000000002</v>
      </c>
      <c r="T16" s="106">
        <v>0.15000000000000002</v>
      </c>
      <c r="U16" s="106">
        <v>0.15000000000000002</v>
      </c>
      <c r="V16" s="106">
        <v>0.15000000000000002</v>
      </c>
      <c r="W16" s="106">
        <v>0.15000000000000002</v>
      </c>
      <c r="X16" s="106">
        <v>0.15000000000000002</v>
      </c>
      <c r="Y16" s="106">
        <v>0.15000000000000002</v>
      </c>
      <c r="Z16" s="106">
        <v>0.15000000000000002</v>
      </c>
      <c r="AA16" s="106">
        <v>0.15000000000000002</v>
      </c>
      <c r="AB16" s="106">
        <v>0.15000000000000002</v>
      </c>
      <c r="AC16" s="106">
        <v>0.15000000000000002</v>
      </c>
      <c r="AD16" s="106">
        <v>0.15000000000000002</v>
      </c>
      <c r="AE16" s="106">
        <v>0.15000000000000002</v>
      </c>
      <c r="AF16" s="106">
        <v>0.15000000000000002</v>
      </c>
      <c r="AG16" s="106">
        <v>0.15000000000000002</v>
      </c>
      <c r="AH16" s="106">
        <v>0.15000000000000002</v>
      </c>
      <c r="AI16" s="106">
        <v>0.15000000000000002</v>
      </c>
      <c r="AJ16" s="106">
        <v>0.15000000000000002</v>
      </c>
      <c r="AK16" s="106">
        <v>0.15000000000000002</v>
      </c>
      <c r="AL16" s="106">
        <v>0.15000000000000002</v>
      </c>
      <c r="AM16" s="106">
        <v>0.15000000000000002</v>
      </c>
      <c r="AN16" s="106">
        <v>0.15000000000000002</v>
      </c>
    </row>
    <row r="17" spans="2:50" hidden="1" outlineLevel="1" x14ac:dyDescent="0.25">
      <c r="B17" s="39" t="str">
        <v>Primary Direct Staff Lead</v>
      </c>
      <c r="C17" s="3"/>
      <c r="D17" s="3"/>
      <c r="E17" s="106">
        <v>3.7</v>
      </c>
      <c r="F17" s="106">
        <v>3.7</v>
      </c>
      <c r="G17" s="106">
        <v>3.7</v>
      </c>
      <c r="H17" s="106">
        <v>3.7</v>
      </c>
      <c r="I17" s="106">
        <v>3.7</v>
      </c>
      <c r="J17" s="106">
        <v>3.7</v>
      </c>
      <c r="K17" s="106">
        <v>3.7</v>
      </c>
      <c r="L17" s="106">
        <v>3.7</v>
      </c>
      <c r="M17" s="106">
        <v>3.7</v>
      </c>
      <c r="N17" s="106">
        <v>3.7</v>
      </c>
      <c r="O17" s="106">
        <v>3.7</v>
      </c>
      <c r="P17" s="106">
        <v>3.7</v>
      </c>
      <c r="Q17" s="106">
        <v>3.7</v>
      </c>
      <c r="R17" s="106">
        <v>3.7</v>
      </c>
      <c r="S17" s="106">
        <v>3.7</v>
      </c>
      <c r="T17" s="106">
        <v>3.7</v>
      </c>
      <c r="U17" s="106">
        <v>3.7</v>
      </c>
      <c r="V17" s="106">
        <v>3.7</v>
      </c>
      <c r="W17" s="106">
        <v>3.7</v>
      </c>
      <c r="X17" s="106">
        <v>3.7</v>
      </c>
      <c r="Y17" s="106">
        <v>3.7</v>
      </c>
      <c r="Z17" s="106">
        <v>3.7</v>
      </c>
      <c r="AA17" s="106">
        <v>3.7</v>
      </c>
      <c r="AB17" s="106">
        <v>3.7</v>
      </c>
      <c r="AC17" s="106">
        <v>3.7</v>
      </c>
      <c r="AD17" s="106">
        <v>3.7</v>
      </c>
      <c r="AE17" s="106">
        <v>3.7</v>
      </c>
      <c r="AF17" s="106">
        <v>3.7</v>
      </c>
      <c r="AG17" s="106">
        <v>3.7</v>
      </c>
      <c r="AH17" s="106">
        <v>3.7</v>
      </c>
      <c r="AI17" s="106">
        <v>3.7</v>
      </c>
      <c r="AJ17" s="106">
        <v>3.7</v>
      </c>
      <c r="AK17" s="106">
        <v>3.7</v>
      </c>
      <c r="AL17" s="106">
        <v>3.7</v>
      </c>
      <c r="AM17" s="106">
        <v>3.7</v>
      </c>
      <c r="AN17" s="106">
        <v>3.7</v>
      </c>
    </row>
    <row r="18" spans="2:50" hidden="1" outlineLevel="1" x14ac:dyDescent="0.25">
      <c r="B18" s="39" t="str">
        <v>Tertiary Direct Staff</v>
      </c>
      <c r="C18" s="3"/>
      <c r="D18" s="3"/>
      <c r="E18" s="106">
        <v>0</v>
      </c>
      <c r="F18" s="106">
        <v>0</v>
      </c>
      <c r="G18" s="106">
        <v>0</v>
      </c>
      <c r="H18" s="106">
        <v>0</v>
      </c>
      <c r="I18" s="106">
        <v>0</v>
      </c>
      <c r="J18" s="106">
        <v>0</v>
      </c>
      <c r="K18" s="106">
        <v>0</v>
      </c>
      <c r="L18" s="106">
        <v>0</v>
      </c>
      <c r="M18" s="106">
        <v>0</v>
      </c>
      <c r="N18" s="106">
        <v>0</v>
      </c>
      <c r="O18" s="106">
        <v>0</v>
      </c>
      <c r="P18" s="106">
        <v>0</v>
      </c>
      <c r="Q18" s="106">
        <v>0</v>
      </c>
      <c r="R18" s="106">
        <v>0</v>
      </c>
      <c r="S18" s="106">
        <v>0</v>
      </c>
      <c r="T18" s="106">
        <v>0</v>
      </c>
      <c r="U18" s="106">
        <v>0</v>
      </c>
      <c r="V18" s="106">
        <v>0</v>
      </c>
      <c r="W18" s="106">
        <v>0</v>
      </c>
      <c r="X18" s="106">
        <v>0</v>
      </c>
      <c r="Y18" s="106">
        <v>0</v>
      </c>
      <c r="Z18" s="106">
        <v>0</v>
      </c>
      <c r="AA18" s="106">
        <v>0</v>
      </c>
      <c r="AB18" s="106">
        <v>0</v>
      </c>
      <c r="AC18" s="106">
        <v>0</v>
      </c>
      <c r="AD18" s="106">
        <v>0</v>
      </c>
      <c r="AE18" s="106">
        <v>0</v>
      </c>
      <c r="AF18" s="106">
        <v>0</v>
      </c>
      <c r="AG18" s="106">
        <v>0</v>
      </c>
      <c r="AH18" s="106">
        <v>0</v>
      </c>
      <c r="AI18" s="106">
        <v>0</v>
      </c>
      <c r="AJ18" s="106">
        <v>0</v>
      </c>
      <c r="AK18" s="106">
        <v>0</v>
      </c>
      <c r="AL18" s="106">
        <v>0</v>
      </c>
      <c r="AM18" s="106">
        <v>0</v>
      </c>
      <c r="AN18" s="106">
        <v>0</v>
      </c>
    </row>
    <row r="19" spans="2:50" hidden="1" outlineLevel="1" x14ac:dyDescent="0.25">
      <c r="B19" s="39" t="str">
        <v>Quinary Direct Staff</v>
      </c>
      <c r="C19" s="3"/>
      <c r="D19" s="3"/>
      <c r="E19" s="106">
        <v>0</v>
      </c>
      <c r="F19" s="106">
        <v>0</v>
      </c>
      <c r="G19" s="106">
        <v>0</v>
      </c>
      <c r="H19" s="106">
        <v>0</v>
      </c>
      <c r="I19" s="106">
        <v>0</v>
      </c>
      <c r="J19" s="106">
        <v>0</v>
      </c>
      <c r="K19" s="106">
        <v>0</v>
      </c>
      <c r="L19" s="106">
        <v>0</v>
      </c>
      <c r="M19" s="106">
        <v>0</v>
      </c>
      <c r="N19" s="106">
        <v>0</v>
      </c>
      <c r="O19" s="106">
        <v>0</v>
      </c>
      <c r="P19" s="106">
        <v>0</v>
      </c>
      <c r="Q19" s="106">
        <v>0</v>
      </c>
      <c r="R19" s="106">
        <v>0</v>
      </c>
      <c r="S19" s="106">
        <v>0</v>
      </c>
      <c r="T19" s="106">
        <v>0</v>
      </c>
      <c r="U19" s="106">
        <v>0</v>
      </c>
      <c r="V19" s="106">
        <v>0</v>
      </c>
      <c r="W19" s="106">
        <v>0</v>
      </c>
      <c r="X19" s="106">
        <v>0</v>
      </c>
      <c r="Y19" s="106">
        <v>0</v>
      </c>
      <c r="Z19" s="106">
        <v>0</v>
      </c>
      <c r="AA19" s="106">
        <v>0</v>
      </c>
      <c r="AB19" s="106">
        <v>0</v>
      </c>
      <c r="AC19" s="106">
        <v>0</v>
      </c>
      <c r="AD19" s="106">
        <v>0</v>
      </c>
      <c r="AE19" s="106">
        <v>0</v>
      </c>
      <c r="AF19" s="106">
        <v>0</v>
      </c>
      <c r="AG19" s="106">
        <v>0</v>
      </c>
      <c r="AH19" s="106">
        <v>0</v>
      </c>
      <c r="AI19" s="106">
        <v>0</v>
      </c>
      <c r="AJ19" s="106">
        <v>0</v>
      </c>
      <c r="AK19" s="106">
        <v>0</v>
      </c>
      <c r="AL19" s="106">
        <v>0</v>
      </c>
      <c r="AM19" s="106">
        <v>0</v>
      </c>
      <c r="AN19" s="106">
        <v>0</v>
      </c>
    </row>
    <row r="20" spans="2:50" hidden="1" outlineLevel="1" x14ac:dyDescent="0.25">
      <c r="B20" s="39" t="str">
        <v>Quaternary Direct Staff</v>
      </c>
      <c r="C20" s="3"/>
      <c r="D20" s="3"/>
      <c r="E20" s="106">
        <v>1</v>
      </c>
      <c r="F20" s="106">
        <v>1</v>
      </c>
      <c r="G20" s="106">
        <v>1</v>
      </c>
      <c r="H20" s="106">
        <v>1</v>
      </c>
      <c r="I20" s="106">
        <v>1</v>
      </c>
      <c r="J20" s="106">
        <v>1</v>
      </c>
      <c r="K20" s="106">
        <v>1</v>
      </c>
      <c r="L20" s="106">
        <v>1</v>
      </c>
      <c r="M20" s="106">
        <v>1</v>
      </c>
      <c r="N20" s="106">
        <v>1</v>
      </c>
      <c r="O20" s="106">
        <v>1</v>
      </c>
      <c r="P20" s="106">
        <v>1</v>
      </c>
      <c r="Q20" s="106">
        <v>1</v>
      </c>
      <c r="R20" s="106">
        <v>1</v>
      </c>
      <c r="S20" s="106">
        <v>1</v>
      </c>
      <c r="T20" s="106">
        <v>1</v>
      </c>
      <c r="U20" s="106">
        <v>1</v>
      </c>
      <c r="V20" s="106">
        <v>1</v>
      </c>
      <c r="W20" s="106">
        <v>1</v>
      </c>
      <c r="X20" s="106">
        <v>1</v>
      </c>
      <c r="Y20" s="106">
        <v>1</v>
      </c>
      <c r="Z20" s="106">
        <v>1</v>
      </c>
      <c r="AA20" s="106">
        <v>1</v>
      </c>
      <c r="AB20" s="106">
        <v>1</v>
      </c>
      <c r="AC20" s="106">
        <v>1</v>
      </c>
      <c r="AD20" s="106">
        <v>1</v>
      </c>
      <c r="AE20" s="106">
        <v>1</v>
      </c>
      <c r="AF20" s="106">
        <v>1</v>
      </c>
      <c r="AG20" s="106">
        <v>1</v>
      </c>
      <c r="AH20" s="106">
        <v>1</v>
      </c>
      <c r="AI20" s="106">
        <v>1</v>
      </c>
      <c r="AJ20" s="106">
        <v>1</v>
      </c>
      <c r="AK20" s="106">
        <v>1</v>
      </c>
      <c r="AL20" s="106">
        <v>1</v>
      </c>
      <c r="AM20" s="106">
        <v>1</v>
      </c>
      <c r="AN20" s="106">
        <v>1</v>
      </c>
    </row>
    <row r="21" spans="2:50" collapsed="1" x14ac:dyDescent="0.25">
      <c r="B21" s="39" t="s">
        <v>389</v>
      </c>
      <c r="C21" s="3"/>
      <c r="D21" s="5"/>
      <c r="E21" s="117" cm="1">
        <f t="array" ref="E21:AN21">ROUND(_xlfn.BYCOL(_xlfn.CHOOSEROWS(_xlfn.ANCHORARRAY(E7),1,2),_xlfn.LAMBDA(_xlpm.col,SUM(_xlpm.col))),0)</f>
        <v>37</v>
      </c>
      <c r="F21" s="117">
        <v>37</v>
      </c>
      <c r="G21" s="117">
        <v>37</v>
      </c>
      <c r="H21" s="117">
        <v>37</v>
      </c>
      <c r="I21" s="117">
        <v>37</v>
      </c>
      <c r="J21" s="117">
        <v>37</v>
      </c>
      <c r="K21" s="117">
        <v>37</v>
      </c>
      <c r="L21" s="117">
        <v>37</v>
      </c>
      <c r="M21" s="117">
        <v>37</v>
      </c>
      <c r="N21" s="117">
        <v>37</v>
      </c>
      <c r="O21" s="117">
        <v>37</v>
      </c>
      <c r="P21" s="117">
        <v>37</v>
      </c>
      <c r="Q21" s="117">
        <v>37</v>
      </c>
      <c r="R21" s="117">
        <v>37</v>
      </c>
      <c r="S21" s="117">
        <v>37</v>
      </c>
      <c r="T21" s="117">
        <v>37</v>
      </c>
      <c r="U21" s="117">
        <v>37</v>
      </c>
      <c r="V21" s="117">
        <v>37</v>
      </c>
      <c r="W21" s="117">
        <v>37</v>
      </c>
      <c r="X21" s="117">
        <v>37</v>
      </c>
      <c r="Y21" s="117">
        <v>37</v>
      </c>
      <c r="Z21" s="117">
        <v>37</v>
      </c>
      <c r="AA21" s="117">
        <v>37</v>
      </c>
      <c r="AB21" s="117">
        <v>37</v>
      </c>
      <c r="AC21" s="117">
        <v>37</v>
      </c>
      <c r="AD21" s="117">
        <v>37</v>
      </c>
      <c r="AE21" s="117">
        <v>37</v>
      </c>
      <c r="AF21" s="117">
        <v>37</v>
      </c>
      <c r="AG21" s="117">
        <v>37</v>
      </c>
      <c r="AH21" s="117">
        <v>37</v>
      </c>
      <c r="AI21" s="117">
        <v>37</v>
      </c>
      <c r="AJ21" s="117">
        <v>37</v>
      </c>
      <c r="AK21" s="117">
        <v>37</v>
      </c>
      <c r="AL21" s="117">
        <v>37</v>
      </c>
      <c r="AM21" s="117">
        <v>37</v>
      </c>
      <c r="AN21" s="117">
        <v>37</v>
      </c>
    </row>
    <row r="22" spans="2:50" x14ac:dyDescent="0.25">
      <c r="B22" s="2" t="s">
        <v>394</v>
      </c>
      <c r="C22" s="3"/>
      <c r="D22" s="77">
        <f>MAX(_xlfn.ANCHORARRAY(E22))</f>
        <v>95.980542519553083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93.184992737430193</v>
      </c>
      <c r="F22" s="78">
        <v>93.184992737430193</v>
      </c>
      <c r="G22" s="78">
        <v>93.184992737430193</v>
      </c>
      <c r="H22" s="78">
        <v>93.184992737430193</v>
      </c>
      <c r="I22" s="78">
        <v>93.184992737430193</v>
      </c>
      <c r="J22" s="78">
        <v>93.184992737430193</v>
      </c>
      <c r="K22" s="78">
        <v>93.184992737430193</v>
      </c>
      <c r="L22" s="78">
        <v>93.184992737430193</v>
      </c>
      <c r="M22" s="78">
        <v>93.184992737430193</v>
      </c>
      <c r="N22" s="78">
        <v>93.184992737430193</v>
      </c>
      <c r="O22" s="78">
        <v>93.184992737430193</v>
      </c>
      <c r="P22" s="78">
        <v>93.184992737430193</v>
      </c>
      <c r="Q22" s="78">
        <v>95.980542519553083</v>
      </c>
      <c r="R22" s="78">
        <v>95.980542519553083</v>
      </c>
      <c r="S22" s="78">
        <v>95.980542519553083</v>
      </c>
      <c r="T22" s="78">
        <v>95.980542519553083</v>
      </c>
      <c r="U22" s="78">
        <v>95.980542519553083</v>
      </c>
      <c r="V22" s="78">
        <v>95.980542519553083</v>
      </c>
      <c r="W22" s="78">
        <v>95.980542519553083</v>
      </c>
      <c r="X22" s="78">
        <v>95.980542519553083</v>
      </c>
      <c r="Y22" s="78">
        <v>95.980542519553083</v>
      </c>
      <c r="Z22" s="78">
        <v>95.980542519553083</v>
      </c>
      <c r="AA22" s="78">
        <v>95.980542519553083</v>
      </c>
      <c r="AB22" s="78">
        <v>95.980542519553083</v>
      </c>
      <c r="AC22" s="78">
        <v>95.980542519553083</v>
      </c>
      <c r="AD22" s="78">
        <v>95.980542519553083</v>
      </c>
      <c r="AE22" s="78">
        <v>95.980542519553083</v>
      </c>
      <c r="AF22" s="78">
        <v>95.980542519553083</v>
      </c>
      <c r="AG22" s="78">
        <v>95.980542519553083</v>
      </c>
      <c r="AH22" s="78">
        <v>95.980542519553083</v>
      </c>
      <c r="AI22" s="78">
        <v>95.980542519553083</v>
      </c>
      <c r="AJ22" s="78">
        <v>95.980542519553083</v>
      </c>
      <c r="AK22" s="78">
        <v>95.980542519553083</v>
      </c>
      <c r="AL22" s="78">
        <v>95.980542519553083</v>
      </c>
      <c r="AM22" s="78">
        <v>95.980542519553083</v>
      </c>
      <c r="AN22" s="78">
        <v>95.980542519553083</v>
      </c>
    </row>
    <row r="23" spans="2:50" x14ac:dyDescent="0.25">
      <c r="B23" s="2" t="s">
        <v>53</v>
      </c>
      <c r="C23" s="3"/>
      <c r="D23" s="72"/>
      <c r="E23" s="52" cm="1">
        <f t="array" ref="E23:AN23">_xlfn.LET(_xlpm.site,$B$1&amp;"-"&amp;$C$1,_xlpm.locations,Base!$D$4:$BD$4,_xlpm.Customer,_xlfn.ANCHORARRAY(E1),_xlpm.hours,SUM(_xlfn.XLOOKUP(_xlpm.site,_xlpm.locations,Base!$D$74:$BD$78,0,0)),
_xlpm.collection,1-_xlfn.XLOOKUP(_xlpm.site,_xlpm.locations,Base!$D$26:$BD$26,0,0),
_xlpm.Customer*_xlpm.hours*_xlpm.collection*(52/12))</f>
        <v>3885.4933333333329</v>
      </c>
      <c r="F23" s="52">
        <v>3885.4933333333329</v>
      </c>
      <c r="G23" s="52">
        <v>3885.4933333333329</v>
      </c>
      <c r="H23" s="52">
        <v>3885.4933333333329</v>
      </c>
      <c r="I23" s="52">
        <v>3885.4933333333329</v>
      </c>
      <c r="J23" s="52">
        <v>3885.4933333333329</v>
      </c>
      <c r="K23" s="52">
        <v>3885.4933333333329</v>
      </c>
      <c r="L23" s="52">
        <v>3885.4933333333329</v>
      </c>
      <c r="M23" s="52">
        <v>3885.4933333333329</v>
      </c>
      <c r="N23" s="52">
        <v>3885.4933333333329</v>
      </c>
      <c r="O23" s="52">
        <v>3885.4933333333329</v>
      </c>
      <c r="P23" s="52">
        <v>3885.4933333333329</v>
      </c>
      <c r="Q23" s="52">
        <v>3885.4933333333329</v>
      </c>
      <c r="R23" s="52">
        <v>3885.4933333333329</v>
      </c>
      <c r="S23" s="52">
        <v>3885.4933333333329</v>
      </c>
      <c r="T23" s="52">
        <v>3885.4933333333329</v>
      </c>
      <c r="U23" s="52">
        <v>3885.4933333333329</v>
      </c>
      <c r="V23" s="52">
        <v>3885.4933333333329</v>
      </c>
      <c r="W23" s="52">
        <v>3885.4933333333329</v>
      </c>
      <c r="X23" s="52">
        <v>3885.4933333333329</v>
      </c>
      <c r="Y23" s="52">
        <v>3885.4933333333329</v>
      </c>
      <c r="Z23" s="52">
        <v>3885.4933333333329</v>
      </c>
      <c r="AA23" s="52">
        <v>3885.4933333333329</v>
      </c>
      <c r="AB23" s="52">
        <v>3885.4933333333329</v>
      </c>
      <c r="AC23" s="52">
        <v>3885.4933333333329</v>
      </c>
      <c r="AD23" s="52">
        <v>3885.4933333333329</v>
      </c>
      <c r="AE23" s="52">
        <v>3885.4933333333329</v>
      </c>
      <c r="AF23" s="52">
        <v>3885.4933333333329</v>
      </c>
      <c r="AG23" s="52">
        <v>3885.4933333333329</v>
      </c>
      <c r="AH23" s="52">
        <v>3885.4933333333329</v>
      </c>
      <c r="AI23" s="52">
        <v>3885.4933333333329</v>
      </c>
      <c r="AJ23" s="52">
        <v>3885.4933333333329</v>
      </c>
      <c r="AK23" s="52">
        <v>3885.4933333333329</v>
      </c>
      <c r="AL23" s="52">
        <v>3885.4933333333329</v>
      </c>
      <c r="AM23" s="52">
        <v>3885.4933333333329</v>
      </c>
      <c r="AN23" s="52">
        <v>3885.4933333333329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21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_xlfn.LET(_xlpm.site,$B$1&amp;"-"&amp;$C$1,_xlpm.locations,Base!$D$4:$BD$4,_xlpm.rates,Base!$D31:$BD31,_xlpm.hours,Base!$D74:$BD74,_xlpm.comp,_xlpm.rates*_xlpm.hours,_xlpm.Customer,_xlfn.ANCHORARRAY($E$1),
_xlpm.Customer_comp,_xlfn.XLOOKUP(_xlpm.site,_xlpm.locations,_xlpm.comp,0,0),_xlpm.ann_incr,_xlfn.XLOOKUP(YEAR(_xlfn.ANCHORARRAY($E$25)),Base!$BJ$4:$BL$4,Base!$BJ74:$BL74,0,0),
_xlpm.bad_debt,_xlfn.XLOOKUP(_xlpm.site,_xlpm.locations,Base!$D$28:$BD$28,0,0),_xlpm.Customer_comp*_xlpm.Customer*_xlpm.bad_debt*_xlpm.ann_incr*(52/12))</f>
        <v>280943.33810400002</v>
      </c>
      <c r="F26" s="12">
        <v>280943.33810400002</v>
      </c>
      <c r="G26" s="12">
        <v>280943.33810400002</v>
      </c>
      <c r="H26" s="12">
        <v>280943.33810400002</v>
      </c>
      <c r="I26" s="12">
        <v>280943.33810400002</v>
      </c>
      <c r="J26" s="12">
        <v>280943.33810400002</v>
      </c>
      <c r="K26" s="12">
        <v>280943.33810400002</v>
      </c>
      <c r="L26" s="12">
        <v>280943.33810400002</v>
      </c>
      <c r="M26" s="12">
        <v>280943.33810400002</v>
      </c>
      <c r="N26" s="12">
        <v>280943.33810400002</v>
      </c>
      <c r="O26" s="12">
        <v>280943.33810400002</v>
      </c>
      <c r="P26" s="12">
        <v>280943.33810400002</v>
      </c>
      <c r="Q26" s="12">
        <v>289371.63824712002</v>
      </c>
      <c r="R26" s="12">
        <v>289371.63824712002</v>
      </c>
      <c r="S26" s="12">
        <v>289371.63824712002</v>
      </c>
      <c r="T26" s="12">
        <v>289371.63824712002</v>
      </c>
      <c r="U26" s="12">
        <v>289371.63824712002</v>
      </c>
      <c r="V26" s="12">
        <v>289371.63824712002</v>
      </c>
      <c r="W26" s="12">
        <v>289371.63824712002</v>
      </c>
      <c r="X26" s="12">
        <v>289371.63824712002</v>
      </c>
      <c r="Y26" s="12">
        <v>289371.63824712002</v>
      </c>
      <c r="Z26" s="12">
        <v>289371.63824712002</v>
      </c>
      <c r="AA26" s="12">
        <v>289371.63824712002</v>
      </c>
      <c r="AB26" s="12">
        <v>289371.63824712002</v>
      </c>
      <c r="AC26" s="12">
        <v>289371.63824712002</v>
      </c>
      <c r="AD26" s="12">
        <v>289371.63824712002</v>
      </c>
      <c r="AE26" s="12">
        <v>289371.63824712002</v>
      </c>
      <c r="AF26" s="12">
        <v>289371.63824712002</v>
      </c>
      <c r="AG26" s="12">
        <v>289371.63824712002</v>
      </c>
      <c r="AH26" s="12">
        <v>289371.63824712002</v>
      </c>
      <c r="AI26" s="12">
        <v>289371.63824712002</v>
      </c>
      <c r="AJ26" s="12">
        <v>289371.63824712002</v>
      </c>
      <c r="AK26" s="12">
        <v>289371.63824712002</v>
      </c>
      <c r="AL26" s="12">
        <v>289371.63824712002</v>
      </c>
      <c r="AM26" s="12">
        <v>289371.63824712002</v>
      </c>
      <c r="AN26" s="12">
        <v>289371.63824712002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_xlfn.LET(_xlpm.site,$B$1&amp;"-"&amp;$C$1,_xlpm.locations,Base!$D$4:$BD$4,_xlpm.rates,Base!$D32:$BD32,_xlpm.hours,Base!$D75:$BD75,_xlpm.comp,_xlpm.rates*_xlpm.hours,_xlpm.Customer,_xlfn.ANCHORARRAY($E$1),
_xlpm.Customer_comp,_xlfn.XLOOKUP(_xlpm.site,_xlpm.locations,_xlpm.comp,0,0),_xlpm.ann_incr,_xlfn.XLOOKUP(YEAR(_xlfn.ANCHORARRAY($E$25)),Base!$BJ$4:$BL$4,Base!$BJ75:$BL75,0,0),
_xlpm.bad_debt,_xlfn.XLOOKUP(_xlpm.site,_xlpm.locations,Base!$D$28:$BD$28,0,0),_xlpm.Customer_comp*_xlpm.Customer*_xlpm.bad_debt*_xlpm.ann_incr*(52/12))</f>
        <v>18545.697663999999</v>
      </c>
      <c r="F27" s="12">
        <v>18545.697663999999</v>
      </c>
      <c r="G27" s="12">
        <v>18545.697663999999</v>
      </c>
      <c r="H27" s="12">
        <v>18545.697663999999</v>
      </c>
      <c r="I27" s="12">
        <v>18545.697663999999</v>
      </c>
      <c r="J27" s="12">
        <v>18545.697663999999</v>
      </c>
      <c r="K27" s="12">
        <v>18545.697663999999</v>
      </c>
      <c r="L27" s="12">
        <v>18545.697663999999</v>
      </c>
      <c r="M27" s="12">
        <v>18545.697663999999</v>
      </c>
      <c r="N27" s="12">
        <v>18545.697663999999</v>
      </c>
      <c r="O27" s="12">
        <v>18545.697663999999</v>
      </c>
      <c r="P27" s="12">
        <v>18545.697663999999</v>
      </c>
      <c r="Q27" s="12">
        <v>19102.068593919998</v>
      </c>
      <c r="R27" s="12">
        <v>19102.068593919998</v>
      </c>
      <c r="S27" s="12">
        <v>19102.068593919998</v>
      </c>
      <c r="T27" s="12">
        <v>19102.068593919998</v>
      </c>
      <c r="U27" s="12">
        <v>19102.068593919998</v>
      </c>
      <c r="V27" s="12">
        <v>19102.068593919998</v>
      </c>
      <c r="W27" s="12">
        <v>19102.068593919998</v>
      </c>
      <c r="X27" s="12">
        <v>19102.068593919998</v>
      </c>
      <c r="Y27" s="12">
        <v>19102.068593919998</v>
      </c>
      <c r="Z27" s="12">
        <v>19102.068593919998</v>
      </c>
      <c r="AA27" s="12">
        <v>19102.068593919998</v>
      </c>
      <c r="AB27" s="12">
        <v>19102.068593919998</v>
      </c>
      <c r="AC27" s="12">
        <v>19102.068593919998</v>
      </c>
      <c r="AD27" s="12">
        <v>19102.068593919998</v>
      </c>
      <c r="AE27" s="12">
        <v>19102.068593919998</v>
      </c>
      <c r="AF27" s="12">
        <v>19102.068593919998</v>
      </c>
      <c r="AG27" s="12">
        <v>19102.068593919998</v>
      </c>
      <c r="AH27" s="12">
        <v>19102.068593919998</v>
      </c>
      <c r="AI27" s="12">
        <v>19102.068593919998</v>
      </c>
      <c r="AJ27" s="12">
        <v>19102.068593919998</v>
      </c>
      <c r="AK27" s="12">
        <v>19102.068593919998</v>
      </c>
      <c r="AL27" s="12">
        <v>19102.068593919998</v>
      </c>
      <c r="AM27" s="12">
        <v>19102.068593919998</v>
      </c>
      <c r="AN27" s="12">
        <v>19102.068593919998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_xlfn.LET(_xlpm.site,$B$1&amp;"-"&amp;$C$1,_xlpm.locations,Base!$D$4:$BD$4,_xlpm.rates,Base!$D33:$BD33,_xlpm.hours,Base!$D76:$BD76,_xlpm.comp,_xlpm.rates*_xlpm.hours,_xlpm.Customer,_xlfn.ANCHORARRAY($E$1),
_xlpm.Customer_comp,_xlfn.XLOOKUP(_xlpm.site,_xlpm.locations,_xlpm.comp,0,0),_xlpm.ann_incr,_xlfn.XLOOKUP(YEAR(_xlfn.ANCHORARRAY($E$25)),Base!$BJ$4:$BL$4,Base!$BJ76:$BL76,0,0),
_xlpm.bad_debt,_xlfn.XLOOKUP(_xlpm.site,_xlpm.locations,Base!$D$28:$BD$28,0,0),_xlpm.Customer_comp*_xlpm.Customer*_xlpm.bad_debt*_xlpm.ann_incr*(52/12))</f>
        <v>76620.910392000005</v>
      </c>
      <c r="F28" s="12">
        <v>76620.910392000005</v>
      </c>
      <c r="G28" s="12">
        <v>76620.910392000005</v>
      </c>
      <c r="H28" s="12">
        <v>76620.910392000005</v>
      </c>
      <c r="I28" s="12">
        <v>76620.910392000005</v>
      </c>
      <c r="J28" s="12">
        <v>76620.910392000005</v>
      </c>
      <c r="K28" s="12">
        <v>76620.910392000005</v>
      </c>
      <c r="L28" s="12">
        <v>76620.910392000005</v>
      </c>
      <c r="M28" s="12">
        <v>76620.910392000005</v>
      </c>
      <c r="N28" s="12">
        <v>76620.910392000005</v>
      </c>
      <c r="O28" s="12">
        <v>76620.910392000005</v>
      </c>
      <c r="P28" s="12">
        <v>76620.910392000005</v>
      </c>
      <c r="Q28" s="12">
        <v>78919.537703759997</v>
      </c>
      <c r="R28" s="12">
        <v>78919.537703759997</v>
      </c>
      <c r="S28" s="12">
        <v>78919.537703759997</v>
      </c>
      <c r="T28" s="12">
        <v>78919.537703759997</v>
      </c>
      <c r="U28" s="12">
        <v>78919.537703759997</v>
      </c>
      <c r="V28" s="12">
        <v>78919.537703759997</v>
      </c>
      <c r="W28" s="12">
        <v>78919.537703759997</v>
      </c>
      <c r="X28" s="12">
        <v>78919.537703759997</v>
      </c>
      <c r="Y28" s="12">
        <v>78919.537703759997</v>
      </c>
      <c r="Z28" s="12">
        <v>78919.537703759997</v>
      </c>
      <c r="AA28" s="12">
        <v>78919.537703759997</v>
      </c>
      <c r="AB28" s="12">
        <v>78919.537703759997</v>
      </c>
      <c r="AC28" s="12">
        <v>78919.537703759997</v>
      </c>
      <c r="AD28" s="12">
        <v>78919.537703759997</v>
      </c>
      <c r="AE28" s="12">
        <v>78919.537703759997</v>
      </c>
      <c r="AF28" s="12">
        <v>78919.537703759997</v>
      </c>
      <c r="AG28" s="12">
        <v>78919.537703759997</v>
      </c>
      <c r="AH28" s="12">
        <v>78919.537703759997</v>
      </c>
      <c r="AI28" s="12">
        <v>78919.537703759997</v>
      </c>
      <c r="AJ28" s="12">
        <v>78919.537703759997</v>
      </c>
      <c r="AK28" s="12">
        <v>78919.537703759997</v>
      </c>
      <c r="AL28" s="12">
        <v>78919.537703759997</v>
      </c>
      <c r="AM28" s="12">
        <v>78919.537703759997</v>
      </c>
      <c r="AN28" s="12">
        <v>78919.537703759997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_xlfn.LET(_xlpm.site,$B$1&amp;"-"&amp;$C$1,_xlpm.locations,Base!$D$4:$BD$4,_xlpm.rates,Base!$D34:$BD34,_xlpm.hours,Base!$D77:$BD77,_xlpm.comp,_xlpm.rates*_xlpm.hours,_xlpm.Customer,_xlfn.ANCHORARRAY($E$1),
_xlpm.Customer_comp,_xlfn.XLOOKUP(_xlpm.site,_xlpm.locations,_xlpm.comp,0,0),_xlpm.ann_incr,_xlfn.XLOOKUP(YEAR(_xlfn.ANCHORARRAY($E$25)),Base!$BJ$4:$BL$4,Base!$BJ77:$BL77,0,0),
_xlpm.bad_debt,_xlfn.XLOOKUP(_xlpm.site,_xlpm.locations,Base!$D$28:$BD$28,0,0),_xlpm.Customer_comp*_xlpm.Customer*_xlpm.bad_debt*_xlpm.ann_incr*(52/12))</f>
        <v>3214.4441159999997</v>
      </c>
      <c r="F29" s="12">
        <v>3214.4441159999997</v>
      </c>
      <c r="G29" s="12">
        <v>3214.4441159999997</v>
      </c>
      <c r="H29" s="12">
        <v>3214.4441159999997</v>
      </c>
      <c r="I29" s="12">
        <v>3214.4441159999997</v>
      </c>
      <c r="J29" s="12">
        <v>3214.4441159999997</v>
      </c>
      <c r="K29" s="12">
        <v>3214.4441159999997</v>
      </c>
      <c r="L29" s="12">
        <v>3214.4441159999997</v>
      </c>
      <c r="M29" s="12">
        <v>3214.4441159999997</v>
      </c>
      <c r="N29" s="12">
        <v>3214.4441159999997</v>
      </c>
      <c r="O29" s="12">
        <v>3214.4441159999997</v>
      </c>
      <c r="P29" s="12">
        <v>3214.4441159999997</v>
      </c>
      <c r="Q29" s="12">
        <v>3310.8774394799998</v>
      </c>
      <c r="R29" s="12">
        <v>3310.8774394799998</v>
      </c>
      <c r="S29" s="12">
        <v>3310.8774394799998</v>
      </c>
      <c r="T29" s="12">
        <v>3310.8774394799998</v>
      </c>
      <c r="U29" s="12">
        <v>3310.8774394799998</v>
      </c>
      <c r="V29" s="12">
        <v>3310.8774394799998</v>
      </c>
      <c r="W29" s="12">
        <v>3310.8774394799998</v>
      </c>
      <c r="X29" s="12">
        <v>3310.8774394799998</v>
      </c>
      <c r="Y29" s="12">
        <v>3310.8774394799998</v>
      </c>
      <c r="Z29" s="12">
        <v>3310.8774394799998</v>
      </c>
      <c r="AA29" s="12">
        <v>3310.8774394799998</v>
      </c>
      <c r="AB29" s="12">
        <v>3310.8774394799998</v>
      </c>
      <c r="AC29" s="12">
        <v>3310.8774394799998</v>
      </c>
      <c r="AD29" s="12">
        <v>3310.8774394799998</v>
      </c>
      <c r="AE29" s="12">
        <v>3310.8774394799998</v>
      </c>
      <c r="AF29" s="12">
        <v>3310.8774394799998</v>
      </c>
      <c r="AG29" s="12">
        <v>3310.8774394799998</v>
      </c>
      <c r="AH29" s="12">
        <v>3310.8774394799998</v>
      </c>
      <c r="AI29" s="12">
        <v>3310.8774394799998</v>
      </c>
      <c r="AJ29" s="12">
        <v>3310.8774394799998</v>
      </c>
      <c r="AK29" s="12">
        <v>3310.8774394799998</v>
      </c>
      <c r="AL29" s="12">
        <v>3310.8774394799998</v>
      </c>
      <c r="AM29" s="12">
        <v>3310.8774394799998</v>
      </c>
      <c r="AN29" s="12">
        <v>3310.8774394799998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_xlfn.LET(_xlpm.site,$B$1&amp;"-"&amp;$C$1,_xlpm.locations,Base!$D$4:$BD$4,_xlpm.rates,Base!$D35:$BD35,_xlpm.hours,Base!$D78:$BD78,_xlpm.comp,_xlpm.rates*_xlpm.hours,_xlpm.Customer,_xlfn.ANCHORARRAY($E$1),
_xlpm.Customer_comp,_xlfn.XLOOKUP(_xlpm.site,_xlpm.locations,_xlpm.comp,0,0),_xlpm.ann_incr,_xlfn.XLOOKUP(YEAR(_xlfn.ANCHORARRAY($E$25)),Base!$BJ$4:$BL$4,Base!$BJ78:$BL78,0,0),
_xlpm.bad_debt,_xlfn.XLOOKUP(_xlpm.site,_xlpm.locations,Base!$D$28:$BD$28,0,0),_xlpm.Customer_comp*_xlpm.Customer*_xlpm.bad_debt*_xlpm.ann_incr*(52/12))</f>
        <v>7431.8460480000003</v>
      </c>
      <c r="F30" s="12">
        <v>7431.8460480000003</v>
      </c>
      <c r="G30" s="12">
        <v>7431.8460480000003</v>
      </c>
      <c r="H30" s="12">
        <v>7431.8460480000003</v>
      </c>
      <c r="I30" s="12">
        <v>7431.8460480000003</v>
      </c>
      <c r="J30" s="12">
        <v>7431.8460480000003</v>
      </c>
      <c r="K30" s="12">
        <v>7431.8460480000003</v>
      </c>
      <c r="L30" s="12">
        <v>7431.8460480000003</v>
      </c>
      <c r="M30" s="12">
        <v>7431.8460480000003</v>
      </c>
      <c r="N30" s="12">
        <v>7431.8460480000003</v>
      </c>
      <c r="O30" s="12">
        <v>7431.8460480000003</v>
      </c>
      <c r="P30" s="12">
        <v>7431.8460480000003</v>
      </c>
      <c r="Q30" s="12">
        <v>7654.80142944</v>
      </c>
      <c r="R30" s="12">
        <v>7654.80142944</v>
      </c>
      <c r="S30" s="12">
        <v>7654.80142944</v>
      </c>
      <c r="T30" s="12">
        <v>7654.80142944</v>
      </c>
      <c r="U30" s="12">
        <v>7654.80142944</v>
      </c>
      <c r="V30" s="12">
        <v>7654.80142944</v>
      </c>
      <c r="W30" s="12">
        <v>7654.80142944</v>
      </c>
      <c r="X30" s="12">
        <v>7654.80142944</v>
      </c>
      <c r="Y30" s="12">
        <v>7654.80142944</v>
      </c>
      <c r="Z30" s="12">
        <v>7654.80142944</v>
      </c>
      <c r="AA30" s="12">
        <v>7654.80142944</v>
      </c>
      <c r="AB30" s="12">
        <v>7654.80142944</v>
      </c>
      <c r="AC30" s="12">
        <v>7654.80142944</v>
      </c>
      <c r="AD30" s="12">
        <v>7654.80142944</v>
      </c>
      <c r="AE30" s="12">
        <v>7654.80142944</v>
      </c>
      <c r="AF30" s="12">
        <v>7654.80142944</v>
      </c>
      <c r="AG30" s="12">
        <v>7654.80142944</v>
      </c>
      <c r="AH30" s="12">
        <v>7654.80142944</v>
      </c>
      <c r="AI30" s="12">
        <v>7654.80142944</v>
      </c>
      <c r="AJ30" s="12">
        <v>7654.80142944</v>
      </c>
      <c r="AK30" s="12">
        <v>7654.80142944</v>
      </c>
      <c r="AL30" s="12">
        <v>7654.80142944</v>
      </c>
      <c r="AM30" s="12">
        <v>7654.80142944</v>
      </c>
      <c r="AN30" s="12">
        <v>7654.80142944</v>
      </c>
    </row>
    <row r="31" spans="2:50" x14ac:dyDescent="0.25">
      <c r="B31" s="39" t="str">
        <f>Base!B36</f>
        <v>Tertiary Direct Staff - Service A</v>
      </c>
      <c r="C31" s="4"/>
      <c r="E31" s="183" cm="1">
        <f t="array" ref="E31:AN31">_xlfn.LET(_xlpm.site,$B$1&amp;"-"&amp;$C$1,_xlpm.locations,Base!$D$4:$BD$4,_xlpm.rates,Base!$D36:$BD36,_xlpm.hours,Base!$D79:$BD79,_xlpm.comp,_xlpm.rates*_xlpm.hours,_xlpm.Customer,_xlfn.ANCHORARRAY($E$1)*0,
_xlpm.Customer_comp,_xlfn.XLOOKUP(_xlpm.site,_xlpm.locations,_xlpm.comp,0,0),_xlpm.ann_incr,_xlfn.XLOOKUP(YEAR(_xlfn.ANCHORARRAY($E$25)),Base!$BJ$4:$BL$4,Base!$BJ79:$BL79,0,0),
_xlpm.bad_debt,_xlfn.XLOOKUP(_xlpm.site,_xlpm.locations,Base!$D$28:$BD$28,0,0),_xlpm.Customer_comp*_xlpm.Customer*_xlpm.bad_debt*_xlpm.ann_incr*(52/12))</f>
        <v>0</v>
      </c>
      <c r="F31" s="183">
        <v>0</v>
      </c>
      <c r="G31" s="183">
        <v>0</v>
      </c>
      <c r="H31" s="183">
        <v>0</v>
      </c>
      <c r="I31" s="183">
        <v>0</v>
      </c>
      <c r="J31" s="183">
        <v>0</v>
      </c>
      <c r="K31" s="183">
        <v>0</v>
      </c>
      <c r="L31" s="183">
        <v>0</v>
      </c>
      <c r="M31" s="183">
        <v>0</v>
      </c>
      <c r="N31" s="183">
        <v>0</v>
      </c>
      <c r="O31" s="183">
        <v>0</v>
      </c>
      <c r="P31" s="183">
        <v>0</v>
      </c>
      <c r="Q31" s="183">
        <v>0</v>
      </c>
      <c r="R31" s="183">
        <v>0</v>
      </c>
      <c r="S31" s="183">
        <v>0</v>
      </c>
      <c r="T31" s="183">
        <v>0</v>
      </c>
      <c r="U31" s="183">
        <v>0</v>
      </c>
      <c r="V31" s="183">
        <v>0</v>
      </c>
      <c r="W31" s="183">
        <v>0</v>
      </c>
      <c r="X31" s="183">
        <v>0</v>
      </c>
      <c r="Y31" s="183">
        <v>0</v>
      </c>
      <c r="Z31" s="183">
        <v>0</v>
      </c>
      <c r="AA31" s="183">
        <v>0</v>
      </c>
      <c r="AB31" s="183">
        <v>0</v>
      </c>
      <c r="AC31" s="183">
        <v>0</v>
      </c>
      <c r="AD31" s="183">
        <v>0</v>
      </c>
      <c r="AE31" s="183">
        <v>0</v>
      </c>
      <c r="AF31" s="183">
        <v>0</v>
      </c>
      <c r="AG31" s="183">
        <v>0</v>
      </c>
      <c r="AH31" s="183">
        <v>0</v>
      </c>
      <c r="AI31" s="183">
        <v>0</v>
      </c>
      <c r="AJ31" s="183">
        <v>0</v>
      </c>
      <c r="AK31" s="183">
        <v>0</v>
      </c>
      <c r="AL31" s="183">
        <v>0</v>
      </c>
      <c r="AM31" s="183">
        <v>0</v>
      </c>
      <c r="AN31" s="183">
        <v>0</v>
      </c>
    </row>
    <row r="32" spans="2:50" x14ac:dyDescent="0.25">
      <c r="B32" s="39" t="str">
        <f>Base!B37</f>
        <v>Tertiary Direct Staff - Service B</v>
      </c>
      <c r="C32" s="4"/>
      <c r="E32" s="183" cm="1">
        <f t="array" ref="E32:AN32">_xlfn.LET(_xlpm.site,$B$1&amp;"-"&amp;$C$1,_xlpm.locations,Base!$D$4:$BD$4,_xlpm.rates,Base!$D37:$BD37,_xlpm.hours,Base!$D80:$BD80,_xlpm.comp,_xlpm.rates*_xlpm.hours,_xlpm.Customer,_xlfn.ANCHORARRAY($E$1)*0,
_xlpm.Customer_comp,_xlfn.XLOOKUP(_xlpm.site,_xlpm.locations,_xlpm.comp,0,0),_xlpm.ann_incr,_xlfn.XLOOKUP(YEAR(_xlfn.ANCHORARRAY($E$25)),Base!$BJ$4:$BL$4,Base!$BJ80:$BL80,0,0),
_xlpm.bad_debt,_xlfn.XLOOKUP(_xlpm.site,_xlpm.locations,Base!$D$28:$BD$28,0,0),_xlpm.Customer_comp*_xlpm.Customer*_xlpm.bad_debt*_xlpm.ann_incr*(52/12))</f>
        <v>0</v>
      </c>
      <c r="F32" s="183">
        <v>0</v>
      </c>
      <c r="G32" s="183">
        <v>0</v>
      </c>
      <c r="H32" s="183">
        <v>0</v>
      </c>
      <c r="I32" s="183">
        <v>0</v>
      </c>
      <c r="J32" s="183">
        <v>0</v>
      </c>
      <c r="K32" s="183">
        <v>0</v>
      </c>
      <c r="L32" s="183">
        <v>0</v>
      </c>
      <c r="M32" s="183">
        <v>0</v>
      </c>
      <c r="N32" s="183">
        <v>0</v>
      </c>
      <c r="O32" s="183">
        <v>0</v>
      </c>
      <c r="P32" s="183">
        <v>0</v>
      </c>
      <c r="Q32" s="183">
        <v>0</v>
      </c>
      <c r="R32" s="183">
        <v>0</v>
      </c>
      <c r="S32" s="183">
        <v>0</v>
      </c>
      <c r="T32" s="183">
        <v>0</v>
      </c>
      <c r="U32" s="183">
        <v>0</v>
      </c>
      <c r="V32" s="183">
        <v>0</v>
      </c>
      <c r="W32" s="183">
        <v>0</v>
      </c>
      <c r="X32" s="183">
        <v>0</v>
      </c>
      <c r="Y32" s="183">
        <v>0</v>
      </c>
      <c r="Z32" s="183">
        <v>0</v>
      </c>
      <c r="AA32" s="183">
        <v>0</v>
      </c>
      <c r="AB32" s="183">
        <v>0</v>
      </c>
      <c r="AC32" s="183">
        <v>0</v>
      </c>
      <c r="AD32" s="183">
        <v>0</v>
      </c>
      <c r="AE32" s="183">
        <v>0</v>
      </c>
      <c r="AF32" s="183">
        <v>0</v>
      </c>
      <c r="AG32" s="183">
        <v>0</v>
      </c>
      <c r="AH32" s="183">
        <v>0</v>
      </c>
      <c r="AI32" s="183">
        <v>0</v>
      </c>
      <c r="AJ32" s="183">
        <v>0</v>
      </c>
      <c r="AK32" s="183">
        <v>0</v>
      </c>
      <c r="AL32" s="183">
        <v>0</v>
      </c>
      <c r="AM32" s="183">
        <v>0</v>
      </c>
      <c r="AN32" s="183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_xlpm.Customer,_xlfn.ANCHORARRAY($E$2),_xlpm.ann_incr,_xlfn.XLOOKUP(YEAR(_xlfn.ANCHORARRAY($E$25)),Base!$BJ$4:$BL$4,Base!$BJ$81:$BL$81,0,0),
_xlpm.bad_debt,_xlfn.XLOOKUP(_xlpm.site,_xlpm.locations,Base!$D$28:$BD$28,0,0),
_xlpm.comp*_xlpm.bad_debt*_xlpm.ann_incr*(52/12))</f>
        <v>25085.175266666662</v>
      </c>
      <c r="F33" s="12">
        <v>25085.175266666662</v>
      </c>
      <c r="G33" s="12">
        <v>25085.175266666662</v>
      </c>
      <c r="H33" s="12">
        <v>25085.175266666662</v>
      </c>
      <c r="I33" s="12">
        <v>25085.175266666662</v>
      </c>
      <c r="J33" s="12">
        <v>25085.175266666662</v>
      </c>
      <c r="K33" s="12">
        <v>25085.175266666662</v>
      </c>
      <c r="L33" s="12">
        <v>25085.175266666662</v>
      </c>
      <c r="M33" s="12">
        <v>25085.175266666662</v>
      </c>
      <c r="N33" s="12">
        <v>25085.175266666662</v>
      </c>
      <c r="O33" s="12">
        <v>25085.175266666662</v>
      </c>
      <c r="P33" s="12">
        <v>25085.175266666662</v>
      </c>
      <c r="Q33" s="12">
        <v>25837.730524666658</v>
      </c>
      <c r="R33" s="12">
        <v>25837.730524666658</v>
      </c>
      <c r="S33" s="12">
        <v>25837.730524666658</v>
      </c>
      <c r="T33" s="12">
        <v>25837.730524666658</v>
      </c>
      <c r="U33" s="12">
        <v>25837.730524666658</v>
      </c>
      <c r="V33" s="12">
        <v>25837.730524666658</v>
      </c>
      <c r="W33" s="12">
        <v>25837.730524666658</v>
      </c>
      <c r="X33" s="12">
        <v>25837.730524666658</v>
      </c>
      <c r="Y33" s="12">
        <v>25837.730524666658</v>
      </c>
      <c r="Z33" s="12">
        <v>25837.730524666658</v>
      </c>
      <c r="AA33" s="12">
        <v>25837.730524666658</v>
      </c>
      <c r="AB33" s="12">
        <v>25837.730524666658</v>
      </c>
      <c r="AC33" s="12">
        <v>25837.730524666658</v>
      </c>
      <c r="AD33" s="12">
        <v>25837.730524666658</v>
      </c>
      <c r="AE33" s="12">
        <v>25837.730524666658</v>
      </c>
      <c r="AF33" s="12">
        <v>25837.730524666658</v>
      </c>
      <c r="AG33" s="12">
        <v>25837.730524666658</v>
      </c>
      <c r="AH33" s="12">
        <v>25837.730524666658</v>
      </c>
      <c r="AI33" s="12">
        <v>25837.730524666658</v>
      </c>
      <c r="AJ33" s="12">
        <v>25837.730524666658</v>
      </c>
      <c r="AK33" s="12">
        <v>25837.730524666658</v>
      </c>
      <c r="AL33" s="12">
        <v>25837.730524666658</v>
      </c>
      <c r="AM33" s="12">
        <v>25837.730524666658</v>
      </c>
      <c r="AN33" s="12">
        <v>25837.730524666658</v>
      </c>
    </row>
    <row r="34" spans="2:40" x14ac:dyDescent="0.25">
      <c r="B34" s="39" t="str">
        <f>Base!B39</f>
        <v>Quinary Direct Staff - Service A</v>
      </c>
      <c r="C34" s="4"/>
      <c r="E34" s="183" cm="1">
        <f t="array" ref="E34:AN34">_xlfn.LET(_xlpm.site,$B$1&amp;"-"&amp;$C$1,_xlpm.locations,Base!$D$4:$BD$4,_xlpm.rates,Base!$D39:$BD39,_xlpm.hours,Base!$D82:$BD82,_xlpm.comp,_xlpm.rates*_xlpm.hours,_xlpm.Customer,_xlfn.ANCHORARRAY($E$1)*0,
_xlpm.Customer_comp,_xlfn.XLOOKUP(_xlpm.site,_xlpm.locations,_xlpm.comp,0,0),_xlpm.ann_incr,_xlfn.XLOOKUP(YEAR(_xlfn.ANCHORARRAY($E$25)),Base!$BJ$4:$BL$4,Base!$BJ82:$BL82,0,0),
_xlpm.bad_debt,_xlfn.XLOOKUP(_xlpm.site,_xlpm.locations,Base!$D$28:$BD$28,0,0),_xlpm.Customer_comp*_xlpm.Customer*_xlpm.bad_debt*_xlpm.ann_incr*(52/12))</f>
        <v>0</v>
      </c>
      <c r="F34" s="183">
        <v>0</v>
      </c>
      <c r="G34" s="183">
        <v>0</v>
      </c>
      <c r="H34" s="183">
        <v>0</v>
      </c>
      <c r="I34" s="183">
        <v>0</v>
      </c>
      <c r="J34" s="183">
        <v>0</v>
      </c>
      <c r="K34" s="183">
        <v>0</v>
      </c>
      <c r="L34" s="183">
        <v>0</v>
      </c>
      <c r="M34" s="183">
        <v>0</v>
      </c>
      <c r="N34" s="183">
        <v>0</v>
      </c>
      <c r="O34" s="183">
        <v>0</v>
      </c>
      <c r="P34" s="183">
        <v>0</v>
      </c>
      <c r="Q34" s="183">
        <v>0</v>
      </c>
      <c r="R34" s="183">
        <v>0</v>
      </c>
      <c r="S34" s="183">
        <v>0</v>
      </c>
      <c r="T34" s="183">
        <v>0</v>
      </c>
      <c r="U34" s="183">
        <v>0</v>
      </c>
      <c r="V34" s="183">
        <v>0</v>
      </c>
      <c r="W34" s="183">
        <v>0</v>
      </c>
      <c r="X34" s="183">
        <v>0</v>
      </c>
      <c r="Y34" s="183">
        <v>0</v>
      </c>
      <c r="Z34" s="183">
        <v>0</v>
      </c>
      <c r="AA34" s="183">
        <v>0</v>
      </c>
      <c r="AB34" s="183">
        <v>0</v>
      </c>
      <c r="AC34" s="183">
        <v>0</v>
      </c>
      <c r="AD34" s="183">
        <v>0</v>
      </c>
      <c r="AE34" s="183">
        <v>0</v>
      </c>
      <c r="AF34" s="183">
        <v>0</v>
      </c>
      <c r="AG34" s="183">
        <v>0</v>
      </c>
      <c r="AH34" s="183">
        <v>0</v>
      </c>
      <c r="AI34" s="183">
        <v>0</v>
      </c>
      <c r="AJ34" s="183">
        <v>0</v>
      </c>
      <c r="AK34" s="183">
        <v>0</v>
      </c>
      <c r="AL34" s="183">
        <v>0</v>
      </c>
      <c r="AM34" s="183">
        <v>0</v>
      </c>
      <c r="AN34" s="183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-49420.969390880004</v>
      </c>
      <c r="F35" s="12">
        <v>-49420.969390880004</v>
      </c>
      <c r="G35" s="12">
        <v>-49420.969390880004</v>
      </c>
      <c r="H35" s="12">
        <v>-49420.969390880004</v>
      </c>
      <c r="I35" s="12">
        <v>-49420.969390880004</v>
      </c>
      <c r="J35" s="12">
        <v>-49420.969390880004</v>
      </c>
      <c r="K35" s="12">
        <v>-49420.969390880004</v>
      </c>
      <c r="L35" s="12">
        <v>-49420.969390880004</v>
      </c>
      <c r="M35" s="12">
        <v>-49420.969390880004</v>
      </c>
      <c r="N35" s="12">
        <v>-49420.969390880004</v>
      </c>
      <c r="O35" s="12">
        <v>-49420.969390880004</v>
      </c>
      <c r="P35" s="12">
        <v>-49420.969390880004</v>
      </c>
      <c r="Q35" s="12">
        <v>-50903.598472606398</v>
      </c>
      <c r="R35" s="12">
        <v>-50903.598472606398</v>
      </c>
      <c r="S35" s="12">
        <v>-50903.598472606398</v>
      </c>
      <c r="T35" s="12">
        <v>-50903.598472606398</v>
      </c>
      <c r="U35" s="12">
        <v>-50903.598472606398</v>
      </c>
      <c r="V35" s="12">
        <v>-50903.598472606398</v>
      </c>
      <c r="W35" s="12">
        <v>-50903.598472606398</v>
      </c>
      <c r="X35" s="12">
        <v>-50903.598472606398</v>
      </c>
      <c r="Y35" s="12">
        <v>-50903.598472606398</v>
      </c>
      <c r="Z35" s="12">
        <v>-50903.598472606398</v>
      </c>
      <c r="AA35" s="12">
        <v>-50903.598472606398</v>
      </c>
      <c r="AB35" s="12">
        <v>-50903.598472606398</v>
      </c>
      <c r="AC35" s="12">
        <v>-50903.598472606398</v>
      </c>
      <c r="AD35" s="12">
        <v>-50903.598472606398</v>
      </c>
      <c r="AE35" s="12">
        <v>-50903.598472606398</v>
      </c>
      <c r="AF35" s="12">
        <v>-50903.598472606398</v>
      </c>
      <c r="AG35" s="12">
        <v>-50903.598472606398</v>
      </c>
      <c r="AH35" s="12">
        <v>-50903.598472606398</v>
      </c>
      <c r="AI35" s="12">
        <v>-50903.598472606398</v>
      </c>
      <c r="AJ35" s="12">
        <v>-50903.598472606398</v>
      </c>
      <c r="AK35" s="12">
        <v>-50903.598472606398</v>
      </c>
      <c r="AL35" s="12">
        <v>-50903.598472606398</v>
      </c>
      <c r="AM35" s="12">
        <v>-50903.598472606398</v>
      </c>
      <c r="AN35" s="12">
        <v>-50903.598472606398</v>
      </c>
    </row>
    <row r="36" spans="2:40" x14ac:dyDescent="0.25">
      <c r="B36" s="39" t="s">
        <v>261</v>
      </c>
      <c r="C36" s="15"/>
      <c r="E36" s="183" cm="1">
        <f t="array" ref="E36:AN36">_xlfn.BYCOL(_xlfn.ANCHORARRAY($E$25),_xlfn.LAMBDA(_xlpm.a,0))</f>
        <v>0</v>
      </c>
      <c r="F36" s="183">
        <v>0</v>
      </c>
      <c r="G36" s="183">
        <v>0</v>
      </c>
      <c r="H36" s="183">
        <v>0</v>
      </c>
      <c r="I36" s="183">
        <v>0</v>
      </c>
      <c r="J36" s="183">
        <v>0</v>
      </c>
      <c r="K36" s="183">
        <v>0</v>
      </c>
      <c r="L36" s="183">
        <v>0</v>
      </c>
      <c r="M36" s="183">
        <v>0</v>
      </c>
      <c r="N36" s="183">
        <v>0</v>
      </c>
      <c r="O36" s="183">
        <v>0</v>
      </c>
      <c r="P36" s="183">
        <v>0</v>
      </c>
      <c r="Q36" s="183">
        <v>0</v>
      </c>
      <c r="R36" s="183">
        <v>0</v>
      </c>
      <c r="S36" s="183">
        <v>0</v>
      </c>
      <c r="T36" s="183">
        <v>0</v>
      </c>
      <c r="U36" s="183">
        <v>0</v>
      </c>
      <c r="V36" s="183">
        <v>0</v>
      </c>
      <c r="W36" s="183">
        <v>0</v>
      </c>
      <c r="X36" s="183">
        <v>0</v>
      </c>
      <c r="Y36" s="183">
        <v>0</v>
      </c>
      <c r="Z36" s="183">
        <v>0</v>
      </c>
      <c r="AA36" s="183">
        <v>0</v>
      </c>
      <c r="AB36" s="183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271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343874.74453578668</v>
      </c>
      <c r="F37" s="13">
        <v>343874.74453578668</v>
      </c>
      <c r="G37" s="13">
        <v>343874.74453578668</v>
      </c>
      <c r="H37" s="13">
        <v>343874.74453578668</v>
      </c>
      <c r="I37" s="13">
        <v>343874.74453578668</v>
      </c>
      <c r="J37" s="13">
        <v>343874.74453578668</v>
      </c>
      <c r="K37" s="13">
        <v>343874.74453578668</v>
      </c>
      <c r="L37" s="13">
        <v>343874.74453578668</v>
      </c>
      <c r="M37" s="13">
        <v>343874.74453578668</v>
      </c>
      <c r="N37" s="13">
        <v>343874.74453578668</v>
      </c>
      <c r="O37" s="13">
        <v>343874.74453578668</v>
      </c>
      <c r="P37" s="13">
        <v>343874.74453578668</v>
      </c>
      <c r="Q37" s="13">
        <v>354190.98687186028</v>
      </c>
      <c r="R37" s="13">
        <v>354190.98687186028</v>
      </c>
      <c r="S37" s="13">
        <v>354190.98687186028</v>
      </c>
      <c r="T37" s="13">
        <v>354190.98687186028</v>
      </c>
      <c r="U37" s="13">
        <v>354190.98687186028</v>
      </c>
      <c r="V37" s="13">
        <v>354190.98687186028</v>
      </c>
      <c r="W37" s="13">
        <v>354190.98687186028</v>
      </c>
      <c r="X37" s="13">
        <v>354190.98687186028</v>
      </c>
      <c r="Y37" s="13">
        <v>354190.98687186028</v>
      </c>
      <c r="Z37" s="13">
        <v>354190.98687186028</v>
      </c>
      <c r="AA37" s="13">
        <v>354190.98687186028</v>
      </c>
      <c r="AB37" s="13">
        <v>354190.98687186028</v>
      </c>
      <c r="AC37" s="13">
        <v>354190.98687186028</v>
      </c>
      <c r="AD37" s="13">
        <v>354190.98687186028</v>
      </c>
      <c r="AE37" s="13">
        <v>354190.98687186028</v>
      </c>
      <c r="AF37" s="13">
        <v>354190.98687186028</v>
      </c>
      <c r="AG37" s="13">
        <v>354190.98687186028</v>
      </c>
      <c r="AH37" s="13">
        <v>354190.98687186028</v>
      </c>
      <c r="AI37" s="13">
        <v>354190.98687186028</v>
      </c>
      <c r="AJ37" s="13">
        <v>354190.98687186028</v>
      </c>
      <c r="AK37" s="13">
        <v>354190.98687186028</v>
      </c>
      <c r="AL37" s="13">
        <v>354190.98687186028</v>
      </c>
      <c r="AM37" s="13">
        <v>354190.98687186028</v>
      </c>
      <c r="AN37" s="13">
        <v>354190.98687186028</v>
      </c>
    </row>
    <row r="38" spans="2:40" x14ac:dyDescent="0.25">
      <c r="E38" s="67"/>
      <c r="F38" s="67"/>
    </row>
    <row r="39" spans="2:40" x14ac:dyDescent="0.25">
      <c r="B39" s="1" t="s">
        <v>118</v>
      </c>
    </row>
    <row r="40" spans="2:40" x14ac:dyDescent="0.25">
      <c r="B40" s="39" t="s">
        <v>23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221710.66555159609</v>
      </c>
      <c r="F40" s="12">
        <v>222058.66555159609</v>
      </c>
      <c r="G40" s="12">
        <v>222312.41555159609</v>
      </c>
      <c r="H40" s="12">
        <v>222512.9988849294</v>
      </c>
      <c r="I40" s="12">
        <v>222713.58221826277</v>
      </c>
      <c r="J40" s="12">
        <v>223061.58221826277</v>
      </c>
      <c r="K40" s="12">
        <v>223262.16555159609</v>
      </c>
      <c r="L40" s="12">
        <v>223515.91555159609</v>
      </c>
      <c r="M40" s="12">
        <v>223515.91555159609</v>
      </c>
      <c r="N40" s="12">
        <v>223515.91555159609</v>
      </c>
      <c r="O40" s="12">
        <v>223515.91555159609</v>
      </c>
      <c r="P40" s="12">
        <v>223515.91555159609</v>
      </c>
      <c r="Q40" s="12">
        <v>245867.50710675574</v>
      </c>
      <c r="R40" s="12">
        <v>245867.50710675574</v>
      </c>
      <c r="S40" s="12">
        <v>245867.50710675574</v>
      </c>
      <c r="T40" s="12">
        <v>245867.50710675574</v>
      </c>
      <c r="U40" s="12">
        <v>245867.50710675574</v>
      </c>
      <c r="V40" s="12">
        <v>245867.50710675574</v>
      </c>
      <c r="W40" s="12">
        <v>245867.50710675574</v>
      </c>
      <c r="X40" s="12">
        <v>245867.50710675574</v>
      </c>
      <c r="Y40" s="12">
        <v>245867.50710675574</v>
      </c>
      <c r="Z40" s="12">
        <v>245867.50710675574</v>
      </c>
      <c r="AA40" s="12">
        <v>245867.50710675574</v>
      </c>
      <c r="AB40" s="12">
        <v>245867.50710675574</v>
      </c>
      <c r="AC40" s="12">
        <v>270454.25781743129</v>
      </c>
      <c r="AD40" s="12">
        <v>270454.25781743129</v>
      </c>
      <c r="AE40" s="12">
        <v>270454.25781743129</v>
      </c>
      <c r="AF40" s="12">
        <v>270454.25781743129</v>
      </c>
      <c r="AG40" s="12">
        <v>270454.25781743129</v>
      </c>
      <c r="AH40" s="12">
        <v>270454.25781743129</v>
      </c>
      <c r="AI40" s="12">
        <v>270454.25781743129</v>
      </c>
      <c r="AJ40" s="12">
        <v>270454.25781743129</v>
      </c>
      <c r="AK40" s="12">
        <v>270454.25781743129</v>
      </c>
      <c r="AL40" s="12">
        <v>270454.25781743129</v>
      </c>
      <c r="AM40" s="12">
        <v>270454.25781743129</v>
      </c>
      <c r="AN40" s="12">
        <v>270454.25781743129</v>
      </c>
    </row>
    <row r="41" spans="2:40" x14ac:dyDescent="0.25">
      <c r="B41" s="39" t="s">
        <v>388</v>
      </c>
      <c r="C41" s="142">
        <f>_xlfn.XLOOKUP($B$1&amp;"-"&amp;$C$1,Base!$D$4:$BD$4,Base!$D$12:$BD$12,0,0)</f>
        <v>0</v>
      </c>
      <c r="E41" s="183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28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4890.43</v>
      </c>
      <c r="F42" s="12">
        <v>4890.43</v>
      </c>
      <c r="G42" s="12">
        <v>4890.43</v>
      </c>
      <c r="H42" s="12">
        <v>4890.43</v>
      </c>
      <c r="I42" s="12">
        <v>4890.43</v>
      </c>
      <c r="J42" s="12">
        <v>4890.43</v>
      </c>
      <c r="K42" s="12">
        <v>4890.43</v>
      </c>
      <c r="L42" s="12">
        <v>4890.43</v>
      </c>
      <c r="M42" s="12">
        <v>4890.43</v>
      </c>
      <c r="N42" s="12">
        <v>4890.43</v>
      </c>
      <c r="O42" s="12">
        <v>4890.43</v>
      </c>
      <c r="P42" s="12">
        <v>4890.43</v>
      </c>
      <c r="Q42" s="12">
        <v>5037.1429000000007</v>
      </c>
      <c r="R42" s="12">
        <v>5037.1429000000007</v>
      </c>
      <c r="S42" s="12">
        <v>5037.1429000000007</v>
      </c>
      <c r="T42" s="12">
        <v>5037.1429000000007</v>
      </c>
      <c r="U42" s="12">
        <v>5037.1429000000007</v>
      </c>
      <c r="V42" s="12">
        <v>5037.1429000000007</v>
      </c>
      <c r="W42" s="12">
        <v>5037.1429000000007</v>
      </c>
      <c r="X42" s="12">
        <v>5037.1429000000007</v>
      </c>
      <c r="Y42" s="12">
        <v>5037.1429000000007</v>
      </c>
      <c r="Z42" s="12">
        <v>5037.1429000000007</v>
      </c>
      <c r="AA42" s="12">
        <v>5037.1429000000007</v>
      </c>
      <c r="AB42" s="12">
        <v>5037.1429000000007</v>
      </c>
      <c r="AC42" s="12">
        <v>5188.2571870000002</v>
      </c>
      <c r="AD42" s="12">
        <v>5188.2571870000002</v>
      </c>
      <c r="AE42" s="12">
        <v>5188.2571870000002</v>
      </c>
      <c r="AF42" s="12">
        <v>5188.2571870000002</v>
      </c>
      <c r="AG42" s="12">
        <v>5188.2571870000002</v>
      </c>
      <c r="AH42" s="12">
        <v>5188.2571870000002</v>
      </c>
      <c r="AI42" s="12">
        <v>5188.2571870000002</v>
      </c>
      <c r="AJ42" s="12">
        <v>5188.2571870000002</v>
      </c>
      <c r="AK42" s="12">
        <v>5188.2571870000002</v>
      </c>
      <c r="AL42" s="12">
        <v>5188.2571870000002</v>
      </c>
      <c r="AM42" s="12">
        <v>5188.2571870000002</v>
      </c>
      <c r="AN42" s="12">
        <v>5188.2571870000002</v>
      </c>
    </row>
    <row r="43" spans="2:40" x14ac:dyDescent="0.25">
      <c r="B43" s="39" t="s">
        <v>31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5361.26</v>
      </c>
      <c r="F43" s="12">
        <v>5361.26</v>
      </c>
      <c r="G43" s="12">
        <v>5361.26</v>
      </c>
      <c r="H43" s="12">
        <v>5361.26</v>
      </c>
      <c r="I43" s="12">
        <v>5361.26</v>
      </c>
      <c r="J43" s="12">
        <v>5361.26</v>
      </c>
      <c r="K43" s="12">
        <v>5361.26</v>
      </c>
      <c r="L43" s="12">
        <v>5361.26</v>
      </c>
      <c r="M43" s="12">
        <v>5361.26</v>
      </c>
      <c r="N43" s="12">
        <v>5361.26</v>
      </c>
      <c r="O43" s="12">
        <v>5361.26</v>
      </c>
      <c r="P43" s="12">
        <v>5361.26</v>
      </c>
      <c r="Q43" s="12">
        <v>5575.7104000000008</v>
      </c>
      <c r="R43" s="12">
        <v>5575.7104000000008</v>
      </c>
      <c r="S43" s="12">
        <v>5575.7104000000008</v>
      </c>
      <c r="T43" s="12">
        <v>5575.7104000000008</v>
      </c>
      <c r="U43" s="12">
        <v>5575.7104000000008</v>
      </c>
      <c r="V43" s="12">
        <v>5575.7104000000008</v>
      </c>
      <c r="W43" s="12">
        <v>5575.7104000000008</v>
      </c>
      <c r="X43" s="12">
        <v>5575.7104000000008</v>
      </c>
      <c r="Y43" s="12">
        <v>5575.7104000000008</v>
      </c>
      <c r="Z43" s="12">
        <v>5575.7104000000008</v>
      </c>
      <c r="AA43" s="12">
        <v>5575.7104000000008</v>
      </c>
      <c r="AB43" s="12">
        <v>5575.7104000000008</v>
      </c>
      <c r="AC43" s="12">
        <v>5798.738816000001</v>
      </c>
      <c r="AD43" s="12">
        <v>5798.738816000001</v>
      </c>
      <c r="AE43" s="12">
        <v>5798.738816000001</v>
      </c>
      <c r="AF43" s="12">
        <v>5798.738816000001</v>
      </c>
      <c r="AG43" s="12">
        <v>5798.738816000001</v>
      </c>
      <c r="AH43" s="12">
        <v>5798.738816000001</v>
      </c>
      <c r="AI43" s="12">
        <v>5798.738816000001</v>
      </c>
      <c r="AJ43" s="12">
        <v>5798.738816000001</v>
      </c>
      <c r="AK43" s="12">
        <v>5798.738816000001</v>
      </c>
      <c r="AL43" s="12">
        <v>5798.738816000001</v>
      </c>
      <c r="AM43" s="12">
        <v>5798.738816000001</v>
      </c>
      <c r="AN43" s="12">
        <v>5798.738816000001</v>
      </c>
    </row>
    <row r="44" spans="2:40" x14ac:dyDescent="0.25">
      <c r="B44" s="39" t="s">
        <v>34</v>
      </c>
      <c r="C44" s="96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1132.1183999999998</v>
      </c>
      <c r="F44" s="12">
        <v>1148.9653999999998</v>
      </c>
      <c r="G44" s="12">
        <v>1162.443</v>
      </c>
      <c r="H44" s="12">
        <v>1172.5511999999999</v>
      </c>
      <c r="I44" s="12">
        <v>1182.6594</v>
      </c>
      <c r="J44" s="12">
        <v>1199.5064</v>
      </c>
      <c r="K44" s="12">
        <v>1209.6145999999999</v>
      </c>
      <c r="L44" s="12">
        <v>1223.0922</v>
      </c>
      <c r="M44" s="12">
        <v>1223.0922</v>
      </c>
      <c r="N44" s="12">
        <v>1223.0922</v>
      </c>
      <c r="O44" s="12">
        <v>1223.0922</v>
      </c>
      <c r="P44" s="12">
        <v>1223.0922</v>
      </c>
      <c r="Q44" s="12">
        <v>1272.0158879999999</v>
      </c>
      <c r="R44" s="12">
        <v>1272.0158879999999</v>
      </c>
      <c r="S44" s="12">
        <v>1272.0158879999999</v>
      </c>
      <c r="T44" s="12">
        <v>1272.0158879999999</v>
      </c>
      <c r="U44" s="12">
        <v>1272.0158879999999</v>
      </c>
      <c r="V44" s="12">
        <v>1272.0158879999999</v>
      </c>
      <c r="W44" s="12">
        <v>1272.0158879999999</v>
      </c>
      <c r="X44" s="12">
        <v>1272.0158879999999</v>
      </c>
      <c r="Y44" s="12">
        <v>1272.0158879999999</v>
      </c>
      <c r="Z44" s="12">
        <v>1272.0158879999999</v>
      </c>
      <c r="AA44" s="12">
        <v>1272.0158879999999</v>
      </c>
      <c r="AB44" s="12">
        <v>1272.0158879999999</v>
      </c>
      <c r="AC44" s="12">
        <v>1322.8965235200001</v>
      </c>
      <c r="AD44" s="12">
        <v>1322.8965235200001</v>
      </c>
      <c r="AE44" s="12">
        <v>1322.8965235200001</v>
      </c>
      <c r="AF44" s="12">
        <v>1322.8965235200001</v>
      </c>
      <c r="AG44" s="12">
        <v>1322.8965235200001</v>
      </c>
      <c r="AH44" s="12">
        <v>1322.8965235200001</v>
      </c>
      <c r="AI44" s="12">
        <v>1322.8965235200001</v>
      </c>
      <c r="AJ44" s="12">
        <v>1322.8965235200001</v>
      </c>
      <c r="AK44" s="12">
        <v>1322.8965235200001</v>
      </c>
      <c r="AL44" s="12">
        <v>1322.8965235200001</v>
      </c>
      <c r="AM44" s="12">
        <v>1322.8965235200001</v>
      </c>
      <c r="AN44" s="12">
        <v>1322.8965235200001</v>
      </c>
    </row>
    <row r="45" spans="2:40" x14ac:dyDescent="0.25">
      <c r="B45" s="39" t="s">
        <v>36</v>
      </c>
      <c r="C45" s="96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4250</v>
      </c>
      <c r="F45" s="12">
        <v>4250</v>
      </c>
      <c r="G45" s="12">
        <v>4250</v>
      </c>
      <c r="H45" s="12">
        <v>4250</v>
      </c>
      <c r="I45" s="12">
        <v>4250</v>
      </c>
      <c r="J45" s="12">
        <v>4250</v>
      </c>
      <c r="K45" s="12">
        <v>4250</v>
      </c>
      <c r="L45" s="12">
        <v>4250</v>
      </c>
      <c r="M45" s="12">
        <v>4250</v>
      </c>
      <c r="N45" s="12">
        <v>4250</v>
      </c>
      <c r="O45" s="12">
        <v>4250</v>
      </c>
      <c r="P45" s="12">
        <v>4250</v>
      </c>
      <c r="Q45" s="12">
        <v>4335</v>
      </c>
      <c r="R45" s="12">
        <v>4335</v>
      </c>
      <c r="S45" s="12">
        <v>4335</v>
      </c>
      <c r="T45" s="12">
        <v>4335</v>
      </c>
      <c r="U45" s="12">
        <v>4335</v>
      </c>
      <c r="V45" s="12">
        <v>4335</v>
      </c>
      <c r="W45" s="12">
        <v>4335</v>
      </c>
      <c r="X45" s="12">
        <v>4335</v>
      </c>
      <c r="Y45" s="12">
        <v>4335</v>
      </c>
      <c r="Z45" s="12">
        <v>4335</v>
      </c>
      <c r="AA45" s="12">
        <v>4335</v>
      </c>
      <c r="AB45" s="12">
        <v>4335</v>
      </c>
      <c r="AC45" s="12">
        <v>4421.7</v>
      </c>
      <c r="AD45" s="12">
        <v>4421.7</v>
      </c>
      <c r="AE45" s="12">
        <v>4421.7</v>
      </c>
      <c r="AF45" s="12">
        <v>4421.7</v>
      </c>
      <c r="AG45" s="12">
        <v>4421.7</v>
      </c>
      <c r="AH45" s="12">
        <v>4421.7</v>
      </c>
      <c r="AI45" s="12">
        <v>4421.7</v>
      </c>
      <c r="AJ45" s="12">
        <v>4421.7</v>
      </c>
      <c r="AK45" s="12">
        <v>4421.7</v>
      </c>
      <c r="AL45" s="12">
        <v>4421.7</v>
      </c>
      <c r="AM45" s="12">
        <v>4421.7</v>
      </c>
      <c r="AN45" s="12">
        <v>4421.7</v>
      </c>
    </row>
    <row r="46" spans="2:40" x14ac:dyDescent="0.25">
      <c r="B46" s="39" t="s">
        <v>38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17334.5</v>
      </c>
      <c r="F46" s="12">
        <v>17352</v>
      </c>
      <c r="G46" s="12">
        <v>17366</v>
      </c>
      <c r="H46" s="12">
        <v>17376.5</v>
      </c>
      <c r="I46" s="12">
        <v>17387.000000000007</v>
      </c>
      <c r="J46" s="12">
        <v>17404.5</v>
      </c>
      <c r="K46" s="12">
        <v>17415</v>
      </c>
      <c r="L46" s="12">
        <v>17429</v>
      </c>
      <c r="M46" s="12">
        <v>17429</v>
      </c>
      <c r="N46" s="12">
        <v>17429</v>
      </c>
      <c r="O46" s="12">
        <v>17429</v>
      </c>
      <c r="P46" s="12">
        <v>17429</v>
      </c>
      <c r="Q46" s="12">
        <v>17777.580000000002</v>
      </c>
      <c r="R46" s="12">
        <v>17777.580000000002</v>
      </c>
      <c r="S46" s="12">
        <v>17777.580000000002</v>
      </c>
      <c r="T46" s="12">
        <v>17777.580000000002</v>
      </c>
      <c r="U46" s="12">
        <v>17777.580000000002</v>
      </c>
      <c r="V46" s="12">
        <v>17777.580000000002</v>
      </c>
      <c r="W46" s="12">
        <v>17777.580000000002</v>
      </c>
      <c r="X46" s="12">
        <v>17777.580000000002</v>
      </c>
      <c r="Y46" s="12">
        <v>17777.580000000002</v>
      </c>
      <c r="Z46" s="12">
        <v>17777.580000000002</v>
      </c>
      <c r="AA46" s="12">
        <v>17777.580000000002</v>
      </c>
      <c r="AB46" s="12">
        <v>17777.580000000002</v>
      </c>
      <c r="AC46" s="12">
        <v>18133.131600000001</v>
      </c>
      <c r="AD46" s="12">
        <v>18133.131600000001</v>
      </c>
      <c r="AE46" s="12">
        <v>18133.131600000001</v>
      </c>
      <c r="AF46" s="12">
        <v>18133.131600000001</v>
      </c>
      <c r="AG46" s="12">
        <v>18133.131600000001</v>
      </c>
      <c r="AH46" s="12">
        <v>18133.131600000001</v>
      </c>
      <c r="AI46" s="12">
        <v>18133.131600000001</v>
      </c>
      <c r="AJ46" s="12">
        <v>18133.131600000001</v>
      </c>
      <c r="AK46" s="12">
        <v>18133.131600000001</v>
      </c>
      <c r="AL46" s="12">
        <v>18133.131600000001</v>
      </c>
      <c r="AM46" s="12">
        <v>18133.131600000001</v>
      </c>
      <c r="AN46" s="12">
        <v>18133.131600000001</v>
      </c>
    </row>
    <row r="47" spans="2:40" x14ac:dyDescent="0.25">
      <c r="B47" s="39" t="s">
        <v>40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4450</v>
      </c>
      <c r="F47" s="12">
        <v>4450</v>
      </c>
      <c r="G47" s="12">
        <v>4450</v>
      </c>
      <c r="H47" s="12">
        <v>4450</v>
      </c>
      <c r="I47" s="12">
        <v>4450</v>
      </c>
      <c r="J47" s="12">
        <v>4450</v>
      </c>
      <c r="K47" s="12">
        <v>4450</v>
      </c>
      <c r="L47" s="12">
        <v>4450</v>
      </c>
      <c r="M47" s="12">
        <v>4450</v>
      </c>
      <c r="N47" s="12">
        <v>4450</v>
      </c>
      <c r="O47" s="12">
        <v>4450</v>
      </c>
      <c r="P47" s="12">
        <v>4450</v>
      </c>
      <c r="Q47" s="12">
        <v>4672.5</v>
      </c>
      <c r="R47" s="12">
        <v>4672.5</v>
      </c>
      <c r="S47" s="12">
        <v>4672.5</v>
      </c>
      <c r="T47" s="12">
        <v>4672.5</v>
      </c>
      <c r="U47" s="12">
        <v>4672.5</v>
      </c>
      <c r="V47" s="12">
        <v>4672.5</v>
      </c>
      <c r="W47" s="12">
        <v>4672.5</v>
      </c>
      <c r="X47" s="12">
        <v>4672.5</v>
      </c>
      <c r="Y47" s="12">
        <v>4672.5</v>
      </c>
      <c r="Z47" s="12">
        <v>4672.5</v>
      </c>
      <c r="AA47" s="12">
        <v>4672.5</v>
      </c>
      <c r="AB47" s="12">
        <v>4672.5</v>
      </c>
      <c r="AC47" s="12">
        <v>4906.125</v>
      </c>
      <c r="AD47" s="12">
        <v>4906.125</v>
      </c>
      <c r="AE47" s="12">
        <v>4906.125</v>
      </c>
      <c r="AF47" s="12">
        <v>4906.125</v>
      </c>
      <c r="AG47" s="12">
        <v>4906.125</v>
      </c>
      <c r="AH47" s="12">
        <v>4906.125</v>
      </c>
      <c r="AI47" s="12">
        <v>4906.125</v>
      </c>
      <c r="AJ47" s="12">
        <v>4906.125</v>
      </c>
      <c r="AK47" s="12">
        <v>4906.125</v>
      </c>
      <c r="AL47" s="12">
        <v>4906.125</v>
      </c>
      <c r="AM47" s="12">
        <v>4906.125</v>
      </c>
      <c r="AN47" s="12">
        <v>4906.125</v>
      </c>
    </row>
    <row r="48" spans="2:40" x14ac:dyDescent="0.25">
      <c r="B48" s="39" t="s">
        <v>41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42</v>
      </c>
      <c r="E49" s="12">
        <f>'Corp.'!E$50*(E$37-(E31-E32-E34)*$C$35)/(SUM('MDA1:NCA9'!E$37)-SUM('MDA1:NCA9'!E$31)-SUM('MDA1:NCA9'!E$32)-SUM('MDA1:NCA9'!E$34))</f>
        <v>113982.99125193639</v>
      </c>
      <c r="F49" s="12">
        <f>'Corp.'!F$50*(F$37-(F31-F32-F34)*$C$35)/(SUM('MDA1:NCA9'!F$37)-SUM('MDA1:NCA9'!F$31)-SUM('MDA1:NCA9'!F$32)-SUM('MDA1:NCA9'!F$34))</f>
        <v>106990.53556218317</v>
      </c>
      <c r="G49" s="12">
        <f>'Corp.'!G$50*(G$37-(G31-G32-G34)*$C$35)/(SUM('MDA1:NCA9'!G$37)-SUM('MDA1:NCA9'!G$31)-SUM('MDA1:NCA9'!G$32)-SUM('MDA1:NCA9'!G$34))</f>
        <v>97374.061101828964</v>
      </c>
      <c r="H49" s="12">
        <f>'Corp.'!H$50*(H$37-(H31-H32-H34)*$C$35)/(SUM('MDA1:NCA9'!H$37)-SUM('MDA1:NCA9'!H$31)-SUM('MDA1:NCA9'!H$32)-SUM('MDA1:NCA9'!H$34))</f>
        <v>89027.378408346311</v>
      </c>
      <c r="I49" s="12">
        <f>'Corp.'!I$50*(I$37-(I31-I32-I34)*$C$35)/(SUM('MDA1:NCA9'!I$37)-SUM('MDA1:NCA9'!I$31)-SUM('MDA1:NCA9'!I$32)-SUM('MDA1:NCA9'!I$34))</f>
        <v>83775.326373536416</v>
      </c>
      <c r="J49" s="12">
        <f>'Corp.'!J$50*(J$37-(J31-J32-J34)*$C$35)/(SUM('MDA1:NCA9'!J$37)-SUM('MDA1:NCA9'!J$31)-SUM('MDA1:NCA9'!J$32)-SUM('MDA1:NCA9'!J$34))</f>
        <v>78302.030157748421</v>
      </c>
      <c r="K49" s="12">
        <f>'Corp.'!K$50*(K$37-(K31-K32-K34)*$C$35)/(SUM('MDA1:NCA9'!K$37)-SUM('MDA1:NCA9'!K$31)-SUM('MDA1:NCA9'!K$32)-SUM('MDA1:NCA9'!K$34))</f>
        <v>71919.496700469084</v>
      </c>
      <c r="L49" s="12">
        <f>'Corp.'!L$50*(L$37-(L31-L32-L34)*$C$35)/(SUM('MDA1:NCA9'!L$37)-SUM('MDA1:NCA9'!L$31)-SUM('MDA1:NCA9'!L$32)-SUM('MDA1:NCA9'!L$34))</f>
        <v>67963.769382848594</v>
      </c>
      <c r="M49" s="12">
        <f>'Corp.'!M$50*(M$37-(M31-M32-M34)*$C$35)/(SUM('MDA1:NCA9'!M$37)-SUM('MDA1:NCA9'!M$31)-SUM('MDA1:NCA9'!M$32)-SUM('MDA1:NCA9'!M$34))</f>
        <v>63692.397231324379</v>
      </c>
      <c r="N49" s="12">
        <f>'Corp.'!N$50*(N$37-(N31-N32-N34)*$C$35)/(SUM('MDA1:NCA9'!N$37)-SUM('MDA1:NCA9'!N$31)-SUM('MDA1:NCA9'!N$32)-SUM('MDA1:NCA9'!N$34))</f>
        <v>60016.139471523442</v>
      </c>
      <c r="O49" s="12">
        <f>'Corp.'!O$50*(O$37-(O31-O32-O34)*$C$35)/(SUM('MDA1:NCA9'!O$37)-SUM('MDA1:NCA9'!O$31)-SUM('MDA1:NCA9'!O$32)-SUM('MDA1:NCA9'!O$34))</f>
        <v>56169.048082150148</v>
      </c>
      <c r="P49" s="12">
        <f>'Corp.'!P$50*(P$37-(P31-P32-P34)*$C$35)/(SUM('MDA1:NCA9'!P$37)-SUM('MDA1:NCA9'!P$31)-SUM('MDA1:NCA9'!P$32)-SUM('MDA1:NCA9'!P$34))</f>
        <v>53003.773598913926</v>
      </c>
      <c r="Q49" s="12">
        <f>'Corp.'!Q$50*(Q$37-(Q31-Q32-Q34)*$C$35)/(SUM('MDA1:NCA9'!Q$37)-SUM('MDA1:NCA9'!Q$31)-SUM('MDA1:NCA9'!Q$32)-SUM('MDA1:NCA9'!Q$34))</f>
        <v>54794.131205593068</v>
      </c>
      <c r="R49" s="12">
        <f>'Corp.'!R$50*(R$37-(R31-R32-R34)*$C$35)/(SUM('MDA1:NCA9'!R$37)-SUM('MDA1:NCA9'!R$31)-SUM('MDA1:NCA9'!R$32)-SUM('MDA1:NCA9'!R$34))</f>
        <v>52718.709547799408</v>
      </c>
      <c r="S49" s="12">
        <f>'Corp.'!S$50*(S$37-(S31-S32-S34)*$C$35)/(SUM('MDA1:NCA9'!S$37)-SUM('MDA1:NCA9'!S$31)-SUM('MDA1:NCA9'!S$32)-SUM('MDA1:NCA9'!S$34))</f>
        <v>50437.400737501775</v>
      </c>
      <c r="T49" s="12">
        <f>'Corp.'!T$50*(T$37-(T31-T32-T34)*$C$35)/(SUM('MDA1:NCA9'!T$37)-SUM('MDA1:NCA9'!T$31)-SUM('MDA1:NCA9'!T$32)-SUM('MDA1:NCA9'!T$34))</f>
        <v>48506.363733780374</v>
      </c>
      <c r="U49" s="12">
        <f>'Corp.'!U$50*(U$37-(U31-U32-U34)*$C$35)/(SUM('MDA1:NCA9'!U$37)-SUM('MDA1:NCA9'!U$31)-SUM('MDA1:NCA9'!U$32)-SUM('MDA1:NCA9'!U$34))</f>
        <v>47182.419009313773</v>
      </c>
      <c r="V49" s="12">
        <f>'Corp.'!V$50*(V$37-(V31-V32-V34)*$C$35)/(SUM('MDA1:NCA9'!V$37)-SUM('MDA1:NCA9'!V$31)-SUM('MDA1:NCA9'!V$32)-SUM('MDA1:NCA9'!V$34))</f>
        <v>46103.010000529815</v>
      </c>
      <c r="W49" s="12">
        <f>'Corp.'!W$50*(W$37-(W31-W32-W34)*$C$35)/(SUM('MDA1:NCA9'!W$37)-SUM('MDA1:NCA9'!W$31)-SUM('MDA1:NCA9'!W$32)-SUM('MDA1:NCA9'!W$34))</f>
        <v>44701.823989674886</v>
      </c>
      <c r="X49" s="12">
        <f>'Corp.'!X$50*(X$37-(X31-X32-X34)*$C$35)/(SUM('MDA1:NCA9'!X$37)-SUM('MDA1:NCA9'!X$31)-SUM('MDA1:NCA9'!X$32)-SUM('MDA1:NCA9'!X$34))</f>
        <v>43301.599346697127</v>
      </c>
      <c r="Y49" s="12">
        <f>'Corp.'!Y$50*(Y$37-(Y31-Y32-Y34)*$C$35)/(SUM('MDA1:NCA9'!Y$37)-SUM('MDA1:NCA9'!Y$31)-SUM('MDA1:NCA9'!Y$32)-SUM('MDA1:NCA9'!Y$34))</f>
        <v>42384.19355824915</v>
      </c>
      <c r="Z49" s="12">
        <f>'Corp.'!Z$50*(Z$37-(Z31-Z32-Z34)*$C$35)/(SUM('MDA1:NCA9'!Z$37)-SUM('MDA1:NCA9'!Z$31)-SUM('MDA1:NCA9'!Z$32)-SUM('MDA1:NCA9'!Z$34))</f>
        <v>41463.710592969037</v>
      </c>
      <c r="AA49" s="12">
        <f>'Corp.'!AA$50*(AA$37-(AA31-AA32-AA34)*$C$35)/(SUM('MDA1:NCA9'!AA$37)-SUM('MDA1:NCA9'!AA$31)-SUM('MDA1:NCA9'!AA$32)-SUM('MDA1:NCA9'!AA$34))</f>
        <v>40515.711818312731</v>
      </c>
      <c r="AB49" s="12">
        <f>'Corp.'!AB$50*(AB$37-(AB31-AB32-AB34)*$C$35)/(SUM('MDA1:NCA9'!AB$37)-SUM('MDA1:NCA9'!AB$31)-SUM('MDA1:NCA9'!AB$32)-SUM('MDA1:NCA9'!AB$34))</f>
        <v>39596.248658296056</v>
      </c>
      <c r="AC49" s="12">
        <f>'Corp.'!AC$50*(AC$37-(AC31-AC32-AC34)*$C$35)/(SUM('MDA1:NCA9'!AC$37)-SUM('MDA1:NCA9'!AC$31)-SUM('MDA1:NCA9'!AC$32)-SUM('MDA1:NCA9'!AC$34))</f>
        <v>42496.566174600121</v>
      </c>
      <c r="AD49" s="12">
        <f>'Corp.'!AD$50*(AD$37-(AD31-AD32-AD34)*$C$35)/(SUM('MDA1:NCA9'!AD$37)-SUM('MDA1:NCA9'!AD$31)-SUM('MDA1:NCA9'!AD$32)-SUM('MDA1:NCA9'!AD$34))</f>
        <v>41798.429273471971</v>
      </c>
      <c r="AE49" s="12">
        <f>'Corp.'!AE$50*(AE$37-(AE31-AE32-AE34)*$C$35)/(SUM('MDA1:NCA9'!AE$37)-SUM('MDA1:NCA9'!AE$31)-SUM('MDA1:NCA9'!AE$32)-SUM('MDA1:NCA9'!AE$34))</f>
        <v>41140.152257499751</v>
      </c>
      <c r="AF49" s="12">
        <f>'Corp.'!AF$50*(AF$37-(AF31-AF32-AF34)*$C$35)/(SUM('MDA1:NCA9'!AF$37)-SUM('MDA1:NCA9'!AF$31)-SUM('MDA1:NCA9'!AF$32)-SUM('MDA1:NCA9'!AF$34))</f>
        <v>40523.325112074708</v>
      </c>
      <c r="AG49" s="12">
        <f>'Corp.'!AG$50*(AG$37-(AG31-AG32-AG34)*$C$35)/(SUM('MDA1:NCA9'!AG$37)-SUM('MDA1:NCA9'!AG$31)-SUM('MDA1:NCA9'!AG$32)-SUM('MDA1:NCA9'!AG$34))</f>
        <v>40028.658436993748</v>
      </c>
      <c r="AH49" s="12">
        <f>'Corp.'!AH$50*(AH$37-(AH31-AH32-AH34)*$C$35)/(SUM('MDA1:NCA9'!AH$37)-SUM('MDA1:NCA9'!AH$31)-SUM('MDA1:NCA9'!AH$32)-SUM('MDA1:NCA9'!AH$34))</f>
        <v>39377.987069744522</v>
      </c>
      <c r="AI49" s="12">
        <f>'Corp.'!AI$50*(AI$37-(AI31-AI32-AI34)*$C$35)/(SUM('MDA1:NCA9'!AI$37)-SUM('MDA1:NCA9'!AI$31)-SUM('MDA1:NCA9'!AI$32)-SUM('MDA1:NCA9'!AI$34))</f>
        <v>38699.911387555454</v>
      </c>
      <c r="AJ49" s="12">
        <f>'Corp.'!AJ$50*(AJ$37-(AJ31-AJ32-AJ34)*$C$35)/(SUM('MDA1:NCA9'!AJ$37)-SUM('MDA1:NCA9'!AJ$31)-SUM('MDA1:NCA9'!AJ$32)-SUM('MDA1:NCA9'!AJ$34))</f>
        <v>38005.179345269848</v>
      </c>
      <c r="AK49" s="12">
        <f>'Corp.'!AK$50*(AK$37-(AK31-AK32-AK34)*$C$35)/(SUM('MDA1:NCA9'!AK$37)-SUM('MDA1:NCA9'!AK$31)-SUM('MDA1:NCA9'!AK$32)-SUM('MDA1:NCA9'!AK$34))</f>
        <v>37363.680666841719</v>
      </c>
      <c r="AL49" s="12">
        <f>'Corp.'!AL$50*(AL$37-(AL31-AL32-AL34)*$C$35)/(SUM('MDA1:NCA9'!AL$37)-SUM('MDA1:NCA9'!AL$31)-SUM('MDA1:NCA9'!AL$32)-SUM('MDA1:NCA9'!AL$34))</f>
        <v>36775.002521225382</v>
      </c>
      <c r="AM49" s="12">
        <f>'Corp.'!AM$50*(AM$37-(AM31-AM32-AM34)*$C$35)/(SUM('MDA1:NCA9'!AM$37)-SUM('MDA1:NCA9'!AM$31)-SUM('MDA1:NCA9'!AM$32)-SUM('MDA1:NCA9'!AM$34))</f>
        <v>36141.025507644648</v>
      </c>
      <c r="AN49" s="12">
        <f>'Corp.'!AN$50*(AN$37-(AN31-AN32-AN34)*$C$35)/(SUM('MDA1:NCA9'!AN$37)-SUM('MDA1:NCA9'!AN$31)-SUM('MDA1:NCA9'!AN$32)-SUM('MDA1:NCA9'!AN$34))</f>
        <v>35600.611897916584</v>
      </c>
    </row>
    <row r="50" spans="2:40" x14ac:dyDescent="0.25">
      <c r="B50" s="1" t="s">
        <v>272</v>
      </c>
      <c r="E50" s="13" cm="1">
        <f t="array" ref="E50:AN50">_xlfn.BYCOL(_xlfn.VSTACK(_xlfn.ANCHORARRAY(E40),_xlfn.ANCHORARRAY(E42),_xlfn.ANCHORARRAY(E43),_xlfn.ANCHORARRAY(E45),_xlfn.ANCHORARRAY(E46),_xlfn.ANCHORARRAY(E47),_xlfn.ANCHORARRAY(E48),_xlfn.HSTACK(E49:AN49)),_xlfn.LAMBDA(_xlpm.a,SUM(_xlpm.a)))</f>
        <v>371979.84680353245</v>
      </c>
      <c r="F50" s="13">
        <v>365352.89111377927</v>
      </c>
      <c r="G50" s="13">
        <v>356004.16665342508</v>
      </c>
      <c r="H50" s="13">
        <v>347868.56729327573</v>
      </c>
      <c r="I50" s="13">
        <v>342827.59859179921</v>
      </c>
      <c r="J50" s="13">
        <v>337719.80237601121</v>
      </c>
      <c r="K50" s="13">
        <v>331548.3522520652</v>
      </c>
      <c r="L50" s="13">
        <v>327860.37493444467</v>
      </c>
      <c r="M50" s="13">
        <v>323589.00278292049</v>
      </c>
      <c r="N50" s="13">
        <v>319912.74502311955</v>
      </c>
      <c r="O50" s="13">
        <v>316065.65363374626</v>
      </c>
      <c r="P50" s="13">
        <v>312900.37915051001</v>
      </c>
      <c r="Q50" s="13">
        <v>338059.57161234884</v>
      </c>
      <c r="R50" s="13">
        <v>335984.14995455521</v>
      </c>
      <c r="S50" s="13">
        <v>333702.84114425757</v>
      </c>
      <c r="T50" s="13">
        <v>331771.80414053617</v>
      </c>
      <c r="U50" s="13">
        <v>330447.85941606958</v>
      </c>
      <c r="V50" s="13">
        <v>329368.45040728559</v>
      </c>
      <c r="W50" s="13">
        <v>327967.26439643069</v>
      </c>
      <c r="X50" s="13">
        <v>326567.03975345287</v>
      </c>
      <c r="Y50" s="13">
        <v>325649.63396500493</v>
      </c>
      <c r="Z50" s="13">
        <v>324729.15099972481</v>
      </c>
      <c r="AA50" s="13">
        <v>323781.15222506854</v>
      </c>
      <c r="AB50" s="13">
        <v>322861.68906505185</v>
      </c>
      <c r="AC50" s="13">
        <v>351398.77659503144</v>
      </c>
      <c r="AD50" s="13">
        <v>350700.63969390333</v>
      </c>
      <c r="AE50" s="13">
        <v>350042.36267793109</v>
      </c>
      <c r="AF50" s="13">
        <v>349425.53553250607</v>
      </c>
      <c r="AG50" s="13">
        <v>348930.86885742506</v>
      </c>
      <c r="AH50" s="13">
        <v>348280.19749017584</v>
      </c>
      <c r="AI50" s="13">
        <v>347602.12180798681</v>
      </c>
      <c r="AJ50" s="13">
        <v>346907.3897657012</v>
      </c>
      <c r="AK50" s="13">
        <v>346265.89108727308</v>
      </c>
      <c r="AL50" s="13">
        <v>345677.2129416567</v>
      </c>
      <c r="AM50" s="13">
        <v>345043.23592807597</v>
      </c>
      <c r="AN50" s="13">
        <v>344502.82231834793</v>
      </c>
    </row>
    <row r="52" spans="2:40" x14ac:dyDescent="0.25">
      <c r="B52" s="1" t="s">
        <v>48</v>
      </c>
      <c r="E52" s="74">
        <f>E37-E50</f>
        <v>-28105.102267745766</v>
      </c>
      <c r="F52" s="74">
        <f t="shared" ref="F52:AN52" si="0">F37-F50</f>
        <v>-21478.146577992593</v>
      </c>
      <c r="G52" s="74">
        <f t="shared" si="0"/>
        <v>-12129.422117638402</v>
      </c>
      <c r="H52" s="74">
        <f t="shared" si="0"/>
        <v>-3993.8227574890479</v>
      </c>
      <c r="I52" s="74">
        <f t="shared" si="0"/>
        <v>1047.1459439874743</v>
      </c>
      <c r="J52" s="74">
        <f t="shared" si="0"/>
        <v>6154.9421597754699</v>
      </c>
      <c r="K52" s="74">
        <f t="shared" si="0"/>
        <v>12326.392283721478</v>
      </c>
      <c r="L52" s="74">
        <f t="shared" si="0"/>
        <v>16014.369601342012</v>
      </c>
      <c r="M52" s="74">
        <f t="shared" si="0"/>
        <v>20285.74175286619</v>
      </c>
      <c r="N52" s="74">
        <f t="shared" si="0"/>
        <v>23961.999512667127</v>
      </c>
      <c r="O52" s="74">
        <f t="shared" si="0"/>
        <v>27809.090902040421</v>
      </c>
      <c r="P52" s="74">
        <f t="shared" si="0"/>
        <v>30974.365385276673</v>
      </c>
      <c r="Q52" s="74">
        <f t="shared" si="0"/>
        <v>16131.415259511443</v>
      </c>
      <c r="R52" s="74">
        <f t="shared" si="0"/>
        <v>18206.836917305074</v>
      </c>
      <c r="S52" s="74">
        <f t="shared" si="0"/>
        <v>20488.145727602707</v>
      </c>
      <c r="T52" s="74">
        <f t="shared" si="0"/>
        <v>22419.182731324108</v>
      </c>
      <c r="U52" s="74">
        <f t="shared" si="0"/>
        <v>23743.127455790702</v>
      </c>
      <c r="V52" s="74">
        <f t="shared" si="0"/>
        <v>24822.536464574689</v>
      </c>
      <c r="W52" s="74">
        <f t="shared" si="0"/>
        <v>26223.722475429589</v>
      </c>
      <c r="X52" s="74">
        <f t="shared" si="0"/>
        <v>27623.947118407406</v>
      </c>
      <c r="Y52" s="74">
        <f t="shared" si="0"/>
        <v>28541.352906855347</v>
      </c>
      <c r="Z52" s="74">
        <f t="shared" si="0"/>
        <v>29461.835872135474</v>
      </c>
      <c r="AA52" s="74">
        <f t="shared" si="0"/>
        <v>30409.834646791744</v>
      </c>
      <c r="AB52" s="74">
        <f t="shared" si="0"/>
        <v>31329.297806808434</v>
      </c>
      <c r="AC52" s="74">
        <f t="shared" si="0"/>
        <v>2792.210276828846</v>
      </c>
      <c r="AD52" s="74">
        <f t="shared" si="0"/>
        <v>3490.3471779569518</v>
      </c>
      <c r="AE52" s="74">
        <f t="shared" si="0"/>
        <v>4148.624193929194</v>
      </c>
      <c r="AF52" s="74">
        <f t="shared" si="0"/>
        <v>4765.4513393542147</v>
      </c>
      <c r="AG52" s="74">
        <f t="shared" si="0"/>
        <v>5260.1180144352256</v>
      </c>
      <c r="AH52" s="74">
        <f t="shared" si="0"/>
        <v>5910.7893816844444</v>
      </c>
      <c r="AI52" s="74">
        <f t="shared" si="0"/>
        <v>6588.8650638734689</v>
      </c>
      <c r="AJ52" s="74">
        <f t="shared" si="0"/>
        <v>7283.5971061590826</v>
      </c>
      <c r="AK52" s="74">
        <f t="shared" si="0"/>
        <v>7925.0957845872035</v>
      </c>
      <c r="AL52" s="74">
        <f t="shared" si="0"/>
        <v>8513.773930203577</v>
      </c>
      <c r="AM52" s="74">
        <f t="shared" si="0"/>
        <v>9147.7509437843109</v>
      </c>
      <c r="AN52" s="74">
        <f t="shared" si="0"/>
        <v>9688.1645535123535</v>
      </c>
    </row>
    <row r="53" spans="2:40" x14ac:dyDescent="0.25">
      <c r="E53" s="105">
        <f>IFERROR(E52/E37,"")</f>
        <v>-8.1730638013809989E-2</v>
      </c>
      <c r="F53" s="105">
        <f t="shared" ref="F53:AN53" si="1">IFERROR(F52/F37,"")</f>
        <v>-6.245921493009611E-2</v>
      </c>
      <c r="G53" s="105">
        <f t="shared" si="1"/>
        <v>-3.5272791358994686E-2</v>
      </c>
      <c r="H53" s="105">
        <f t="shared" si="1"/>
        <v>-1.1614178769890486E-2</v>
      </c>
      <c r="I53" s="105">
        <f t="shared" si="1"/>
        <v>3.0451376864010986E-3</v>
      </c>
      <c r="J53" s="105">
        <f t="shared" si="1"/>
        <v>1.7898790933554388E-2</v>
      </c>
      <c r="K53" s="105">
        <f t="shared" si="1"/>
        <v>3.5845587614645784E-2</v>
      </c>
      <c r="L53" s="105">
        <f t="shared" si="1"/>
        <v>4.65703569564569E-2</v>
      </c>
      <c r="M53" s="105">
        <f t="shared" si="1"/>
        <v>5.8991659245725948E-2</v>
      </c>
      <c r="N53" s="105">
        <f t="shared" si="1"/>
        <v>6.9682347696149075E-2</v>
      </c>
      <c r="O53" s="105">
        <f t="shared" si="1"/>
        <v>8.0869826423517296E-2</v>
      </c>
      <c r="P53" s="105">
        <f t="shared" si="1"/>
        <v>9.0074557313275461E-2</v>
      </c>
      <c r="Q53" s="105">
        <f t="shared" si="1"/>
        <v>4.5544397958798111E-2</v>
      </c>
      <c r="R53" s="105">
        <f t="shared" si="1"/>
        <v>5.140400967880069E-2</v>
      </c>
      <c r="S53" s="105">
        <f t="shared" si="1"/>
        <v>5.784490991300955E-2</v>
      </c>
      <c r="T53" s="105">
        <f t="shared" si="1"/>
        <v>6.3296875308221645E-2</v>
      </c>
      <c r="U53" s="105">
        <f t="shared" si="1"/>
        <v>6.7034815497381717E-2</v>
      </c>
      <c r="V53" s="105">
        <f t="shared" si="1"/>
        <v>7.0082349310472497E-2</v>
      </c>
      <c r="W53" s="105">
        <f t="shared" si="1"/>
        <v>7.4038367568390009E-2</v>
      </c>
      <c r="X53" s="105">
        <f t="shared" si="1"/>
        <v>7.7991671562216341E-2</v>
      </c>
      <c r="Y53" s="105">
        <f t="shared" si="1"/>
        <v>8.0581815926278999E-2</v>
      </c>
      <c r="Z53" s="105">
        <f t="shared" si="1"/>
        <v>8.3180648193044562E-2</v>
      </c>
      <c r="AA53" s="105">
        <f t="shared" si="1"/>
        <v>8.5857166822241746E-2</v>
      </c>
      <c r="AB53" s="105">
        <f t="shared" si="1"/>
        <v>8.8453119836566563E-2</v>
      </c>
      <c r="AC53" s="105">
        <f t="shared" si="1"/>
        <v>7.8833465003981477E-3</v>
      </c>
      <c r="AD53" s="105">
        <f t="shared" si="1"/>
        <v>9.8544212228068202E-3</v>
      </c>
      <c r="AE53" s="105">
        <f t="shared" si="1"/>
        <v>1.1712958114967757E-2</v>
      </c>
      <c r="AF53" s="105">
        <f t="shared" si="1"/>
        <v>1.3454468114622765E-2</v>
      </c>
      <c r="AG53" s="105">
        <f t="shared" si="1"/>
        <v>1.485107811718043E-2</v>
      </c>
      <c r="AH53" s="105">
        <f t="shared" si="1"/>
        <v>1.6688141711022304E-2</v>
      </c>
      <c r="AI53" s="105">
        <f t="shared" si="1"/>
        <v>1.860257688109155E-2</v>
      </c>
      <c r="AJ53" s="105">
        <f t="shared" si="1"/>
        <v>2.0564038544532905E-2</v>
      </c>
      <c r="AK53" s="105">
        <f t="shared" si="1"/>
        <v>2.2375204560059446E-2</v>
      </c>
      <c r="AL53" s="105">
        <f t="shared" si="1"/>
        <v>2.4037240488233264E-2</v>
      </c>
      <c r="AM53" s="105">
        <f t="shared" si="1"/>
        <v>2.5827170320101334E-2</v>
      </c>
      <c r="AN53" s="105">
        <f t="shared" si="1"/>
        <v>2.7352939268941227E-2</v>
      </c>
    </row>
    <row r="55" spans="2:40" x14ac:dyDescent="0.25">
      <c r="B55" t="s">
        <v>57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0</v>
      </c>
      <c r="D55" s="12">
        <f>C55-SUM(_xlfn.ANCHORARRAY(E55))</f>
        <v>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</row>
    <row r="56" spans="2:40" x14ac:dyDescent="0.25">
      <c r="B56" t="s">
        <v>285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-51581.211680368004</v>
      </c>
      <c r="F56" s="90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-51581.211680368004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-51581.211680368004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-51581.211680368004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-51581.211680368004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-51581.211680368004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-51581.211680368004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-51581.211680368004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-51581.211680368004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-51581.211680368004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-51581.211680368004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-51581.211680368004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-51581.211680368004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-51581.211680368004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-51581.211680368004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-51581.211680368004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-51581.211680368004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-53128.648030779041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-53128.648030779041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-53128.648030779041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-53128.648030779041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-53128.648030779041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-53128.648030779041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-53128.648030779041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-53128.648030779041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-53128.648030779041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-53128.648030779041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-53128.648030779041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-53128.648030779041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-53128.648030779041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-53128.648030779041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-53128.648030779041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-53128.648030779041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-53128.648030779041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-53128.648030779041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-53128.648030779041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276</v>
      </c>
      <c r="E58" s="13">
        <f>E37-E50-E55+E56</f>
        <v>-79686.313948113762</v>
      </c>
      <c r="F58" s="13">
        <f t="shared" ref="F58:AN58" si="2">F37-F50-F55+F56</f>
        <v>-73059.358258360589</v>
      </c>
      <c r="G58" s="13">
        <f t="shared" si="2"/>
        <v>-63710.633798006405</v>
      </c>
      <c r="H58" s="13">
        <f t="shared" si="2"/>
        <v>-55575.034437857052</v>
      </c>
      <c r="I58" s="13">
        <f t="shared" si="2"/>
        <v>-50534.065736380529</v>
      </c>
      <c r="J58" s="13">
        <f t="shared" si="2"/>
        <v>-45426.269520592534</v>
      </c>
      <c r="K58" s="13">
        <f t="shared" si="2"/>
        <v>-39254.819396646526</v>
      </c>
      <c r="L58" s="13">
        <f t="shared" si="2"/>
        <v>-35566.842079025992</v>
      </c>
      <c r="M58" s="13">
        <f t="shared" si="2"/>
        <v>-31295.469927501814</v>
      </c>
      <c r="N58" s="13">
        <f t="shared" si="2"/>
        <v>-27619.212167700876</v>
      </c>
      <c r="O58" s="13">
        <f t="shared" si="2"/>
        <v>-23772.120778327582</v>
      </c>
      <c r="P58" s="13">
        <f t="shared" si="2"/>
        <v>-20606.846295091331</v>
      </c>
      <c r="Q58" s="13">
        <f t="shared" si="2"/>
        <v>-35449.796420856561</v>
      </c>
      <c r="R58" s="13">
        <f t="shared" si="2"/>
        <v>-33374.37476306293</v>
      </c>
      <c r="S58" s="13">
        <f t="shared" si="2"/>
        <v>-31093.065952765297</v>
      </c>
      <c r="T58" s="13">
        <f t="shared" si="2"/>
        <v>-29162.028949043895</v>
      </c>
      <c r="U58" s="13">
        <f t="shared" si="2"/>
        <v>-27838.084224577302</v>
      </c>
      <c r="V58" s="13">
        <f t="shared" si="2"/>
        <v>-28306.111566204352</v>
      </c>
      <c r="W58" s="13">
        <f t="shared" si="2"/>
        <v>-26904.925555349451</v>
      </c>
      <c r="X58" s="13">
        <f t="shared" si="2"/>
        <v>-25504.700912371634</v>
      </c>
      <c r="Y58" s="13">
        <f t="shared" si="2"/>
        <v>-24587.295123923694</v>
      </c>
      <c r="Z58" s="13">
        <f t="shared" si="2"/>
        <v>-23666.812158643566</v>
      </c>
      <c r="AA58" s="13">
        <f t="shared" si="2"/>
        <v>-22718.813383987297</v>
      </c>
      <c r="AB58" s="13">
        <f t="shared" si="2"/>
        <v>-21799.350223970607</v>
      </c>
      <c r="AC58" s="13">
        <f t="shared" si="2"/>
        <v>-50336.437753950195</v>
      </c>
      <c r="AD58" s="13">
        <f t="shared" si="2"/>
        <v>-49638.300852822089</v>
      </c>
      <c r="AE58" s="13">
        <f t="shared" si="2"/>
        <v>-48980.023836849847</v>
      </c>
      <c r="AF58" s="13">
        <f t="shared" si="2"/>
        <v>-48363.196691424826</v>
      </c>
      <c r="AG58" s="13">
        <f t="shared" si="2"/>
        <v>-47868.530016343815</v>
      </c>
      <c r="AH58" s="13">
        <f t="shared" si="2"/>
        <v>-47217.858649094596</v>
      </c>
      <c r="AI58" s="13">
        <f t="shared" si="2"/>
        <v>-46539.782966905572</v>
      </c>
      <c r="AJ58" s="13">
        <f t="shared" si="2"/>
        <v>-45845.050924619958</v>
      </c>
      <c r="AK58" s="13">
        <f t="shared" si="2"/>
        <v>-45203.552246191837</v>
      </c>
      <c r="AL58" s="13">
        <f t="shared" si="2"/>
        <v>-44614.874100575464</v>
      </c>
      <c r="AM58" s="13">
        <f t="shared" si="2"/>
        <v>-43980.89708699473</v>
      </c>
      <c r="AN58" s="13">
        <f t="shared" si="2"/>
        <v>-43440.483477266687</v>
      </c>
    </row>
    <row r="59" spans="2:40" x14ac:dyDescent="0.25">
      <c r="B59" t="s">
        <v>277</v>
      </c>
      <c r="E59" s="12" cm="1">
        <f t="array" ref="E59:AN59">_xlfn.SCAN(-D55,E58:AN58,_xlfn.LAMBDA(_xlpm.capex,_xlpm.fcf,_xlpm.capex+_xlpm.fcf))</f>
        <v>-79686.313948113762</v>
      </c>
      <c r="F59" s="12">
        <v>-152745.67220647435</v>
      </c>
      <c r="G59" s="12">
        <v>-216456.30600448075</v>
      </c>
      <c r="H59" s="12">
        <v>-272031.34044233779</v>
      </c>
      <c r="I59" s="12">
        <v>-322565.40617871832</v>
      </c>
      <c r="J59" s="12">
        <v>-367991.67569931084</v>
      </c>
      <c r="K59" s="12">
        <v>-407246.49509595736</v>
      </c>
      <c r="L59" s="12">
        <v>-442813.33717498335</v>
      </c>
      <c r="M59" s="12">
        <v>-474108.80710248515</v>
      </c>
      <c r="N59" s="12">
        <v>-501728.01927018602</v>
      </c>
      <c r="O59" s="12">
        <v>-525500.14004851365</v>
      </c>
      <c r="P59" s="12">
        <v>-546106.98634360498</v>
      </c>
      <c r="Q59" s="12">
        <v>-581556.78276446159</v>
      </c>
      <c r="R59" s="12">
        <v>-614931.15752752451</v>
      </c>
      <c r="S59" s="12">
        <v>-646024.2234802898</v>
      </c>
      <c r="T59" s="12">
        <v>-675186.25242933375</v>
      </c>
      <c r="U59" s="12">
        <v>-703024.33665391104</v>
      </c>
      <c r="V59" s="12">
        <v>-731330.44822011539</v>
      </c>
      <c r="W59" s="12">
        <v>-758235.37377546483</v>
      </c>
      <c r="X59" s="12">
        <v>-783740.07468783646</v>
      </c>
      <c r="Y59" s="12">
        <v>-808327.36981176015</v>
      </c>
      <c r="Z59" s="12">
        <v>-831994.18197040376</v>
      </c>
      <c r="AA59" s="12">
        <v>-854712.99535439105</v>
      </c>
      <c r="AB59" s="12">
        <v>-876512.34557836165</v>
      </c>
      <c r="AC59" s="12">
        <v>-926848.7833323119</v>
      </c>
      <c r="AD59" s="12">
        <v>-976487.08418513404</v>
      </c>
      <c r="AE59" s="12">
        <v>-1025467.1080219839</v>
      </c>
      <c r="AF59" s="12">
        <v>-1073830.3047134087</v>
      </c>
      <c r="AG59" s="12">
        <v>-1121698.8347297525</v>
      </c>
      <c r="AH59" s="12">
        <v>-1168916.6933788471</v>
      </c>
      <c r="AI59" s="12">
        <v>-1215456.4763457526</v>
      </c>
      <c r="AJ59" s="12">
        <v>-1261301.5272703725</v>
      </c>
      <c r="AK59" s="12">
        <v>-1306505.0795165643</v>
      </c>
      <c r="AL59" s="12">
        <v>-1351119.9536171397</v>
      </c>
      <c r="AM59" s="12">
        <v>-1395100.8507041344</v>
      </c>
      <c r="AN59" s="12">
        <v>-1438541.3341814012</v>
      </c>
    </row>
    <row r="61" spans="2:40" x14ac:dyDescent="0.25">
      <c r="B61" s="1" t="s">
        <v>302</v>
      </c>
    </row>
    <row r="63" spans="2:40" x14ac:dyDescent="0.25">
      <c r="B63" s="39" t="s">
        <v>103</v>
      </c>
      <c r="E63" s="12" cm="1">
        <f t="array" ref="E63:AN63">_xlfn.LET(_xlpm.site,$B$1&amp;"-"&amp;$C$1,_xlpm.locations,Base!$D$4:$BD$4,_xlpm.rates,Base!$D$36:$BD$36,_xlpm.hours,Base!$D$79:$BD$79,_xlpm.comp,_xlpm.rates*_xlpm.hours,_xlpm.Customer,_xlfn.ANCHORARRAY($E$1),
_xlpm.Customer_comp,_xlfn.XLOOKUP(_xlpm.site,_xlpm.locations,_xlpm.comp,0,0),_xlpm.ann_incr,_xlfn.XLOOKUP(YEAR(_xlfn.ANCHORARRAY($E$25)),Base!$BJ$4:$BL$4,Base!$BJ$79:$BL$79,0,0),
_xlpm.bad_debt,_xlfn.XLOOKUP(_xlpm.site,_xlpm.locations,Base!$D$28:$BD$28,0,0),_xlpm.Customer_comp*_xlpm.Customer*_xlpm.bad_debt*_xlpm.ann_incr*(52/12)*(1-$C$35))</f>
        <v>16461.351073023994</v>
      </c>
      <c r="F63" s="12">
        <v>16461.351073023994</v>
      </c>
      <c r="G63" s="12">
        <v>16461.351073023994</v>
      </c>
      <c r="H63" s="12">
        <v>16461.351073023994</v>
      </c>
      <c r="I63" s="12">
        <v>16461.351073023994</v>
      </c>
      <c r="J63" s="12">
        <v>16461.351073023994</v>
      </c>
      <c r="K63" s="12">
        <v>16461.351073023994</v>
      </c>
      <c r="L63" s="12">
        <v>16461.351073023994</v>
      </c>
      <c r="M63" s="12">
        <v>16461.351073023994</v>
      </c>
      <c r="N63" s="12">
        <v>16461.351073023994</v>
      </c>
      <c r="O63" s="12">
        <v>16461.351073023994</v>
      </c>
      <c r="P63" s="12">
        <v>16461.351073023994</v>
      </c>
      <c r="Q63" s="12">
        <v>16955.191605214713</v>
      </c>
      <c r="R63" s="12">
        <v>16955.191605214713</v>
      </c>
      <c r="S63" s="12">
        <v>16955.191605214713</v>
      </c>
      <c r="T63" s="12">
        <v>16955.191605214713</v>
      </c>
      <c r="U63" s="12">
        <v>16955.191605214713</v>
      </c>
      <c r="V63" s="12">
        <v>16955.191605214713</v>
      </c>
      <c r="W63" s="12">
        <v>16955.191605214713</v>
      </c>
      <c r="X63" s="12">
        <v>16955.191605214713</v>
      </c>
      <c r="Y63" s="12">
        <v>16955.191605214713</v>
      </c>
      <c r="Z63" s="12">
        <v>16955.191605214713</v>
      </c>
      <c r="AA63" s="12">
        <v>16955.191605214713</v>
      </c>
      <c r="AB63" s="12">
        <v>16955.191605214713</v>
      </c>
      <c r="AC63" s="12">
        <v>16955.191605214713</v>
      </c>
      <c r="AD63" s="12">
        <v>16955.191605214713</v>
      </c>
      <c r="AE63" s="12">
        <v>16955.191605214713</v>
      </c>
      <c r="AF63" s="12">
        <v>16955.191605214713</v>
      </c>
      <c r="AG63" s="12">
        <v>16955.191605214713</v>
      </c>
      <c r="AH63" s="12">
        <v>16955.191605214713</v>
      </c>
      <c r="AI63" s="12">
        <v>16955.191605214713</v>
      </c>
      <c r="AJ63" s="12">
        <v>16955.191605214713</v>
      </c>
      <c r="AK63" s="12">
        <v>16955.191605214713</v>
      </c>
      <c r="AL63" s="12">
        <v>16955.191605214713</v>
      </c>
      <c r="AM63" s="12">
        <v>16955.191605214713</v>
      </c>
      <c r="AN63" s="12">
        <v>16955.191605214713</v>
      </c>
    </row>
    <row r="64" spans="2:40" x14ac:dyDescent="0.25">
      <c r="B64" s="39" t="s">
        <v>104</v>
      </c>
      <c r="E64" s="12" cm="1">
        <f t="array" ref="E64:AN64">_xlfn.LET(_xlpm.site,$B$1&amp;"-"&amp;$C$1,_xlpm.locations,Base!$D$4:$BD$4,_xlpm.rates,Base!$D$37:$BD$37,_xlpm.hours,Base!$D$80:$BD$80,_xlpm.comp,_xlpm.rates*_xlpm.hours,_xlpm.Customer,_xlfn.ANCHORARRAY($E$1),
_xlpm.Customer_comp,_xlfn.XLOOKUP(_xlpm.site,_xlpm.locations,_xlpm.comp,0,0),_xlpm.ann_incr,_xlfn.XLOOKUP(YEAR(_xlfn.ANCHORARRAY($E$25)),Base!$BJ$4:$BL$4,Base!$BJ$80:$BL$80,0,0),
_xlpm.bad_debt,_xlfn.XLOOKUP(_xlpm.site,_xlpm.locations,Base!$D$28:$BD$28,0,0),_xlpm.Customer_comp*_xlpm.Customer*_xlpm.bad_debt*_xlpm.ann_incr*(52/12)*(1-$C$35))</f>
        <v>4605.2201338880004</v>
      </c>
      <c r="F64" s="12">
        <v>4605.2201338880004</v>
      </c>
      <c r="G64" s="12">
        <v>4605.2201338880004</v>
      </c>
      <c r="H64" s="12">
        <v>4605.2201338880004</v>
      </c>
      <c r="I64" s="12">
        <v>4605.2201338880004</v>
      </c>
      <c r="J64" s="12">
        <v>4605.2201338880004</v>
      </c>
      <c r="K64" s="12">
        <v>4605.2201338880004</v>
      </c>
      <c r="L64" s="12">
        <v>4605.2201338880004</v>
      </c>
      <c r="M64" s="12">
        <v>4605.2201338880004</v>
      </c>
      <c r="N64" s="12">
        <v>4605.2201338880004</v>
      </c>
      <c r="O64" s="12">
        <v>4605.2201338880004</v>
      </c>
      <c r="P64" s="12">
        <v>4605.2201338880004</v>
      </c>
      <c r="Q64" s="12">
        <v>4743.3767379046403</v>
      </c>
      <c r="R64" s="12">
        <v>4743.3767379046403</v>
      </c>
      <c r="S64" s="12">
        <v>4743.3767379046403</v>
      </c>
      <c r="T64" s="12">
        <v>4743.3767379046403</v>
      </c>
      <c r="U64" s="12">
        <v>4743.3767379046403</v>
      </c>
      <c r="V64" s="12">
        <v>4743.3767379046403</v>
      </c>
      <c r="W64" s="12">
        <v>4743.3767379046403</v>
      </c>
      <c r="X64" s="12">
        <v>4743.3767379046403</v>
      </c>
      <c r="Y64" s="12">
        <v>4743.3767379046403</v>
      </c>
      <c r="Z64" s="12">
        <v>4743.3767379046403</v>
      </c>
      <c r="AA64" s="12">
        <v>4743.3767379046403</v>
      </c>
      <c r="AB64" s="12">
        <v>4743.3767379046403</v>
      </c>
      <c r="AC64" s="12">
        <v>4743.3767379046403</v>
      </c>
      <c r="AD64" s="12">
        <v>4743.3767379046403</v>
      </c>
      <c r="AE64" s="12">
        <v>4743.3767379046403</v>
      </c>
      <c r="AF64" s="12">
        <v>4743.3767379046403</v>
      </c>
      <c r="AG64" s="12">
        <v>4743.3767379046403</v>
      </c>
      <c r="AH64" s="12">
        <v>4743.3767379046403</v>
      </c>
      <c r="AI64" s="12">
        <v>4743.3767379046403</v>
      </c>
      <c r="AJ64" s="12">
        <v>4743.3767379046403</v>
      </c>
      <c r="AK64" s="12">
        <v>4743.3767379046403</v>
      </c>
      <c r="AL64" s="12">
        <v>4743.3767379046403</v>
      </c>
      <c r="AM64" s="12">
        <v>4743.3767379046403</v>
      </c>
      <c r="AN64" s="12">
        <v>4743.3767379046403</v>
      </c>
    </row>
    <row r="65" spans="2:40" x14ac:dyDescent="0.25">
      <c r="B65" s="39" t="s">
        <v>56</v>
      </c>
      <c r="E65" s="12" cm="1">
        <f t="array" ref="E65:AN65">_xlfn.LET(_xlpm.site,$B$1&amp;"-"&amp;$C$1,_xlpm.locations,Base!$D$4:$BD$4,_xlpm.rates,Base!$D$39:$BD$39,_xlpm.hours,Base!$D$82:$BD$82,_xlpm.comp,_xlpm.rates*_xlpm.hours,_xlpm.Customer,_xlfn.ANCHORARRAY($E$1),
_xlpm.Customer_comp,_xlfn.XLOOKUP(_xlpm.site,_xlpm.locations,_xlpm.comp,0,0),_xlpm.ann_incr,_xlfn.XLOOKUP(YEAR(_xlfn.ANCHORARRAY($E$25)),Base!$BJ$4:$BL$4,Base!$BJ$82:$BL$82,0,0),
_xlpm.bad_debt,_xlfn.XLOOKUP(_xlpm.site,_xlpm.locations,Base!$D$28:$BD$28,0,0),_xlpm.Customer_comp*_xlpm.Customer*_xlpm.bad_debt*_xlpm.ann_incr*(52/12)*(1-$C$35))</f>
        <v>15729.564291583998</v>
      </c>
      <c r="F65" s="12">
        <v>15729.564291583998</v>
      </c>
      <c r="G65" s="12">
        <v>15729.564291583998</v>
      </c>
      <c r="H65" s="12">
        <v>15729.564291583998</v>
      </c>
      <c r="I65" s="12">
        <v>15729.564291583998</v>
      </c>
      <c r="J65" s="12">
        <v>15729.564291583998</v>
      </c>
      <c r="K65" s="12">
        <v>15729.564291583998</v>
      </c>
      <c r="L65" s="12">
        <v>15729.564291583998</v>
      </c>
      <c r="M65" s="12">
        <v>15729.564291583998</v>
      </c>
      <c r="N65" s="12">
        <v>15729.564291583998</v>
      </c>
      <c r="O65" s="12">
        <v>15729.564291583998</v>
      </c>
      <c r="P65" s="12">
        <v>15729.564291583998</v>
      </c>
      <c r="Q65" s="12">
        <v>16201.451220331517</v>
      </c>
      <c r="R65" s="12">
        <v>16201.451220331517</v>
      </c>
      <c r="S65" s="12">
        <v>16201.451220331517</v>
      </c>
      <c r="T65" s="12">
        <v>16201.451220331517</v>
      </c>
      <c r="U65" s="12">
        <v>16201.451220331517</v>
      </c>
      <c r="V65" s="12">
        <v>16201.451220331517</v>
      </c>
      <c r="W65" s="12">
        <v>16201.451220331517</v>
      </c>
      <c r="X65" s="12">
        <v>16201.451220331517</v>
      </c>
      <c r="Y65" s="12">
        <v>16201.451220331517</v>
      </c>
      <c r="Z65" s="12">
        <v>16201.451220331517</v>
      </c>
      <c r="AA65" s="12">
        <v>16201.451220331517</v>
      </c>
      <c r="AB65" s="12">
        <v>16201.451220331517</v>
      </c>
      <c r="AC65" s="12">
        <v>16201.451220331517</v>
      </c>
      <c r="AD65" s="12">
        <v>16201.451220331517</v>
      </c>
      <c r="AE65" s="12">
        <v>16201.451220331517</v>
      </c>
      <c r="AF65" s="12">
        <v>16201.451220331517</v>
      </c>
      <c r="AG65" s="12">
        <v>16201.451220331517</v>
      </c>
      <c r="AH65" s="12">
        <v>16201.451220331517</v>
      </c>
      <c r="AI65" s="12">
        <v>16201.451220331517</v>
      </c>
      <c r="AJ65" s="12">
        <v>16201.451220331517</v>
      </c>
      <c r="AK65" s="12">
        <v>16201.451220331517</v>
      </c>
      <c r="AL65" s="12">
        <v>16201.451220331517</v>
      </c>
      <c r="AM65" s="12">
        <v>16201.451220331517</v>
      </c>
      <c r="AN65" s="12">
        <v>16201.451220331517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303</v>
      </c>
      <c r="C67" s="12"/>
      <c r="E67" s="13" cm="1">
        <f t="array" ref="E67:AN67">_xlfn.BYCOL(_xlfn.VSTACK(_xlfn.ANCHORARRAY($E$63),_xlfn.ANCHORARRAY($E$64),_xlfn.ANCHORARRAY($E$65)),_xlfn.LAMBDA(_xlpm.a,SUM(_xlpm.a)))</f>
        <v>36796.135498495991</v>
      </c>
      <c r="F67" s="13">
        <v>36796.135498495991</v>
      </c>
      <c r="G67" s="13">
        <v>36796.135498495991</v>
      </c>
      <c r="H67" s="13">
        <v>36796.135498495991</v>
      </c>
      <c r="I67" s="13">
        <v>36796.135498495991</v>
      </c>
      <c r="J67" s="13">
        <v>36796.135498495991</v>
      </c>
      <c r="K67" s="13">
        <v>36796.135498495991</v>
      </c>
      <c r="L67" s="13">
        <v>36796.135498495991</v>
      </c>
      <c r="M67" s="13">
        <v>36796.135498495991</v>
      </c>
      <c r="N67" s="13">
        <v>36796.135498495991</v>
      </c>
      <c r="O67" s="13">
        <v>36796.135498495991</v>
      </c>
      <c r="P67" s="13">
        <v>36796.135498495991</v>
      </c>
      <c r="Q67" s="13">
        <v>37900.019563450871</v>
      </c>
      <c r="R67" s="13">
        <v>37900.019563450871</v>
      </c>
      <c r="S67" s="13">
        <v>37900.019563450871</v>
      </c>
      <c r="T67" s="13">
        <v>37900.019563450871</v>
      </c>
      <c r="U67" s="13">
        <v>37900.019563450871</v>
      </c>
      <c r="V67" s="13">
        <v>37900.019563450871</v>
      </c>
      <c r="W67" s="13">
        <v>37900.019563450871</v>
      </c>
      <c r="X67" s="13">
        <v>37900.019563450871</v>
      </c>
      <c r="Y67" s="13">
        <v>37900.019563450871</v>
      </c>
      <c r="Z67" s="13">
        <v>37900.019563450871</v>
      </c>
      <c r="AA67" s="13">
        <v>37900.019563450871</v>
      </c>
      <c r="AB67" s="13">
        <v>37900.019563450871</v>
      </c>
      <c r="AC67" s="13">
        <v>37900.019563450871</v>
      </c>
      <c r="AD67" s="13">
        <v>37900.019563450871</v>
      </c>
      <c r="AE67" s="13">
        <v>37900.019563450871</v>
      </c>
      <c r="AF67" s="13">
        <v>37900.019563450871</v>
      </c>
      <c r="AG67" s="13">
        <v>37900.019563450871</v>
      </c>
      <c r="AH67" s="13">
        <v>37900.019563450871</v>
      </c>
      <c r="AI67" s="13">
        <v>37900.019563450871</v>
      </c>
      <c r="AJ67" s="13">
        <v>37900.019563450871</v>
      </c>
      <c r="AK67" s="13">
        <v>37900.019563450871</v>
      </c>
      <c r="AL67" s="13">
        <v>37900.019563450871</v>
      </c>
      <c r="AM67" s="13">
        <v>37900.019563450871</v>
      </c>
      <c r="AN67" s="13">
        <v>37900.019563450871</v>
      </c>
    </row>
    <row r="68" spans="2:40" x14ac:dyDescent="0.25">
      <c r="B68" s="39"/>
      <c r="C68" s="12"/>
    </row>
    <row r="69" spans="2:40" x14ac:dyDescent="0.25">
      <c r="B69" s="39" t="s">
        <v>304</v>
      </c>
      <c r="C69" s="12"/>
      <c r="E69" s="106" cm="1">
        <f t="array" ref="E69:AN70">_xlfn.LET(_xlpm.Customer_staff,_xlfn._xlws.FILTER(Base!$D$96:$BD$97,ISNUMBER(SEARCH($B$1&amp;"-"&amp;$C$1,Base!$D$4:$BD$4))),_xlpm.Customer,_xlfn.ANCHORARRAY($E$1),_xlpm.headcount,_xlpm.Customer/_xlpm.Customer_staff,
_xlpm.rounding,_xlfn.VSTACK(0,0),IFERROR(ROUND(_xlpm.headcount,_xlpm.rounding),0))</f>
        <v>1</v>
      </c>
      <c r="F69" s="106">
        <v>1</v>
      </c>
      <c r="G69" s="106">
        <v>1</v>
      </c>
      <c r="H69" s="106">
        <v>1</v>
      </c>
      <c r="I69" s="106">
        <v>1</v>
      </c>
      <c r="J69" s="106">
        <v>1</v>
      </c>
      <c r="K69" s="106">
        <v>1</v>
      </c>
      <c r="L69" s="106">
        <v>1</v>
      </c>
      <c r="M69" s="106">
        <v>1</v>
      </c>
      <c r="N69" s="106">
        <v>1</v>
      </c>
      <c r="O69" s="106">
        <v>1</v>
      </c>
      <c r="P69" s="106">
        <v>1</v>
      </c>
      <c r="Q69" s="106">
        <v>1</v>
      </c>
      <c r="R69" s="106">
        <v>1</v>
      </c>
      <c r="S69" s="106">
        <v>1</v>
      </c>
      <c r="T69" s="106">
        <v>1</v>
      </c>
      <c r="U69" s="106">
        <v>1</v>
      </c>
      <c r="V69" s="106">
        <v>1</v>
      </c>
      <c r="W69" s="106">
        <v>1</v>
      </c>
      <c r="X69" s="106">
        <v>1</v>
      </c>
      <c r="Y69" s="106">
        <v>1</v>
      </c>
      <c r="Z69" s="106">
        <v>1</v>
      </c>
      <c r="AA69" s="106">
        <v>1</v>
      </c>
      <c r="AB69" s="106">
        <v>1</v>
      </c>
      <c r="AC69" s="106">
        <v>1</v>
      </c>
      <c r="AD69" s="106">
        <v>1</v>
      </c>
      <c r="AE69" s="106">
        <v>1</v>
      </c>
      <c r="AF69" s="106">
        <v>1</v>
      </c>
      <c r="AG69" s="106">
        <v>1</v>
      </c>
      <c r="AH69" s="106">
        <v>1</v>
      </c>
      <c r="AI69" s="106">
        <v>1</v>
      </c>
      <c r="AJ69" s="106">
        <v>1</v>
      </c>
      <c r="AK69" s="106">
        <v>1</v>
      </c>
      <c r="AL69" s="106">
        <v>1</v>
      </c>
      <c r="AM69" s="106">
        <v>1</v>
      </c>
      <c r="AN69" s="106">
        <v>1</v>
      </c>
    </row>
    <row r="70" spans="2:40" x14ac:dyDescent="0.25">
      <c r="B70" s="39" t="s">
        <v>305</v>
      </c>
      <c r="C70" s="12"/>
      <c r="E70" s="106">
        <v>1</v>
      </c>
      <c r="F70" s="106">
        <v>1</v>
      </c>
      <c r="G70" s="106">
        <v>1</v>
      </c>
      <c r="H70" s="106">
        <v>1</v>
      </c>
      <c r="I70" s="106">
        <v>1</v>
      </c>
      <c r="J70" s="106">
        <v>1</v>
      </c>
      <c r="K70" s="106">
        <v>1</v>
      </c>
      <c r="L70" s="106">
        <v>1</v>
      </c>
      <c r="M70" s="106">
        <v>1</v>
      </c>
      <c r="N70" s="106">
        <v>1</v>
      </c>
      <c r="O70" s="106">
        <v>1</v>
      </c>
      <c r="P70" s="106">
        <v>1</v>
      </c>
      <c r="Q70" s="106">
        <v>1</v>
      </c>
      <c r="R70" s="106">
        <v>1</v>
      </c>
      <c r="S70" s="106">
        <v>1</v>
      </c>
      <c r="T70" s="106">
        <v>1</v>
      </c>
      <c r="U70" s="106">
        <v>1</v>
      </c>
      <c r="V70" s="106">
        <v>1</v>
      </c>
      <c r="W70" s="106">
        <v>1</v>
      </c>
      <c r="X70" s="106">
        <v>1</v>
      </c>
      <c r="Y70" s="106">
        <v>1</v>
      </c>
      <c r="Z70" s="106">
        <v>1</v>
      </c>
      <c r="AA70" s="106">
        <v>1</v>
      </c>
      <c r="AB70" s="106">
        <v>1</v>
      </c>
      <c r="AC70" s="106">
        <v>1</v>
      </c>
      <c r="AD70" s="106">
        <v>1</v>
      </c>
      <c r="AE70" s="106">
        <v>1</v>
      </c>
      <c r="AF70" s="106">
        <v>1</v>
      </c>
      <c r="AG70" s="106">
        <v>1</v>
      </c>
      <c r="AH70" s="106">
        <v>1</v>
      </c>
      <c r="AI70" s="106">
        <v>1</v>
      </c>
      <c r="AJ70" s="106">
        <v>1</v>
      </c>
      <c r="AK70" s="106">
        <v>1</v>
      </c>
      <c r="AL70" s="106">
        <v>1</v>
      </c>
      <c r="AM70" s="106">
        <v>1</v>
      </c>
      <c r="AN70" s="106">
        <v>1</v>
      </c>
    </row>
    <row r="71" spans="2:40" x14ac:dyDescent="0.25">
      <c r="B71" s="39"/>
      <c r="C71" s="12"/>
    </row>
    <row r="72" spans="2:40" x14ac:dyDescent="0.25">
      <c r="B72" s="39" t="s">
        <v>23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32122.059684929482</v>
      </c>
      <c r="F72" s="12">
        <v>32122.059684929482</v>
      </c>
      <c r="G72" s="12">
        <v>32122.059684929482</v>
      </c>
      <c r="H72" s="12">
        <v>32122.059684929482</v>
      </c>
      <c r="I72" s="12">
        <v>32122.059684929482</v>
      </c>
      <c r="J72" s="12">
        <v>32122.059684929482</v>
      </c>
      <c r="K72" s="12">
        <v>32122.059684929482</v>
      </c>
      <c r="L72" s="12">
        <v>32122.059684929482</v>
      </c>
      <c r="M72" s="12">
        <v>32122.059684929482</v>
      </c>
      <c r="N72" s="12">
        <v>32122.059684929482</v>
      </c>
      <c r="O72" s="12">
        <v>32122.059684929482</v>
      </c>
      <c r="P72" s="12">
        <v>32122.059684929482</v>
      </c>
      <c r="Q72" s="12">
        <v>35334.265653422437</v>
      </c>
      <c r="R72" s="12">
        <v>35334.265653422437</v>
      </c>
      <c r="S72" s="12">
        <v>35334.265653422437</v>
      </c>
      <c r="T72" s="12">
        <v>35334.265653422437</v>
      </c>
      <c r="U72" s="12">
        <v>35334.265653422437</v>
      </c>
      <c r="V72" s="12">
        <v>35334.265653422437</v>
      </c>
      <c r="W72" s="12">
        <v>35334.265653422437</v>
      </c>
      <c r="X72" s="12">
        <v>35334.265653422437</v>
      </c>
      <c r="Y72" s="12">
        <v>35334.265653422437</v>
      </c>
      <c r="Z72" s="12">
        <v>35334.265653422437</v>
      </c>
      <c r="AA72" s="12">
        <v>35334.265653422437</v>
      </c>
      <c r="AB72" s="12">
        <v>35334.265653422437</v>
      </c>
      <c r="AC72" s="12">
        <v>38867.692218764678</v>
      </c>
      <c r="AD72" s="12">
        <v>38867.692218764678</v>
      </c>
      <c r="AE72" s="12">
        <v>38867.692218764678</v>
      </c>
      <c r="AF72" s="12">
        <v>38867.692218764678</v>
      </c>
      <c r="AG72" s="12">
        <v>38867.692218764678</v>
      </c>
      <c r="AH72" s="12">
        <v>38867.692218764678</v>
      </c>
      <c r="AI72" s="12">
        <v>38867.692218764678</v>
      </c>
      <c r="AJ72" s="12">
        <v>38867.692218764678</v>
      </c>
      <c r="AK72" s="12">
        <v>38867.692218764678</v>
      </c>
      <c r="AL72" s="12">
        <v>38867.692218764678</v>
      </c>
      <c r="AM72" s="12">
        <v>38867.692218764678</v>
      </c>
      <c r="AN72" s="12">
        <v>38867.692218764678</v>
      </c>
    </row>
    <row r="73" spans="2:40" x14ac:dyDescent="0.25">
      <c r="B73" s="39" t="s">
        <v>24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306</v>
      </c>
      <c r="E75" s="74" cm="1">
        <f t="array" ref="E75:AN75">_xlfn.ANCHORARRAY(E67)-_xlfn.ANCHORARRAY(E72)-_xlfn.ANCHORARRAY(E73)</f>
        <v>4674.0758135665092</v>
      </c>
      <c r="F75" s="74">
        <v>4674.0758135665092</v>
      </c>
      <c r="G75" s="74">
        <v>4674.0758135665092</v>
      </c>
      <c r="H75" s="74">
        <v>4674.0758135665092</v>
      </c>
      <c r="I75" s="74">
        <v>4674.0758135665092</v>
      </c>
      <c r="J75" s="74">
        <v>4674.0758135665092</v>
      </c>
      <c r="K75" s="74">
        <v>4674.0758135665092</v>
      </c>
      <c r="L75" s="74">
        <v>4674.0758135665092</v>
      </c>
      <c r="M75" s="74">
        <v>4674.0758135665092</v>
      </c>
      <c r="N75" s="74">
        <v>4674.0758135665092</v>
      </c>
      <c r="O75" s="74">
        <v>4674.0758135665092</v>
      </c>
      <c r="P75" s="74">
        <v>4674.0758135665092</v>
      </c>
      <c r="Q75" s="74">
        <v>2565.7539100284339</v>
      </c>
      <c r="R75" s="74">
        <v>2565.7539100284339</v>
      </c>
      <c r="S75" s="74">
        <v>2565.7539100284339</v>
      </c>
      <c r="T75" s="74">
        <v>2565.7539100284339</v>
      </c>
      <c r="U75" s="74">
        <v>2565.7539100284339</v>
      </c>
      <c r="V75" s="74">
        <v>2565.7539100284339</v>
      </c>
      <c r="W75" s="74">
        <v>2565.7539100284339</v>
      </c>
      <c r="X75" s="74">
        <v>2565.7539100284339</v>
      </c>
      <c r="Y75" s="74">
        <v>2565.7539100284339</v>
      </c>
      <c r="Z75" s="74">
        <v>2565.7539100284339</v>
      </c>
      <c r="AA75" s="74">
        <v>2565.7539100284339</v>
      </c>
      <c r="AB75" s="74">
        <v>2565.7539100284339</v>
      </c>
      <c r="AC75" s="74">
        <v>-967.6726553138069</v>
      </c>
      <c r="AD75" s="74">
        <v>-967.6726553138069</v>
      </c>
      <c r="AE75" s="74">
        <v>-967.6726553138069</v>
      </c>
      <c r="AF75" s="74">
        <v>-967.6726553138069</v>
      </c>
      <c r="AG75" s="74">
        <v>-967.6726553138069</v>
      </c>
      <c r="AH75" s="74">
        <v>-967.6726553138069</v>
      </c>
      <c r="AI75" s="74">
        <v>-967.6726553138069</v>
      </c>
      <c r="AJ75" s="74">
        <v>-967.6726553138069</v>
      </c>
      <c r="AK75" s="74">
        <v>-967.6726553138069</v>
      </c>
      <c r="AL75" s="74">
        <v>-967.6726553138069</v>
      </c>
      <c r="AM75" s="74">
        <v>-967.6726553138069</v>
      </c>
      <c r="AN75" s="74">
        <v>-967.6726553138069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6C249-6B52-4A61-B8D4-D482FF6ACBC6}">
  <dimension ref="A1:AX75"/>
  <sheetViews>
    <sheetView workbookViewId="0">
      <pane xSplit="4" ySplit="25" topLeftCell="E47" activePane="bottomRight" state="frozen"/>
      <selection activeCell="E63" sqref="E63:E65"/>
      <selection pane="topRight" activeCell="E63" sqref="E63:E65"/>
      <selection pane="bottomLeft" activeCell="E63" sqref="E63:E65"/>
      <selection pane="bottomRight" activeCell="E55" sqref="E55"/>
    </sheetView>
  </sheetViews>
  <sheetFormatPr defaultRowHeight="15" outlineLevelRow="1" x14ac:dyDescent="0.25"/>
  <cols>
    <col min="2" max="2" width="24.5703125" bestFit="1" customWidth="1"/>
    <col min="3" max="3" width="10.7109375" bestFit="1" customWidth="1"/>
    <col min="4" max="4" width="12.5703125" bestFit="1" customWidth="1"/>
    <col min="5" max="13" width="12.28515625" bestFit="1" customWidth="1"/>
    <col min="14" max="18" width="11.5703125" bestFit="1" customWidth="1"/>
    <col min="19" max="40" width="12.5703125" bestFit="1" customWidth="1"/>
  </cols>
  <sheetData>
    <row r="1" spans="1:40" x14ac:dyDescent="0.25">
      <c r="A1" s="96" t="str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/>
      </c>
      <c r="B1" s="10" t="s">
        <v>436</v>
      </c>
      <c r="C1" s="16" t="s">
        <v>344</v>
      </c>
      <c r="D1" s="3" t="s">
        <v>307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IFERROR(_xlpm.kiddos,0))</f>
        <v>36</v>
      </c>
      <c r="F1" s="69">
        <v>36</v>
      </c>
      <c r="G1" s="69">
        <v>36</v>
      </c>
      <c r="H1" s="69">
        <v>36</v>
      </c>
      <c r="I1" s="69">
        <v>36</v>
      </c>
      <c r="J1" s="69">
        <v>36</v>
      </c>
      <c r="K1" s="69">
        <v>36</v>
      </c>
      <c r="L1" s="69">
        <v>36</v>
      </c>
      <c r="M1" s="69">
        <v>36</v>
      </c>
      <c r="N1" s="69">
        <v>36</v>
      </c>
      <c r="O1" s="69">
        <v>36</v>
      </c>
      <c r="P1" s="69">
        <v>36</v>
      </c>
      <c r="Q1" s="69">
        <v>36</v>
      </c>
      <c r="R1" s="69">
        <v>36</v>
      </c>
      <c r="S1" s="69">
        <v>36</v>
      </c>
      <c r="T1" s="69">
        <v>36</v>
      </c>
      <c r="U1" s="69">
        <v>36</v>
      </c>
      <c r="V1" s="69">
        <v>36</v>
      </c>
      <c r="W1" s="69">
        <v>36</v>
      </c>
      <c r="X1" s="69">
        <v>36</v>
      </c>
      <c r="Y1" s="69">
        <v>36</v>
      </c>
      <c r="Z1" s="69">
        <v>36</v>
      </c>
      <c r="AA1" s="69">
        <v>36</v>
      </c>
      <c r="AB1" s="69">
        <v>36</v>
      </c>
      <c r="AC1" s="69">
        <v>36</v>
      </c>
      <c r="AD1" s="69">
        <v>36</v>
      </c>
      <c r="AE1" s="69">
        <v>36</v>
      </c>
      <c r="AF1" s="69">
        <v>36</v>
      </c>
      <c r="AG1" s="69">
        <v>36</v>
      </c>
      <c r="AH1" s="69">
        <v>36</v>
      </c>
      <c r="AI1" s="69">
        <v>36</v>
      </c>
      <c r="AJ1" s="69">
        <v>36</v>
      </c>
      <c r="AK1" s="69">
        <v>36</v>
      </c>
      <c r="AL1" s="69">
        <v>36</v>
      </c>
      <c r="AM1" s="69">
        <v>36</v>
      </c>
      <c r="AN1" s="69">
        <v>36</v>
      </c>
    </row>
    <row r="2" spans="1:40" x14ac:dyDescent="0.25">
      <c r="A2" s="65"/>
      <c r="B2" s="3" t="str">
        <f>_xlfn.XLOOKUP($B$1&amp;"-"&amp;$C$1,Base!$D$4:$BD$4,Base!$D$2:$BD$2,"",0)</f>
        <v>Maryland</v>
      </c>
      <c r="C2" s="55"/>
      <c r="D2" s="55" t="s">
        <v>259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2</v>
      </c>
      <c r="F2" s="69">
        <v>2</v>
      </c>
      <c r="G2" s="69">
        <v>2</v>
      </c>
      <c r="H2" s="69">
        <v>2</v>
      </c>
      <c r="I2" s="69">
        <v>2</v>
      </c>
      <c r="J2" s="69">
        <v>2</v>
      </c>
      <c r="K2" s="69">
        <v>2</v>
      </c>
      <c r="L2" s="69">
        <v>2</v>
      </c>
      <c r="M2" s="69">
        <v>2</v>
      </c>
      <c r="N2" s="69">
        <v>2</v>
      </c>
      <c r="O2" s="69">
        <v>2</v>
      </c>
      <c r="P2" s="69">
        <v>2</v>
      </c>
      <c r="Q2" s="69">
        <v>2</v>
      </c>
      <c r="R2" s="69">
        <v>2</v>
      </c>
      <c r="S2" s="69">
        <v>2</v>
      </c>
      <c r="T2" s="69">
        <v>2</v>
      </c>
      <c r="U2" s="69">
        <v>2</v>
      </c>
      <c r="V2" s="69">
        <v>2</v>
      </c>
      <c r="W2" s="69">
        <v>2</v>
      </c>
      <c r="X2" s="69">
        <v>2</v>
      </c>
      <c r="Y2" s="69">
        <v>2</v>
      </c>
      <c r="Z2" s="69">
        <v>2</v>
      </c>
      <c r="AA2" s="69">
        <v>2</v>
      </c>
      <c r="AB2" s="69">
        <v>2</v>
      </c>
      <c r="AC2" s="69">
        <v>2</v>
      </c>
      <c r="AD2" s="69">
        <v>2</v>
      </c>
      <c r="AE2" s="69">
        <v>2</v>
      </c>
      <c r="AF2" s="69">
        <v>2</v>
      </c>
      <c r="AG2" s="69">
        <v>2</v>
      </c>
      <c r="AH2" s="69">
        <v>2</v>
      </c>
      <c r="AI2" s="69">
        <v>2</v>
      </c>
      <c r="AJ2" s="69">
        <v>2</v>
      </c>
      <c r="AK2" s="69">
        <v>2</v>
      </c>
      <c r="AL2" s="69">
        <v>2</v>
      </c>
      <c r="AM2" s="69">
        <v>2</v>
      </c>
      <c r="AN2" s="69">
        <v>2</v>
      </c>
    </row>
    <row r="3" spans="1:40" x14ac:dyDescent="0.25">
      <c r="A3" s="65"/>
      <c r="B3" s="55"/>
      <c r="C3" s="55"/>
      <c r="D3" s="55" t="s">
        <v>62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_xlpm.months_since,DATEDIF(_xlpm.launchdate,_xlfn.ANCHORARRAY($E$25),"m"),_xlfn.BYCOL(_xlpm.months_since,_xlfn.LAMBDA(_xlpm.a,IFERROR(MIN(_xlpm.a/6,_xlpm.max_kiddos),0))))</f>
        <v>2</v>
      </c>
      <c r="F3" s="69">
        <v>2</v>
      </c>
      <c r="G3" s="69">
        <v>2</v>
      </c>
      <c r="H3" s="69">
        <v>2</v>
      </c>
      <c r="I3" s="69">
        <v>2</v>
      </c>
      <c r="J3" s="69">
        <v>2</v>
      </c>
      <c r="K3" s="69">
        <v>2</v>
      </c>
      <c r="L3" s="69">
        <v>2</v>
      </c>
      <c r="M3" s="69">
        <v>2</v>
      </c>
      <c r="N3" s="69">
        <v>2</v>
      </c>
      <c r="O3" s="69">
        <v>2</v>
      </c>
      <c r="P3" s="69">
        <v>2</v>
      </c>
      <c r="Q3" s="69">
        <v>2</v>
      </c>
      <c r="R3" s="69">
        <v>2</v>
      </c>
      <c r="S3" s="69">
        <v>2</v>
      </c>
      <c r="T3" s="69">
        <v>2</v>
      </c>
      <c r="U3" s="69">
        <v>2</v>
      </c>
      <c r="V3" s="69">
        <v>2</v>
      </c>
      <c r="W3" s="69">
        <v>2</v>
      </c>
      <c r="X3" s="69">
        <v>2</v>
      </c>
      <c r="Y3" s="69">
        <v>2</v>
      </c>
      <c r="Z3" s="69">
        <v>2</v>
      </c>
      <c r="AA3" s="69">
        <v>2</v>
      </c>
      <c r="AB3" s="69">
        <v>2</v>
      </c>
      <c r="AC3" s="69">
        <v>2</v>
      </c>
      <c r="AD3" s="69">
        <v>2</v>
      </c>
      <c r="AE3" s="69">
        <v>2</v>
      </c>
      <c r="AF3" s="69">
        <v>2</v>
      </c>
      <c r="AG3" s="69">
        <v>2</v>
      </c>
      <c r="AH3" s="69">
        <v>2</v>
      </c>
      <c r="AI3" s="69">
        <v>2</v>
      </c>
      <c r="AJ3" s="69">
        <v>2</v>
      </c>
      <c r="AK3" s="69">
        <v>2</v>
      </c>
      <c r="AL3" s="69">
        <v>2</v>
      </c>
      <c r="AM3" s="69">
        <v>2</v>
      </c>
      <c r="AN3" s="69">
        <v>2</v>
      </c>
    </row>
    <row r="4" spans="1:40" x14ac:dyDescent="0.25">
      <c r="A4" s="65"/>
      <c r="B4" s="55"/>
      <c r="C4" s="55"/>
      <c r="D4" s="55" t="s">
        <v>260</v>
      </c>
      <c r="E4" s="69" cm="1">
        <f t="array" ref="E4:AN4">_xlfn.BYCOL(_xlfn.VSTACK(_xlfn.ANCHORARRAY($E$1),_xlfn.ANCHORARRAY($E$2)),_xlfn.LAMBDA(_xlpm.a,SUM(_xlpm.a)))</f>
        <v>38</v>
      </c>
      <c r="F4" s="69">
        <v>38</v>
      </c>
      <c r="G4" s="69">
        <v>38</v>
      </c>
      <c r="H4" s="69">
        <v>38</v>
      </c>
      <c r="I4" s="69">
        <v>38</v>
      </c>
      <c r="J4" s="69">
        <v>38</v>
      </c>
      <c r="K4" s="69">
        <v>38</v>
      </c>
      <c r="L4" s="69">
        <v>38</v>
      </c>
      <c r="M4" s="69">
        <v>38</v>
      </c>
      <c r="N4" s="69">
        <v>38</v>
      </c>
      <c r="O4" s="69">
        <v>38</v>
      </c>
      <c r="P4" s="69">
        <v>38</v>
      </c>
      <c r="Q4" s="69">
        <v>38</v>
      </c>
      <c r="R4" s="69">
        <v>38</v>
      </c>
      <c r="S4" s="69">
        <v>38</v>
      </c>
      <c r="T4" s="69">
        <v>38</v>
      </c>
      <c r="U4" s="69">
        <v>38</v>
      </c>
      <c r="V4" s="69">
        <v>38</v>
      </c>
      <c r="W4" s="69">
        <v>38</v>
      </c>
      <c r="X4" s="69">
        <v>38</v>
      </c>
      <c r="Y4" s="69">
        <v>38</v>
      </c>
      <c r="Z4" s="69">
        <v>38</v>
      </c>
      <c r="AA4" s="69">
        <v>38</v>
      </c>
      <c r="AB4" s="69">
        <v>38</v>
      </c>
      <c r="AC4" s="69">
        <v>38</v>
      </c>
      <c r="AD4" s="69">
        <v>38</v>
      </c>
      <c r="AE4" s="69">
        <v>38</v>
      </c>
      <c r="AF4" s="69">
        <v>38</v>
      </c>
      <c r="AG4" s="69">
        <v>38</v>
      </c>
      <c r="AH4" s="69">
        <v>38</v>
      </c>
      <c r="AI4" s="69">
        <v>38</v>
      </c>
      <c r="AJ4" s="69">
        <v>38</v>
      </c>
      <c r="AK4" s="69">
        <v>38</v>
      </c>
      <c r="AL4" s="69">
        <v>38</v>
      </c>
      <c r="AM4" s="69">
        <v>38</v>
      </c>
      <c r="AN4" s="69">
        <v>38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107</v>
      </c>
      <c r="C6" s="3"/>
      <c r="D6" s="3"/>
      <c r="E6" s="66" cm="1">
        <f t="array" ref="E6:AN6">ROUND(_xlfn.BYCOL(_xlfn.ANCHORARRAY(E7),_xlfn.LAMBDA(_xlpm.a,SUM(_xlpm.a))),0)</f>
        <v>21</v>
      </c>
      <c r="F6" s="66">
        <v>21</v>
      </c>
      <c r="G6" s="66">
        <v>21</v>
      </c>
      <c r="H6" s="66">
        <v>21</v>
      </c>
      <c r="I6" s="66">
        <v>21</v>
      </c>
      <c r="J6" s="66">
        <v>21</v>
      </c>
      <c r="K6" s="66">
        <v>21</v>
      </c>
      <c r="L6" s="66">
        <v>21</v>
      </c>
      <c r="M6" s="66">
        <v>21</v>
      </c>
      <c r="N6" s="66">
        <v>21</v>
      </c>
      <c r="O6" s="66">
        <v>21</v>
      </c>
      <c r="P6" s="66">
        <v>21</v>
      </c>
      <c r="Q6" s="66">
        <v>21</v>
      </c>
      <c r="R6" s="66">
        <v>21</v>
      </c>
      <c r="S6" s="66">
        <v>21</v>
      </c>
      <c r="T6" s="66">
        <v>21</v>
      </c>
      <c r="U6" s="66">
        <v>21</v>
      </c>
      <c r="V6" s="66">
        <v>21</v>
      </c>
      <c r="W6" s="66">
        <v>21</v>
      </c>
      <c r="X6" s="66">
        <v>21</v>
      </c>
      <c r="Y6" s="66">
        <v>21</v>
      </c>
      <c r="Z6" s="66">
        <v>21</v>
      </c>
      <c r="AA6" s="66">
        <v>21</v>
      </c>
      <c r="AB6" s="66">
        <v>21</v>
      </c>
      <c r="AC6" s="66">
        <v>21</v>
      </c>
      <c r="AD6" s="66">
        <v>21</v>
      </c>
      <c r="AE6" s="66">
        <v>21</v>
      </c>
      <c r="AF6" s="66">
        <v>21</v>
      </c>
      <c r="AG6" s="66">
        <v>21</v>
      </c>
      <c r="AH6" s="66">
        <v>21</v>
      </c>
      <c r="AI6" s="66">
        <v>21</v>
      </c>
      <c r="AJ6" s="66">
        <v>21</v>
      </c>
      <c r="AK6" s="66">
        <v>21</v>
      </c>
      <c r="AL6" s="66">
        <v>21</v>
      </c>
      <c r="AM6" s="66">
        <v>21</v>
      </c>
      <c r="AN6" s="66">
        <v>21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1"/>
      <c r="E7" s="106" cm="1">
        <f t="array" ref="E7:AN20">_xlfn.LET(_xlpm.Customer_staff,_xlfn._xlws.FILTER(Base!$D$85:$BD$98,ISNUMBER(SEARCH($B$1&amp;"-"&amp;$C$1,Base!$D$4:$BD$4))),_xlpm.Customer,_xlfn.ANCHORARRAY($E$1),_xlpm.headcount,_xlpm.Customer/_xlpm.Customer_staff,
_xlpm.patient_staff,_xlfn.ANCHORARRAY($E$2)/_xlpm.Customer_staff,_xlpm.prim_staff_tr_rec,_xlfn.ANCHORARRAY($E$2)/_xlfn.CHOOSEROWS(_xlpm.Customer_staff,{7,8})+(_xlfn.ANCHORARRAY($E$1)*0.0055),_xlpm.rounding,_xlfn.VSTACK(2,2,0,0,2,2,2,2,2,2,2,0,0,0),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prim_staff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14.79</v>
      </c>
      <c r="F7" s="106">
        <v>14.79</v>
      </c>
      <c r="G7" s="106">
        <v>14.79</v>
      </c>
      <c r="H7" s="106">
        <v>14.79</v>
      </c>
      <c r="I7" s="106">
        <v>14.79</v>
      </c>
      <c r="J7" s="106">
        <v>14.79</v>
      </c>
      <c r="K7" s="106">
        <v>14.79</v>
      </c>
      <c r="L7" s="106">
        <v>14.79</v>
      </c>
      <c r="M7" s="106">
        <v>14.79</v>
      </c>
      <c r="N7" s="106">
        <v>14.79</v>
      </c>
      <c r="O7" s="106">
        <v>14.79</v>
      </c>
      <c r="P7" s="106">
        <v>14.79</v>
      </c>
      <c r="Q7" s="106">
        <v>14.79</v>
      </c>
      <c r="R7" s="106">
        <v>14.79</v>
      </c>
      <c r="S7" s="106">
        <v>14.79</v>
      </c>
      <c r="T7" s="106">
        <v>14.79</v>
      </c>
      <c r="U7" s="106">
        <v>14.79</v>
      </c>
      <c r="V7" s="106">
        <v>14.79</v>
      </c>
      <c r="W7" s="106">
        <v>14.79</v>
      </c>
      <c r="X7" s="106">
        <v>14.79</v>
      </c>
      <c r="Y7" s="106">
        <v>14.79</v>
      </c>
      <c r="Z7" s="106">
        <v>14.79</v>
      </c>
      <c r="AA7" s="106">
        <v>14.79</v>
      </c>
      <c r="AB7" s="106">
        <v>14.79</v>
      </c>
      <c r="AC7" s="106">
        <v>14.79</v>
      </c>
      <c r="AD7" s="106">
        <v>14.79</v>
      </c>
      <c r="AE7" s="106">
        <v>14.79</v>
      </c>
      <c r="AF7" s="106">
        <v>14.79</v>
      </c>
      <c r="AG7" s="106">
        <v>14.79</v>
      </c>
      <c r="AH7" s="106">
        <v>14.79</v>
      </c>
      <c r="AI7" s="106">
        <v>14.79</v>
      </c>
      <c r="AJ7" s="106">
        <v>14.79</v>
      </c>
      <c r="AK7" s="106">
        <v>14.79</v>
      </c>
      <c r="AL7" s="106">
        <v>14.79</v>
      </c>
      <c r="AM7" s="106">
        <v>14.79</v>
      </c>
      <c r="AN7" s="106">
        <v>14.79</v>
      </c>
    </row>
    <row r="8" spans="1:40" hidden="1" outlineLevel="1" x14ac:dyDescent="0.25">
      <c r="B8" s="39" t="str">
        <v>Secondary Direct Staff</v>
      </c>
      <c r="C8" s="3"/>
      <c r="D8" s="3"/>
      <c r="E8" s="106">
        <v>3</v>
      </c>
      <c r="F8" s="106">
        <v>3</v>
      </c>
      <c r="G8" s="106">
        <v>3</v>
      </c>
      <c r="H8" s="106">
        <v>3</v>
      </c>
      <c r="I8" s="106">
        <v>3</v>
      </c>
      <c r="J8" s="106">
        <v>3</v>
      </c>
      <c r="K8" s="106">
        <v>3</v>
      </c>
      <c r="L8" s="106">
        <v>3</v>
      </c>
      <c r="M8" s="106">
        <v>3</v>
      </c>
      <c r="N8" s="106">
        <v>3</v>
      </c>
      <c r="O8" s="106">
        <v>3</v>
      </c>
      <c r="P8" s="106">
        <v>3</v>
      </c>
      <c r="Q8" s="106">
        <v>3</v>
      </c>
      <c r="R8" s="106">
        <v>3</v>
      </c>
      <c r="S8" s="106">
        <v>3</v>
      </c>
      <c r="T8" s="106">
        <v>3</v>
      </c>
      <c r="U8" s="106">
        <v>3</v>
      </c>
      <c r="V8" s="106">
        <v>3</v>
      </c>
      <c r="W8" s="106">
        <v>3</v>
      </c>
      <c r="X8" s="106">
        <v>3</v>
      </c>
      <c r="Y8" s="106">
        <v>3</v>
      </c>
      <c r="Z8" s="106">
        <v>3</v>
      </c>
      <c r="AA8" s="106">
        <v>3</v>
      </c>
      <c r="AB8" s="106">
        <v>3</v>
      </c>
      <c r="AC8" s="106">
        <v>3</v>
      </c>
      <c r="AD8" s="106">
        <v>3</v>
      </c>
      <c r="AE8" s="106">
        <v>3</v>
      </c>
      <c r="AF8" s="106">
        <v>3</v>
      </c>
      <c r="AG8" s="106">
        <v>3</v>
      </c>
      <c r="AH8" s="106">
        <v>3</v>
      </c>
      <c r="AI8" s="106">
        <v>3</v>
      </c>
      <c r="AJ8" s="106">
        <v>3</v>
      </c>
      <c r="AK8" s="106">
        <v>3</v>
      </c>
      <c r="AL8" s="106">
        <v>3</v>
      </c>
      <c r="AM8" s="106">
        <v>3</v>
      </c>
      <c r="AN8" s="106">
        <v>3</v>
      </c>
    </row>
    <row r="9" spans="1:40" hidden="1" outlineLevel="1" x14ac:dyDescent="0.25">
      <c r="B9" s="39" t="str">
        <v>Center Manager</v>
      </c>
      <c r="C9" s="3"/>
      <c r="D9" s="3"/>
      <c r="E9" s="106">
        <v>1</v>
      </c>
      <c r="F9" s="106">
        <v>1</v>
      </c>
      <c r="G9" s="106">
        <v>1</v>
      </c>
      <c r="H9" s="106">
        <v>1</v>
      </c>
      <c r="I9" s="106">
        <v>1</v>
      </c>
      <c r="J9" s="106">
        <v>1</v>
      </c>
      <c r="K9" s="106">
        <v>1</v>
      </c>
      <c r="L9" s="106">
        <v>1</v>
      </c>
      <c r="M9" s="106">
        <v>1</v>
      </c>
      <c r="N9" s="106">
        <v>1</v>
      </c>
      <c r="O9" s="106">
        <v>1</v>
      </c>
      <c r="P9" s="106">
        <v>1</v>
      </c>
      <c r="Q9" s="106">
        <v>1</v>
      </c>
      <c r="R9" s="106">
        <v>1</v>
      </c>
      <c r="S9" s="106">
        <v>1</v>
      </c>
      <c r="T9" s="106">
        <v>1</v>
      </c>
      <c r="U9" s="106">
        <v>1</v>
      </c>
      <c r="V9" s="106">
        <v>1</v>
      </c>
      <c r="W9" s="106">
        <v>1</v>
      </c>
      <c r="X9" s="106">
        <v>1</v>
      </c>
      <c r="Y9" s="106">
        <v>1</v>
      </c>
      <c r="Z9" s="106">
        <v>1</v>
      </c>
      <c r="AA9" s="106">
        <v>1</v>
      </c>
      <c r="AB9" s="106">
        <v>1</v>
      </c>
      <c r="AC9" s="106">
        <v>1</v>
      </c>
      <c r="AD9" s="106">
        <v>1</v>
      </c>
      <c r="AE9" s="106">
        <v>1</v>
      </c>
      <c r="AF9" s="106">
        <v>1</v>
      </c>
      <c r="AG9" s="106">
        <v>1</v>
      </c>
      <c r="AH9" s="106">
        <v>1</v>
      </c>
      <c r="AI9" s="106">
        <v>1</v>
      </c>
      <c r="AJ9" s="106">
        <v>1</v>
      </c>
      <c r="AK9" s="106">
        <v>1</v>
      </c>
      <c r="AL9" s="106">
        <v>1</v>
      </c>
      <c r="AM9" s="106">
        <v>1</v>
      </c>
      <c r="AN9" s="106">
        <v>1</v>
      </c>
    </row>
    <row r="10" spans="1:40" hidden="1" outlineLevel="1" x14ac:dyDescent="0.25">
      <c r="B10" s="39" t="str">
        <v>Intake</v>
      </c>
      <c r="C10" s="3"/>
      <c r="D10" s="3"/>
      <c r="E10" s="106">
        <v>1</v>
      </c>
      <c r="F10" s="106">
        <v>1</v>
      </c>
      <c r="G10" s="106">
        <v>1</v>
      </c>
      <c r="H10" s="106">
        <v>1</v>
      </c>
      <c r="I10" s="106">
        <v>1</v>
      </c>
      <c r="J10" s="106">
        <v>1</v>
      </c>
      <c r="K10" s="106">
        <v>1</v>
      </c>
      <c r="L10" s="106">
        <v>1</v>
      </c>
      <c r="M10" s="106">
        <v>1</v>
      </c>
      <c r="N10" s="106">
        <v>1</v>
      </c>
      <c r="O10" s="106">
        <v>1</v>
      </c>
      <c r="P10" s="106">
        <v>1</v>
      </c>
      <c r="Q10" s="106">
        <v>1</v>
      </c>
      <c r="R10" s="106">
        <v>1</v>
      </c>
      <c r="S10" s="106">
        <v>1</v>
      </c>
      <c r="T10" s="106">
        <v>1</v>
      </c>
      <c r="U10" s="106">
        <v>1</v>
      </c>
      <c r="V10" s="106">
        <v>1</v>
      </c>
      <c r="W10" s="106">
        <v>1</v>
      </c>
      <c r="X10" s="106">
        <v>1</v>
      </c>
      <c r="Y10" s="106">
        <v>1</v>
      </c>
      <c r="Z10" s="106">
        <v>1</v>
      </c>
      <c r="AA10" s="106">
        <v>1</v>
      </c>
      <c r="AB10" s="106">
        <v>1</v>
      </c>
      <c r="AC10" s="106">
        <v>1</v>
      </c>
      <c r="AD10" s="106">
        <v>1</v>
      </c>
      <c r="AE10" s="106">
        <v>1</v>
      </c>
      <c r="AF10" s="106">
        <v>1</v>
      </c>
      <c r="AG10" s="106">
        <v>1</v>
      </c>
      <c r="AH10" s="106">
        <v>1</v>
      </c>
      <c r="AI10" s="106">
        <v>1</v>
      </c>
      <c r="AJ10" s="106">
        <v>1</v>
      </c>
      <c r="AK10" s="106">
        <v>1</v>
      </c>
      <c r="AL10" s="106">
        <v>1</v>
      </c>
      <c r="AM10" s="106">
        <v>1</v>
      </c>
      <c r="AN10" s="106">
        <v>1</v>
      </c>
    </row>
    <row r="11" spans="1:40" hidden="1" outlineLevel="1" x14ac:dyDescent="0.25">
      <c r="B11" s="39" t="str">
        <v>Scheduler</v>
      </c>
      <c r="C11" s="3"/>
      <c r="D11" s="3"/>
      <c r="E11" s="106">
        <v>0</v>
      </c>
      <c r="F11" s="106">
        <v>0</v>
      </c>
      <c r="G11" s="106">
        <v>0</v>
      </c>
      <c r="H11" s="106">
        <v>0</v>
      </c>
      <c r="I11" s="106">
        <v>0</v>
      </c>
      <c r="J11" s="106">
        <v>0</v>
      </c>
      <c r="K11" s="106">
        <v>0</v>
      </c>
      <c r="L11" s="106">
        <v>0</v>
      </c>
      <c r="M11" s="106">
        <v>0</v>
      </c>
      <c r="N11" s="106">
        <v>0</v>
      </c>
      <c r="O11" s="106">
        <v>0</v>
      </c>
      <c r="P11" s="106">
        <v>0</v>
      </c>
      <c r="Q11" s="106">
        <v>0</v>
      </c>
      <c r="R11" s="106">
        <v>0</v>
      </c>
      <c r="S11" s="106">
        <v>0</v>
      </c>
      <c r="T11" s="106">
        <v>0</v>
      </c>
      <c r="U11" s="106">
        <v>0</v>
      </c>
      <c r="V11" s="106">
        <v>0</v>
      </c>
      <c r="W11" s="106">
        <v>0</v>
      </c>
      <c r="X11" s="106">
        <v>0</v>
      </c>
      <c r="Y11" s="106">
        <v>0</v>
      </c>
      <c r="Z11" s="106">
        <v>0</v>
      </c>
      <c r="AA11" s="106">
        <v>0</v>
      </c>
      <c r="AB11" s="106">
        <v>0</v>
      </c>
      <c r="AC11" s="106">
        <v>0</v>
      </c>
      <c r="AD11" s="106">
        <v>0</v>
      </c>
      <c r="AE11" s="106">
        <v>0</v>
      </c>
      <c r="AF11" s="106">
        <v>0</v>
      </c>
      <c r="AG11" s="106">
        <v>0</v>
      </c>
      <c r="AH11" s="106">
        <v>0</v>
      </c>
      <c r="AI11" s="106">
        <v>0</v>
      </c>
      <c r="AJ11" s="106">
        <v>0</v>
      </c>
      <c r="AK11" s="106">
        <v>0</v>
      </c>
      <c r="AL11" s="106">
        <v>0</v>
      </c>
      <c r="AM11" s="106">
        <v>0</v>
      </c>
      <c r="AN11" s="106">
        <v>0</v>
      </c>
    </row>
    <row r="12" spans="1:40" hidden="1" outlineLevel="1" x14ac:dyDescent="0.25">
      <c r="B12" s="39" t="str">
        <v>Initial Consultation Expert</v>
      </c>
      <c r="C12" s="3"/>
      <c r="D12" s="3"/>
      <c r="E12" s="106">
        <v>0.16</v>
      </c>
      <c r="F12" s="106">
        <v>0.16</v>
      </c>
      <c r="G12" s="106">
        <v>0.16</v>
      </c>
      <c r="H12" s="106">
        <v>0.16</v>
      </c>
      <c r="I12" s="106">
        <v>0.16</v>
      </c>
      <c r="J12" s="106">
        <v>0.16</v>
      </c>
      <c r="K12" s="106">
        <v>0.16</v>
      </c>
      <c r="L12" s="106">
        <v>0.16</v>
      </c>
      <c r="M12" s="106">
        <v>0.16</v>
      </c>
      <c r="N12" s="106">
        <v>0.16</v>
      </c>
      <c r="O12" s="106">
        <v>0.16</v>
      </c>
      <c r="P12" s="106">
        <v>0.16</v>
      </c>
      <c r="Q12" s="106">
        <v>0.16</v>
      </c>
      <c r="R12" s="106">
        <v>0.16</v>
      </c>
      <c r="S12" s="106">
        <v>0.16</v>
      </c>
      <c r="T12" s="106">
        <v>0.16</v>
      </c>
      <c r="U12" s="106">
        <v>0.16</v>
      </c>
      <c r="V12" s="106">
        <v>0.16</v>
      </c>
      <c r="W12" s="106">
        <v>0.16</v>
      </c>
      <c r="X12" s="106">
        <v>0.16</v>
      </c>
      <c r="Y12" s="106">
        <v>0.16</v>
      </c>
      <c r="Z12" s="106">
        <v>0.16</v>
      </c>
      <c r="AA12" s="106">
        <v>0.16</v>
      </c>
      <c r="AB12" s="106">
        <v>0.16</v>
      </c>
      <c r="AC12" s="106">
        <v>0.16</v>
      </c>
      <c r="AD12" s="106">
        <v>0.16</v>
      </c>
      <c r="AE12" s="106">
        <v>0.16</v>
      </c>
      <c r="AF12" s="106">
        <v>0.16</v>
      </c>
      <c r="AG12" s="106">
        <v>0.16</v>
      </c>
      <c r="AH12" s="106">
        <v>0.16</v>
      </c>
      <c r="AI12" s="106">
        <v>0.16</v>
      </c>
      <c r="AJ12" s="106">
        <v>0.16</v>
      </c>
      <c r="AK12" s="106">
        <v>0.16</v>
      </c>
      <c r="AL12" s="106">
        <v>0.16</v>
      </c>
      <c r="AM12" s="106">
        <v>0.16</v>
      </c>
      <c r="AN12" s="106">
        <v>0.16</v>
      </c>
    </row>
    <row r="13" spans="1:40" hidden="1" outlineLevel="1" x14ac:dyDescent="0.25">
      <c r="B13" s="39" t="str">
        <v>Trainer</v>
      </c>
      <c r="C13" s="3"/>
      <c r="D13" s="3"/>
      <c r="E13" s="106">
        <v>0.4</v>
      </c>
      <c r="F13" s="106">
        <v>0.4</v>
      </c>
      <c r="G13" s="106">
        <v>0.4</v>
      </c>
      <c r="H13" s="106">
        <v>0.4</v>
      </c>
      <c r="I13" s="106">
        <v>0.4</v>
      </c>
      <c r="J13" s="106">
        <v>0.4</v>
      </c>
      <c r="K13" s="106">
        <v>0.4</v>
      </c>
      <c r="L13" s="106">
        <v>0.4</v>
      </c>
      <c r="M13" s="106">
        <v>0.4</v>
      </c>
      <c r="N13" s="106">
        <v>0.4</v>
      </c>
      <c r="O13" s="106">
        <v>0.4</v>
      </c>
      <c r="P13" s="106">
        <v>0.4</v>
      </c>
      <c r="Q13" s="106">
        <v>0.4</v>
      </c>
      <c r="R13" s="106">
        <v>0.4</v>
      </c>
      <c r="S13" s="106">
        <v>0.4</v>
      </c>
      <c r="T13" s="106">
        <v>0.4</v>
      </c>
      <c r="U13" s="106">
        <v>0.4</v>
      </c>
      <c r="V13" s="106">
        <v>0.4</v>
      </c>
      <c r="W13" s="106">
        <v>0.4</v>
      </c>
      <c r="X13" s="106">
        <v>0.4</v>
      </c>
      <c r="Y13" s="106">
        <v>0.4</v>
      </c>
      <c r="Z13" s="106">
        <v>0.4</v>
      </c>
      <c r="AA13" s="106">
        <v>0.4</v>
      </c>
      <c r="AB13" s="106">
        <v>0.4</v>
      </c>
      <c r="AC13" s="106">
        <v>0.4</v>
      </c>
      <c r="AD13" s="106">
        <v>0.4</v>
      </c>
      <c r="AE13" s="106">
        <v>0.4</v>
      </c>
      <c r="AF13" s="106">
        <v>0.4</v>
      </c>
      <c r="AG13" s="106">
        <v>0.4</v>
      </c>
      <c r="AH13" s="106">
        <v>0.4</v>
      </c>
      <c r="AI13" s="106">
        <v>0.4</v>
      </c>
      <c r="AJ13" s="106">
        <v>0.4</v>
      </c>
      <c r="AK13" s="106">
        <v>0.4</v>
      </c>
      <c r="AL13" s="106">
        <v>0.4</v>
      </c>
      <c r="AM13" s="106">
        <v>0.4</v>
      </c>
      <c r="AN13" s="106">
        <v>0.4</v>
      </c>
    </row>
    <row r="14" spans="1:40" hidden="1" outlineLevel="1" x14ac:dyDescent="0.25">
      <c r="B14" s="39" t="str">
        <v>Recruiter</v>
      </c>
      <c r="C14" s="3"/>
      <c r="D14" s="3"/>
      <c r="E14" s="106">
        <v>0.3</v>
      </c>
      <c r="F14" s="106">
        <v>0.3</v>
      </c>
      <c r="G14" s="106">
        <v>0.3</v>
      </c>
      <c r="H14" s="106">
        <v>0.3</v>
      </c>
      <c r="I14" s="106">
        <v>0.3</v>
      </c>
      <c r="J14" s="106">
        <v>0.3</v>
      </c>
      <c r="K14" s="106">
        <v>0.3</v>
      </c>
      <c r="L14" s="106">
        <v>0.3</v>
      </c>
      <c r="M14" s="106">
        <v>0.3</v>
      </c>
      <c r="N14" s="106">
        <v>0.3</v>
      </c>
      <c r="O14" s="106">
        <v>0.3</v>
      </c>
      <c r="P14" s="106">
        <v>0.3</v>
      </c>
      <c r="Q14" s="106">
        <v>0.3</v>
      </c>
      <c r="R14" s="106">
        <v>0.3</v>
      </c>
      <c r="S14" s="106">
        <v>0.3</v>
      </c>
      <c r="T14" s="106">
        <v>0.3</v>
      </c>
      <c r="U14" s="106">
        <v>0.3</v>
      </c>
      <c r="V14" s="106">
        <v>0.3</v>
      </c>
      <c r="W14" s="106">
        <v>0.3</v>
      </c>
      <c r="X14" s="106">
        <v>0.3</v>
      </c>
      <c r="Y14" s="106">
        <v>0.3</v>
      </c>
      <c r="Z14" s="106">
        <v>0.3</v>
      </c>
      <c r="AA14" s="106">
        <v>0.3</v>
      </c>
      <c r="AB14" s="106">
        <v>0.3</v>
      </c>
      <c r="AC14" s="106">
        <v>0.3</v>
      </c>
      <c r="AD14" s="106">
        <v>0.3</v>
      </c>
      <c r="AE14" s="106">
        <v>0.3</v>
      </c>
      <c r="AF14" s="106">
        <v>0.3</v>
      </c>
      <c r="AG14" s="106">
        <v>0.3</v>
      </c>
      <c r="AH14" s="106">
        <v>0.3</v>
      </c>
      <c r="AI14" s="106">
        <v>0.3</v>
      </c>
      <c r="AJ14" s="106">
        <v>0.3</v>
      </c>
      <c r="AK14" s="106">
        <v>0.3</v>
      </c>
      <c r="AL14" s="106">
        <v>0.3</v>
      </c>
      <c r="AM14" s="106">
        <v>0.3</v>
      </c>
      <c r="AN14" s="106">
        <v>0.3</v>
      </c>
    </row>
    <row r="15" spans="1:40" hidden="1" outlineLevel="1" x14ac:dyDescent="0.25">
      <c r="B15" s="39" t="str">
        <v>Center Director / Remote Site Director</v>
      </c>
      <c r="C15" s="3"/>
      <c r="D15" s="3"/>
      <c r="E15" s="106">
        <v>0.15000000000000002</v>
      </c>
      <c r="F15" s="106">
        <v>0.15000000000000002</v>
      </c>
      <c r="G15" s="106">
        <v>0.15000000000000002</v>
      </c>
      <c r="H15" s="106">
        <v>0.15000000000000002</v>
      </c>
      <c r="I15" s="106">
        <v>0.15000000000000002</v>
      </c>
      <c r="J15" s="106">
        <v>0.15000000000000002</v>
      </c>
      <c r="K15" s="106">
        <v>0.15000000000000002</v>
      </c>
      <c r="L15" s="106">
        <v>0.15000000000000002</v>
      </c>
      <c r="M15" s="106">
        <v>0.15000000000000002</v>
      </c>
      <c r="N15" s="106">
        <v>0.15000000000000002</v>
      </c>
      <c r="O15" s="106">
        <v>0.15000000000000002</v>
      </c>
      <c r="P15" s="106">
        <v>0.15000000000000002</v>
      </c>
      <c r="Q15" s="106">
        <v>0.15000000000000002</v>
      </c>
      <c r="R15" s="106">
        <v>0.15000000000000002</v>
      </c>
      <c r="S15" s="106">
        <v>0.15000000000000002</v>
      </c>
      <c r="T15" s="106">
        <v>0.15000000000000002</v>
      </c>
      <c r="U15" s="106">
        <v>0.15000000000000002</v>
      </c>
      <c r="V15" s="106">
        <v>0.15000000000000002</v>
      </c>
      <c r="W15" s="106">
        <v>0.15000000000000002</v>
      </c>
      <c r="X15" s="106">
        <v>0.15000000000000002</v>
      </c>
      <c r="Y15" s="106">
        <v>0.15000000000000002</v>
      </c>
      <c r="Z15" s="106">
        <v>0.15000000000000002</v>
      </c>
      <c r="AA15" s="106">
        <v>0.15000000000000002</v>
      </c>
      <c r="AB15" s="106">
        <v>0.15000000000000002</v>
      </c>
      <c r="AC15" s="106">
        <v>0.15000000000000002</v>
      </c>
      <c r="AD15" s="106">
        <v>0.15000000000000002</v>
      </c>
      <c r="AE15" s="106">
        <v>0.15000000000000002</v>
      </c>
      <c r="AF15" s="106">
        <v>0.15000000000000002</v>
      </c>
      <c r="AG15" s="106">
        <v>0.15000000000000002</v>
      </c>
      <c r="AH15" s="106">
        <v>0.15000000000000002</v>
      </c>
      <c r="AI15" s="106">
        <v>0.15000000000000002</v>
      </c>
      <c r="AJ15" s="106">
        <v>0.15000000000000002</v>
      </c>
      <c r="AK15" s="106">
        <v>0.15000000000000002</v>
      </c>
      <c r="AL15" s="106">
        <v>0.15000000000000002</v>
      </c>
      <c r="AM15" s="106">
        <v>0.15000000000000002</v>
      </c>
      <c r="AN15" s="106">
        <v>0.15000000000000002</v>
      </c>
    </row>
    <row r="16" spans="1:40" hidden="1" outlineLevel="1" x14ac:dyDescent="0.25">
      <c r="B16" s="39" t="str">
        <v>Center Marketing Outreach</v>
      </c>
      <c r="C16" s="3"/>
      <c r="D16" s="3"/>
      <c r="E16" s="106">
        <v>0.15000000000000002</v>
      </c>
      <c r="F16" s="106">
        <v>0.15000000000000002</v>
      </c>
      <c r="G16" s="106">
        <v>0.15000000000000002</v>
      </c>
      <c r="H16" s="106">
        <v>0.15000000000000002</v>
      </c>
      <c r="I16" s="106">
        <v>0.15000000000000002</v>
      </c>
      <c r="J16" s="106">
        <v>0.15000000000000002</v>
      </c>
      <c r="K16" s="106">
        <v>0.15000000000000002</v>
      </c>
      <c r="L16" s="106">
        <v>0.15000000000000002</v>
      </c>
      <c r="M16" s="106">
        <v>0.15000000000000002</v>
      </c>
      <c r="N16" s="106">
        <v>0.15000000000000002</v>
      </c>
      <c r="O16" s="106">
        <v>0.15000000000000002</v>
      </c>
      <c r="P16" s="106">
        <v>0.15000000000000002</v>
      </c>
      <c r="Q16" s="106">
        <v>0.15000000000000002</v>
      </c>
      <c r="R16" s="106">
        <v>0.15000000000000002</v>
      </c>
      <c r="S16" s="106">
        <v>0.15000000000000002</v>
      </c>
      <c r="T16" s="106">
        <v>0.15000000000000002</v>
      </c>
      <c r="U16" s="106">
        <v>0.15000000000000002</v>
      </c>
      <c r="V16" s="106">
        <v>0.15000000000000002</v>
      </c>
      <c r="W16" s="106">
        <v>0.15000000000000002</v>
      </c>
      <c r="X16" s="106">
        <v>0.15000000000000002</v>
      </c>
      <c r="Y16" s="106">
        <v>0.15000000000000002</v>
      </c>
      <c r="Z16" s="106">
        <v>0.15000000000000002</v>
      </c>
      <c r="AA16" s="106">
        <v>0.15000000000000002</v>
      </c>
      <c r="AB16" s="106">
        <v>0.15000000000000002</v>
      </c>
      <c r="AC16" s="106">
        <v>0.15000000000000002</v>
      </c>
      <c r="AD16" s="106">
        <v>0.15000000000000002</v>
      </c>
      <c r="AE16" s="106">
        <v>0.15000000000000002</v>
      </c>
      <c r="AF16" s="106">
        <v>0.15000000000000002</v>
      </c>
      <c r="AG16" s="106">
        <v>0.15000000000000002</v>
      </c>
      <c r="AH16" s="106">
        <v>0.15000000000000002</v>
      </c>
      <c r="AI16" s="106">
        <v>0.15000000000000002</v>
      </c>
      <c r="AJ16" s="106">
        <v>0.15000000000000002</v>
      </c>
      <c r="AK16" s="106">
        <v>0.15000000000000002</v>
      </c>
      <c r="AL16" s="106">
        <v>0.15000000000000002</v>
      </c>
      <c r="AM16" s="106">
        <v>0.15000000000000002</v>
      </c>
      <c r="AN16" s="106">
        <v>0.15000000000000002</v>
      </c>
    </row>
    <row r="17" spans="2:50" hidden="1" outlineLevel="1" x14ac:dyDescent="0.25">
      <c r="B17" s="39" t="str">
        <v>Primary Direct Staff Lead</v>
      </c>
      <c r="C17" s="3"/>
      <c r="D17" s="3"/>
      <c r="E17" s="106">
        <v>0</v>
      </c>
      <c r="F17" s="106">
        <v>0</v>
      </c>
      <c r="G17" s="106">
        <v>0</v>
      </c>
      <c r="H17" s="106">
        <v>0</v>
      </c>
      <c r="I17" s="106">
        <v>0</v>
      </c>
      <c r="J17" s="106">
        <v>0</v>
      </c>
      <c r="K17" s="106">
        <v>0</v>
      </c>
      <c r="L17" s="106">
        <v>0</v>
      </c>
      <c r="M17" s="106">
        <v>0</v>
      </c>
      <c r="N17" s="106">
        <v>0</v>
      </c>
      <c r="O17" s="106">
        <v>0</v>
      </c>
      <c r="P17" s="106">
        <v>0</v>
      </c>
      <c r="Q17" s="106">
        <v>0</v>
      </c>
      <c r="R17" s="106">
        <v>0</v>
      </c>
      <c r="S17" s="106">
        <v>0</v>
      </c>
      <c r="T17" s="106">
        <v>0</v>
      </c>
      <c r="U17" s="106">
        <v>0</v>
      </c>
      <c r="V17" s="106">
        <v>0</v>
      </c>
      <c r="W17" s="106">
        <v>0</v>
      </c>
      <c r="X17" s="106">
        <v>0</v>
      </c>
      <c r="Y17" s="106">
        <v>0</v>
      </c>
      <c r="Z17" s="106">
        <v>0</v>
      </c>
      <c r="AA17" s="106">
        <v>0</v>
      </c>
      <c r="AB17" s="106">
        <v>0</v>
      </c>
      <c r="AC17" s="106">
        <v>0</v>
      </c>
      <c r="AD17" s="106">
        <v>0</v>
      </c>
      <c r="AE17" s="106">
        <v>0</v>
      </c>
      <c r="AF17" s="106">
        <v>0</v>
      </c>
      <c r="AG17" s="106">
        <v>0</v>
      </c>
      <c r="AH17" s="106">
        <v>0</v>
      </c>
      <c r="AI17" s="106">
        <v>0</v>
      </c>
      <c r="AJ17" s="106">
        <v>0</v>
      </c>
      <c r="AK17" s="106">
        <v>0</v>
      </c>
      <c r="AL17" s="106">
        <v>0</v>
      </c>
      <c r="AM17" s="106">
        <v>0</v>
      </c>
      <c r="AN17" s="106">
        <v>0</v>
      </c>
    </row>
    <row r="18" spans="2:50" hidden="1" outlineLevel="1" x14ac:dyDescent="0.25">
      <c r="B18" s="39" t="str">
        <v>Tertiary Direct Staff</v>
      </c>
      <c r="C18" s="3"/>
      <c r="D18" s="3"/>
      <c r="E18" s="106">
        <v>0</v>
      </c>
      <c r="F18" s="106">
        <v>0</v>
      </c>
      <c r="G18" s="106">
        <v>0</v>
      </c>
      <c r="H18" s="106">
        <v>0</v>
      </c>
      <c r="I18" s="106">
        <v>0</v>
      </c>
      <c r="J18" s="106">
        <v>0</v>
      </c>
      <c r="K18" s="106">
        <v>0</v>
      </c>
      <c r="L18" s="106">
        <v>0</v>
      </c>
      <c r="M18" s="106">
        <v>0</v>
      </c>
      <c r="N18" s="106">
        <v>0</v>
      </c>
      <c r="O18" s="106">
        <v>0</v>
      </c>
      <c r="P18" s="106">
        <v>0</v>
      </c>
      <c r="Q18" s="106">
        <v>0</v>
      </c>
      <c r="R18" s="106">
        <v>0</v>
      </c>
      <c r="S18" s="106">
        <v>0</v>
      </c>
      <c r="T18" s="106">
        <v>0</v>
      </c>
      <c r="U18" s="106">
        <v>0</v>
      </c>
      <c r="V18" s="106">
        <v>0</v>
      </c>
      <c r="W18" s="106">
        <v>0</v>
      </c>
      <c r="X18" s="106">
        <v>0</v>
      </c>
      <c r="Y18" s="106">
        <v>0</v>
      </c>
      <c r="Z18" s="106">
        <v>0</v>
      </c>
      <c r="AA18" s="106">
        <v>0</v>
      </c>
      <c r="AB18" s="106">
        <v>0</v>
      </c>
      <c r="AC18" s="106">
        <v>0</v>
      </c>
      <c r="AD18" s="106">
        <v>0</v>
      </c>
      <c r="AE18" s="106">
        <v>0</v>
      </c>
      <c r="AF18" s="106">
        <v>0</v>
      </c>
      <c r="AG18" s="106">
        <v>0</v>
      </c>
      <c r="AH18" s="106">
        <v>0</v>
      </c>
      <c r="AI18" s="106">
        <v>0</v>
      </c>
      <c r="AJ18" s="106">
        <v>0</v>
      </c>
      <c r="AK18" s="106">
        <v>0</v>
      </c>
      <c r="AL18" s="106">
        <v>0</v>
      </c>
      <c r="AM18" s="106">
        <v>0</v>
      </c>
      <c r="AN18" s="106">
        <v>0</v>
      </c>
    </row>
    <row r="19" spans="2:50" hidden="1" outlineLevel="1" x14ac:dyDescent="0.25">
      <c r="B19" s="39" t="str">
        <v>Quinary Direct Staff</v>
      </c>
      <c r="C19" s="3"/>
      <c r="D19" s="3"/>
      <c r="E19" s="106">
        <v>0</v>
      </c>
      <c r="F19" s="106">
        <v>0</v>
      </c>
      <c r="G19" s="106">
        <v>0</v>
      </c>
      <c r="H19" s="106">
        <v>0</v>
      </c>
      <c r="I19" s="106">
        <v>0</v>
      </c>
      <c r="J19" s="106">
        <v>0</v>
      </c>
      <c r="K19" s="106">
        <v>0</v>
      </c>
      <c r="L19" s="106">
        <v>0</v>
      </c>
      <c r="M19" s="106">
        <v>0</v>
      </c>
      <c r="N19" s="106">
        <v>0</v>
      </c>
      <c r="O19" s="106">
        <v>0</v>
      </c>
      <c r="P19" s="106">
        <v>0</v>
      </c>
      <c r="Q19" s="106">
        <v>0</v>
      </c>
      <c r="R19" s="106">
        <v>0</v>
      </c>
      <c r="S19" s="106">
        <v>0</v>
      </c>
      <c r="T19" s="106">
        <v>0</v>
      </c>
      <c r="U19" s="106">
        <v>0</v>
      </c>
      <c r="V19" s="106">
        <v>0</v>
      </c>
      <c r="W19" s="106">
        <v>0</v>
      </c>
      <c r="X19" s="106">
        <v>0</v>
      </c>
      <c r="Y19" s="106">
        <v>0</v>
      </c>
      <c r="Z19" s="106">
        <v>0</v>
      </c>
      <c r="AA19" s="106">
        <v>0</v>
      </c>
      <c r="AB19" s="106">
        <v>0</v>
      </c>
      <c r="AC19" s="106">
        <v>0</v>
      </c>
      <c r="AD19" s="106">
        <v>0</v>
      </c>
      <c r="AE19" s="106">
        <v>0</v>
      </c>
      <c r="AF19" s="106">
        <v>0</v>
      </c>
      <c r="AG19" s="106">
        <v>0</v>
      </c>
      <c r="AH19" s="106">
        <v>0</v>
      </c>
      <c r="AI19" s="106">
        <v>0</v>
      </c>
      <c r="AJ19" s="106">
        <v>0</v>
      </c>
      <c r="AK19" s="106">
        <v>0</v>
      </c>
      <c r="AL19" s="106">
        <v>0</v>
      </c>
      <c r="AM19" s="106">
        <v>0</v>
      </c>
      <c r="AN19" s="106">
        <v>0</v>
      </c>
    </row>
    <row r="20" spans="2:50" hidden="1" outlineLevel="1" x14ac:dyDescent="0.25">
      <c r="B20" s="39" t="str">
        <v>Quaternary Direct Staff</v>
      </c>
      <c r="C20" s="3"/>
      <c r="D20" s="3"/>
      <c r="E20" s="106">
        <v>0</v>
      </c>
      <c r="F20" s="106">
        <v>0</v>
      </c>
      <c r="G20" s="106">
        <v>0</v>
      </c>
      <c r="H20" s="106">
        <v>0</v>
      </c>
      <c r="I20" s="106">
        <v>0</v>
      </c>
      <c r="J20" s="106">
        <v>0</v>
      </c>
      <c r="K20" s="106">
        <v>0</v>
      </c>
      <c r="L20" s="106">
        <v>0</v>
      </c>
      <c r="M20" s="106">
        <v>0</v>
      </c>
      <c r="N20" s="106">
        <v>0</v>
      </c>
      <c r="O20" s="106">
        <v>0</v>
      </c>
      <c r="P20" s="106">
        <v>0</v>
      </c>
      <c r="Q20" s="106">
        <v>0</v>
      </c>
      <c r="R20" s="106">
        <v>0</v>
      </c>
      <c r="S20" s="106">
        <v>0</v>
      </c>
      <c r="T20" s="106">
        <v>0</v>
      </c>
      <c r="U20" s="106">
        <v>0</v>
      </c>
      <c r="V20" s="106">
        <v>0</v>
      </c>
      <c r="W20" s="106">
        <v>0</v>
      </c>
      <c r="X20" s="106">
        <v>0</v>
      </c>
      <c r="Y20" s="106">
        <v>0</v>
      </c>
      <c r="Z20" s="106">
        <v>0</v>
      </c>
      <c r="AA20" s="106">
        <v>0</v>
      </c>
      <c r="AB20" s="106">
        <v>0</v>
      </c>
      <c r="AC20" s="106">
        <v>0</v>
      </c>
      <c r="AD20" s="106">
        <v>0</v>
      </c>
      <c r="AE20" s="106">
        <v>0</v>
      </c>
      <c r="AF20" s="106">
        <v>0</v>
      </c>
      <c r="AG20" s="106">
        <v>0</v>
      </c>
      <c r="AH20" s="106">
        <v>0</v>
      </c>
      <c r="AI20" s="106">
        <v>0</v>
      </c>
      <c r="AJ20" s="106">
        <v>0</v>
      </c>
      <c r="AK20" s="106">
        <v>0</v>
      </c>
      <c r="AL20" s="106">
        <v>0</v>
      </c>
      <c r="AM20" s="106">
        <v>0</v>
      </c>
      <c r="AN20" s="106">
        <v>0</v>
      </c>
    </row>
    <row r="21" spans="2:50" collapsed="1" x14ac:dyDescent="0.25">
      <c r="B21" s="39" t="s">
        <v>389</v>
      </c>
      <c r="C21" s="3"/>
      <c r="D21" s="5"/>
      <c r="E21" s="117" cm="1">
        <f t="array" ref="E21:AN21">ROUND(_xlfn.BYCOL(_xlfn.CHOOSEROWS(_xlfn.ANCHORARRAY(E7),1,2),_xlfn.LAMBDA(_xlpm.col,SUM(_xlpm.col))),0)</f>
        <v>18</v>
      </c>
      <c r="F21" s="117">
        <v>18</v>
      </c>
      <c r="G21" s="117">
        <v>18</v>
      </c>
      <c r="H21" s="117">
        <v>18</v>
      </c>
      <c r="I21" s="117">
        <v>18</v>
      </c>
      <c r="J21" s="117">
        <v>18</v>
      </c>
      <c r="K21" s="117">
        <v>18</v>
      </c>
      <c r="L21" s="117">
        <v>18</v>
      </c>
      <c r="M21" s="117">
        <v>18</v>
      </c>
      <c r="N21" s="117">
        <v>18</v>
      </c>
      <c r="O21" s="117">
        <v>18</v>
      </c>
      <c r="P21" s="117">
        <v>18</v>
      </c>
      <c r="Q21" s="117">
        <v>18</v>
      </c>
      <c r="R21" s="117">
        <v>18</v>
      </c>
      <c r="S21" s="117">
        <v>18</v>
      </c>
      <c r="T21" s="117">
        <v>18</v>
      </c>
      <c r="U21" s="117">
        <v>18</v>
      </c>
      <c r="V21" s="117">
        <v>18</v>
      </c>
      <c r="W21" s="117">
        <v>18</v>
      </c>
      <c r="X21" s="117">
        <v>18</v>
      </c>
      <c r="Y21" s="117">
        <v>18</v>
      </c>
      <c r="Z21" s="117">
        <v>18</v>
      </c>
      <c r="AA21" s="117">
        <v>18</v>
      </c>
      <c r="AB21" s="117">
        <v>18</v>
      </c>
      <c r="AC21" s="117">
        <v>18</v>
      </c>
      <c r="AD21" s="117">
        <v>18</v>
      </c>
      <c r="AE21" s="117">
        <v>18</v>
      </c>
      <c r="AF21" s="117">
        <v>18</v>
      </c>
      <c r="AG21" s="117">
        <v>18</v>
      </c>
      <c r="AH21" s="117">
        <v>18</v>
      </c>
      <c r="AI21" s="117">
        <v>18</v>
      </c>
      <c r="AJ21" s="117">
        <v>18</v>
      </c>
      <c r="AK21" s="117">
        <v>18</v>
      </c>
      <c r="AL21" s="117">
        <v>18</v>
      </c>
      <c r="AM21" s="117">
        <v>18</v>
      </c>
      <c r="AN21" s="117">
        <v>18</v>
      </c>
    </row>
    <row r="22" spans="2:50" x14ac:dyDescent="0.25">
      <c r="B22" s="2" t="s">
        <v>394</v>
      </c>
      <c r="C22" s="3"/>
      <c r="D22" s="77">
        <f>MAX(_xlfn.ANCHORARRAY(E22))</f>
        <v>98.845941528409099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95.966933522727288</v>
      </c>
      <c r="F22" s="78">
        <v>95.966933522727288</v>
      </c>
      <c r="G22" s="78">
        <v>95.966933522727288</v>
      </c>
      <c r="H22" s="78">
        <v>95.966933522727288</v>
      </c>
      <c r="I22" s="78">
        <v>95.966933522727288</v>
      </c>
      <c r="J22" s="78">
        <v>95.966933522727288</v>
      </c>
      <c r="K22" s="78">
        <v>95.966933522727288</v>
      </c>
      <c r="L22" s="78">
        <v>95.966933522727288</v>
      </c>
      <c r="M22" s="78">
        <v>95.966933522727288</v>
      </c>
      <c r="N22" s="78">
        <v>95.966933522727288</v>
      </c>
      <c r="O22" s="78">
        <v>95.966933522727288</v>
      </c>
      <c r="P22" s="78">
        <v>95.966933522727288</v>
      </c>
      <c r="Q22" s="78">
        <v>98.845941528409099</v>
      </c>
      <c r="R22" s="78">
        <v>98.845941528409099</v>
      </c>
      <c r="S22" s="78">
        <v>98.845941528409099</v>
      </c>
      <c r="T22" s="78">
        <v>98.845941528409099</v>
      </c>
      <c r="U22" s="78">
        <v>98.845941528409099</v>
      </c>
      <c r="V22" s="78">
        <v>98.845941528409099</v>
      </c>
      <c r="W22" s="78">
        <v>98.845941528409099</v>
      </c>
      <c r="X22" s="78">
        <v>98.845941528409099</v>
      </c>
      <c r="Y22" s="78">
        <v>98.845941528409099</v>
      </c>
      <c r="Z22" s="78">
        <v>98.845941528409099</v>
      </c>
      <c r="AA22" s="78">
        <v>98.845941528409099</v>
      </c>
      <c r="AB22" s="78">
        <v>98.845941528409099</v>
      </c>
      <c r="AC22" s="78">
        <v>98.845941528409099</v>
      </c>
      <c r="AD22" s="78">
        <v>98.845941528409099</v>
      </c>
      <c r="AE22" s="78">
        <v>98.845941528409099</v>
      </c>
      <c r="AF22" s="78">
        <v>98.845941528409099</v>
      </c>
      <c r="AG22" s="78">
        <v>98.845941528409099</v>
      </c>
      <c r="AH22" s="78">
        <v>98.845941528409099</v>
      </c>
      <c r="AI22" s="78">
        <v>98.845941528409099</v>
      </c>
      <c r="AJ22" s="78">
        <v>98.845941528409099</v>
      </c>
      <c r="AK22" s="78">
        <v>98.845941528409099</v>
      </c>
      <c r="AL22" s="78">
        <v>98.845941528409099</v>
      </c>
      <c r="AM22" s="78">
        <v>98.845941528409099</v>
      </c>
      <c r="AN22" s="78">
        <v>98.845941528409099</v>
      </c>
    </row>
    <row r="23" spans="2:50" x14ac:dyDescent="0.25">
      <c r="B23" s="2" t="s">
        <v>53</v>
      </c>
      <c r="C23" s="3"/>
      <c r="D23" s="72"/>
      <c r="E23" s="52" cm="1">
        <f t="array" ref="E23:AN23">_xlfn.LET(_xlpm.site,$B$1&amp;"-"&amp;$C$1,_xlpm.locations,Base!$D$4:$BD$4,_xlpm.Customer,_xlfn.ANCHORARRAY(E1),_xlpm.hours,SUM(_xlfn.XLOOKUP(_xlpm.site,_xlpm.locations,Base!$D$74:$BD$78,0,0)),
_xlpm.collection,1-_xlfn.XLOOKUP(_xlpm.site,_xlpm.locations,Base!$D$26:$BD$26,0,0),
_xlpm.Customer*_xlpm.hours*_xlpm.collection*(52/12))</f>
        <v>1858.5599999999997</v>
      </c>
      <c r="F23" s="52">
        <v>1858.5599999999997</v>
      </c>
      <c r="G23" s="52">
        <v>1858.5599999999997</v>
      </c>
      <c r="H23" s="52">
        <v>1858.5599999999997</v>
      </c>
      <c r="I23" s="52">
        <v>1858.5599999999997</v>
      </c>
      <c r="J23" s="52">
        <v>1858.5599999999997</v>
      </c>
      <c r="K23" s="52">
        <v>1858.5599999999997</v>
      </c>
      <c r="L23" s="52">
        <v>1858.5599999999997</v>
      </c>
      <c r="M23" s="52">
        <v>1858.5599999999997</v>
      </c>
      <c r="N23" s="52">
        <v>1858.5599999999997</v>
      </c>
      <c r="O23" s="52">
        <v>1858.5599999999997</v>
      </c>
      <c r="P23" s="52">
        <v>1858.5599999999997</v>
      </c>
      <c r="Q23" s="52">
        <v>1858.5599999999997</v>
      </c>
      <c r="R23" s="52">
        <v>1858.5599999999997</v>
      </c>
      <c r="S23" s="52">
        <v>1858.5599999999997</v>
      </c>
      <c r="T23" s="52">
        <v>1858.5599999999997</v>
      </c>
      <c r="U23" s="52">
        <v>1858.5599999999997</v>
      </c>
      <c r="V23" s="52">
        <v>1858.5599999999997</v>
      </c>
      <c r="W23" s="52">
        <v>1858.5599999999997</v>
      </c>
      <c r="X23" s="52">
        <v>1858.5599999999997</v>
      </c>
      <c r="Y23" s="52">
        <v>1858.5599999999997</v>
      </c>
      <c r="Z23" s="52">
        <v>1858.5599999999997</v>
      </c>
      <c r="AA23" s="52">
        <v>1858.5599999999997</v>
      </c>
      <c r="AB23" s="52">
        <v>1858.5599999999997</v>
      </c>
      <c r="AC23" s="52">
        <v>1858.5599999999997</v>
      </c>
      <c r="AD23" s="52">
        <v>1858.5599999999997</v>
      </c>
      <c r="AE23" s="52">
        <v>1858.5599999999997</v>
      </c>
      <c r="AF23" s="52">
        <v>1858.5599999999997</v>
      </c>
      <c r="AG23" s="52">
        <v>1858.5599999999997</v>
      </c>
      <c r="AH23" s="52">
        <v>1858.5599999999997</v>
      </c>
      <c r="AI23" s="52">
        <v>1858.5599999999997</v>
      </c>
      <c r="AJ23" s="52">
        <v>1858.5599999999997</v>
      </c>
      <c r="AK23" s="52">
        <v>1858.5599999999997</v>
      </c>
      <c r="AL23" s="52">
        <v>1858.5599999999997</v>
      </c>
      <c r="AM23" s="52">
        <v>1858.5599999999997</v>
      </c>
      <c r="AN23" s="52">
        <v>1858.5599999999997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21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_xlfn.LET(_xlpm.site,$B$1&amp;"-"&amp;$C$1,_xlpm.locations,Base!$D$4:$BD$4,_xlpm.rates,Base!$D31:$BD31,_xlpm.hours,Base!$D74:$BD74,_xlpm.comp,_xlpm.rates*_xlpm.hours,_xlpm.Customer,_xlfn.ANCHORARRAY($E$1),
_xlpm.Customer_comp,_xlfn.XLOOKUP(_xlpm.site,_xlpm.locations,_xlpm.comp,0,0),_xlpm.ann_incr,_xlfn.XLOOKUP(YEAR(_xlfn.ANCHORARRAY($E$25)),Base!$BJ$4:$BL$4,Base!$BJ74:$BL74,0,0),
_xlpm.bad_debt,_xlfn.XLOOKUP(_xlpm.site,_xlpm.locations,Base!$D$28:$BD$28,0,0),_xlpm.Customer_comp*_xlpm.Customer*_xlpm.bad_debt*_xlpm.ann_incr*(52/12))</f>
        <v>142887.64370399999</v>
      </c>
      <c r="F26" s="12">
        <v>142887.64370399999</v>
      </c>
      <c r="G26" s="12">
        <v>142887.64370399999</v>
      </c>
      <c r="H26" s="12">
        <v>142887.64370399999</v>
      </c>
      <c r="I26" s="12">
        <v>142887.64370399999</v>
      </c>
      <c r="J26" s="12">
        <v>142887.64370399999</v>
      </c>
      <c r="K26" s="12">
        <v>142887.64370399999</v>
      </c>
      <c r="L26" s="12">
        <v>142887.64370399999</v>
      </c>
      <c r="M26" s="12">
        <v>142887.64370399999</v>
      </c>
      <c r="N26" s="12">
        <v>142887.64370399999</v>
      </c>
      <c r="O26" s="12">
        <v>142887.64370399999</v>
      </c>
      <c r="P26" s="12">
        <v>142887.64370399999</v>
      </c>
      <c r="Q26" s="12">
        <v>147174.27301511998</v>
      </c>
      <c r="R26" s="12">
        <v>147174.27301511998</v>
      </c>
      <c r="S26" s="12">
        <v>147174.27301511998</v>
      </c>
      <c r="T26" s="12">
        <v>147174.27301511998</v>
      </c>
      <c r="U26" s="12">
        <v>147174.27301511998</v>
      </c>
      <c r="V26" s="12">
        <v>147174.27301511998</v>
      </c>
      <c r="W26" s="12">
        <v>147174.27301511998</v>
      </c>
      <c r="X26" s="12">
        <v>147174.27301511998</v>
      </c>
      <c r="Y26" s="12">
        <v>147174.27301511998</v>
      </c>
      <c r="Z26" s="12">
        <v>147174.27301511998</v>
      </c>
      <c r="AA26" s="12">
        <v>147174.27301511998</v>
      </c>
      <c r="AB26" s="12">
        <v>147174.27301511998</v>
      </c>
      <c r="AC26" s="12">
        <v>147174.27301511998</v>
      </c>
      <c r="AD26" s="12">
        <v>147174.27301511998</v>
      </c>
      <c r="AE26" s="12">
        <v>147174.27301511998</v>
      </c>
      <c r="AF26" s="12">
        <v>147174.27301511998</v>
      </c>
      <c r="AG26" s="12">
        <v>147174.27301511998</v>
      </c>
      <c r="AH26" s="12">
        <v>147174.27301511998</v>
      </c>
      <c r="AI26" s="12">
        <v>147174.27301511998</v>
      </c>
      <c r="AJ26" s="12">
        <v>147174.27301511998</v>
      </c>
      <c r="AK26" s="12">
        <v>147174.27301511998</v>
      </c>
      <c r="AL26" s="12">
        <v>147174.27301511998</v>
      </c>
      <c r="AM26" s="12">
        <v>147174.27301511998</v>
      </c>
      <c r="AN26" s="12">
        <v>147174.27301511998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_xlfn.LET(_xlpm.site,$B$1&amp;"-"&amp;$C$1,_xlpm.locations,Base!$D$4:$BD$4,_xlpm.rates,Base!$D32:$BD32,_xlpm.hours,Base!$D75:$BD75,_xlpm.comp,_xlpm.rates*_xlpm.hours,_xlpm.Customer,_xlfn.ANCHORARRAY($E$1),
_xlpm.Customer_comp,_xlfn.XLOOKUP(_xlpm.site,_xlpm.locations,_xlpm.comp,0,0),_xlpm.ann_incr,_xlfn.XLOOKUP(YEAR(_xlfn.ANCHORARRAY($E$25)),Base!$BJ$4:$BL$4,Base!$BJ75:$BL75,0,0),
_xlpm.bad_debt,_xlfn.XLOOKUP(_xlpm.site,_xlpm.locations,Base!$D$28:$BD$28,0,0),_xlpm.Customer_comp*_xlpm.Customer*_xlpm.bad_debt*_xlpm.ann_incr*(52/12))</f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12">
        <v>0</v>
      </c>
      <c r="AA27" s="12">
        <v>0</v>
      </c>
      <c r="AB27" s="12">
        <v>0</v>
      </c>
      <c r="AC27" s="12">
        <v>0</v>
      </c>
      <c r="AD27" s="12">
        <v>0</v>
      </c>
      <c r="AE27" s="12">
        <v>0</v>
      </c>
      <c r="AF27" s="12">
        <v>0</v>
      </c>
      <c r="AG27" s="12">
        <v>0</v>
      </c>
      <c r="AH27" s="12">
        <v>0</v>
      </c>
      <c r="AI27" s="12">
        <v>0</v>
      </c>
      <c r="AJ27" s="12">
        <v>0</v>
      </c>
      <c r="AK27" s="12">
        <v>0</v>
      </c>
      <c r="AL27" s="12">
        <v>0</v>
      </c>
      <c r="AM27" s="12">
        <v>0</v>
      </c>
      <c r="AN27" s="12">
        <v>0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_xlfn.LET(_xlpm.site,$B$1&amp;"-"&amp;$C$1,_xlpm.locations,Base!$D$4:$BD$4,_xlpm.rates,Base!$D33:$BD33,_xlpm.hours,Base!$D76:$BD76,_xlpm.comp,_xlpm.rates*_xlpm.hours,_xlpm.Customer,_xlfn.ANCHORARRAY($E$1),
_xlpm.Customer_comp,_xlfn.XLOOKUP(_xlpm.site,_xlpm.locations,_xlpm.comp,0,0),_xlpm.ann_incr,_xlfn.XLOOKUP(YEAR(_xlfn.ANCHORARRAY($E$25)),Base!$BJ$4:$BL$4,Base!$BJ76:$BL76,0,0),
_xlpm.bad_debt,_xlfn.XLOOKUP(_xlpm.site,_xlpm.locations,Base!$D$28:$BD$28,0,0),_xlpm.Customer_comp*_xlpm.Customer*_xlpm.bad_debt*_xlpm.ann_incr*(52/12))</f>
        <v>37275.037487999994</v>
      </c>
      <c r="F28" s="12">
        <v>37275.037487999994</v>
      </c>
      <c r="G28" s="12">
        <v>37275.037487999994</v>
      </c>
      <c r="H28" s="12">
        <v>37275.037487999994</v>
      </c>
      <c r="I28" s="12">
        <v>37275.037487999994</v>
      </c>
      <c r="J28" s="12">
        <v>37275.037487999994</v>
      </c>
      <c r="K28" s="12">
        <v>37275.037487999994</v>
      </c>
      <c r="L28" s="12">
        <v>37275.037487999994</v>
      </c>
      <c r="M28" s="12">
        <v>37275.037487999994</v>
      </c>
      <c r="N28" s="12">
        <v>37275.037487999994</v>
      </c>
      <c r="O28" s="12">
        <v>37275.037487999994</v>
      </c>
      <c r="P28" s="12">
        <v>37275.037487999994</v>
      </c>
      <c r="Q28" s="12">
        <v>38393.288612639997</v>
      </c>
      <c r="R28" s="12">
        <v>38393.288612639997</v>
      </c>
      <c r="S28" s="12">
        <v>38393.288612639997</v>
      </c>
      <c r="T28" s="12">
        <v>38393.288612639997</v>
      </c>
      <c r="U28" s="12">
        <v>38393.288612639997</v>
      </c>
      <c r="V28" s="12">
        <v>38393.288612639997</v>
      </c>
      <c r="W28" s="12">
        <v>38393.288612639997</v>
      </c>
      <c r="X28" s="12">
        <v>38393.288612639997</v>
      </c>
      <c r="Y28" s="12">
        <v>38393.288612639997</v>
      </c>
      <c r="Z28" s="12">
        <v>38393.288612639997</v>
      </c>
      <c r="AA28" s="12">
        <v>38393.288612639997</v>
      </c>
      <c r="AB28" s="12">
        <v>38393.288612639997</v>
      </c>
      <c r="AC28" s="12">
        <v>38393.288612639997</v>
      </c>
      <c r="AD28" s="12">
        <v>38393.288612639997</v>
      </c>
      <c r="AE28" s="12">
        <v>38393.288612639997</v>
      </c>
      <c r="AF28" s="12">
        <v>38393.288612639997</v>
      </c>
      <c r="AG28" s="12">
        <v>38393.288612639997</v>
      </c>
      <c r="AH28" s="12">
        <v>38393.288612639997</v>
      </c>
      <c r="AI28" s="12">
        <v>38393.288612639997</v>
      </c>
      <c r="AJ28" s="12">
        <v>38393.288612639997</v>
      </c>
      <c r="AK28" s="12">
        <v>38393.288612639997</v>
      </c>
      <c r="AL28" s="12">
        <v>38393.288612639997</v>
      </c>
      <c r="AM28" s="12">
        <v>38393.288612639997</v>
      </c>
      <c r="AN28" s="12">
        <v>38393.288612639997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_xlfn.LET(_xlpm.site,$B$1&amp;"-"&amp;$C$1,_xlpm.locations,Base!$D$4:$BD$4,_xlpm.rates,Base!$D34:$BD34,_xlpm.hours,Base!$D77:$BD77,_xlpm.comp,_xlpm.rates*_xlpm.hours,_xlpm.Customer,_xlfn.ANCHORARRAY($E$1),
_xlpm.Customer_comp,_xlfn.XLOOKUP(_xlpm.site,_xlpm.locations,_xlpm.comp,0,0),_xlpm.ann_incr,_xlfn.XLOOKUP(YEAR(_xlfn.ANCHORARRAY($E$25)),Base!$BJ$4:$BL$4,Base!$BJ77:$BL77,0,0),
_xlpm.bad_debt,_xlfn.XLOOKUP(_xlpm.site,_xlpm.locations,Base!$D$28:$BD$28,0,0),_xlpm.Customer_comp*_xlpm.Customer*_xlpm.bad_debt*_xlpm.ann_incr*(52/12))</f>
        <v>3127.5672479999998</v>
      </c>
      <c r="F29" s="12">
        <v>3127.5672479999998</v>
      </c>
      <c r="G29" s="12">
        <v>3127.5672479999998</v>
      </c>
      <c r="H29" s="12">
        <v>3127.5672479999998</v>
      </c>
      <c r="I29" s="12">
        <v>3127.5672479999998</v>
      </c>
      <c r="J29" s="12">
        <v>3127.5672479999998</v>
      </c>
      <c r="K29" s="12">
        <v>3127.5672479999998</v>
      </c>
      <c r="L29" s="12">
        <v>3127.5672479999998</v>
      </c>
      <c r="M29" s="12">
        <v>3127.5672479999998</v>
      </c>
      <c r="N29" s="12">
        <v>3127.5672479999998</v>
      </c>
      <c r="O29" s="12">
        <v>3127.5672479999998</v>
      </c>
      <c r="P29" s="12">
        <v>3127.5672479999998</v>
      </c>
      <c r="Q29" s="12">
        <v>3221.3942654400003</v>
      </c>
      <c r="R29" s="12">
        <v>3221.3942654400003</v>
      </c>
      <c r="S29" s="12">
        <v>3221.3942654400003</v>
      </c>
      <c r="T29" s="12">
        <v>3221.3942654400003</v>
      </c>
      <c r="U29" s="12">
        <v>3221.3942654400003</v>
      </c>
      <c r="V29" s="12">
        <v>3221.3942654400003</v>
      </c>
      <c r="W29" s="12">
        <v>3221.3942654400003</v>
      </c>
      <c r="X29" s="12">
        <v>3221.3942654400003</v>
      </c>
      <c r="Y29" s="12">
        <v>3221.3942654400003</v>
      </c>
      <c r="Z29" s="12">
        <v>3221.3942654400003</v>
      </c>
      <c r="AA29" s="12">
        <v>3221.3942654400003</v>
      </c>
      <c r="AB29" s="12">
        <v>3221.3942654400003</v>
      </c>
      <c r="AC29" s="12">
        <v>3221.3942654400003</v>
      </c>
      <c r="AD29" s="12">
        <v>3221.3942654400003</v>
      </c>
      <c r="AE29" s="12">
        <v>3221.3942654400003</v>
      </c>
      <c r="AF29" s="12">
        <v>3221.3942654400003</v>
      </c>
      <c r="AG29" s="12">
        <v>3221.3942654400003</v>
      </c>
      <c r="AH29" s="12">
        <v>3221.3942654400003</v>
      </c>
      <c r="AI29" s="12">
        <v>3221.3942654400003</v>
      </c>
      <c r="AJ29" s="12">
        <v>3221.3942654400003</v>
      </c>
      <c r="AK29" s="12">
        <v>3221.3942654400003</v>
      </c>
      <c r="AL29" s="12">
        <v>3221.3942654400003</v>
      </c>
      <c r="AM29" s="12">
        <v>3221.3942654400003</v>
      </c>
      <c r="AN29" s="12">
        <v>3221.3942654400003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_xlfn.LET(_xlpm.site,$B$1&amp;"-"&amp;$C$1,_xlpm.locations,Base!$D$4:$BD$4,_xlpm.rates,Base!$D35:$BD35,_xlpm.hours,Base!$D78:$BD78,_xlpm.comp,_xlpm.rates*_xlpm.hours,_xlpm.Customer,_xlfn.ANCHORARRAY($E$1),
_xlpm.Customer_comp,_xlfn.XLOOKUP(_xlpm.site,_xlpm.locations,_xlpm.comp,0,0),_xlpm.ann_incr,_xlfn.XLOOKUP(YEAR(_xlfn.ANCHORARRAY($E$25)),Base!$BJ$4:$BL$4,Base!$BJ78:$BL78,0,0),
_xlpm.bad_debt,_xlfn.XLOOKUP(_xlpm.site,_xlpm.locations,Base!$D$28:$BD$28,0,0),_xlpm.Customer_comp*_xlpm.Customer*_xlpm.bad_debt*_xlpm.ann_incr*(52/12))</f>
        <v>7230.9853439999997</v>
      </c>
      <c r="F30" s="12">
        <v>7230.9853439999997</v>
      </c>
      <c r="G30" s="12">
        <v>7230.9853439999997</v>
      </c>
      <c r="H30" s="12">
        <v>7230.9853439999997</v>
      </c>
      <c r="I30" s="12">
        <v>7230.9853439999997</v>
      </c>
      <c r="J30" s="12">
        <v>7230.9853439999997</v>
      </c>
      <c r="K30" s="12">
        <v>7230.9853439999997</v>
      </c>
      <c r="L30" s="12">
        <v>7230.9853439999997</v>
      </c>
      <c r="M30" s="12">
        <v>7230.9853439999997</v>
      </c>
      <c r="N30" s="12">
        <v>7230.9853439999997</v>
      </c>
      <c r="O30" s="12">
        <v>7230.9853439999997</v>
      </c>
      <c r="P30" s="12">
        <v>7230.9853439999997</v>
      </c>
      <c r="Q30" s="12">
        <v>7447.9149043199996</v>
      </c>
      <c r="R30" s="12">
        <v>7447.9149043199996</v>
      </c>
      <c r="S30" s="12">
        <v>7447.9149043199996</v>
      </c>
      <c r="T30" s="12">
        <v>7447.9149043199996</v>
      </c>
      <c r="U30" s="12">
        <v>7447.9149043199996</v>
      </c>
      <c r="V30" s="12">
        <v>7447.9149043199996</v>
      </c>
      <c r="W30" s="12">
        <v>7447.9149043199996</v>
      </c>
      <c r="X30" s="12">
        <v>7447.9149043199996</v>
      </c>
      <c r="Y30" s="12">
        <v>7447.9149043199996</v>
      </c>
      <c r="Z30" s="12">
        <v>7447.9149043199996</v>
      </c>
      <c r="AA30" s="12">
        <v>7447.9149043199996</v>
      </c>
      <c r="AB30" s="12">
        <v>7447.9149043199996</v>
      </c>
      <c r="AC30" s="12">
        <v>7447.9149043199996</v>
      </c>
      <c r="AD30" s="12">
        <v>7447.9149043199996</v>
      </c>
      <c r="AE30" s="12">
        <v>7447.9149043199996</v>
      </c>
      <c r="AF30" s="12">
        <v>7447.9149043199996</v>
      </c>
      <c r="AG30" s="12">
        <v>7447.9149043199996</v>
      </c>
      <c r="AH30" s="12">
        <v>7447.9149043199996</v>
      </c>
      <c r="AI30" s="12">
        <v>7447.9149043199996</v>
      </c>
      <c r="AJ30" s="12">
        <v>7447.9149043199996</v>
      </c>
      <c r="AK30" s="12">
        <v>7447.9149043199996</v>
      </c>
      <c r="AL30" s="12">
        <v>7447.9149043199996</v>
      </c>
      <c r="AM30" s="12">
        <v>7447.9149043199996</v>
      </c>
      <c r="AN30" s="12">
        <v>7447.9149043199996</v>
      </c>
    </row>
    <row r="31" spans="2:50" x14ac:dyDescent="0.25">
      <c r="B31" s="39" t="str">
        <f>Base!B36</f>
        <v>Tertiary Direct Staff - Service A</v>
      </c>
      <c r="C31" s="4"/>
      <c r="E31" s="183" cm="1">
        <f t="array" ref="E31:AN31">_xlfn.LET(_xlpm.site,$B$1&amp;"-"&amp;$C$1,_xlpm.locations,Base!$D$4:$BD$4,_xlpm.rates,Base!$D36:$BD36,_xlpm.hours,Base!$D79:$BD79,_xlpm.comp,_xlpm.rates*_xlpm.hours,_xlpm.Customer,_xlfn.ANCHORARRAY($E$1)*0,
_xlpm.Customer_comp,_xlfn.XLOOKUP(_xlpm.site,_xlpm.locations,_xlpm.comp,0,0),_xlpm.ann_incr,_xlfn.XLOOKUP(YEAR(_xlfn.ANCHORARRAY($E$25)),Base!$BJ$4:$BL$4,Base!$BJ79:$BL79,0,0),
_xlpm.bad_debt,_xlfn.XLOOKUP(_xlpm.site,_xlpm.locations,Base!$D$28:$BD$28,0,0),_xlpm.Customer_comp*_xlpm.Customer*_xlpm.bad_debt*_xlpm.ann_incr*(52/12))</f>
        <v>0</v>
      </c>
      <c r="F31" s="183">
        <v>0</v>
      </c>
      <c r="G31" s="183">
        <v>0</v>
      </c>
      <c r="H31" s="183">
        <v>0</v>
      </c>
      <c r="I31" s="183">
        <v>0</v>
      </c>
      <c r="J31" s="183">
        <v>0</v>
      </c>
      <c r="K31" s="183">
        <v>0</v>
      </c>
      <c r="L31" s="183">
        <v>0</v>
      </c>
      <c r="M31" s="183">
        <v>0</v>
      </c>
      <c r="N31" s="183">
        <v>0</v>
      </c>
      <c r="O31" s="183">
        <v>0</v>
      </c>
      <c r="P31" s="183">
        <v>0</v>
      </c>
      <c r="Q31" s="183">
        <v>0</v>
      </c>
      <c r="R31" s="183">
        <v>0</v>
      </c>
      <c r="S31" s="183">
        <v>0</v>
      </c>
      <c r="T31" s="183">
        <v>0</v>
      </c>
      <c r="U31" s="183">
        <v>0</v>
      </c>
      <c r="V31" s="183">
        <v>0</v>
      </c>
      <c r="W31" s="183">
        <v>0</v>
      </c>
      <c r="X31" s="183">
        <v>0</v>
      </c>
      <c r="Y31" s="183">
        <v>0</v>
      </c>
      <c r="Z31" s="183">
        <v>0</v>
      </c>
      <c r="AA31" s="183">
        <v>0</v>
      </c>
      <c r="AB31" s="183">
        <v>0</v>
      </c>
      <c r="AC31" s="183">
        <v>0</v>
      </c>
      <c r="AD31" s="183">
        <v>0</v>
      </c>
      <c r="AE31" s="183">
        <v>0</v>
      </c>
      <c r="AF31" s="183">
        <v>0</v>
      </c>
      <c r="AG31" s="183">
        <v>0</v>
      </c>
      <c r="AH31" s="183">
        <v>0</v>
      </c>
      <c r="AI31" s="183">
        <v>0</v>
      </c>
      <c r="AJ31" s="183">
        <v>0</v>
      </c>
      <c r="AK31" s="183">
        <v>0</v>
      </c>
      <c r="AL31" s="183">
        <v>0</v>
      </c>
      <c r="AM31" s="183">
        <v>0</v>
      </c>
      <c r="AN31" s="183">
        <v>0</v>
      </c>
    </row>
    <row r="32" spans="2:50" x14ac:dyDescent="0.25">
      <c r="B32" s="39" t="str">
        <f>Base!B37</f>
        <v>Tertiary Direct Staff - Service B</v>
      </c>
      <c r="C32" s="4"/>
      <c r="E32" s="183" cm="1">
        <f t="array" ref="E32:AN32">_xlfn.LET(_xlpm.site,$B$1&amp;"-"&amp;$C$1,_xlpm.locations,Base!$D$4:$BD$4,_xlpm.rates,Base!$D37:$BD37,_xlpm.hours,Base!$D80:$BD80,_xlpm.comp,_xlpm.rates*_xlpm.hours,_xlpm.Customer,_xlfn.ANCHORARRAY($E$1)*0,
_xlpm.Customer_comp,_xlfn.XLOOKUP(_xlpm.site,_xlpm.locations,_xlpm.comp,0,0),_xlpm.ann_incr,_xlfn.XLOOKUP(YEAR(_xlfn.ANCHORARRAY($E$25)),Base!$BJ$4:$BL$4,Base!$BJ80:$BL80,0,0),
_xlpm.bad_debt,_xlfn.XLOOKUP(_xlpm.site,_xlpm.locations,Base!$D$28:$BD$28,0,0),_xlpm.Customer_comp*_xlpm.Customer*_xlpm.bad_debt*_xlpm.ann_incr*(52/12))</f>
        <v>0</v>
      </c>
      <c r="F32" s="183">
        <v>0</v>
      </c>
      <c r="G32" s="183">
        <v>0</v>
      </c>
      <c r="H32" s="183">
        <v>0</v>
      </c>
      <c r="I32" s="183">
        <v>0</v>
      </c>
      <c r="J32" s="183">
        <v>0</v>
      </c>
      <c r="K32" s="183">
        <v>0</v>
      </c>
      <c r="L32" s="183">
        <v>0</v>
      </c>
      <c r="M32" s="183">
        <v>0</v>
      </c>
      <c r="N32" s="183">
        <v>0</v>
      </c>
      <c r="O32" s="183">
        <v>0</v>
      </c>
      <c r="P32" s="183">
        <v>0</v>
      </c>
      <c r="Q32" s="183">
        <v>0</v>
      </c>
      <c r="R32" s="183">
        <v>0</v>
      </c>
      <c r="S32" s="183">
        <v>0</v>
      </c>
      <c r="T32" s="183">
        <v>0</v>
      </c>
      <c r="U32" s="183">
        <v>0</v>
      </c>
      <c r="V32" s="183">
        <v>0</v>
      </c>
      <c r="W32" s="183">
        <v>0</v>
      </c>
      <c r="X32" s="183">
        <v>0</v>
      </c>
      <c r="Y32" s="183">
        <v>0</v>
      </c>
      <c r="Z32" s="183">
        <v>0</v>
      </c>
      <c r="AA32" s="183">
        <v>0</v>
      </c>
      <c r="AB32" s="183">
        <v>0</v>
      </c>
      <c r="AC32" s="183">
        <v>0</v>
      </c>
      <c r="AD32" s="183">
        <v>0</v>
      </c>
      <c r="AE32" s="183">
        <v>0</v>
      </c>
      <c r="AF32" s="183">
        <v>0</v>
      </c>
      <c r="AG32" s="183">
        <v>0</v>
      </c>
      <c r="AH32" s="183">
        <v>0</v>
      </c>
      <c r="AI32" s="183">
        <v>0</v>
      </c>
      <c r="AJ32" s="183">
        <v>0</v>
      </c>
      <c r="AK32" s="183">
        <v>0</v>
      </c>
      <c r="AL32" s="183">
        <v>0</v>
      </c>
      <c r="AM32" s="183">
        <v>0</v>
      </c>
      <c r="AN32" s="183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_xlpm.Customer,_xlfn.ANCHORARRAY($E$2),_xlpm.ann_incr,_xlfn.XLOOKUP(YEAR(_xlfn.ANCHORARRAY($E$25)),Base!$BJ$4:$BL$4,Base!$BJ$81:$BL$81,0,0),
_xlpm.bad_debt,_xlfn.XLOOKUP(_xlpm.site,_xlpm.locations,Base!$D$28:$BD$28,0,0),
_xlpm.comp*_xlpm.bad_debt*_xlpm.ann_incr*(52/12))</f>
        <v>0</v>
      </c>
      <c r="F33" s="12">
        <v>0</v>
      </c>
      <c r="G33" s="12">
        <v>0</v>
      </c>
      <c r="H33" s="12">
        <v>0</v>
      </c>
      <c r="I33" s="12">
        <v>0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2">
        <v>0</v>
      </c>
      <c r="Y33" s="12">
        <v>0</v>
      </c>
      <c r="Z33" s="12">
        <v>0</v>
      </c>
      <c r="AA33" s="12">
        <v>0</v>
      </c>
      <c r="AB33" s="12">
        <v>0</v>
      </c>
      <c r="AC33" s="12">
        <v>0</v>
      </c>
      <c r="AD33" s="12">
        <v>0</v>
      </c>
      <c r="AE33" s="12">
        <v>0</v>
      </c>
      <c r="AF33" s="12">
        <v>0</v>
      </c>
      <c r="AG33" s="12">
        <v>0</v>
      </c>
      <c r="AH33" s="12">
        <v>0</v>
      </c>
      <c r="AI33" s="12">
        <v>0</v>
      </c>
      <c r="AJ33" s="12">
        <v>0</v>
      </c>
      <c r="AK33" s="12">
        <v>0</v>
      </c>
      <c r="AL33" s="12">
        <v>0</v>
      </c>
      <c r="AM33" s="12">
        <v>0</v>
      </c>
      <c r="AN33" s="12">
        <v>0</v>
      </c>
    </row>
    <row r="34" spans="2:40" x14ac:dyDescent="0.25">
      <c r="B34" s="39" t="str">
        <f>Base!B39</f>
        <v>Quinary Direct Staff - Service A</v>
      </c>
      <c r="C34" s="4"/>
      <c r="E34" s="183" cm="1">
        <f t="array" ref="E34:AN34">_xlfn.LET(_xlpm.site,$B$1&amp;"-"&amp;$C$1,_xlpm.locations,Base!$D$4:$BD$4,_xlpm.rates,Base!$D39:$BD39,_xlpm.hours,Base!$D82:$BD82,_xlpm.comp,_xlpm.rates*_xlpm.hours,_xlpm.Customer,_xlfn.ANCHORARRAY($E$1)*0,
_xlpm.Customer_comp,_xlfn.XLOOKUP(_xlpm.site,_xlpm.locations,_xlpm.comp,0,0),_xlpm.ann_incr,_xlfn.XLOOKUP(YEAR(_xlfn.ANCHORARRAY($E$25)),Base!$BJ$4:$BL$4,Base!$BJ82:$BL82,0,0),
_xlpm.bad_debt,_xlfn.XLOOKUP(_xlpm.site,_xlpm.locations,Base!$D$28:$BD$28,0,0),_xlpm.Customer_comp*_xlpm.Customer*_xlpm.bad_debt*_xlpm.ann_incr*(52/12))</f>
        <v>0</v>
      </c>
      <c r="F34" s="183">
        <v>0</v>
      </c>
      <c r="G34" s="183">
        <v>0</v>
      </c>
      <c r="H34" s="183">
        <v>0</v>
      </c>
      <c r="I34" s="183">
        <v>0</v>
      </c>
      <c r="J34" s="183">
        <v>0</v>
      </c>
      <c r="K34" s="183">
        <v>0</v>
      </c>
      <c r="L34" s="183">
        <v>0</v>
      </c>
      <c r="M34" s="183">
        <v>0</v>
      </c>
      <c r="N34" s="183">
        <v>0</v>
      </c>
      <c r="O34" s="183">
        <v>0</v>
      </c>
      <c r="P34" s="183">
        <v>0</v>
      </c>
      <c r="Q34" s="183">
        <v>0</v>
      </c>
      <c r="R34" s="183">
        <v>0</v>
      </c>
      <c r="S34" s="183">
        <v>0</v>
      </c>
      <c r="T34" s="183">
        <v>0</v>
      </c>
      <c r="U34" s="183">
        <v>0</v>
      </c>
      <c r="V34" s="183">
        <v>0</v>
      </c>
      <c r="W34" s="183">
        <v>0</v>
      </c>
      <c r="X34" s="183">
        <v>0</v>
      </c>
      <c r="Y34" s="183">
        <v>0</v>
      </c>
      <c r="Z34" s="183">
        <v>0</v>
      </c>
      <c r="AA34" s="183">
        <v>0</v>
      </c>
      <c r="AB34" s="183">
        <v>0</v>
      </c>
      <c r="AC34" s="183">
        <v>0</v>
      </c>
      <c r="AD34" s="183">
        <v>0</v>
      </c>
      <c r="AE34" s="183">
        <v>0</v>
      </c>
      <c r="AF34" s="183">
        <v>0</v>
      </c>
      <c r="AG34" s="183">
        <v>0</v>
      </c>
      <c r="AH34" s="183">
        <v>0</v>
      </c>
      <c r="AI34" s="183">
        <v>0</v>
      </c>
      <c r="AJ34" s="183">
        <v>0</v>
      </c>
      <c r="AK34" s="183">
        <v>0</v>
      </c>
      <c r="AL34" s="183">
        <v>0</v>
      </c>
      <c r="AM34" s="183">
        <v>0</v>
      </c>
      <c r="AN34" s="183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-22862.548054079998</v>
      </c>
      <c r="F35" s="12">
        <v>-22862.548054079998</v>
      </c>
      <c r="G35" s="12">
        <v>-22862.548054079998</v>
      </c>
      <c r="H35" s="12">
        <v>-22862.548054079998</v>
      </c>
      <c r="I35" s="12">
        <v>-22862.548054079998</v>
      </c>
      <c r="J35" s="12">
        <v>-22862.548054079998</v>
      </c>
      <c r="K35" s="12">
        <v>-22862.548054079998</v>
      </c>
      <c r="L35" s="12">
        <v>-22862.548054079998</v>
      </c>
      <c r="M35" s="12">
        <v>-22862.548054079998</v>
      </c>
      <c r="N35" s="12">
        <v>-22862.548054079998</v>
      </c>
      <c r="O35" s="12">
        <v>-22862.548054079998</v>
      </c>
      <c r="P35" s="12">
        <v>-22862.548054079998</v>
      </c>
      <c r="Q35" s="12">
        <v>-23548.424495702398</v>
      </c>
      <c r="R35" s="12">
        <v>-23548.424495702398</v>
      </c>
      <c r="S35" s="12">
        <v>-23548.424495702398</v>
      </c>
      <c r="T35" s="12">
        <v>-23548.424495702398</v>
      </c>
      <c r="U35" s="12">
        <v>-23548.424495702398</v>
      </c>
      <c r="V35" s="12">
        <v>-23548.424495702398</v>
      </c>
      <c r="W35" s="12">
        <v>-23548.424495702398</v>
      </c>
      <c r="X35" s="12">
        <v>-23548.424495702398</v>
      </c>
      <c r="Y35" s="12">
        <v>-23548.424495702398</v>
      </c>
      <c r="Z35" s="12">
        <v>-23548.424495702398</v>
      </c>
      <c r="AA35" s="12">
        <v>-23548.424495702398</v>
      </c>
      <c r="AB35" s="12">
        <v>-23548.424495702398</v>
      </c>
      <c r="AC35" s="12">
        <v>-23548.424495702398</v>
      </c>
      <c r="AD35" s="12">
        <v>-23548.424495702398</v>
      </c>
      <c r="AE35" s="12">
        <v>-23548.424495702398</v>
      </c>
      <c r="AF35" s="12">
        <v>-23548.424495702398</v>
      </c>
      <c r="AG35" s="12">
        <v>-23548.424495702398</v>
      </c>
      <c r="AH35" s="12">
        <v>-23548.424495702398</v>
      </c>
      <c r="AI35" s="12">
        <v>-23548.424495702398</v>
      </c>
      <c r="AJ35" s="12">
        <v>-23548.424495702398</v>
      </c>
      <c r="AK35" s="12">
        <v>-23548.424495702398</v>
      </c>
      <c r="AL35" s="12">
        <v>-23548.424495702398</v>
      </c>
      <c r="AM35" s="12">
        <v>-23548.424495702398</v>
      </c>
      <c r="AN35" s="12">
        <v>-23548.424495702398</v>
      </c>
    </row>
    <row r="36" spans="2:40" x14ac:dyDescent="0.25">
      <c r="B36" s="39" t="s">
        <v>261</v>
      </c>
      <c r="C36" s="15"/>
      <c r="E36" s="183" cm="1">
        <f t="array" ref="E36:AN36">_xlfn.BYCOL(_xlfn.ANCHORARRAY($E$25),_xlfn.LAMBDA(_xlpm.a,0))</f>
        <v>0</v>
      </c>
      <c r="F36" s="183">
        <v>0</v>
      </c>
      <c r="G36" s="183">
        <v>0</v>
      </c>
      <c r="H36" s="183">
        <v>0</v>
      </c>
      <c r="I36" s="183">
        <v>0</v>
      </c>
      <c r="J36" s="183">
        <v>0</v>
      </c>
      <c r="K36" s="183">
        <v>0</v>
      </c>
      <c r="L36" s="183">
        <v>0</v>
      </c>
      <c r="M36" s="183">
        <v>0</v>
      </c>
      <c r="N36" s="183">
        <v>0</v>
      </c>
      <c r="O36" s="183">
        <v>0</v>
      </c>
      <c r="P36" s="183">
        <v>0</v>
      </c>
      <c r="Q36" s="183">
        <v>0</v>
      </c>
      <c r="R36" s="183">
        <v>0</v>
      </c>
      <c r="S36" s="183">
        <v>0</v>
      </c>
      <c r="T36" s="183">
        <v>0</v>
      </c>
      <c r="U36" s="183">
        <v>0</v>
      </c>
      <c r="V36" s="183">
        <v>0</v>
      </c>
      <c r="W36" s="183">
        <v>0</v>
      </c>
      <c r="X36" s="183">
        <v>0</v>
      </c>
      <c r="Y36" s="183">
        <v>0</v>
      </c>
      <c r="Z36" s="183">
        <v>0</v>
      </c>
      <c r="AA36" s="183">
        <v>0</v>
      </c>
      <c r="AB36" s="183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271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167658.68572991999</v>
      </c>
      <c r="F37" s="13">
        <v>167658.68572991999</v>
      </c>
      <c r="G37" s="13">
        <v>167658.68572991999</v>
      </c>
      <c r="H37" s="13">
        <v>167658.68572991999</v>
      </c>
      <c r="I37" s="13">
        <v>167658.68572991999</v>
      </c>
      <c r="J37" s="13">
        <v>167658.68572991999</v>
      </c>
      <c r="K37" s="13">
        <v>167658.68572991999</v>
      </c>
      <c r="L37" s="13">
        <v>167658.68572991999</v>
      </c>
      <c r="M37" s="13">
        <v>167658.68572991999</v>
      </c>
      <c r="N37" s="13">
        <v>167658.68572991999</v>
      </c>
      <c r="O37" s="13">
        <v>167658.68572991999</v>
      </c>
      <c r="P37" s="13">
        <v>167658.68572991999</v>
      </c>
      <c r="Q37" s="13">
        <v>172688.44630181757</v>
      </c>
      <c r="R37" s="13">
        <v>172688.44630181757</v>
      </c>
      <c r="S37" s="13">
        <v>172688.44630181757</v>
      </c>
      <c r="T37" s="13">
        <v>172688.44630181757</v>
      </c>
      <c r="U37" s="13">
        <v>172688.44630181757</v>
      </c>
      <c r="V37" s="13">
        <v>172688.44630181757</v>
      </c>
      <c r="W37" s="13">
        <v>172688.44630181757</v>
      </c>
      <c r="X37" s="13">
        <v>172688.44630181757</v>
      </c>
      <c r="Y37" s="13">
        <v>172688.44630181757</v>
      </c>
      <c r="Z37" s="13">
        <v>172688.44630181757</v>
      </c>
      <c r="AA37" s="13">
        <v>172688.44630181757</v>
      </c>
      <c r="AB37" s="13">
        <v>172688.44630181757</v>
      </c>
      <c r="AC37" s="13">
        <v>172688.44630181757</v>
      </c>
      <c r="AD37" s="13">
        <v>172688.44630181757</v>
      </c>
      <c r="AE37" s="13">
        <v>172688.44630181757</v>
      </c>
      <c r="AF37" s="13">
        <v>172688.44630181757</v>
      </c>
      <c r="AG37" s="13">
        <v>172688.44630181757</v>
      </c>
      <c r="AH37" s="13">
        <v>172688.44630181757</v>
      </c>
      <c r="AI37" s="13">
        <v>172688.44630181757</v>
      </c>
      <c r="AJ37" s="13">
        <v>172688.44630181757</v>
      </c>
      <c r="AK37" s="13">
        <v>172688.44630181757</v>
      </c>
      <c r="AL37" s="13">
        <v>172688.44630181757</v>
      </c>
      <c r="AM37" s="13">
        <v>172688.44630181757</v>
      </c>
      <c r="AN37" s="13">
        <v>172688.44630181757</v>
      </c>
    </row>
    <row r="38" spans="2:40" x14ac:dyDescent="0.25">
      <c r="E38" s="67"/>
      <c r="F38" s="67"/>
    </row>
    <row r="39" spans="2:40" x14ac:dyDescent="0.25">
      <c r="B39" s="1" t="s">
        <v>118</v>
      </c>
    </row>
    <row r="40" spans="2:40" x14ac:dyDescent="0.25">
      <c r="B40" s="39" t="s">
        <v>23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73133.135308417972</v>
      </c>
      <c r="F40" s="12">
        <v>73133.135308417972</v>
      </c>
      <c r="G40" s="12">
        <v>73133.135308417972</v>
      </c>
      <c r="H40" s="12">
        <v>73133.135308417972</v>
      </c>
      <c r="I40" s="12">
        <v>73133.135308417972</v>
      </c>
      <c r="J40" s="12">
        <v>73133.135308417972</v>
      </c>
      <c r="K40" s="12">
        <v>73133.135308417972</v>
      </c>
      <c r="L40" s="12">
        <v>73133.135308417972</v>
      </c>
      <c r="M40" s="12">
        <v>73133.135308417972</v>
      </c>
      <c r="N40" s="12">
        <v>73133.135308417972</v>
      </c>
      <c r="O40" s="12">
        <v>73133.135308417972</v>
      </c>
      <c r="P40" s="12">
        <v>73133.135308417972</v>
      </c>
      <c r="Q40" s="12">
        <v>80446.44883925977</v>
      </c>
      <c r="R40" s="12">
        <v>80446.44883925977</v>
      </c>
      <c r="S40" s="12">
        <v>80446.44883925977</v>
      </c>
      <c r="T40" s="12">
        <v>80446.44883925977</v>
      </c>
      <c r="U40" s="12">
        <v>80446.44883925977</v>
      </c>
      <c r="V40" s="12">
        <v>80446.44883925977</v>
      </c>
      <c r="W40" s="12">
        <v>80446.44883925977</v>
      </c>
      <c r="X40" s="12">
        <v>80446.44883925977</v>
      </c>
      <c r="Y40" s="12">
        <v>80446.44883925977</v>
      </c>
      <c r="Z40" s="12">
        <v>80446.44883925977</v>
      </c>
      <c r="AA40" s="12">
        <v>80446.44883925977</v>
      </c>
      <c r="AB40" s="12">
        <v>80446.44883925977</v>
      </c>
      <c r="AC40" s="12">
        <v>88491.093723185768</v>
      </c>
      <c r="AD40" s="12">
        <v>88491.093723185768</v>
      </c>
      <c r="AE40" s="12">
        <v>88491.093723185768</v>
      </c>
      <c r="AF40" s="12">
        <v>88491.093723185768</v>
      </c>
      <c r="AG40" s="12">
        <v>88491.093723185768</v>
      </c>
      <c r="AH40" s="12">
        <v>88491.093723185768</v>
      </c>
      <c r="AI40" s="12">
        <v>88491.093723185768</v>
      </c>
      <c r="AJ40" s="12">
        <v>88491.093723185768</v>
      </c>
      <c r="AK40" s="12">
        <v>88491.093723185768</v>
      </c>
      <c r="AL40" s="12">
        <v>88491.093723185768</v>
      </c>
      <c r="AM40" s="12">
        <v>88491.093723185768</v>
      </c>
      <c r="AN40" s="12">
        <v>88491.093723185768</v>
      </c>
    </row>
    <row r="41" spans="2:40" x14ac:dyDescent="0.25">
      <c r="B41" s="39" t="s">
        <v>388</v>
      </c>
      <c r="C41" s="142">
        <f>_xlfn.XLOOKUP($B$1&amp;"-"&amp;$C$1,Base!$D$4:$BD$4,Base!$D$12:$BD$12,0,0)</f>
        <v>0</v>
      </c>
      <c r="E41" s="183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28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0</v>
      </c>
      <c r="AJ42" s="12">
        <v>0</v>
      </c>
      <c r="AK42" s="12">
        <v>0</v>
      </c>
      <c r="AL42" s="12">
        <v>0</v>
      </c>
      <c r="AM42" s="12">
        <v>0</v>
      </c>
      <c r="AN42" s="12">
        <v>0</v>
      </c>
    </row>
    <row r="43" spans="2:40" x14ac:dyDescent="0.25">
      <c r="B43" s="39" t="s">
        <v>31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0</v>
      </c>
      <c r="X43" s="12">
        <v>0</v>
      </c>
      <c r="Y43" s="12">
        <v>0</v>
      </c>
      <c r="Z43" s="12">
        <v>0</v>
      </c>
      <c r="AA43" s="12">
        <v>0</v>
      </c>
      <c r="AB43" s="12">
        <v>0</v>
      </c>
      <c r="AC43" s="12">
        <v>0</v>
      </c>
      <c r="AD43" s="12">
        <v>0</v>
      </c>
      <c r="AE43" s="12">
        <v>0</v>
      </c>
      <c r="AF43" s="12">
        <v>0</v>
      </c>
      <c r="AG43" s="12">
        <v>0</v>
      </c>
      <c r="AH43" s="12">
        <v>0</v>
      </c>
      <c r="AI43" s="12">
        <v>0</v>
      </c>
      <c r="AJ43" s="12">
        <v>0</v>
      </c>
      <c r="AK43" s="12">
        <v>0</v>
      </c>
      <c r="AL43" s="12">
        <v>0</v>
      </c>
      <c r="AM43" s="12">
        <v>0</v>
      </c>
      <c r="AN43" s="12">
        <v>0</v>
      </c>
    </row>
    <row r="44" spans="2:40" x14ac:dyDescent="0.25">
      <c r="B44" s="39" t="s">
        <v>34</v>
      </c>
      <c r="C44" s="96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1064.7303999999999</v>
      </c>
      <c r="F44" s="12">
        <v>1064.7303999999999</v>
      </c>
      <c r="G44" s="12">
        <v>1064.7303999999999</v>
      </c>
      <c r="H44" s="12">
        <v>1064.7303999999999</v>
      </c>
      <c r="I44" s="12">
        <v>1064.7303999999999</v>
      </c>
      <c r="J44" s="12">
        <v>1064.7303999999999</v>
      </c>
      <c r="K44" s="12">
        <v>1064.7303999999999</v>
      </c>
      <c r="L44" s="12">
        <v>1064.7303999999999</v>
      </c>
      <c r="M44" s="12">
        <v>1064.7303999999999</v>
      </c>
      <c r="N44" s="12">
        <v>1064.7303999999999</v>
      </c>
      <c r="O44" s="12">
        <v>1064.7303999999999</v>
      </c>
      <c r="P44" s="12">
        <v>1064.7303999999999</v>
      </c>
      <c r="Q44" s="12">
        <v>1107.3196159999998</v>
      </c>
      <c r="R44" s="12">
        <v>1107.3196159999998</v>
      </c>
      <c r="S44" s="12">
        <v>1107.3196159999998</v>
      </c>
      <c r="T44" s="12">
        <v>1107.3196159999998</v>
      </c>
      <c r="U44" s="12">
        <v>1107.3196159999998</v>
      </c>
      <c r="V44" s="12">
        <v>1107.3196159999998</v>
      </c>
      <c r="W44" s="12">
        <v>1107.3196159999998</v>
      </c>
      <c r="X44" s="12">
        <v>1107.3196159999998</v>
      </c>
      <c r="Y44" s="12">
        <v>1107.3196159999998</v>
      </c>
      <c r="Z44" s="12">
        <v>1107.3196159999998</v>
      </c>
      <c r="AA44" s="12">
        <v>1107.3196159999998</v>
      </c>
      <c r="AB44" s="12">
        <v>1107.3196159999998</v>
      </c>
      <c r="AC44" s="12">
        <v>1151.61240064</v>
      </c>
      <c r="AD44" s="12">
        <v>1151.61240064</v>
      </c>
      <c r="AE44" s="12">
        <v>1151.61240064</v>
      </c>
      <c r="AF44" s="12">
        <v>1151.61240064</v>
      </c>
      <c r="AG44" s="12">
        <v>1151.61240064</v>
      </c>
      <c r="AH44" s="12">
        <v>1151.61240064</v>
      </c>
      <c r="AI44" s="12">
        <v>1151.61240064</v>
      </c>
      <c r="AJ44" s="12">
        <v>1151.61240064</v>
      </c>
      <c r="AK44" s="12">
        <v>1151.61240064</v>
      </c>
      <c r="AL44" s="12">
        <v>1151.61240064</v>
      </c>
      <c r="AM44" s="12">
        <v>1151.61240064</v>
      </c>
      <c r="AN44" s="12">
        <v>1151.61240064</v>
      </c>
    </row>
    <row r="45" spans="2:40" x14ac:dyDescent="0.25">
      <c r="B45" s="39" t="s">
        <v>36</v>
      </c>
      <c r="C45" s="96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0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12">
        <v>0</v>
      </c>
      <c r="R45" s="12">
        <v>0</v>
      </c>
      <c r="S45" s="12">
        <v>0</v>
      </c>
      <c r="T45" s="12">
        <v>0</v>
      </c>
      <c r="U45" s="12">
        <v>0</v>
      </c>
      <c r="V45" s="12">
        <v>0</v>
      </c>
      <c r="W45" s="12">
        <v>0</v>
      </c>
      <c r="X45" s="12">
        <v>0</v>
      </c>
      <c r="Y45" s="12">
        <v>0</v>
      </c>
      <c r="Z45" s="12">
        <v>0</v>
      </c>
      <c r="AA45" s="12">
        <v>0</v>
      </c>
      <c r="AB45" s="12">
        <v>0</v>
      </c>
      <c r="AC45" s="12">
        <v>0</v>
      </c>
      <c r="AD45" s="12">
        <v>0</v>
      </c>
      <c r="AE45" s="12">
        <v>0</v>
      </c>
      <c r="AF45" s="12">
        <v>0</v>
      </c>
      <c r="AG45" s="12">
        <v>0</v>
      </c>
      <c r="AH45" s="12">
        <v>0</v>
      </c>
      <c r="AI45" s="12">
        <v>0</v>
      </c>
      <c r="AJ45" s="12">
        <v>0</v>
      </c>
      <c r="AK45" s="12">
        <v>0</v>
      </c>
      <c r="AL45" s="12">
        <v>0</v>
      </c>
      <c r="AM45" s="12">
        <v>0</v>
      </c>
      <c r="AN45" s="12">
        <v>0</v>
      </c>
    </row>
    <row r="46" spans="2:40" x14ac:dyDescent="0.25">
      <c r="B46" s="39" t="s">
        <v>38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6597.4999999999991</v>
      </c>
      <c r="F46" s="12">
        <v>6597.4999999999991</v>
      </c>
      <c r="G46" s="12">
        <v>6597.4999999999991</v>
      </c>
      <c r="H46" s="12">
        <v>6597.4999999999991</v>
      </c>
      <c r="I46" s="12">
        <v>6597.4999999999991</v>
      </c>
      <c r="J46" s="12">
        <v>6597.4999999999991</v>
      </c>
      <c r="K46" s="12">
        <v>6597.4999999999991</v>
      </c>
      <c r="L46" s="12">
        <v>6597.4999999999991</v>
      </c>
      <c r="M46" s="12">
        <v>6597.4999999999991</v>
      </c>
      <c r="N46" s="12">
        <v>6597.4999999999991</v>
      </c>
      <c r="O46" s="12">
        <v>6597.4999999999991</v>
      </c>
      <c r="P46" s="12">
        <v>6597.4999999999991</v>
      </c>
      <c r="Q46" s="12">
        <v>6729.4499999999989</v>
      </c>
      <c r="R46" s="12">
        <v>6729.4499999999989</v>
      </c>
      <c r="S46" s="12">
        <v>6729.4499999999989</v>
      </c>
      <c r="T46" s="12">
        <v>6729.4499999999989</v>
      </c>
      <c r="U46" s="12">
        <v>6729.4499999999989</v>
      </c>
      <c r="V46" s="12">
        <v>6729.4499999999989</v>
      </c>
      <c r="W46" s="12">
        <v>6729.4499999999989</v>
      </c>
      <c r="X46" s="12">
        <v>6729.4499999999989</v>
      </c>
      <c r="Y46" s="12">
        <v>6729.4499999999989</v>
      </c>
      <c r="Z46" s="12">
        <v>6729.4499999999989</v>
      </c>
      <c r="AA46" s="12">
        <v>6729.4499999999989</v>
      </c>
      <c r="AB46" s="12">
        <v>6729.4499999999989</v>
      </c>
      <c r="AC46" s="12">
        <v>6864.0389999999989</v>
      </c>
      <c r="AD46" s="12">
        <v>6864.0389999999989</v>
      </c>
      <c r="AE46" s="12">
        <v>6864.0389999999989</v>
      </c>
      <c r="AF46" s="12">
        <v>6864.0389999999989</v>
      </c>
      <c r="AG46" s="12">
        <v>6864.0389999999989</v>
      </c>
      <c r="AH46" s="12">
        <v>6864.0389999999989</v>
      </c>
      <c r="AI46" s="12">
        <v>6864.0389999999989</v>
      </c>
      <c r="AJ46" s="12">
        <v>6864.0389999999989</v>
      </c>
      <c r="AK46" s="12">
        <v>6864.0389999999989</v>
      </c>
      <c r="AL46" s="12">
        <v>6864.0389999999989</v>
      </c>
      <c r="AM46" s="12">
        <v>6864.0389999999989</v>
      </c>
      <c r="AN46" s="12">
        <v>6864.0389999999989</v>
      </c>
    </row>
    <row r="47" spans="2:40" x14ac:dyDescent="0.25">
      <c r="B47" s="39" t="s">
        <v>40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  <c r="O47" s="12">
        <v>0</v>
      </c>
      <c r="P47" s="12">
        <v>0</v>
      </c>
      <c r="Q47" s="12">
        <v>0</v>
      </c>
      <c r="R47" s="12">
        <v>0</v>
      </c>
      <c r="S47" s="12">
        <v>0</v>
      </c>
      <c r="T47" s="12">
        <v>0</v>
      </c>
      <c r="U47" s="12">
        <v>0</v>
      </c>
      <c r="V47" s="12">
        <v>0</v>
      </c>
      <c r="W47" s="12">
        <v>0</v>
      </c>
      <c r="X47" s="12">
        <v>0</v>
      </c>
      <c r="Y47" s="12">
        <v>0</v>
      </c>
      <c r="Z47" s="12">
        <v>0</v>
      </c>
      <c r="AA47" s="12">
        <v>0</v>
      </c>
      <c r="AB47" s="12">
        <v>0</v>
      </c>
      <c r="AC47" s="12">
        <v>0</v>
      </c>
      <c r="AD47" s="12">
        <v>0</v>
      </c>
      <c r="AE47" s="12">
        <v>0</v>
      </c>
      <c r="AF47" s="12">
        <v>0</v>
      </c>
      <c r="AG47" s="12">
        <v>0</v>
      </c>
      <c r="AH47" s="12">
        <v>0</v>
      </c>
      <c r="AI47" s="12">
        <v>0</v>
      </c>
      <c r="AJ47" s="12">
        <v>0</v>
      </c>
      <c r="AK47" s="12">
        <v>0</v>
      </c>
      <c r="AL47" s="12">
        <v>0</v>
      </c>
      <c r="AM47" s="12">
        <v>0</v>
      </c>
      <c r="AN47" s="12">
        <v>0</v>
      </c>
    </row>
    <row r="48" spans="2:40" x14ac:dyDescent="0.25">
      <c r="B48" s="39" t="s">
        <v>41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42</v>
      </c>
      <c r="E49" s="12">
        <f>'Corp.'!E$50*(E$37-(E31-E32-E34)*$C$35)/(SUM('MDA1:NCA9'!E$37)-SUM('MDA1:NCA9'!E$31)-SUM('MDA1:NCA9'!E$32)-SUM('MDA1:NCA9'!E$34))</f>
        <v>55573.253961009752</v>
      </c>
      <c r="F49" s="12">
        <f>'Corp.'!F$50*(F$37-(F31-F32-F34)*$C$35)/(SUM('MDA1:NCA9'!F$37)-SUM('MDA1:NCA9'!F$31)-SUM('MDA1:NCA9'!F$32)-SUM('MDA1:NCA9'!F$34))</f>
        <v>52164.030255002108</v>
      </c>
      <c r="G49" s="12">
        <f>'Corp.'!G$50*(G$37-(G31-G32-G34)*$C$35)/(SUM('MDA1:NCA9'!G$37)-SUM('MDA1:NCA9'!G$31)-SUM('MDA1:NCA9'!G$32)-SUM('MDA1:NCA9'!G$34))</f>
        <v>47475.446708237629</v>
      </c>
      <c r="H49" s="12">
        <f>'Corp.'!H$50*(H$37-(H31-H32-H34)*$C$35)/(SUM('MDA1:NCA9'!H$37)-SUM('MDA1:NCA9'!H$31)-SUM('MDA1:NCA9'!H$32)-SUM('MDA1:NCA9'!H$34))</f>
        <v>43405.959568427221</v>
      </c>
      <c r="I49" s="12">
        <f>'Corp.'!I$50*(I$37-(I31-I32-I34)*$C$35)/(SUM('MDA1:NCA9'!I$37)-SUM('MDA1:NCA9'!I$31)-SUM('MDA1:NCA9'!I$32)-SUM('MDA1:NCA9'!I$34))</f>
        <v>40845.282590738512</v>
      </c>
      <c r="J49" s="12">
        <f>'Corp.'!J$50*(J$37-(J31-J32-J34)*$C$35)/(SUM('MDA1:NCA9'!J$37)-SUM('MDA1:NCA9'!J$31)-SUM('MDA1:NCA9'!J$32)-SUM('MDA1:NCA9'!J$34))</f>
        <v>38176.736369385922</v>
      </c>
      <c r="K49" s="12">
        <f>'Corp.'!K$50*(K$37-(K31-K32-K34)*$C$35)/(SUM('MDA1:NCA9'!K$37)-SUM('MDA1:NCA9'!K$31)-SUM('MDA1:NCA9'!K$32)-SUM('MDA1:NCA9'!K$34))</f>
        <v>35064.884777844185</v>
      </c>
      <c r="L49" s="12">
        <f>'Corp.'!L$50*(L$37-(L31-L32-L34)*$C$35)/(SUM('MDA1:NCA9'!L$37)-SUM('MDA1:NCA9'!L$31)-SUM('MDA1:NCA9'!L$32)-SUM('MDA1:NCA9'!L$34))</f>
        <v>33136.240544102926</v>
      </c>
      <c r="M49" s="12">
        <f>'Corp.'!M$50*(M$37-(M31-M32-M34)*$C$35)/(SUM('MDA1:NCA9'!M$37)-SUM('MDA1:NCA9'!M$31)-SUM('MDA1:NCA9'!M$32)-SUM('MDA1:NCA9'!M$34))</f>
        <v>31053.701327230014</v>
      </c>
      <c r="N49" s="12">
        <f>'Corp.'!N$50*(N$37-(N31-N32-N34)*$C$35)/(SUM('MDA1:NCA9'!N$37)-SUM('MDA1:NCA9'!N$31)-SUM('MDA1:NCA9'!N$32)-SUM('MDA1:NCA9'!N$34))</f>
        <v>29261.314552084037</v>
      </c>
      <c r="O49" s="12">
        <f>'Corp.'!O$50*(O$37-(O31-O32-O34)*$C$35)/(SUM('MDA1:NCA9'!O$37)-SUM('MDA1:NCA9'!O$31)-SUM('MDA1:NCA9'!O$32)-SUM('MDA1:NCA9'!O$34))</f>
        <v>27385.636572022042</v>
      </c>
      <c r="P49" s="12">
        <f>'Corp.'!P$50*(P$37-(P31-P32-P34)*$C$35)/(SUM('MDA1:NCA9'!P$37)-SUM('MDA1:NCA9'!P$31)-SUM('MDA1:NCA9'!P$32)-SUM('MDA1:NCA9'!P$34))</f>
        <v>25842.383488547606</v>
      </c>
      <c r="Q49" s="12">
        <f>'Corp.'!Q$50*(Q$37-(Q31-Q32-Q34)*$C$35)/(SUM('MDA1:NCA9'!Q$37)-SUM('MDA1:NCA9'!Q$31)-SUM('MDA1:NCA9'!Q$32)-SUM('MDA1:NCA9'!Q$34))</f>
        <v>26715.285637054039</v>
      </c>
      <c r="R49" s="12">
        <f>'Corp.'!R$50*(R$37-(R31-R32-R34)*$C$35)/(SUM('MDA1:NCA9'!R$37)-SUM('MDA1:NCA9'!R$31)-SUM('MDA1:NCA9'!R$32)-SUM('MDA1:NCA9'!R$34))</f>
        <v>25703.398393194864</v>
      </c>
      <c r="S49" s="12">
        <f>'Corp.'!S$50*(S$37-(S31-S32-S34)*$C$35)/(SUM('MDA1:NCA9'!S$37)-SUM('MDA1:NCA9'!S$31)-SUM('MDA1:NCA9'!S$32)-SUM('MDA1:NCA9'!S$34))</f>
        <v>24591.129338964314</v>
      </c>
      <c r="T49" s="12">
        <f>'Corp.'!T$50*(T$37-(T31-T32-T34)*$C$35)/(SUM('MDA1:NCA9'!T$37)-SUM('MDA1:NCA9'!T$31)-SUM('MDA1:NCA9'!T$32)-SUM('MDA1:NCA9'!T$34))</f>
        <v>23649.637905573869</v>
      </c>
      <c r="U49" s="12">
        <f>'Corp.'!U$50*(U$37-(U31-U32-U34)*$C$35)/(SUM('MDA1:NCA9'!U$37)-SUM('MDA1:NCA9'!U$31)-SUM('MDA1:NCA9'!U$32)-SUM('MDA1:NCA9'!U$34))</f>
        <v>23004.138821938694</v>
      </c>
      <c r="V49" s="12">
        <f>'Corp.'!V$50*(V$37-(V31-V32-V34)*$C$35)/(SUM('MDA1:NCA9'!V$37)-SUM('MDA1:NCA9'!V$31)-SUM('MDA1:NCA9'!V$32)-SUM('MDA1:NCA9'!V$34))</f>
        <v>22477.864942703804</v>
      </c>
      <c r="W49" s="12">
        <f>'Corp.'!W$50*(W$37-(W31-W32-W34)*$C$35)/(SUM('MDA1:NCA9'!W$37)-SUM('MDA1:NCA9'!W$31)-SUM('MDA1:NCA9'!W$32)-SUM('MDA1:NCA9'!W$34))</f>
        <v>21794.706296202392</v>
      </c>
      <c r="X49" s="12">
        <f>'Corp.'!X$50*(X$37-(X31-X32-X34)*$C$35)/(SUM('MDA1:NCA9'!X$37)-SUM('MDA1:NCA9'!X$31)-SUM('MDA1:NCA9'!X$32)-SUM('MDA1:NCA9'!X$34))</f>
        <v>21112.016371749782</v>
      </c>
      <c r="Y49" s="12">
        <f>'Corp.'!Y$50*(Y$37-(Y31-Y32-Y34)*$C$35)/(SUM('MDA1:NCA9'!Y$37)-SUM('MDA1:NCA9'!Y$31)-SUM('MDA1:NCA9'!Y$32)-SUM('MDA1:NCA9'!Y$34))</f>
        <v>20664.728365822371</v>
      </c>
      <c r="Z49" s="12">
        <f>'Corp.'!Z$50*(Z$37-(Z31-Z32-Z34)*$C$35)/(SUM('MDA1:NCA9'!Z$37)-SUM('MDA1:NCA9'!Z$31)-SUM('MDA1:NCA9'!Z$32)-SUM('MDA1:NCA9'!Z$34))</f>
        <v>20215.940059475604</v>
      </c>
      <c r="AA49" s="12">
        <f>'Corp.'!AA$50*(AA$37-(AA31-AA32-AA34)*$C$35)/(SUM('MDA1:NCA9'!AA$37)-SUM('MDA1:NCA9'!AA$31)-SUM('MDA1:NCA9'!AA$32)-SUM('MDA1:NCA9'!AA$34))</f>
        <v>19753.736215901656</v>
      </c>
      <c r="AB49" s="12">
        <f>'Corp.'!AB$50*(AB$37-(AB31-AB32-AB34)*$C$35)/(SUM('MDA1:NCA9'!AB$37)-SUM('MDA1:NCA9'!AB$31)-SUM('MDA1:NCA9'!AB$32)-SUM('MDA1:NCA9'!AB$34))</f>
        <v>19305.445123185385</v>
      </c>
      <c r="AC49" s="12">
        <f>'Corp.'!AC$50*(AC$37-(AC31-AC32-AC34)*$C$35)/(SUM('MDA1:NCA9'!AC$37)-SUM('MDA1:NCA9'!AC$31)-SUM('MDA1:NCA9'!AC$32)-SUM('MDA1:NCA9'!AC$34))</f>
        <v>20719.516469539816</v>
      </c>
      <c r="AD49" s="12">
        <f>'Corp.'!AD$50*(AD$37-(AD31-AD32-AD34)*$C$35)/(SUM('MDA1:NCA9'!AD$37)-SUM('MDA1:NCA9'!AD$31)-SUM('MDA1:NCA9'!AD$32)-SUM('MDA1:NCA9'!AD$34))</f>
        <v>20379.134638182251</v>
      </c>
      <c r="AE49" s="12">
        <f>'Corp.'!AE$50*(AE$37-(AE31-AE32-AE34)*$C$35)/(SUM('MDA1:NCA9'!AE$37)-SUM('MDA1:NCA9'!AE$31)-SUM('MDA1:NCA9'!AE$32)-SUM('MDA1:NCA9'!AE$34))</f>
        <v>20058.186789880387</v>
      </c>
      <c r="AF49" s="12">
        <f>'Corp.'!AF$50*(AF$37-(AF31-AF32-AF34)*$C$35)/(SUM('MDA1:NCA9'!AF$37)-SUM('MDA1:NCA9'!AF$31)-SUM('MDA1:NCA9'!AF$32)-SUM('MDA1:NCA9'!AF$34))</f>
        <v>19757.448133820872</v>
      </c>
      <c r="AG49" s="12">
        <f>'Corp.'!AG$50*(AG$37-(AG31-AG32-AG34)*$C$35)/(SUM('MDA1:NCA9'!AG$37)-SUM('MDA1:NCA9'!AG$31)-SUM('MDA1:NCA9'!AG$32)-SUM('MDA1:NCA9'!AG$34))</f>
        <v>19516.269722389636</v>
      </c>
      <c r="AH49" s="12">
        <f>'Corp.'!AH$50*(AH$37-(AH31-AH32-AH34)*$C$35)/(SUM('MDA1:NCA9'!AH$37)-SUM('MDA1:NCA9'!AH$31)-SUM('MDA1:NCA9'!AH$32)-SUM('MDA1:NCA9'!AH$34))</f>
        <v>19199.030064611441</v>
      </c>
      <c r="AI49" s="12">
        <f>'Corp.'!AI$50*(AI$37-(AI31-AI32-AI34)*$C$35)/(SUM('MDA1:NCA9'!AI$37)-SUM('MDA1:NCA9'!AI$31)-SUM('MDA1:NCA9'!AI$32)-SUM('MDA1:NCA9'!AI$34))</f>
        <v>18868.429229546611</v>
      </c>
      <c r="AJ49" s="12">
        <f>'Corp.'!AJ$50*(AJ$37-(AJ31-AJ32-AJ34)*$C$35)/(SUM('MDA1:NCA9'!AJ$37)-SUM('MDA1:NCA9'!AJ$31)-SUM('MDA1:NCA9'!AJ$32)-SUM('MDA1:NCA9'!AJ$34))</f>
        <v>18529.707462406346</v>
      </c>
      <c r="AK49" s="12">
        <f>'Corp.'!AK$50*(AK$37-(AK31-AK32-AK34)*$C$35)/(SUM('MDA1:NCA9'!AK$37)-SUM('MDA1:NCA9'!AK$31)-SUM('MDA1:NCA9'!AK$32)-SUM('MDA1:NCA9'!AK$34))</f>
        <v>18216.940017190416</v>
      </c>
      <c r="AL49" s="12">
        <f>'Corp.'!AL$50*(AL$37-(AL31-AL32-AL34)*$C$35)/(SUM('MDA1:NCA9'!AL$37)-SUM('MDA1:NCA9'!AL$31)-SUM('MDA1:NCA9'!AL$32)-SUM('MDA1:NCA9'!AL$34))</f>
        <v>17929.925615056291</v>
      </c>
      <c r="AM49" s="12">
        <f>'Corp.'!AM$50*(AM$37-(AM31-AM32-AM34)*$C$35)/(SUM('MDA1:NCA9'!AM$37)-SUM('MDA1:NCA9'!AM$31)-SUM('MDA1:NCA9'!AM$32)-SUM('MDA1:NCA9'!AM$34))</f>
        <v>17620.825413401722</v>
      </c>
      <c r="AN49" s="12">
        <f>'Corp.'!AN$50*(AN$37-(AN31-AN32-AN34)*$C$35)/(SUM('MDA1:NCA9'!AN$37)-SUM('MDA1:NCA9'!AN$31)-SUM('MDA1:NCA9'!AN$32)-SUM('MDA1:NCA9'!AN$34))</f>
        <v>17357.342744210993</v>
      </c>
    </row>
    <row r="50" spans="2:40" x14ac:dyDescent="0.25">
      <c r="B50" s="1" t="s">
        <v>272</v>
      </c>
      <c r="E50" s="13" cm="1">
        <f t="array" ref="E50:AN50">_xlfn.BYCOL(_xlfn.VSTACK(_xlfn.ANCHORARRAY(E40),_xlfn.ANCHORARRAY(E42),_xlfn.ANCHORARRAY(E43),_xlfn.ANCHORARRAY(E45),_xlfn.ANCHORARRAY(E46),_xlfn.ANCHORARRAY(E47),_xlfn.ANCHORARRAY(E48),_xlfn.HSTACK(E49:AN49)),_xlfn.LAMBDA(_xlpm.a,SUM(_xlpm.a)))</f>
        <v>135303.88926942772</v>
      </c>
      <c r="F50" s="13">
        <v>131894.66556342007</v>
      </c>
      <c r="G50" s="13">
        <v>127206.08201665559</v>
      </c>
      <c r="H50" s="13">
        <v>123136.59487684519</v>
      </c>
      <c r="I50" s="13">
        <v>120575.91789915648</v>
      </c>
      <c r="J50" s="13">
        <v>117907.37167780389</v>
      </c>
      <c r="K50" s="13">
        <v>114795.52008626216</v>
      </c>
      <c r="L50" s="13">
        <v>112866.8758525209</v>
      </c>
      <c r="M50" s="13">
        <v>110784.33663564798</v>
      </c>
      <c r="N50" s="13">
        <v>108991.94986050201</v>
      </c>
      <c r="O50" s="13">
        <v>107116.27188044001</v>
      </c>
      <c r="P50" s="13">
        <v>105573.01879696558</v>
      </c>
      <c r="Q50" s="13">
        <v>113891.18447631381</v>
      </c>
      <c r="R50" s="13">
        <v>112879.29723245463</v>
      </c>
      <c r="S50" s="13">
        <v>111767.02817822408</v>
      </c>
      <c r="T50" s="13">
        <v>110825.53674483363</v>
      </c>
      <c r="U50" s="13">
        <v>110180.03766119847</v>
      </c>
      <c r="V50" s="13">
        <v>109653.76378196357</v>
      </c>
      <c r="W50" s="13">
        <v>108970.60513546216</v>
      </c>
      <c r="X50" s="13">
        <v>108287.91521100955</v>
      </c>
      <c r="Y50" s="13">
        <v>107840.62720508214</v>
      </c>
      <c r="Z50" s="13">
        <v>107391.83889873537</v>
      </c>
      <c r="AA50" s="13">
        <v>106929.63505516143</v>
      </c>
      <c r="AB50" s="13">
        <v>106481.34396244516</v>
      </c>
      <c r="AC50" s="13">
        <v>116074.64919272558</v>
      </c>
      <c r="AD50" s="13">
        <v>115734.26736136802</v>
      </c>
      <c r="AE50" s="13">
        <v>115413.31951306616</v>
      </c>
      <c r="AF50" s="13">
        <v>115112.58085700664</v>
      </c>
      <c r="AG50" s="13">
        <v>114871.40244557541</v>
      </c>
      <c r="AH50" s="13">
        <v>114554.16278779722</v>
      </c>
      <c r="AI50" s="13">
        <v>114223.56195273239</v>
      </c>
      <c r="AJ50" s="13">
        <v>113884.84018559213</v>
      </c>
      <c r="AK50" s="13">
        <v>113572.07274037618</v>
      </c>
      <c r="AL50" s="13">
        <v>113285.05833824206</v>
      </c>
      <c r="AM50" s="13">
        <v>112975.95813658749</v>
      </c>
      <c r="AN50" s="13">
        <v>112712.47546739677</v>
      </c>
    </row>
    <row r="52" spans="2:40" x14ac:dyDescent="0.25">
      <c r="B52" s="1" t="s">
        <v>48</v>
      </c>
      <c r="E52" s="74">
        <f>E37-E50</f>
        <v>32354.796460492274</v>
      </c>
      <c r="F52" s="74">
        <f t="shared" ref="F52:AN52" si="0">F37-F50</f>
        <v>35764.020166499919</v>
      </c>
      <c r="G52" s="74">
        <f t="shared" si="0"/>
        <v>40452.603713264398</v>
      </c>
      <c r="H52" s="74">
        <f t="shared" si="0"/>
        <v>44522.090853074798</v>
      </c>
      <c r="I52" s="74">
        <f t="shared" si="0"/>
        <v>47082.767830763507</v>
      </c>
      <c r="J52" s="74">
        <f t="shared" si="0"/>
        <v>49751.314052116097</v>
      </c>
      <c r="K52" s="74">
        <f t="shared" si="0"/>
        <v>52863.165643657834</v>
      </c>
      <c r="L52" s="74">
        <f t="shared" si="0"/>
        <v>54791.809877399093</v>
      </c>
      <c r="M52" s="74">
        <f t="shared" si="0"/>
        <v>56874.349094272009</v>
      </c>
      <c r="N52" s="74">
        <f t="shared" si="0"/>
        <v>58666.735869417986</v>
      </c>
      <c r="O52" s="74">
        <f t="shared" si="0"/>
        <v>60542.413849479984</v>
      </c>
      <c r="P52" s="74">
        <f t="shared" si="0"/>
        <v>62085.666932954409</v>
      </c>
      <c r="Q52" s="74">
        <f t="shared" si="0"/>
        <v>58797.261825503767</v>
      </c>
      <c r="R52" s="74">
        <f t="shared" si="0"/>
        <v>59809.149069362946</v>
      </c>
      <c r="S52" s="74">
        <f t="shared" si="0"/>
        <v>60921.418123593496</v>
      </c>
      <c r="T52" s="74">
        <f t="shared" si="0"/>
        <v>61862.909556983941</v>
      </c>
      <c r="U52" s="74">
        <f t="shared" si="0"/>
        <v>62508.408640619105</v>
      </c>
      <c r="V52" s="74">
        <f t="shared" si="0"/>
        <v>63034.682519854003</v>
      </c>
      <c r="W52" s="74">
        <f t="shared" si="0"/>
        <v>63717.841166355414</v>
      </c>
      <c r="X52" s="74">
        <f t="shared" si="0"/>
        <v>64400.531090808028</v>
      </c>
      <c r="Y52" s="74">
        <f t="shared" si="0"/>
        <v>64847.819096735431</v>
      </c>
      <c r="Z52" s="74">
        <f t="shared" si="0"/>
        <v>65296.607403082206</v>
      </c>
      <c r="AA52" s="74">
        <f t="shared" si="0"/>
        <v>65758.811246656143</v>
      </c>
      <c r="AB52" s="74">
        <f t="shared" si="0"/>
        <v>66207.102339372417</v>
      </c>
      <c r="AC52" s="74">
        <f t="shared" si="0"/>
        <v>56613.797109091989</v>
      </c>
      <c r="AD52" s="74">
        <f t="shared" si="0"/>
        <v>56954.17894044955</v>
      </c>
      <c r="AE52" s="74">
        <f t="shared" si="0"/>
        <v>57275.126788751411</v>
      </c>
      <c r="AF52" s="74">
        <f t="shared" si="0"/>
        <v>57575.86544481093</v>
      </c>
      <c r="AG52" s="74">
        <f t="shared" si="0"/>
        <v>57817.043856242162</v>
      </c>
      <c r="AH52" s="74">
        <f t="shared" si="0"/>
        <v>58134.283514020353</v>
      </c>
      <c r="AI52" s="74">
        <f t="shared" si="0"/>
        <v>58464.884349085187</v>
      </c>
      <c r="AJ52" s="74">
        <f t="shared" si="0"/>
        <v>58803.606116225448</v>
      </c>
      <c r="AK52" s="74">
        <f t="shared" si="0"/>
        <v>59116.373561441389</v>
      </c>
      <c r="AL52" s="74">
        <f t="shared" si="0"/>
        <v>59403.387963575515</v>
      </c>
      <c r="AM52" s="74">
        <f t="shared" si="0"/>
        <v>59712.488165230083</v>
      </c>
      <c r="AN52" s="74">
        <f t="shared" si="0"/>
        <v>59975.970834420805</v>
      </c>
    </row>
    <row r="53" spans="2:40" x14ac:dyDescent="0.25">
      <c r="E53" s="105">
        <f>IFERROR(E52/E37,"")</f>
        <v>0.19298013890322599</v>
      </c>
      <c r="F53" s="105">
        <f t="shared" ref="F53:AN53" si="1">IFERROR(F52/F37,"")</f>
        <v>0.21331444899974875</v>
      </c>
      <c r="G53" s="105">
        <f t="shared" si="1"/>
        <v>0.24127949910348914</v>
      </c>
      <c r="H53" s="105">
        <f t="shared" si="1"/>
        <v>0.2655519495410758</v>
      </c>
      <c r="I53" s="105">
        <f t="shared" si="1"/>
        <v>0.28082510384584997</v>
      </c>
      <c r="J53" s="105">
        <f t="shared" si="1"/>
        <v>0.296741644105812</v>
      </c>
      <c r="K53" s="105">
        <f t="shared" si="1"/>
        <v>0.3153022786353859</v>
      </c>
      <c r="L53" s="105">
        <f t="shared" si="1"/>
        <v>0.32680567450983583</v>
      </c>
      <c r="M53" s="105">
        <f t="shared" si="1"/>
        <v>0.33922697679910502</v>
      </c>
      <c r="N53" s="105">
        <f t="shared" si="1"/>
        <v>0.34991766524952816</v>
      </c>
      <c r="O53" s="105">
        <f t="shared" si="1"/>
        <v>0.36110514397689641</v>
      </c>
      <c r="P53" s="105">
        <f t="shared" si="1"/>
        <v>0.3703098748666544</v>
      </c>
      <c r="Q53" s="105">
        <f t="shared" si="1"/>
        <v>0.34048173508226715</v>
      </c>
      <c r="R53" s="105">
        <f t="shared" si="1"/>
        <v>0.3463413468022698</v>
      </c>
      <c r="S53" s="105">
        <f t="shared" si="1"/>
        <v>0.3527822470364787</v>
      </c>
      <c r="T53" s="105">
        <f t="shared" si="1"/>
        <v>0.35823421243169079</v>
      </c>
      <c r="U53" s="105">
        <f t="shared" si="1"/>
        <v>0.36197215262085081</v>
      </c>
      <c r="V53" s="105">
        <f t="shared" si="1"/>
        <v>0.36501968643394156</v>
      </c>
      <c r="W53" s="105">
        <f t="shared" si="1"/>
        <v>0.36897570469185914</v>
      </c>
      <c r="X53" s="105">
        <f t="shared" si="1"/>
        <v>0.37292900868568529</v>
      </c>
      <c r="Y53" s="105">
        <f t="shared" si="1"/>
        <v>0.37551915304974803</v>
      </c>
      <c r="Z53" s="105">
        <f t="shared" si="1"/>
        <v>0.37811798531651358</v>
      </c>
      <c r="AA53" s="105">
        <f t="shared" si="1"/>
        <v>0.38079450394571079</v>
      </c>
      <c r="AB53" s="105">
        <f t="shared" si="1"/>
        <v>0.38339045696003565</v>
      </c>
      <c r="AC53" s="105">
        <f t="shared" si="1"/>
        <v>0.32783778140052744</v>
      </c>
      <c r="AD53" s="105">
        <f t="shared" si="1"/>
        <v>0.3298088561229362</v>
      </c>
      <c r="AE53" s="105">
        <f t="shared" si="1"/>
        <v>0.33166739301509707</v>
      </c>
      <c r="AF53" s="105">
        <f t="shared" si="1"/>
        <v>0.33340890301475212</v>
      </c>
      <c r="AG53" s="105">
        <f t="shared" si="1"/>
        <v>0.33480551301730965</v>
      </c>
      <c r="AH53" s="105">
        <f t="shared" si="1"/>
        <v>0.33664257661115154</v>
      </c>
      <c r="AI53" s="105">
        <f t="shared" si="1"/>
        <v>0.33855701178122088</v>
      </c>
      <c r="AJ53" s="105">
        <f t="shared" si="1"/>
        <v>0.34051847344466224</v>
      </c>
      <c r="AK53" s="105">
        <f t="shared" si="1"/>
        <v>0.34232963946018885</v>
      </c>
      <c r="AL53" s="105">
        <f t="shared" si="1"/>
        <v>0.34399167538836256</v>
      </c>
      <c r="AM53" s="105">
        <f t="shared" si="1"/>
        <v>0.34578160522023066</v>
      </c>
      <c r="AN53" s="105">
        <f t="shared" si="1"/>
        <v>0.34730737416907054</v>
      </c>
    </row>
    <row r="55" spans="2:40" x14ac:dyDescent="0.25">
      <c r="B55" t="s">
        <v>57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0</v>
      </c>
      <c r="D55" s="12">
        <f>C55-SUM(_xlfn.ANCHORARRAY(E55))</f>
        <v>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</row>
    <row r="56" spans="2:40" x14ac:dyDescent="0.25">
      <c r="B56" t="s">
        <v>285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-25148.802859487998</v>
      </c>
      <c r="F56" s="90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-25148.802859487998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-25148.802859487998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-25148.802859487998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-25148.802859487998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-25148.802859487998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-25148.802859487998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-25148.802859487998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-25148.802859487998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-25148.802859487998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-25148.802859487998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-25148.802859487998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-25148.802859487998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-25148.802859487998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-25148.802859487998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-25148.802859487998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-25148.802859487998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-25903.266945272637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-25903.266945272637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-25903.266945272637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-25903.266945272637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-25903.266945272637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-25903.266945272637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-25903.266945272637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-25903.266945272637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-25903.266945272637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-25903.266945272637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-25903.266945272637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-25903.266945272637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-25903.266945272637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-25903.266945272637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-25903.266945272637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-25903.266945272637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-25903.266945272637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-25903.266945272637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-25903.266945272637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276</v>
      </c>
      <c r="E58" s="13">
        <f>E37-E50-E55+E56</f>
        <v>7205.9936010042766</v>
      </c>
      <c r="F58" s="13">
        <f t="shared" ref="F58:AN58" si="2">F37-F50-F55+F56</f>
        <v>10615.217307011921</v>
      </c>
      <c r="G58" s="13">
        <f t="shared" si="2"/>
        <v>15303.8008537764</v>
      </c>
      <c r="H58" s="13">
        <f t="shared" si="2"/>
        <v>19373.2879935868</v>
      </c>
      <c r="I58" s="13">
        <f t="shared" si="2"/>
        <v>21933.964971275509</v>
      </c>
      <c r="J58" s="13">
        <f t="shared" si="2"/>
        <v>24602.511192628099</v>
      </c>
      <c r="K58" s="13">
        <f t="shared" si="2"/>
        <v>27714.362784169836</v>
      </c>
      <c r="L58" s="13">
        <f t="shared" si="2"/>
        <v>29643.007017911095</v>
      </c>
      <c r="M58" s="13">
        <f t="shared" si="2"/>
        <v>31725.546234784011</v>
      </c>
      <c r="N58" s="13">
        <f t="shared" si="2"/>
        <v>33517.933009929984</v>
      </c>
      <c r="O58" s="13">
        <f t="shared" si="2"/>
        <v>35393.610989991983</v>
      </c>
      <c r="P58" s="13">
        <f t="shared" si="2"/>
        <v>36936.864073466408</v>
      </c>
      <c r="Q58" s="13">
        <f t="shared" si="2"/>
        <v>33648.458966015765</v>
      </c>
      <c r="R58" s="13">
        <f t="shared" si="2"/>
        <v>34660.346209874944</v>
      </c>
      <c r="S58" s="13">
        <f t="shared" si="2"/>
        <v>35772.615264105494</v>
      </c>
      <c r="T58" s="13">
        <f t="shared" si="2"/>
        <v>36714.106697495939</v>
      </c>
      <c r="U58" s="13">
        <f t="shared" si="2"/>
        <v>37359.605781131104</v>
      </c>
      <c r="V58" s="13">
        <f t="shared" si="2"/>
        <v>37131.415574581362</v>
      </c>
      <c r="W58" s="13">
        <f t="shared" si="2"/>
        <v>37814.574221082774</v>
      </c>
      <c r="X58" s="13">
        <f t="shared" si="2"/>
        <v>38497.264145535388</v>
      </c>
      <c r="Y58" s="13">
        <f t="shared" si="2"/>
        <v>38944.552151462791</v>
      </c>
      <c r="Z58" s="13">
        <f t="shared" si="2"/>
        <v>39393.340457809565</v>
      </c>
      <c r="AA58" s="13">
        <f t="shared" si="2"/>
        <v>39855.544301383503</v>
      </c>
      <c r="AB58" s="13">
        <f t="shared" si="2"/>
        <v>40303.835394099777</v>
      </c>
      <c r="AC58" s="13">
        <f t="shared" si="2"/>
        <v>30710.530163819352</v>
      </c>
      <c r="AD58" s="13">
        <f t="shared" si="2"/>
        <v>31050.911995176913</v>
      </c>
      <c r="AE58" s="13">
        <f t="shared" si="2"/>
        <v>31371.859843478775</v>
      </c>
      <c r="AF58" s="13">
        <f t="shared" si="2"/>
        <v>31672.598499538293</v>
      </c>
      <c r="AG58" s="13">
        <f t="shared" si="2"/>
        <v>31913.776910969525</v>
      </c>
      <c r="AH58" s="13">
        <f t="shared" si="2"/>
        <v>32231.016568747717</v>
      </c>
      <c r="AI58" s="13">
        <f t="shared" si="2"/>
        <v>32561.61740381255</v>
      </c>
      <c r="AJ58" s="13">
        <f t="shared" si="2"/>
        <v>32900.339170952808</v>
      </c>
      <c r="AK58" s="13">
        <f t="shared" si="2"/>
        <v>33213.106616168749</v>
      </c>
      <c r="AL58" s="13">
        <f t="shared" si="2"/>
        <v>33500.121018302874</v>
      </c>
      <c r="AM58" s="13">
        <f t="shared" si="2"/>
        <v>33809.221219957442</v>
      </c>
      <c r="AN58" s="13">
        <f t="shared" si="2"/>
        <v>34072.703889148164</v>
      </c>
    </row>
    <row r="59" spans="2:40" x14ac:dyDescent="0.25">
      <c r="B59" t="s">
        <v>277</v>
      </c>
      <c r="E59" s="12" cm="1">
        <f t="array" ref="E59:AN59">_xlfn.SCAN(-D55,E58:AN58,_xlfn.LAMBDA(_xlpm.capex,_xlpm.fcf,_xlpm.capex+_xlpm.fcf))</f>
        <v>7205.9936010042766</v>
      </c>
      <c r="F59" s="12">
        <v>17821.210908016197</v>
      </c>
      <c r="G59" s="12">
        <v>33125.011761792601</v>
      </c>
      <c r="H59" s="12">
        <v>52498.299755379398</v>
      </c>
      <c r="I59" s="12">
        <v>74432.264726654903</v>
      </c>
      <c r="J59" s="12">
        <v>99034.775919282998</v>
      </c>
      <c r="K59" s="12">
        <v>126749.13870345283</v>
      </c>
      <c r="L59" s="12">
        <v>156392.14572136392</v>
      </c>
      <c r="M59" s="12">
        <v>188117.69195614793</v>
      </c>
      <c r="N59" s="12">
        <v>221635.62496607791</v>
      </c>
      <c r="O59" s="12">
        <v>257029.2359560699</v>
      </c>
      <c r="P59" s="12">
        <v>293966.10002953629</v>
      </c>
      <c r="Q59" s="12">
        <v>327614.55899555207</v>
      </c>
      <c r="R59" s="12">
        <v>362274.90520542703</v>
      </c>
      <c r="S59" s="12">
        <v>398047.52046953252</v>
      </c>
      <c r="T59" s="12">
        <v>434761.62716702849</v>
      </c>
      <c r="U59" s="12">
        <v>472121.23294815957</v>
      </c>
      <c r="V59" s="12">
        <v>509252.64852274093</v>
      </c>
      <c r="W59" s="12">
        <v>547067.22274382366</v>
      </c>
      <c r="X59" s="12">
        <v>585564.48688935908</v>
      </c>
      <c r="Y59" s="12">
        <v>624509.03904082184</v>
      </c>
      <c r="Z59" s="12">
        <v>663902.37949863146</v>
      </c>
      <c r="AA59" s="12">
        <v>703757.92380001501</v>
      </c>
      <c r="AB59" s="12">
        <v>744061.75919411483</v>
      </c>
      <c r="AC59" s="12">
        <v>774772.28935793415</v>
      </c>
      <c r="AD59" s="12">
        <v>805823.20135311107</v>
      </c>
      <c r="AE59" s="12">
        <v>837195.06119658984</v>
      </c>
      <c r="AF59" s="12">
        <v>868867.6596961281</v>
      </c>
      <c r="AG59" s="12">
        <v>900781.43660709762</v>
      </c>
      <c r="AH59" s="12">
        <v>933012.45317584532</v>
      </c>
      <c r="AI59" s="12">
        <v>965574.07057965791</v>
      </c>
      <c r="AJ59" s="12">
        <v>998474.40975061071</v>
      </c>
      <c r="AK59" s="12">
        <v>1031687.5163667795</v>
      </c>
      <c r="AL59" s="12">
        <v>1065187.6373850824</v>
      </c>
      <c r="AM59" s="12">
        <v>1098996.8586050398</v>
      </c>
      <c r="AN59" s="12">
        <v>1133069.5624941878</v>
      </c>
    </row>
    <row r="61" spans="2:40" x14ac:dyDescent="0.25">
      <c r="B61" s="1" t="s">
        <v>302</v>
      </c>
    </row>
    <row r="63" spans="2:40" x14ac:dyDescent="0.25">
      <c r="B63" s="39" t="s">
        <v>103</v>
      </c>
      <c r="E63" s="12" cm="1">
        <f t="array" ref="E63:AN63">_xlfn.LET(_xlpm.site,$B$1&amp;"-"&amp;$C$1,_xlpm.locations,Base!$D$4:$BD$4,_xlpm.rates,Base!$D$36:$BD$36,_xlpm.hours,Base!$D$79:$BD$79,_xlpm.comp,_xlpm.rates*_xlpm.hours,_xlpm.Customer,_xlfn.ANCHORARRAY($E$1),
_xlpm.Customer_comp,_xlfn.XLOOKUP(_xlpm.site,_xlpm.locations,_xlpm.comp,0,0),_xlpm.ann_incr,_xlfn.XLOOKUP(YEAR(_xlfn.ANCHORARRAY($E$25)),Base!$BJ$4:$BL$4,Base!$BJ$79:$BL$79,0,0),
_xlpm.bad_debt,_xlfn.XLOOKUP(_xlpm.site,_xlpm.locations,Base!$D$28:$BD$28,0,0),_xlpm.Customer_comp*_xlpm.Customer*_xlpm.bad_debt*_xlpm.ann_incr*(52/12)*(1-$C$35))</f>
        <v>0</v>
      </c>
      <c r="F63" s="12">
        <v>0</v>
      </c>
      <c r="G63" s="12">
        <v>0</v>
      </c>
      <c r="H63" s="12">
        <v>0</v>
      </c>
      <c r="I63" s="12">
        <v>0</v>
      </c>
      <c r="J63" s="12">
        <v>0</v>
      </c>
      <c r="K63" s="12">
        <v>0</v>
      </c>
      <c r="L63" s="12">
        <v>0</v>
      </c>
      <c r="M63" s="12">
        <v>0</v>
      </c>
      <c r="N63" s="12">
        <v>0</v>
      </c>
      <c r="O63" s="12">
        <v>0</v>
      </c>
      <c r="P63" s="12">
        <v>0</v>
      </c>
      <c r="Q63" s="12">
        <v>0</v>
      </c>
      <c r="R63" s="12">
        <v>0</v>
      </c>
      <c r="S63" s="12">
        <v>0</v>
      </c>
      <c r="T63" s="12">
        <v>0</v>
      </c>
      <c r="U63" s="12">
        <v>0</v>
      </c>
      <c r="V63" s="12">
        <v>0</v>
      </c>
      <c r="W63" s="12">
        <v>0</v>
      </c>
      <c r="X63" s="12">
        <v>0</v>
      </c>
      <c r="Y63" s="12">
        <v>0</v>
      </c>
      <c r="Z63" s="12">
        <v>0</v>
      </c>
      <c r="AA63" s="12">
        <v>0</v>
      </c>
      <c r="AB63" s="12">
        <v>0</v>
      </c>
      <c r="AC63" s="12">
        <v>0</v>
      </c>
      <c r="AD63" s="12">
        <v>0</v>
      </c>
      <c r="AE63" s="12">
        <v>0</v>
      </c>
      <c r="AF63" s="12">
        <v>0</v>
      </c>
      <c r="AG63" s="12">
        <v>0</v>
      </c>
      <c r="AH63" s="12">
        <v>0</v>
      </c>
      <c r="AI63" s="12">
        <v>0</v>
      </c>
      <c r="AJ63" s="12">
        <v>0</v>
      </c>
      <c r="AK63" s="12">
        <v>0</v>
      </c>
      <c r="AL63" s="12">
        <v>0</v>
      </c>
      <c r="AM63" s="12">
        <v>0</v>
      </c>
      <c r="AN63" s="12">
        <v>0</v>
      </c>
    </row>
    <row r="64" spans="2:40" x14ac:dyDescent="0.25">
      <c r="B64" s="39" t="s">
        <v>104</v>
      </c>
      <c r="E64" s="12" cm="1">
        <f t="array" ref="E64:AN64">_xlfn.LET(_xlpm.site,$B$1&amp;"-"&amp;$C$1,_xlpm.locations,Base!$D$4:$BD$4,_xlpm.rates,Base!$D$37:$BD$37,_xlpm.hours,Base!$D$80:$BD$80,_xlpm.comp,_xlpm.rates*_xlpm.hours,_xlpm.Customer,_xlfn.ANCHORARRAY($E$1),
_xlpm.Customer_comp,_xlfn.XLOOKUP(_xlpm.site,_xlpm.locations,_xlpm.comp,0,0),_xlpm.ann_incr,_xlfn.XLOOKUP(YEAR(_xlfn.ANCHORARRAY($E$25)),Base!$BJ$4:$BL$4,Base!$BJ$80:$BL$80,0,0),
_xlpm.bad_debt,_xlfn.XLOOKUP(_xlpm.site,_xlpm.locations,Base!$D$28:$BD$28,0,0),_xlpm.Customer_comp*_xlpm.Customer*_xlpm.bad_debt*_xlpm.ann_incr*(52/12)*(1-$C$35))</f>
        <v>0</v>
      </c>
      <c r="F64" s="12">
        <v>0</v>
      </c>
      <c r="G64" s="12">
        <v>0</v>
      </c>
      <c r="H64" s="12">
        <v>0</v>
      </c>
      <c r="I64" s="12">
        <v>0</v>
      </c>
      <c r="J64" s="12">
        <v>0</v>
      </c>
      <c r="K64" s="12">
        <v>0</v>
      </c>
      <c r="L64" s="12">
        <v>0</v>
      </c>
      <c r="M64" s="12">
        <v>0</v>
      </c>
      <c r="N64" s="12">
        <v>0</v>
      </c>
      <c r="O64" s="12">
        <v>0</v>
      </c>
      <c r="P64" s="12">
        <v>0</v>
      </c>
      <c r="Q64" s="12">
        <v>0</v>
      </c>
      <c r="R64" s="12">
        <v>0</v>
      </c>
      <c r="S64" s="12">
        <v>0</v>
      </c>
      <c r="T64" s="12">
        <v>0</v>
      </c>
      <c r="U64" s="12">
        <v>0</v>
      </c>
      <c r="V64" s="12">
        <v>0</v>
      </c>
      <c r="W64" s="12">
        <v>0</v>
      </c>
      <c r="X64" s="12">
        <v>0</v>
      </c>
      <c r="Y64" s="12">
        <v>0</v>
      </c>
      <c r="Z64" s="12">
        <v>0</v>
      </c>
      <c r="AA64" s="12">
        <v>0</v>
      </c>
      <c r="AB64" s="12">
        <v>0</v>
      </c>
      <c r="AC64" s="12">
        <v>0</v>
      </c>
      <c r="AD64" s="12">
        <v>0</v>
      </c>
      <c r="AE64" s="12">
        <v>0</v>
      </c>
      <c r="AF64" s="12">
        <v>0</v>
      </c>
      <c r="AG64" s="12">
        <v>0</v>
      </c>
      <c r="AH64" s="12">
        <v>0</v>
      </c>
      <c r="AI64" s="12">
        <v>0</v>
      </c>
      <c r="AJ64" s="12">
        <v>0</v>
      </c>
      <c r="AK64" s="12">
        <v>0</v>
      </c>
      <c r="AL64" s="12">
        <v>0</v>
      </c>
      <c r="AM64" s="12">
        <v>0</v>
      </c>
      <c r="AN64" s="12">
        <v>0</v>
      </c>
    </row>
    <row r="65" spans="2:40" x14ac:dyDescent="0.25">
      <c r="B65" s="39" t="s">
        <v>56</v>
      </c>
      <c r="E65" s="12" cm="1">
        <f t="array" ref="E65:AN65">_xlfn.LET(_xlpm.site,$B$1&amp;"-"&amp;$C$1,_xlpm.locations,Base!$D$4:$BD$4,_xlpm.rates,Base!$D$39:$BD$39,_xlpm.hours,Base!$D$82:$BD$82,_xlpm.comp,_xlpm.rates*_xlpm.hours,_xlpm.Customer,_xlfn.ANCHORARRAY($E$1),
_xlpm.Customer_comp,_xlfn.XLOOKUP(_xlpm.site,_xlpm.locations,_xlpm.comp,0,0),_xlpm.ann_incr,_xlfn.XLOOKUP(YEAR(_xlfn.ANCHORARRAY($E$25)),Base!$BJ$4:$BL$4,Base!$BJ$82:$BL$82,0,0),
_xlpm.bad_debt,_xlfn.XLOOKUP(_xlpm.site,_xlpm.locations,Base!$D$28:$BD$28,0,0),_xlpm.Customer_comp*_xlpm.Customer*_xlpm.bad_debt*_xlpm.ann_incr*(52/12)*(1-$C$35))</f>
        <v>0</v>
      </c>
      <c r="F65" s="12">
        <v>0</v>
      </c>
      <c r="G65" s="12">
        <v>0</v>
      </c>
      <c r="H65" s="12">
        <v>0</v>
      </c>
      <c r="I65" s="12">
        <v>0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  <c r="O65" s="12">
        <v>0</v>
      </c>
      <c r="P65" s="12">
        <v>0</v>
      </c>
      <c r="Q65" s="12">
        <v>0</v>
      </c>
      <c r="R65" s="12">
        <v>0</v>
      </c>
      <c r="S65" s="12">
        <v>0</v>
      </c>
      <c r="T65" s="12">
        <v>0</v>
      </c>
      <c r="U65" s="12">
        <v>0</v>
      </c>
      <c r="V65" s="12">
        <v>0</v>
      </c>
      <c r="W65" s="12">
        <v>0</v>
      </c>
      <c r="X65" s="12">
        <v>0</v>
      </c>
      <c r="Y65" s="12">
        <v>0</v>
      </c>
      <c r="Z65" s="12">
        <v>0</v>
      </c>
      <c r="AA65" s="12">
        <v>0</v>
      </c>
      <c r="AB65" s="12">
        <v>0</v>
      </c>
      <c r="AC65" s="12">
        <v>0</v>
      </c>
      <c r="AD65" s="12">
        <v>0</v>
      </c>
      <c r="AE65" s="12">
        <v>0</v>
      </c>
      <c r="AF65" s="12">
        <v>0</v>
      </c>
      <c r="AG65" s="12">
        <v>0</v>
      </c>
      <c r="AH65" s="12">
        <v>0</v>
      </c>
      <c r="AI65" s="12">
        <v>0</v>
      </c>
      <c r="AJ65" s="12">
        <v>0</v>
      </c>
      <c r="AK65" s="12">
        <v>0</v>
      </c>
      <c r="AL65" s="12">
        <v>0</v>
      </c>
      <c r="AM65" s="12">
        <v>0</v>
      </c>
      <c r="AN65" s="12">
        <v>0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303</v>
      </c>
      <c r="C67" s="12"/>
      <c r="E67" s="13" cm="1">
        <f t="array" ref="E67:AN67">_xlfn.BYCOL(_xlfn.VSTACK(_xlfn.ANCHORARRAY($E$63),_xlfn.ANCHORARRAY($E$64),_xlfn.ANCHORARRAY($E$65)),_xlfn.LAMBDA(_xlpm.a,SUM(_xlpm.a)))</f>
        <v>0</v>
      </c>
      <c r="F67" s="13">
        <v>0</v>
      </c>
      <c r="G67" s="13">
        <v>0</v>
      </c>
      <c r="H67" s="13">
        <v>0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  <c r="W67" s="13">
        <v>0</v>
      </c>
      <c r="X67" s="13">
        <v>0</v>
      </c>
      <c r="Y67" s="13">
        <v>0</v>
      </c>
      <c r="Z67" s="13">
        <v>0</v>
      </c>
      <c r="AA67" s="13">
        <v>0</v>
      </c>
      <c r="AB67" s="13">
        <v>0</v>
      </c>
      <c r="AC67" s="13">
        <v>0</v>
      </c>
      <c r="AD67" s="13">
        <v>0</v>
      </c>
      <c r="AE67" s="13">
        <v>0</v>
      </c>
      <c r="AF67" s="13">
        <v>0</v>
      </c>
      <c r="AG67" s="13">
        <v>0</v>
      </c>
      <c r="AH67" s="13">
        <v>0</v>
      </c>
      <c r="AI67" s="13">
        <v>0</v>
      </c>
      <c r="AJ67" s="13">
        <v>0</v>
      </c>
      <c r="AK67" s="13">
        <v>0</v>
      </c>
      <c r="AL67" s="13">
        <v>0</v>
      </c>
      <c r="AM67" s="13">
        <v>0</v>
      </c>
      <c r="AN67" s="13">
        <v>0</v>
      </c>
    </row>
    <row r="68" spans="2:40" x14ac:dyDescent="0.25">
      <c r="B68" s="39"/>
      <c r="C68" s="12"/>
    </row>
    <row r="69" spans="2:40" x14ac:dyDescent="0.25">
      <c r="B69" s="39" t="s">
        <v>304</v>
      </c>
      <c r="C69" s="12"/>
      <c r="E69" s="106" cm="1">
        <f t="array" ref="E69:AN70">_xlfn.LET(_xlpm.Customer_staff,_xlfn._xlws.FILTER(Base!$D$96:$BD$97,ISNUMBER(SEARCH($B$1&amp;"-"&amp;$C$1,Base!$D$4:$BD$4))),_xlpm.Customer,_xlfn.ANCHORARRAY($E$1),_xlpm.headcount,_xlpm.Customer/_xlpm.Customer_staff,
_xlpm.rounding,_xlfn.VSTACK(0,0),IFERROR(ROUND(_xlpm.headcount,_xlpm.rounding),0))</f>
        <v>0</v>
      </c>
      <c r="F69" s="106">
        <v>0</v>
      </c>
      <c r="G69" s="106">
        <v>0</v>
      </c>
      <c r="H69" s="106">
        <v>0</v>
      </c>
      <c r="I69" s="106">
        <v>0</v>
      </c>
      <c r="J69" s="106">
        <v>0</v>
      </c>
      <c r="K69" s="106">
        <v>0</v>
      </c>
      <c r="L69" s="106">
        <v>0</v>
      </c>
      <c r="M69" s="106">
        <v>0</v>
      </c>
      <c r="N69" s="106">
        <v>0</v>
      </c>
      <c r="O69" s="106">
        <v>0</v>
      </c>
      <c r="P69" s="106">
        <v>0</v>
      </c>
      <c r="Q69" s="106">
        <v>0</v>
      </c>
      <c r="R69" s="106">
        <v>0</v>
      </c>
      <c r="S69" s="106">
        <v>0</v>
      </c>
      <c r="T69" s="106">
        <v>0</v>
      </c>
      <c r="U69" s="106">
        <v>0</v>
      </c>
      <c r="V69" s="106">
        <v>0</v>
      </c>
      <c r="W69" s="106">
        <v>0</v>
      </c>
      <c r="X69" s="106">
        <v>0</v>
      </c>
      <c r="Y69" s="106">
        <v>0</v>
      </c>
      <c r="Z69" s="106">
        <v>0</v>
      </c>
      <c r="AA69" s="106">
        <v>0</v>
      </c>
      <c r="AB69" s="106">
        <v>0</v>
      </c>
      <c r="AC69" s="106">
        <v>0</v>
      </c>
      <c r="AD69" s="106">
        <v>0</v>
      </c>
      <c r="AE69" s="106">
        <v>0</v>
      </c>
      <c r="AF69" s="106">
        <v>0</v>
      </c>
      <c r="AG69" s="106">
        <v>0</v>
      </c>
      <c r="AH69" s="106">
        <v>0</v>
      </c>
      <c r="AI69" s="106">
        <v>0</v>
      </c>
      <c r="AJ69" s="106">
        <v>0</v>
      </c>
      <c r="AK69" s="106">
        <v>0</v>
      </c>
      <c r="AL69" s="106">
        <v>0</v>
      </c>
      <c r="AM69" s="106">
        <v>0</v>
      </c>
      <c r="AN69" s="106">
        <v>0</v>
      </c>
    </row>
    <row r="70" spans="2:40" x14ac:dyDescent="0.25">
      <c r="B70" s="39" t="s">
        <v>305</v>
      </c>
      <c r="C70" s="12"/>
      <c r="E70" s="106">
        <v>0</v>
      </c>
      <c r="F70" s="106">
        <v>0</v>
      </c>
      <c r="G70" s="106">
        <v>0</v>
      </c>
      <c r="H70" s="106">
        <v>0</v>
      </c>
      <c r="I70" s="106">
        <v>0</v>
      </c>
      <c r="J70" s="106">
        <v>0</v>
      </c>
      <c r="K70" s="106">
        <v>0</v>
      </c>
      <c r="L70" s="106">
        <v>0</v>
      </c>
      <c r="M70" s="106">
        <v>0</v>
      </c>
      <c r="N70" s="106">
        <v>0</v>
      </c>
      <c r="O70" s="106">
        <v>0</v>
      </c>
      <c r="P70" s="106">
        <v>0</v>
      </c>
      <c r="Q70" s="106">
        <v>0</v>
      </c>
      <c r="R70" s="106">
        <v>0</v>
      </c>
      <c r="S70" s="106">
        <v>0</v>
      </c>
      <c r="T70" s="106">
        <v>0</v>
      </c>
      <c r="U70" s="106">
        <v>0</v>
      </c>
      <c r="V70" s="106">
        <v>0</v>
      </c>
      <c r="W70" s="106">
        <v>0</v>
      </c>
      <c r="X70" s="106">
        <v>0</v>
      </c>
      <c r="Y70" s="106">
        <v>0</v>
      </c>
      <c r="Z70" s="106">
        <v>0</v>
      </c>
      <c r="AA70" s="106">
        <v>0</v>
      </c>
      <c r="AB70" s="106">
        <v>0</v>
      </c>
      <c r="AC70" s="106">
        <v>0</v>
      </c>
      <c r="AD70" s="106">
        <v>0</v>
      </c>
      <c r="AE70" s="106">
        <v>0</v>
      </c>
      <c r="AF70" s="106">
        <v>0</v>
      </c>
      <c r="AG70" s="106">
        <v>0</v>
      </c>
      <c r="AH70" s="106">
        <v>0</v>
      </c>
      <c r="AI70" s="106">
        <v>0</v>
      </c>
      <c r="AJ70" s="106">
        <v>0</v>
      </c>
      <c r="AK70" s="106">
        <v>0</v>
      </c>
      <c r="AL70" s="106">
        <v>0</v>
      </c>
      <c r="AM70" s="106">
        <v>0</v>
      </c>
      <c r="AN70" s="106">
        <v>0</v>
      </c>
    </row>
    <row r="71" spans="2:40" x14ac:dyDescent="0.25">
      <c r="B71" s="39"/>
      <c r="C71" s="12"/>
    </row>
    <row r="72" spans="2:40" x14ac:dyDescent="0.25">
      <c r="B72" s="39" t="s">
        <v>23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3.7758417977584176E-2</v>
      </c>
      <c r="F72" s="12">
        <v>3.7758417977584176E-2</v>
      </c>
      <c r="G72" s="12">
        <v>3.7758417977584176E-2</v>
      </c>
      <c r="H72" s="12">
        <v>3.7758417977584176E-2</v>
      </c>
      <c r="I72" s="12">
        <v>3.7758417977584176E-2</v>
      </c>
      <c r="J72" s="12">
        <v>3.7758417977584176E-2</v>
      </c>
      <c r="K72" s="12">
        <v>3.7758417977584176E-2</v>
      </c>
      <c r="L72" s="12">
        <v>3.7758417977584176E-2</v>
      </c>
      <c r="M72" s="12">
        <v>3.7758417977584176E-2</v>
      </c>
      <c r="N72" s="12">
        <v>3.7758417977584176E-2</v>
      </c>
      <c r="O72" s="12">
        <v>3.7758417977584176E-2</v>
      </c>
      <c r="P72" s="12">
        <v>3.7758417977584176E-2</v>
      </c>
      <c r="Q72" s="12">
        <v>4.1534259775342607E-2</v>
      </c>
      <c r="R72" s="12">
        <v>4.1534259775342607E-2</v>
      </c>
      <c r="S72" s="12">
        <v>4.1534259775342607E-2</v>
      </c>
      <c r="T72" s="12">
        <v>4.1534259775342607E-2</v>
      </c>
      <c r="U72" s="12">
        <v>4.1534259775342607E-2</v>
      </c>
      <c r="V72" s="12">
        <v>4.1534259775342607E-2</v>
      </c>
      <c r="W72" s="12">
        <v>4.1534259775342607E-2</v>
      </c>
      <c r="X72" s="12">
        <v>4.1534259775342607E-2</v>
      </c>
      <c r="Y72" s="12">
        <v>4.1534259775342607E-2</v>
      </c>
      <c r="Z72" s="12">
        <v>4.1534259775342607E-2</v>
      </c>
      <c r="AA72" s="12">
        <v>4.1534259775342607E-2</v>
      </c>
      <c r="AB72" s="12">
        <v>4.1534259775342607E-2</v>
      </c>
      <c r="AC72" s="12">
        <v>4.5687685752876864E-2</v>
      </c>
      <c r="AD72" s="12">
        <v>4.5687685752876864E-2</v>
      </c>
      <c r="AE72" s="12">
        <v>4.5687685752876864E-2</v>
      </c>
      <c r="AF72" s="12">
        <v>4.5687685752876864E-2</v>
      </c>
      <c r="AG72" s="12">
        <v>4.5687685752876864E-2</v>
      </c>
      <c r="AH72" s="12">
        <v>4.5687685752876864E-2</v>
      </c>
      <c r="AI72" s="12">
        <v>4.5687685752876864E-2</v>
      </c>
      <c r="AJ72" s="12">
        <v>4.5687685752876864E-2</v>
      </c>
      <c r="AK72" s="12">
        <v>4.5687685752876864E-2</v>
      </c>
      <c r="AL72" s="12">
        <v>4.5687685752876864E-2</v>
      </c>
      <c r="AM72" s="12">
        <v>4.5687685752876864E-2</v>
      </c>
      <c r="AN72" s="12">
        <v>4.5687685752876864E-2</v>
      </c>
    </row>
    <row r="73" spans="2:40" x14ac:dyDescent="0.25">
      <c r="B73" s="39" t="s">
        <v>24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306</v>
      </c>
      <c r="E75" s="74" cm="1">
        <f t="array" ref="E75:AN75">_xlfn.ANCHORARRAY(E67)-_xlfn.ANCHORARRAY(E72)-_xlfn.ANCHORARRAY(E73)</f>
        <v>-3.7758417977584176E-2</v>
      </c>
      <c r="F75" s="74">
        <v>-3.7758417977584176E-2</v>
      </c>
      <c r="G75" s="74">
        <v>-3.7758417977584176E-2</v>
      </c>
      <c r="H75" s="74">
        <v>-3.7758417977584176E-2</v>
      </c>
      <c r="I75" s="74">
        <v>-3.7758417977584176E-2</v>
      </c>
      <c r="J75" s="74">
        <v>-3.7758417977584176E-2</v>
      </c>
      <c r="K75" s="74">
        <v>-3.7758417977584176E-2</v>
      </c>
      <c r="L75" s="74">
        <v>-3.7758417977584176E-2</v>
      </c>
      <c r="M75" s="74">
        <v>-3.7758417977584176E-2</v>
      </c>
      <c r="N75" s="74">
        <v>-3.7758417977584176E-2</v>
      </c>
      <c r="O75" s="74">
        <v>-3.7758417977584176E-2</v>
      </c>
      <c r="P75" s="74">
        <v>-3.7758417977584176E-2</v>
      </c>
      <c r="Q75" s="74">
        <v>-4.1534259775342607E-2</v>
      </c>
      <c r="R75" s="74">
        <v>-4.1534259775342607E-2</v>
      </c>
      <c r="S75" s="74">
        <v>-4.1534259775342607E-2</v>
      </c>
      <c r="T75" s="74">
        <v>-4.1534259775342607E-2</v>
      </c>
      <c r="U75" s="74">
        <v>-4.1534259775342607E-2</v>
      </c>
      <c r="V75" s="74">
        <v>-4.1534259775342607E-2</v>
      </c>
      <c r="W75" s="74">
        <v>-4.1534259775342607E-2</v>
      </c>
      <c r="X75" s="74">
        <v>-4.1534259775342607E-2</v>
      </c>
      <c r="Y75" s="74">
        <v>-4.1534259775342607E-2</v>
      </c>
      <c r="Z75" s="74">
        <v>-4.1534259775342607E-2</v>
      </c>
      <c r="AA75" s="74">
        <v>-4.1534259775342607E-2</v>
      </c>
      <c r="AB75" s="74">
        <v>-4.1534259775342607E-2</v>
      </c>
      <c r="AC75" s="74">
        <v>-4.5687685752876864E-2</v>
      </c>
      <c r="AD75" s="74">
        <v>-4.5687685752876864E-2</v>
      </c>
      <c r="AE75" s="74">
        <v>-4.5687685752876864E-2</v>
      </c>
      <c r="AF75" s="74">
        <v>-4.5687685752876864E-2</v>
      </c>
      <c r="AG75" s="74">
        <v>-4.5687685752876864E-2</v>
      </c>
      <c r="AH75" s="74">
        <v>-4.5687685752876864E-2</v>
      </c>
      <c r="AI75" s="74">
        <v>-4.5687685752876864E-2</v>
      </c>
      <c r="AJ75" s="74">
        <v>-4.5687685752876864E-2</v>
      </c>
      <c r="AK75" s="74">
        <v>-4.5687685752876864E-2</v>
      </c>
      <c r="AL75" s="74">
        <v>-4.5687685752876864E-2</v>
      </c>
      <c r="AM75" s="74">
        <v>-4.5687685752876864E-2</v>
      </c>
      <c r="AN75" s="74">
        <v>-4.5687685752876864E-2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5D0A59-063A-4883-A367-631177276785}">
  <dimension ref="A1:AX103"/>
  <sheetViews>
    <sheetView workbookViewId="0">
      <pane xSplit="4" ySplit="25" topLeftCell="E26" activePane="bottomRight" state="frozen"/>
      <selection activeCell="E63" sqref="E63:E65"/>
      <selection pane="topRight" activeCell="E63" sqref="E63:E65"/>
      <selection pane="bottomLeft" activeCell="E63" sqref="E63:E65"/>
      <selection pane="bottomRight" activeCell="E63" sqref="E63:E65"/>
    </sheetView>
  </sheetViews>
  <sheetFormatPr defaultRowHeight="15" outlineLevelRow="1" x14ac:dyDescent="0.25"/>
  <cols>
    <col min="2" max="2" width="24.5703125" bestFit="1" customWidth="1"/>
    <col min="3" max="3" width="10.7109375" bestFit="1" customWidth="1"/>
    <col min="4" max="4" width="12.5703125" bestFit="1" customWidth="1"/>
    <col min="5" max="6" width="12.140625" customWidth="1"/>
    <col min="7" max="13" width="12.28515625" bestFit="1" customWidth="1"/>
    <col min="14" max="18" width="11.5703125" bestFit="1" customWidth="1"/>
    <col min="19" max="40" width="12.5703125" bestFit="1" customWidth="1"/>
  </cols>
  <sheetData>
    <row r="1" spans="1:40" x14ac:dyDescent="0.25">
      <c r="A1" s="96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>2025</v>
      </c>
      <c r="B1" s="10" t="s">
        <v>431</v>
      </c>
      <c r="C1" s="16" t="s">
        <v>61</v>
      </c>
      <c r="D1" s="3" t="s">
        <v>307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IFERROR(_xlpm.kiddos,0))</f>
        <v>29</v>
      </c>
      <c r="F1" s="69">
        <v>31</v>
      </c>
      <c r="G1" s="69">
        <v>34</v>
      </c>
      <c r="H1" s="69">
        <v>34</v>
      </c>
      <c r="I1" s="69">
        <v>34</v>
      </c>
      <c r="J1" s="69">
        <v>34</v>
      </c>
      <c r="K1" s="69">
        <v>34</v>
      </c>
      <c r="L1" s="69">
        <v>34</v>
      </c>
      <c r="M1" s="69">
        <v>34</v>
      </c>
      <c r="N1" s="69">
        <v>34</v>
      </c>
      <c r="O1" s="69">
        <v>34</v>
      </c>
      <c r="P1" s="69">
        <v>34</v>
      </c>
      <c r="Q1" s="69">
        <v>34</v>
      </c>
      <c r="R1" s="69">
        <v>34</v>
      </c>
      <c r="S1" s="69">
        <v>34</v>
      </c>
      <c r="T1" s="69">
        <v>34</v>
      </c>
      <c r="U1" s="69">
        <v>34</v>
      </c>
      <c r="V1" s="69">
        <v>34</v>
      </c>
      <c r="W1" s="69">
        <v>34</v>
      </c>
      <c r="X1" s="69">
        <v>34</v>
      </c>
      <c r="Y1" s="69">
        <v>34</v>
      </c>
      <c r="Z1" s="69">
        <v>34</v>
      </c>
      <c r="AA1" s="69">
        <v>34</v>
      </c>
      <c r="AB1" s="69">
        <v>34</v>
      </c>
      <c r="AC1" s="69">
        <v>34</v>
      </c>
      <c r="AD1" s="69">
        <v>34</v>
      </c>
      <c r="AE1" s="69">
        <v>34</v>
      </c>
      <c r="AF1" s="69">
        <v>34</v>
      </c>
      <c r="AG1" s="69">
        <v>34</v>
      </c>
      <c r="AH1" s="69">
        <v>34</v>
      </c>
      <c r="AI1" s="69">
        <v>34</v>
      </c>
      <c r="AJ1" s="69">
        <v>34</v>
      </c>
      <c r="AK1" s="69">
        <v>34</v>
      </c>
      <c r="AL1" s="69">
        <v>34</v>
      </c>
      <c r="AM1" s="69">
        <v>34</v>
      </c>
      <c r="AN1" s="69">
        <v>34</v>
      </c>
    </row>
    <row r="2" spans="1:40" x14ac:dyDescent="0.25">
      <c r="A2" s="65"/>
      <c r="B2" s="3" t="str">
        <f>_xlfn.XLOOKUP($B$1&amp;"-"&amp;$C$1,Base!$D$4:$BD$4,Base!$D$2:$BD$2,"",0)</f>
        <v>North Carolina</v>
      </c>
      <c r="C2" s="55"/>
      <c r="D2" s="55" t="s">
        <v>259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4.2619047619047619</v>
      </c>
      <c r="F2" s="69">
        <v>4.4285714285714288</v>
      </c>
      <c r="G2" s="69">
        <v>2.1666666666666665</v>
      </c>
      <c r="H2" s="69">
        <v>2.3333333333333335</v>
      </c>
      <c r="I2" s="69">
        <v>2.5</v>
      </c>
      <c r="J2" s="69">
        <v>2.6666666666666665</v>
      </c>
      <c r="K2" s="69">
        <v>2.8333333333333335</v>
      </c>
      <c r="L2" s="69">
        <v>3</v>
      </c>
      <c r="M2" s="69">
        <v>3.1666666666666665</v>
      </c>
      <c r="N2" s="69">
        <v>3.3333333333333335</v>
      </c>
      <c r="O2" s="69">
        <v>3.5</v>
      </c>
      <c r="P2" s="69">
        <v>3.6666666666666665</v>
      </c>
      <c r="Q2" s="69">
        <v>3.8333333333333335</v>
      </c>
      <c r="R2" s="69">
        <v>4</v>
      </c>
      <c r="S2" s="69">
        <v>4</v>
      </c>
      <c r="T2" s="69">
        <v>4</v>
      </c>
      <c r="U2" s="69">
        <v>4</v>
      </c>
      <c r="V2" s="69">
        <v>4</v>
      </c>
      <c r="W2" s="69">
        <v>4</v>
      </c>
      <c r="X2" s="69">
        <v>4</v>
      </c>
      <c r="Y2" s="69">
        <v>4</v>
      </c>
      <c r="Z2" s="69">
        <v>4</v>
      </c>
      <c r="AA2" s="69">
        <v>4</v>
      </c>
      <c r="AB2" s="69">
        <v>4</v>
      </c>
      <c r="AC2" s="69">
        <v>4</v>
      </c>
      <c r="AD2" s="69">
        <v>4</v>
      </c>
      <c r="AE2" s="69">
        <v>4</v>
      </c>
      <c r="AF2" s="69">
        <v>4</v>
      </c>
      <c r="AG2" s="69">
        <v>4</v>
      </c>
      <c r="AH2" s="69">
        <v>4</v>
      </c>
      <c r="AI2" s="69">
        <v>4</v>
      </c>
      <c r="AJ2" s="69">
        <v>4</v>
      </c>
      <c r="AK2" s="69">
        <v>4</v>
      </c>
      <c r="AL2" s="69">
        <v>4</v>
      </c>
      <c r="AM2" s="69">
        <v>4</v>
      </c>
      <c r="AN2" s="69">
        <v>4</v>
      </c>
    </row>
    <row r="3" spans="1:40" x14ac:dyDescent="0.25">
      <c r="A3" s="65"/>
      <c r="B3" s="55"/>
      <c r="C3" s="55"/>
      <c r="D3" s="55" t="s">
        <v>62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_xlpm.months_since,DATEDIF(_xlpm.launchdate,_xlfn.ANCHORARRAY($E$25),"m"),_xlfn.BYCOL(_xlpm.months_since,_xlfn.LAMBDA(_xlpm.a,IFERROR(MIN(_xlpm.a/6,_xlpm.max_kiddos),0))))</f>
        <v>1.8333333333333333</v>
      </c>
      <c r="F3" s="69">
        <v>2</v>
      </c>
      <c r="G3" s="69">
        <v>2.1666666666666665</v>
      </c>
      <c r="H3" s="69">
        <v>2.3333333333333335</v>
      </c>
      <c r="I3" s="69">
        <v>2.5</v>
      </c>
      <c r="J3" s="69">
        <v>2.6666666666666665</v>
      </c>
      <c r="K3" s="69">
        <v>2.8333333333333335</v>
      </c>
      <c r="L3" s="69">
        <v>3</v>
      </c>
      <c r="M3" s="69">
        <v>3.1666666666666665</v>
      </c>
      <c r="N3" s="69">
        <v>3.3333333333333335</v>
      </c>
      <c r="O3" s="69">
        <v>3.5</v>
      </c>
      <c r="P3" s="69">
        <v>3.6666666666666665</v>
      </c>
      <c r="Q3" s="69">
        <v>3.8333333333333335</v>
      </c>
      <c r="R3" s="69">
        <v>4</v>
      </c>
      <c r="S3" s="69">
        <v>4</v>
      </c>
      <c r="T3" s="69">
        <v>4</v>
      </c>
      <c r="U3" s="69">
        <v>4</v>
      </c>
      <c r="V3" s="69">
        <v>4</v>
      </c>
      <c r="W3" s="69">
        <v>4</v>
      </c>
      <c r="X3" s="69">
        <v>4</v>
      </c>
      <c r="Y3" s="69">
        <v>4</v>
      </c>
      <c r="Z3" s="69">
        <v>4</v>
      </c>
      <c r="AA3" s="69">
        <v>4</v>
      </c>
      <c r="AB3" s="69">
        <v>4</v>
      </c>
      <c r="AC3" s="69">
        <v>4</v>
      </c>
      <c r="AD3" s="69">
        <v>4</v>
      </c>
      <c r="AE3" s="69">
        <v>4</v>
      </c>
      <c r="AF3" s="69">
        <v>4</v>
      </c>
      <c r="AG3" s="69">
        <v>4</v>
      </c>
      <c r="AH3" s="69">
        <v>4</v>
      </c>
      <c r="AI3" s="69">
        <v>4</v>
      </c>
      <c r="AJ3" s="69">
        <v>4</v>
      </c>
      <c r="AK3" s="69">
        <v>4</v>
      </c>
      <c r="AL3" s="69">
        <v>4</v>
      </c>
      <c r="AM3" s="69">
        <v>4</v>
      </c>
      <c r="AN3" s="69">
        <v>4</v>
      </c>
    </row>
    <row r="4" spans="1:40" x14ac:dyDescent="0.25">
      <c r="A4" s="65"/>
      <c r="B4" s="55"/>
      <c r="C4" s="55"/>
      <c r="D4" s="55" t="s">
        <v>260</v>
      </c>
      <c r="E4" s="69" cm="1">
        <f t="array" ref="E4:AN4">_xlfn.BYCOL(_xlfn.VSTACK(_xlfn.ANCHORARRAY($E$1),_xlfn.ANCHORARRAY($E$2)),_xlfn.LAMBDA(_xlpm.a,SUM(_xlpm.a)))</f>
        <v>33.261904761904759</v>
      </c>
      <c r="F4" s="69">
        <v>35.428571428571431</v>
      </c>
      <c r="G4" s="69">
        <v>36.166666666666664</v>
      </c>
      <c r="H4" s="69">
        <v>36.333333333333336</v>
      </c>
      <c r="I4" s="69">
        <v>36.5</v>
      </c>
      <c r="J4" s="69">
        <v>36.666666666666664</v>
      </c>
      <c r="K4" s="69">
        <v>36.833333333333336</v>
      </c>
      <c r="L4" s="69">
        <v>37</v>
      </c>
      <c r="M4" s="69">
        <v>37.166666666666664</v>
      </c>
      <c r="N4" s="69">
        <v>37.333333333333336</v>
      </c>
      <c r="O4" s="69">
        <v>37.5</v>
      </c>
      <c r="P4" s="69">
        <v>37.666666666666664</v>
      </c>
      <c r="Q4" s="69">
        <v>37.833333333333336</v>
      </c>
      <c r="R4" s="69">
        <v>38</v>
      </c>
      <c r="S4" s="69">
        <v>38</v>
      </c>
      <c r="T4" s="69">
        <v>38</v>
      </c>
      <c r="U4" s="69">
        <v>38</v>
      </c>
      <c r="V4" s="69">
        <v>38</v>
      </c>
      <c r="W4" s="69">
        <v>38</v>
      </c>
      <c r="X4" s="69">
        <v>38</v>
      </c>
      <c r="Y4" s="69">
        <v>38</v>
      </c>
      <c r="Z4" s="69">
        <v>38</v>
      </c>
      <c r="AA4" s="69">
        <v>38</v>
      </c>
      <c r="AB4" s="69">
        <v>38</v>
      </c>
      <c r="AC4" s="69">
        <v>38</v>
      </c>
      <c r="AD4" s="69">
        <v>38</v>
      </c>
      <c r="AE4" s="69">
        <v>38</v>
      </c>
      <c r="AF4" s="69">
        <v>38</v>
      </c>
      <c r="AG4" s="69">
        <v>38</v>
      </c>
      <c r="AH4" s="69">
        <v>38</v>
      </c>
      <c r="AI4" s="69">
        <v>38</v>
      </c>
      <c r="AJ4" s="69">
        <v>38</v>
      </c>
      <c r="AK4" s="69">
        <v>38</v>
      </c>
      <c r="AL4" s="69">
        <v>38</v>
      </c>
      <c r="AM4" s="69">
        <v>38</v>
      </c>
      <c r="AN4" s="69">
        <v>38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107</v>
      </c>
      <c r="C6" s="3"/>
      <c r="D6" s="3"/>
      <c r="E6" s="66" cm="1">
        <f t="array" ref="E6:AN6">ROUND(_xlfn.BYCOL(_xlfn.ANCHORARRAY(E7),_xlfn.LAMBDA(_xlpm.a,SUM(_xlpm.a))),0)</f>
        <v>36</v>
      </c>
      <c r="F6" s="66">
        <v>39</v>
      </c>
      <c r="G6" s="66">
        <v>42</v>
      </c>
      <c r="H6" s="66">
        <v>42</v>
      </c>
      <c r="I6" s="66">
        <v>42</v>
      </c>
      <c r="J6" s="66">
        <v>42</v>
      </c>
      <c r="K6" s="66">
        <v>42</v>
      </c>
      <c r="L6" s="66">
        <v>42</v>
      </c>
      <c r="M6" s="66">
        <v>42</v>
      </c>
      <c r="N6" s="66">
        <v>42</v>
      </c>
      <c r="O6" s="66">
        <v>42</v>
      </c>
      <c r="P6" s="66">
        <v>42</v>
      </c>
      <c r="Q6" s="66">
        <v>42</v>
      </c>
      <c r="R6" s="66">
        <v>42</v>
      </c>
      <c r="S6" s="66">
        <v>42</v>
      </c>
      <c r="T6" s="66">
        <v>42</v>
      </c>
      <c r="U6" s="66">
        <v>42</v>
      </c>
      <c r="V6" s="66">
        <v>42</v>
      </c>
      <c r="W6" s="66">
        <v>42</v>
      </c>
      <c r="X6" s="66">
        <v>42</v>
      </c>
      <c r="Y6" s="66">
        <v>42</v>
      </c>
      <c r="Z6" s="66">
        <v>42</v>
      </c>
      <c r="AA6" s="66">
        <v>42</v>
      </c>
      <c r="AB6" s="66">
        <v>42</v>
      </c>
      <c r="AC6" s="66">
        <v>42</v>
      </c>
      <c r="AD6" s="66">
        <v>42</v>
      </c>
      <c r="AE6" s="66">
        <v>42</v>
      </c>
      <c r="AF6" s="66">
        <v>42</v>
      </c>
      <c r="AG6" s="66">
        <v>42</v>
      </c>
      <c r="AH6" s="66">
        <v>42</v>
      </c>
      <c r="AI6" s="66">
        <v>42</v>
      </c>
      <c r="AJ6" s="66">
        <v>42</v>
      </c>
      <c r="AK6" s="66">
        <v>42</v>
      </c>
      <c r="AL6" s="66">
        <v>42</v>
      </c>
      <c r="AM6" s="66">
        <v>42</v>
      </c>
      <c r="AN6" s="66">
        <v>42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1"/>
      <c r="E7" s="106" cm="1">
        <f t="array" ref="E7:AN20">_xlfn.LET(_xlpm.Customer_staff,_xlfn._xlws.FILTER(Base!$D$85:$BD$98,ISNUMBER(SEARCH($B$1&amp;"-"&amp;$C$1,Base!$D$4:$BD$4))),_xlpm.Customer,_xlfn.ANCHORARRAY($E$1),_xlpm.headcount,_xlpm.Customer/_xlpm.Customer_staff,
_xlpm.patient_staff,_xlfn.ANCHORARRAY($E$2)/_xlpm.Customer_staff,_xlpm.prim_staff_tr_rec,_xlfn.ANCHORARRAY($E$2)/_xlfn.CHOOSEROWS(_xlpm.Customer_staff,{7,8})+(_xlfn.ANCHORARRAY($E$1)*0.0055),_xlpm.rounding,_xlfn.VSTACK(2,2,0,0,2,2,2,2,2,2,2,0,0,0),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prim_staff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24.860000000000003</v>
      </c>
      <c r="F7" s="106">
        <v>26.580000000000002</v>
      </c>
      <c r="G7" s="106">
        <v>29.150000000000002</v>
      </c>
      <c r="H7" s="106">
        <v>29.150000000000002</v>
      </c>
      <c r="I7" s="106">
        <v>29.150000000000002</v>
      </c>
      <c r="J7" s="106">
        <v>29.150000000000002</v>
      </c>
      <c r="K7" s="106">
        <v>29.150000000000002</v>
      </c>
      <c r="L7" s="106">
        <v>29.150000000000002</v>
      </c>
      <c r="M7" s="106">
        <v>29.150000000000002</v>
      </c>
      <c r="N7" s="106">
        <v>29.150000000000002</v>
      </c>
      <c r="O7" s="106">
        <v>29.150000000000002</v>
      </c>
      <c r="P7" s="106">
        <v>29.150000000000002</v>
      </c>
      <c r="Q7" s="106">
        <v>29.150000000000002</v>
      </c>
      <c r="R7" s="106">
        <v>29.150000000000002</v>
      </c>
      <c r="S7" s="106">
        <v>29.150000000000002</v>
      </c>
      <c r="T7" s="106">
        <v>29.150000000000002</v>
      </c>
      <c r="U7" s="106">
        <v>29.150000000000002</v>
      </c>
      <c r="V7" s="106">
        <v>29.150000000000002</v>
      </c>
      <c r="W7" s="106">
        <v>29.150000000000002</v>
      </c>
      <c r="X7" s="106">
        <v>29.150000000000002</v>
      </c>
      <c r="Y7" s="106">
        <v>29.150000000000002</v>
      </c>
      <c r="Z7" s="106">
        <v>29.150000000000002</v>
      </c>
      <c r="AA7" s="106">
        <v>29.150000000000002</v>
      </c>
      <c r="AB7" s="106">
        <v>29.150000000000002</v>
      </c>
      <c r="AC7" s="106">
        <v>29.150000000000002</v>
      </c>
      <c r="AD7" s="106">
        <v>29.150000000000002</v>
      </c>
      <c r="AE7" s="106">
        <v>29.150000000000002</v>
      </c>
      <c r="AF7" s="106">
        <v>29.150000000000002</v>
      </c>
      <c r="AG7" s="106">
        <v>29.150000000000002</v>
      </c>
      <c r="AH7" s="106">
        <v>29.150000000000002</v>
      </c>
      <c r="AI7" s="106">
        <v>29.150000000000002</v>
      </c>
      <c r="AJ7" s="106">
        <v>29.150000000000002</v>
      </c>
      <c r="AK7" s="106">
        <v>29.150000000000002</v>
      </c>
      <c r="AL7" s="106">
        <v>29.150000000000002</v>
      </c>
      <c r="AM7" s="106">
        <v>29.150000000000002</v>
      </c>
      <c r="AN7" s="106">
        <v>29.150000000000002</v>
      </c>
    </row>
    <row r="8" spans="1:40" hidden="1" outlineLevel="1" x14ac:dyDescent="0.25">
      <c r="B8" s="39" t="str">
        <v>Secondary Direct Staff</v>
      </c>
      <c r="C8" s="3"/>
      <c r="D8" s="3"/>
      <c r="E8" s="106">
        <v>4.1499999999999995</v>
      </c>
      <c r="F8" s="106">
        <v>4.43</v>
      </c>
      <c r="G8" s="106">
        <v>4.8599999999999994</v>
      </c>
      <c r="H8" s="106">
        <v>4.8599999999999994</v>
      </c>
      <c r="I8" s="106">
        <v>4.8599999999999994</v>
      </c>
      <c r="J8" s="106">
        <v>4.8599999999999994</v>
      </c>
      <c r="K8" s="106">
        <v>4.8599999999999994</v>
      </c>
      <c r="L8" s="106">
        <v>4.8599999999999994</v>
      </c>
      <c r="M8" s="106">
        <v>4.8599999999999994</v>
      </c>
      <c r="N8" s="106">
        <v>4.8599999999999994</v>
      </c>
      <c r="O8" s="106">
        <v>4.8599999999999994</v>
      </c>
      <c r="P8" s="106">
        <v>4.8599999999999994</v>
      </c>
      <c r="Q8" s="106">
        <v>4.8599999999999994</v>
      </c>
      <c r="R8" s="106">
        <v>4.8599999999999994</v>
      </c>
      <c r="S8" s="106">
        <v>4.8599999999999994</v>
      </c>
      <c r="T8" s="106">
        <v>4.8599999999999994</v>
      </c>
      <c r="U8" s="106">
        <v>4.8599999999999994</v>
      </c>
      <c r="V8" s="106">
        <v>4.8599999999999994</v>
      </c>
      <c r="W8" s="106">
        <v>4.8599999999999994</v>
      </c>
      <c r="X8" s="106">
        <v>4.8599999999999994</v>
      </c>
      <c r="Y8" s="106">
        <v>4.8599999999999994</v>
      </c>
      <c r="Z8" s="106">
        <v>4.8599999999999994</v>
      </c>
      <c r="AA8" s="106">
        <v>4.8599999999999994</v>
      </c>
      <c r="AB8" s="106">
        <v>4.8599999999999994</v>
      </c>
      <c r="AC8" s="106">
        <v>4.8599999999999994</v>
      </c>
      <c r="AD8" s="106">
        <v>4.8599999999999994</v>
      </c>
      <c r="AE8" s="106">
        <v>4.8599999999999994</v>
      </c>
      <c r="AF8" s="106">
        <v>4.8599999999999994</v>
      </c>
      <c r="AG8" s="106">
        <v>4.8599999999999994</v>
      </c>
      <c r="AH8" s="106">
        <v>4.8599999999999994</v>
      </c>
      <c r="AI8" s="106">
        <v>4.8599999999999994</v>
      </c>
      <c r="AJ8" s="106">
        <v>4.8599999999999994</v>
      </c>
      <c r="AK8" s="106">
        <v>4.8599999999999994</v>
      </c>
      <c r="AL8" s="106">
        <v>4.8599999999999994</v>
      </c>
      <c r="AM8" s="106">
        <v>4.8599999999999994</v>
      </c>
      <c r="AN8" s="106">
        <v>4.8599999999999994</v>
      </c>
    </row>
    <row r="9" spans="1:40" hidden="1" outlineLevel="1" x14ac:dyDescent="0.25">
      <c r="B9" s="39" t="str">
        <v>Center Manager</v>
      </c>
      <c r="C9" s="3"/>
      <c r="D9" s="3"/>
      <c r="E9" s="106">
        <v>1</v>
      </c>
      <c r="F9" s="106">
        <v>1</v>
      </c>
      <c r="G9" s="106">
        <v>1</v>
      </c>
      <c r="H9" s="106">
        <v>1</v>
      </c>
      <c r="I9" s="106">
        <v>1</v>
      </c>
      <c r="J9" s="106">
        <v>1</v>
      </c>
      <c r="K9" s="106">
        <v>1</v>
      </c>
      <c r="L9" s="106">
        <v>1</v>
      </c>
      <c r="M9" s="106">
        <v>1</v>
      </c>
      <c r="N9" s="106">
        <v>1</v>
      </c>
      <c r="O9" s="106">
        <v>1</v>
      </c>
      <c r="P9" s="106">
        <v>1</v>
      </c>
      <c r="Q9" s="106">
        <v>1</v>
      </c>
      <c r="R9" s="106">
        <v>1</v>
      </c>
      <c r="S9" s="106">
        <v>1</v>
      </c>
      <c r="T9" s="106">
        <v>1</v>
      </c>
      <c r="U9" s="106">
        <v>1</v>
      </c>
      <c r="V9" s="106">
        <v>1</v>
      </c>
      <c r="W9" s="106">
        <v>1</v>
      </c>
      <c r="X9" s="106">
        <v>1</v>
      </c>
      <c r="Y9" s="106">
        <v>1</v>
      </c>
      <c r="Z9" s="106">
        <v>1</v>
      </c>
      <c r="AA9" s="106">
        <v>1</v>
      </c>
      <c r="AB9" s="106">
        <v>1</v>
      </c>
      <c r="AC9" s="106">
        <v>1</v>
      </c>
      <c r="AD9" s="106">
        <v>1</v>
      </c>
      <c r="AE9" s="106">
        <v>1</v>
      </c>
      <c r="AF9" s="106">
        <v>1</v>
      </c>
      <c r="AG9" s="106">
        <v>1</v>
      </c>
      <c r="AH9" s="106">
        <v>1</v>
      </c>
      <c r="AI9" s="106">
        <v>1</v>
      </c>
      <c r="AJ9" s="106">
        <v>1</v>
      </c>
      <c r="AK9" s="106">
        <v>1</v>
      </c>
      <c r="AL9" s="106">
        <v>1</v>
      </c>
      <c r="AM9" s="106">
        <v>1</v>
      </c>
      <c r="AN9" s="106">
        <v>1</v>
      </c>
    </row>
    <row r="10" spans="1:40" hidden="1" outlineLevel="1" x14ac:dyDescent="0.25">
      <c r="B10" s="39" t="str">
        <v>Intake</v>
      </c>
      <c r="C10" s="3"/>
      <c r="D10" s="3"/>
      <c r="E10" s="106">
        <v>1</v>
      </c>
      <c r="F10" s="106">
        <v>1</v>
      </c>
      <c r="G10" s="106">
        <v>1</v>
      </c>
      <c r="H10" s="106">
        <v>1</v>
      </c>
      <c r="I10" s="106">
        <v>1</v>
      </c>
      <c r="J10" s="106">
        <v>1</v>
      </c>
      <c r="K10" s="106">
        <v>1</v>
      </c>
      <c r="L10" s="106">
        <v>1</v>
      </c>
      <c r="M10" s="106">
        <v>1</v>
      </c>
      <c r="N10" s="106">
        <v>1</v>
      </c>
      <c r="O10" s="106">
        <v>1</v>
      </c>
      <c r="P10" s="106">
        <v>1</v>
      </c>
      <c r="Q10" s="106">
        <v>1</v>
      </c>
      <c r="R10" s="106">
        <v>1</v>
      </c>
      <c r="S10" s="106">
        <v>1</v>
      </c>
      <c r="T10" s="106">
        <v>1</v>
      </c>
      <c r="U10" s="106">
        <v>1</v>
      </c>
      <c r="V10" s="106">
        <v>1</v>
      </c>
      <c r="W10" s="106">
        <v>1</v>
      </c>
      <c r="X10" s="106">
        <v>1</v>
      </c>
      <c r="Y10" s="106">
        <v>1</v>
      </c>
      <c r="Z10" s="106">
        <v>1</v>
      </c>
      <c r="AA10" s="106">
        <v>1</v>
      </c>
      <c r="AB10" s="106">
        <v>1</v>
      </c>
      <c r="AC10" s="106">
        <v>1</v>
      </c>
      <c r="AD10" s="106">
        <v>1</v>
      </c>
      <c r="AE10" s="106">
        <v>1</v>
      </c>
      <c r="AF10" s="106">
        <v>1</v>
      </c>
      <c r="AG10" s="106">
        <v>1</v>
      </c>
      <c r="AH10" s="106">
        <v>1</v>
      </c>
      <c r="AI10" s="106">
        <v>1</v>
      </c>
      <c r="AJ10" s="106">
        <v>1</v>
      </c>
      <c r="AK10" s="106">
        <v>1</v>
      </c>
      <c r="AL10" s="106">
        <v>1</v>
      </c>
      <c r="AM10" s="106">
        <v>1</v>
      </c>
      <c r="AN10" s="106">
        <v>1</v>
      </c>
    </row>
    <row r="11" spans="1:40" hidden="1" outlineLevel="1" x14ac:dyDescent="0.25">
      <c r="B11" s="39" t="str">
        <v>Scheduler</v>
      </c>
      <c r="C11" s="3"/>
      <c r="D11" s="3"/>
      <c r="E11" s="106">
        <v>0</v>
      </c>
      <c r="F11" s="106">
        <v>0</v>
      </c>
      <c r="G11" s="106">
        <v>0</v>
      </c>
      <c r="H11" s="106">
        <v>0</v>
      </c>
      <c r="I11" s="106">
        <v>0</v>
      </c>
      <c r="J11" s="106">
        <v>0</v>
      </c>
      <c r="K11" s="106">
        <v>0</v>
      </c>
      <c r="L11" s="106">
        <v>0</v>
      </c>
      <c r="M11" s="106">
        <v>0</v>
      </c>
      <c r="N11" s="106">
        <v>0</v>
      </c>
      <c r="O11" s="106">
        <v>0</v>
      </c>
      <c r="P11" s="106">
        <v>0</v>
      </c>
      <c r="Q11" s="106">
        <v>0</v>
      </c>
      <c r="R11" s="106">
        <v>0</v>
      </c>
      <c r="S11" s="106">
        <v>0</v>
      </c>
      <c r="T11" s="106">
        <v>0</v>
      </c>
      <c r="U11" s="106">
        <v>0</v>
      </c>
      <c r="V11" s="106">
        <v>0</v>
      </c>
      <c r="W11" s="106">
        <v>0</v>
      </c>
      <c r="X11" s="106">
        <v>0</v>
      </c>
      <c r="Y11" s="106">
        <v>0</v>
      </c>
      <c r="Z11" s="106">
        <v>0</v>
      </c>
      <c r="AA11" s="106">
        <v>0</v>
      </c>
      <c r="AB11" s="106">
        <v>0</v>
      </c>
      <c r="AC11" s="106">
        <v>0</v>
      </c>
      <c r="AD11" s="106">
        <v>0</v>
      </c>
      <c r="AE11" s="106">
        <v>0</v>
      </c>
      <c r="AF11" s="106">
        <v>0</v>
      </c>
      <c r="AG11" s="106">
        <v>0</v>
      </c>
      <c r="AH11" s="106">
        <v>0</v>
      </c>
      <c r="AI11" s="106">
        <v>0</v>
      </c>
      <c r="AJ11" s="106">
        <v>0</v>
      </c>
      <c r="AK11" s="106">
        <v>0</v>
      </c>
      <c r="AL11" s="106">
        <v>0</v>
      </c>
      <c r="AM11" s="106">
        <v>0</v>
      </c>
      <c r="AN11" s="106">
        <v>0</v>
      </c>
    </row>
    <row r="12" spans="1:40" hidden="1" outlineLevel="1" x14ac:dyDescent="0.25">
      <c r="B12" s="39" t="str">
        <v>Initial Consultation Expert</v>
      </c>
      <c r="C12" s="3"/>
      <c r="D12" s="3"/>
      <c r="E12" s="106">
        <v>0.33</v>
      </c>
      <c r="F12" s="106">
        <v>0.35000000000000003</v>
      </c>
      <c r="G12" s="106">
        <v>0.17</v>
      </c>
      <c r="H12" s="106">
        <v>0.18000000000000002</v>
      </c>
      <c r="I12" s="106">
        <v>0.2</v>
      </c>
      <c r="J12" s="106">
        <v>0.21000000000000002</v>
      </c>
      <c r="K12" s="106">
        <v>0.22</v>
      </c>
      <c r="L12" s="106">
        <v>0.24000000000000002</v>
      </c>
      <c r="M12" s="106">
        <v>0.25</v>
      </c>
      <c r="N12" s="106">
        <v>0.26</v>
      </c>
      <c r="O12" s="106">
        <v>0.27</v>
      </c>
      <c r="P12" s="106">
        <v>0.29000000000000004</v>
      </c>
      <c r="Q12" s="106">
        <v>0.3</v>
      </c>
      <c r="R12" s="106">
        <v>0.31</v>
      </c>
      <c r="S12" s="106">
        <v>0.31</v>
      </c>
      <c r="T12" s="106">
        <v>0.31</v>
      </c>
      <c r="U12" s="106">
        <v>0.31</v>
      </c>
      <c r="V12" s="106">
        <v>0.31</v>
      </c>
      <c r="W12" s="106">
        <v>0.31</v>
      </c>
      <c r="X12" s="106">
        <v>0.31</v>
      </c>
      <c r="Y12" s="106">
        <v>0.31</v>
      </c>
      <c r="Z12" s="106">
        <v>0.31</v>
      </c>
      <c r="AA12" s="106">
        <v>0.31</v>
      </c>
      <c r="AB12" s="106">
        <v>0.31</v>
      </c>
      <c r="AC12" s="106">
        <v>0.31</v>
      </c>
      <c r="AD12" s="106">
        <v>0.31</v>
      </c>
      <c r="AE12" s="106">
        <v>0.31</v>
      </c>
      <c r="AF12" s="106">
        <v>0.31</v>
      </c>
      <c r="AG12" s="106">
        <v>0.31</v>
      </c>
      <c r="AH12" s="106">
        <v>0.31</v>
      </c>
      <c r="AI12" s="106">
        <v>0.31</v>
      </c>
      <c r="AJ12" s="106">
        <v>0.31</v>
      </c>
      <c r="AK12" s="106">
        <v>0.31</v>
      </c>
      <c r="AL12" s="106">
        <v>0.31</v>
      </c>
      <c r="AM12" s="106">
        <v>0.31</v>
      </c>
      <c r="AN12" s="106">
        <v>0.31</v>
      </c>
    </row>
    <row r="13" spans="1:40" hidden="1" outlineLevel="1" x14ac:dyDescent="0.25">
      <c r="B13" s="39" t="str">
        <v>Trainer</v>
      </c>
      <c r="C13" s="3"/>
      <c r="D13" s="3"/>
      <c r="E13" s="106">
        <v>0.59</v>
      </c>
      <c r="F13" s="106">
        <v>0.62</v>
      </c>
      <c r="G13" s="106">
        <v>0.41000000000000003</v>
      </c>
      <c r="H13" s="106">
        <v>0.43</v>
      </c>
      <c r="I13" s="106">
        <v>0.44</v>
      </c>
      <c r="J13" s="106">
        <v>0.46</v>
      </c>
      <c r="K13" s="106">
        <v>0.48</v>
      </c>
      <c r="L13" s="106">
        <v>0.49</v>
      </c>
      <c r="M13" s="106">
        <v>0.51</v>
      </c>
      <c r="N13" s="106">
        <v>0.53</v>
      </c>
      <c r="O13" s="106">
        <v>0.54</v>
      </c>
      <c r="P13" s="106">
        <v>0.56000000000000005</v>
      </c>
      <c r="Q13" s="106">
        <v>0.57999999999999996</v>
      </c>
      <c r="R13" s="106">
        <v>0.59</v>
      </c>
      <c r="S13" s="106">
        <v>0.59</v>
      </c>
      <c r="T13" s="106">
        <v>0.59</v>
      </c>
      <c r="U13" s="106">
        <v>0.59</v>
      </c>
      <c r="V13" s="106">
        <v>0.59</v>
      </c>
      <c r="W13" s="106">
        <v>0.59</v>
      </c>
      <c r="X13" s="106">
        <v>0.59</v>
      </c>
      <c r="Y13" s="106">
        <v>0.59</v>
      </c>
      <c r="Z13" s="106">
        <v>0.59</v>
      </c>
      <c r="AA13" s="106">
        <v>0.59</v>
      </c>
      <c r="AB13" s="106">
        <v>0.59</v>
      </c>
      <c r="AC13" s="106">
        <v>0.59</v>
      </c>
      <c r="AD13" s="106">
        <v>0.59</v>
      </c>
      <c r="AE13" s="106">
        <v>0.59</v>
      </c>
      <c r="AF13" s="106">
        <v>0.59</v>
      </c>
      <c r="AG13" s="106">
        <v>0.59</v>
      </c>
      <c r="AH13" s="106">
        <v>0.59</v>
      </c>
      <c r="AI13" s="106">
        <v>0.59</v>
      </c>
      <c r="AJ13" s="106">
        <v>0.59</v>
      </c>
      <c r="AK13" s="106">
        <v>0.59</v>
      </c>
      <c r="AL13" s="106">
        <v>0.59</v>
      </c>
      <c r="AM13" s="106">
        <v>0.59</v>
      </c>
      <c r="AN13" s="106">
        <v>0.59</v>
      </c>
    </row>
    <row r="14" spans="1:40" hidden="1" outlineLevel="1" x14ac:dyDescent="0.25">
      <c r="B14" s="39" t="str">
        <v>Recruiter</v>
      </c>
      <c r="C14" s="3"/>
      <c r="D14" s="3"/>
      <c r="E14" s="106">
        <v>0.38</v>
      </c>
      <c r="F14" s="106">
        <v>0.4</v>
      </c>
      <c r="G14" s="106">
        <v>0.3</v>
      </c>
      <c r="H14" s="106">
        <v>0.31</v>
      </c>
      <c r="I14" s="106">
        <v>0.32</v>
      </c>
      <c r="J14" s="106">
        <v>0.33</v>
      </c>
      <c r="K14" s="106">
        <v>0.33</v>
      </c>
      <c r="L14" s="106">
        <v>0.34</v>
      </c>
      <c r="M14" s="106">
        <v>0.35000000000000003</v>
      </c>
      <c r="N14" s="106">
        <v>0.36</v>
      </c>
      <c r="O14" s="106">
        <v>0.37</v>
      </c>
      <c r="P14" s="106">
        <v>0.38</v>
      </c>
      <c r="Q14" s="106">
        <v>0.38</v>
      </c>
      <c r="R14" s="106">
        <v>0.39</v>
      </c>
      <c r="S14" s="106">
        <v>0.39</v>
      </c>
      <c r="T14" s="106">
        <v>0.39</v>
      </c>
      <c r="U14" s="106">
        <v>0.39</v>
      </c>
      <c r="V14" s="106">
        <v>0.39</v>
      </c>
      <c r="W14" s="106">
        <v>0.39</v>
      </c>
      <c r="X14" s="106">
        <v>0.39</v>
      </c>
      <c r="Y14" s="106">
        <v>0.39</v>
      </c>
      <c r="Z14" s="106">
        <v>0.39</v>
      </c>
      <c r="AA14" s="106">
        <v>0.39</v>
      </c>
      <c r="AB14" s="106">
        <v>0.39</v>
      </c>
      <c r="AC14" s="106">
        <v>0.39</v>
      </c>
      <c r="AD14" s="106">
        <v>0.39</v>
      </c>
      <c r="AE14" s="106">
        <v>0.39</v>
      </c>
      <c r="AF14" s="106">
        <v>0.39</v>
      </c>
      <c r="AG14" s="106">
        <v>0.39</v>
      </c>
      <c r="AH14" s="106">
        <v>0.39</v>
      </c>
      <c r="AI14" s="106">
        <v>0.39</v>
      </c>
      <c r="AJ14" s="106">
        <v>0.39</v>
      </c>
      <c r="AK14" s="106">
        <v>0.39</v>
      </c>
      <c r="AL14" s="106">
        <v>0.39</v>
      </c>
      <c r="AM14" s="106">
        <v>0.39</v>
      </c>
      <c r="AN14" s="106">
        <v>0.39</v>
      </c>
    </row>
    <row r="15" spans="1:40" hidden="1" outlineLevel="1" x14ac:dyDescent="0.25">
      <c r="B15" s="39" t="str">
        <v>Center Director / Remote Site Director</v>
      </c>
      <c r="C15" s="3"/>
      <c r="D15" s="3"/>
      <c r="E15" s="106">
        <v>0.12</v>
      </c>
      <c r="F15" s="106">
        <v>0.13</v>
      </c>
      <c r="G15" s="106">
        <v>0.14000000000000001</v>
      </c>
      <c r="H15" s="106">
        <v>0.14000000000000001</v>
      </c>
      <c r="I15" s="106">
        <v>0.14000000000000001</v>
      </c>
      <c r="J15" s="106">
        <v>0.14000000000000001</v>
      </c>
      <c r="K15" s="106">
        <v>0.14000000000000001</v>
      </c>
      <c r="L15" s="106">
        <v>0.14000000000000001</v>
      </c>
      <c r="M15" s="106">
        <v>0.14000000000000001</v>
      </c>
      <c r="N15" s="106">
        <v>0.14000000000000001</v>
      </c>
      <c r="O15" s="106">
        <v>0.14000000000000001</v>
      </c>
      <c r="P15" s="106">
        <v>0.14000000000000001</v>
      </c>
      <c r="Q15" s="106">
        <v>0.14000000000000001</v>
      </c>
      <c r="R15" s="106">
        <v>0.14000000000000001</v>
      </c>
      <c r="S15" s="106">
        <v>0.14000000000000001</v>
      </c>
      <c r="T15" s="106">
        <v>0.14000000000000001</v>
      </c>
      <c r="U15" s="106">
        <v>0.14000000000000001</v>
      </c>
      <c r="V15" s="106">
        <v>0.14000000000000001</v>
      </c>
      <c r="W15" s="106">
        <v>0.14000000000000001</v>
      </c>
      <c r="X15" s="106">
        <v>0.14000000000000001</v>
      </c>
      <c r="Y15" s="106">
        <v>0.14000000000000001</v>
      </c>
      <c r="Z15" s="106">
        <v>0.14000000000000001</v>
      </c>
      <c r="AA15" s="106">
        <v>0.14000000000000001</v>
      </c>
      <c r="AB15" s="106">
        <v>0.14000000000000001</v>
      </c>
      <c r="AC15" s="106">
        <v>0.14000000000000001</v>
      </c>
      <c r="AD15" s="106">
        <v>0.14000000000000001</v>
      </c>
      <c r="AE15" s="106">
        <v>0.14000000000000001</v>
      </c>
      <c r="AF15" s="106">
        <v>0.14000000000000001</v>
      </c>
      <c r="AG15" s="106">
        <v>0.14000000000000001</v>
      </c>
      <c r="AH15" s="106">
        <v>0.14000000000000001</v>
      </c>
      <c r="AI15" s="106">
        <v>0.14000000000000001</v>
      </c>
      <c r="AJ15" s="106">
        <v>0.14000000000000001</v>
      </c>
      <c r="AK15" s="106">
        <v>0.14000000000000001</v>
      </c>
      <c r="AL15" s="106">
        <v>0.14000000000000001</v>
      </c>
      <c r="AM15" s="106">
        <v>0.14000000000000001</v>
      </c>
      <c r="AN15" s="106">
        <v>0.14000000000000001</v>
      </c>
    </row>
    <row r="16" spans="1:40" hidden="1" outlineLevel="1" x14ac:dyDescent="0.25">
      <c r="B16" s="39" t="str">
        <v>Center Marketing Outreach</v>
      </c>
      <c r="C16" s="3"/>
      <c r="D16" s="3"/>
      <c r="E16" s="106">
        <v>0.12</v>
      </c>
      <c r="F16" s="106">
        <v>0.13</v>
      </c>
      <c r="G16" s="106">
        <v>0.14000000000000001</v>
      </c>
      <c r="H16" s="106">
        <v>0.14000000000000001</v>
      </c>
      <c r="I16" s="106">
        <v>0.14000000000000001</v>
      </c>
      <c r="J16" s="106">
        <v>0.14000000000000001</v>
      </c>
      <c r="K16" s="106">
        <v>0.14000000000000001</v>
      </c>
      <c r="L16" s="106">
        <v>0.14000000000000001</v>
      </c>
      <c r="M16" s="106">
        <v>0.14000000000000001</v>
      </c>
      <c r="N16" s="106">
        <v>0.14000000000000001</v>
      </c>
      <c r="O16" s="106">
        <v>0.14000000000000001</v>
      </c>
      <c r="P16" s="106">
        <v>0.14000000000000001</v>
      </c>
      <c r="Q16" s="106">
        <v>0.14000000000000001</v>
      </c>
      <c r="R16" s="106">
        <v>0.14000000000000001</v>
      </c>
      <c r="S16" s="106">
        <v>0.14000000000000001</v>
      </c>
      <c r="T16" s="106">
        <v>0.14000000000000001</v>
      </c>
      <c r="U16" s="106">
        <v>0.14000000000000001</v>
      </c>
      <c r="V16" s="106">
        <v>0.14000000000000001</v>
      </c>
      <c r="W16" s="106">
        <v>0.14000000000000001</v>
      </c>
      <c r="X16" s="106">
        <v>0.14000000000000001</v>
      </c>
      <c r="Y16" s="106">
        <v>0.14000000000000001</v>
      </c>
      <c r="Z16" s="106">
        <v>0.14000000000000001</v>
      </c>
      <c r="AA16" s="106">
        <v>0.14000000000000001</v>
      </c>
      <c r="AB16" s="106">
        <v>0.14000000000000001</v>
      </c>
      <c r="AC16" s="106">
        <v>0.14000000000000001</v>
      </c>
      <c r="AD16" s="106">
        <v>0.14000000000000001</v>
      </c>
      <c r="AE16" s="106">
        <v>0.14000000000000001</v>
      </c>
      <c r="AF16" s="106">
        <v>0.14000000000000001</v>
      </c>
      <c r="AG16" s="106">
        <v>0.14000000000000001</v>
      </c>
      <c r="AH16" s="106">
        <v>0.14000000000000001</v>
      </c>
      <c r="AI16" s="106">
        <v>0.14000000000000001</v>
      </c>
      <c r="AJ16" s="106">
        <v>0.14000000000000001</v>
      </c>
      <c r="AK16" s="106">
        <v>0.14000000000000001</v>
      </c>
      <c r="AL16" s="106">
        <v>0.14000000000000001</v>
      </c>
      <c r="AM16" s="106">
        <v>0.14000000000000001</v>
      </c>
      <c r="AN16" s="106">
        <v>0.14000000000000001</v>
      </c>
    </row>
    <row r="17" spans="2:50" hidden="1" outlineLevel="1" x14ac:dyDescent="0.25">
      <c r="B17" s="39" t="str">
        <v>Primary Direct Staff Lead</v>
      </c>
      <c r="C17" s="3"/>
      <c r="D17" s="3"/>
      <c r="E17" s="106">
        <v>2.9</v>
      </c>
      <c r="F17" s="106">
        <v>3.1</v>
      </c>
      <c r="G17" s="106">
        <v>3.4</v>
      </c>
      <c r="H17" s="106">
        <v>3.4</v>
      </c>
      <c r="I17" s="106">
        <v>3.4</v>
      </c>
      <c r="J17" s="106">
        <v>3.4</v>
      </c>
      <c r="K17" s="106">
        <v>3.4</v>
      </c>
      <c r="L17" s="106">
        <v>3.4</v>
      </c>
      <c r="M17" s="106">
        <v>3.4</v>
      </c>
      <c r="N17" s="106">
        <v>3.4</v>
      </c>
      <c r="O17" s="106">
        <v>3.4</v>
      </c>
      <c r="P17" s="106">
        <v>3.4</v>
      </c>
      <c r="Q17" s="106">
        <v>3.4</v>
      </c>
      <c r="R17" s="106">
        <v>3.4</v>
      </c>
      <c r="S17" s="106">
        <v>3.4</v>
      </c>
      <c r="T17" s="106">
        <v>3.4</v>
      </c>
      <c r="U17" s="106">
        <v>3.4</v>
      </c>
      <c r="V17" s="106">
        <v>3.4</v>
      </c>
      <c r="W17" s="106">
        <v>3.4</v>
      </c>
      <c r="X17" s="106">
        <v>3.4</v>
      </c>
      <c r="Y17" s="106">
        <v>3.4</v>
      </c>
      <c r="Z17" s="106">
        <v>3.4</v>
      </c>
      <c r="AA17" s="106">
        <v>3.4</v>
      </c>
      <c r="AB17" s="106">
        <v>3.4</v>
      </c>
      <c r="AC17" s="106">
        <v>3.4</v>
      </c>
      <c r="AD17" s="106">
        <v>3.4</v>
      </c>
      <c r="AE17" s="106">
        <v>3.4</v>
      </c>
      <c r="AF17" s="106">
        <v>3.4</v>
      </c>
      <c r="AG17" s="106">
        <v>3.4</v>
      </c>
      <c r="AH17" s="106">
        <v>3.4</v>
      </c>
      <c r="AI17" s="106">
        <v>3.4</v>
      </c>
      <c r="AJ17" s="106">
        <v>3.4</v>
      </c>
      <c r="AK17" s="106">
        <v>3.4</v>
      </c>
      <c r="AL17" s="106">
        <v>3.4</v>
      </c>
      <c r="AM17" s="106">
        <v>3.4</v>
      </c>
      <c r="AN17" s="106">
        <v>3.4</v>
      </c>
    </row>
    <row r="18" spans="2:50" hidden="1" outlineLevel="1" x14ac:dyDescent="0.25">
      <c r="B18" s="39" t="str">
        <v>Tertiary Direct Staff</v>
      </c>
      <c r="C18" s="3"/>
      <c r="D18" s="3"/>
      <c r="E18" s="106">
        <v>0</v>
      </c>
      <c r="F18" s="106">
        <v>0</v>
      </c>
      <c r="G18" s="106">
        <v>0</v>
      </c>
      <c r="H18" s="106">
        <v>0</v>
      </c>
      <c r="I18" s="106">
        <v>0</v>
      </c>
      <c r="J18" s="106">
        <v>0</v>
      </c>
      <c r="K18" s="106">
        <v>0</v>
      </c>
      <c r="L18" s="106">
        <v>0</v>
      </c>
      <c r="M18" s="106">
        <v>0</v>
      </c>
      <c r="N18" s="106">
        <v>0</v>
      </c>
      <c r="O18" s="106">
        <v>0</v>
      </c>
      <c r="P18" s="106">
        <v>0</v>
      </c>
      <c r="Q18" s="106">
        <v>0</v>
      </c>
      <c r="R18" s="106">
        <v>0</v>
      </c>
      <c r="S18" s="106">
        <v>0</v>
      </c>
      <c r="T18" s="106">
        <v>0</v>
      </c>
      <c r="U18" s="106">
        <v>0</v>
      </c>
      <c r="V18" s="106">
        <v>0</v>
      </c>
      <c r="W18" s="106">
        <v>0</v>
      </c>
      <c r="X18" s="106">
        <v>0</v>
      </c>
      <c r="Y18" s="106">
        <v>0</v>
      </c>
      <c r="Z18" s="106">
        <v>0</v>
      </c>
      <c r="AA18" s="106">
        <v>0</v>
      </c>
      <c r="AB18" s="106">
        <v>0</v>
      </c>
      <c r="AC18" s="106">
        <v>0</v>
      </c>
      <c r="AD18" s="106">
        <v>0</v>
      </c>
      <c r="AE18" s="106">
        <v>0</v>
      </c>
      <c r="AF18" s="106">
        <v>0</v>
      </c>
      <c r="AG18" s="106">
        <v>0</v>
      </c>
      <c r="AH18" s="106">
        <v>0</v>
      </c>
      <c r="AI18" s="106">
        <v>0</v>
      </c>
      <c r="AJ18" s="106">
        <v>0</v>
      </c>
      <c r="AK18" s="106">
        <v>0</v>
      </c>
      <c r="AL18" s="106">
        <v>0</v>
      </c>
      <c r="AM18" s="106">
        <v>0</v>
      </c>
      <c r="AN18" s="106">
        <v>0</v>
      </c>
    </row>
    <row r="19" spans="2:50" hidden="1" outlineLevel="1" x14ac:dyDescent="0.25">
      <c r="B19" s="39" t="str">
        <v>Quinary Direct Staff</v>
      </c>
      <c r="C19" s="3"/>
      <c r="D19" s="3"/>
      <c r="E19" s="106">
        <v>0</v>
      </c>
      <c r="F19" s="106">
        <v>0</v>
      </c>
      <c r="G19" s="106">
        <v>0</v>
      </c>
      <c r="H19" s="106">
        <v>0</v>
      </c>
      <c r="I19" s="106">
        <v>0</v>
      </c>
      <c r="J19" s="106">
        <v>0</v>
      </c>
      <c r="K19" s="106">
        <v>0</v>
      </c>
      <c r="L19" s="106">
        <v>0</v>
      </c>
      <c r="M19" s="106">
        <v>0</v>
      </c>
      <c r="N19" s="106">
        <v>0</v>
      </c>
      <c r="O19" s="106">
        <v>0</v>
      </c>
      <c r="P19" s="106">
        <v>0</v>
      </c>
      <c r="Q19" s="106">
        <v>0</v>
      </c>
      <c r="R19" s="106">
        <v>0</v>
      </c>
      <c r="S19" s="106">
        <v>0</v>
      </c>
      <c r="T19" s="106">
        <v>0</v>
      </c>
      <c r="U19" s="106">
        <v>0</v>
      </c>
      <c r="V19" s="106">
        <v>0</v>
      </c>
      <c r="W19" s="106">
        <v>0</v>
      </c>
      <c r="X19" s="106">
        <v>0</v>
      </c>
      <c r="Y19" s="106">
        <v>0</v>
      </c>
      <c r="Z19" s="106">
        <v>0</v>
      </c>
      <c r="AA19" s="106">
        <v>0</v>
      </c>
      <c r="AB19" s="106">
        <v>0</v>
      </c>
      <c r="AC19" s="106">
        <v>0</v>
      </c>
      <c r="AD19" s="106">
        <v>0</v>
      </c>
      <c r="AE19" s="106">
        <v>0</v>
      </c>
      <c r="AF19" s="106">
        <v>0</v>
      </c>
      <c r="AG19" s="106">
        <v>0</v>
      </c>
      <c r="AH19" s="106">
        <v>0</v>
      </c>
      <c r="AI19" s="106">
        <v>0</v>
      </c>
      <c r="AJ19" s="106">
        <v>0</v>
      </c>
      <c r="AK19" s="106">
        <v>0</v>
      </c>
      <c r="AL19" s="106">
        <v>0</v>
      </c>
      <c r="AM19" s="106">
        <v>0</v>
      </c>
      <c r="AN19" s="106">
        <v>0</v>
      </c>
    </row>
    <row r="20" spans="2:50" hidden="1" outlineLevel="1" x14ac:dyDescent="0.25">
      <c r="B20" s="39" t="str">
        <v>Quaternary Direct Staff</v>
      </c>
      <c r="C20" s="3"/>
      <c r="D20" s="3"/>
      <c r="E20" s="106">
        <v>1</v>
      </c>
      <c r="F20" s="106">
        <v>1</v>
      </c>
      <c r="G20" s="106">
        <v>1</v>
      </c>
      <c r="H20" s="106">
        <v>1</v>
      </c>
      <c r="I20" s="106">
        <v>1</v>
      </c>
      <c r="J20" s="106">
        <v>1</v>
      </c>
      <c r="K20" s="106">
        <v>1</v>
      </c>
      <c r="L20" s="106">
        <v>1</v>
      </c>
      <c r="M20" s="106">
        <v>1</v>
      </c>
      <c r="N20" s="106">
        <v>1</v>
      </c>
      <c r="O20" s="106">
        <v>1</v>
      </c>
      <c r="P20" s="106">
        <v>1</v>
      </c>
      <c r="Q20" s="106">
        <v>1</v>
      </c>
      <c r="R20" s="106">
        <v>1</v>
      </c>
      <c r="S20" s="106">
        <v>1</v>
      </c>
      <c r="T20" s="106">
        <v>1</v>
      </c>
      <c r="U20" s="106">
        <v>1</v>
      </c>
      <c r="V20" s="106">
        <v>1</v>
      </c>
      <c r="W20" s="106">
        <v>1</v>
      </c>
      <c r="X20" s="106">
        <v>1</v>
      </c>
      <c r="Y20" s="106">
        <v>1</v>
      </c>
      <c r="Z20" s="106">
        <v>1</v>
      </c>
      <c r="AA20" s="106">
        <v>1</v>
      </c>
      <c r="AB20" s="106">
        <v>1</v>
      </c>
      <c r="AC20" s="106">
        <v>1</v>
      </c>
      <c r="AD20" s="106">
        <v>1</v>
      </c>
      <c r="AE20" s="106">
        <v>1</v>
      </c>
      <c r="AF20" s="106">
        <v>1</v>
      </c>
      <c r="AG20" s="106">
        <v>1</v>
      </c>
      <c r="AH20" s="106">
        <v>1</v>
      </c>
      <c r="AI20" s="106">
        <v>1</v>
      </c>
      <c r="AJ20" s="106">
        <v>1</v>
      </c>
      <c r="AK20" s="106">
        <v>1</v>
      </c>
      <c r="AL20" s="106">
        <v>1</v>
      </c>
      <c r="AM20" s="106">
        <v>1</v>
      </c>
      <c r="AN20" s="106">
        <v>1</v>
      </c>
    </row>
    <row r="21" spans="2:50" collapsed="1" x14ac:dyDescent="0.25">
      <c r="B21" s="39" t="s">
        <v>389</v>
      </c>
      <c r="C21" s="3"/>
      <c r="D21" s="5"/>
      <c r="E21" s="117" cm="1">
        <f t="array" ref="E21:AN21">ROUND(_xlfn.BYCOL(_xlfn.CHOOSEROWS(_xlfn.ANCHORARRAY(E7),1,2),_xlfn.LAMBDA(_xlpm.col,SUM(_xlpm.col))),0)</f>
        <v>29</v>
      </c>
      <c r="F21" s="117">
        <v>31</v>
      </c>
      <c r="G21" s="117">
        <v>34</v>
      </c>
      <c r="H21" s="117">
        <v>34</v>
      </c>
      <c r="I21" s="117">
        <v>34</v>
      </c>
      <c r="J21" s="117">
        <v>34</v>
      </c>
      <c r="K21" s="117">
        <v>34</v>
      </c>
      <c r="L21" s="117">
        <v>34</v>
      </c>
      <c r="M21" s="117">
        <v>34</v>
      </c>
      <c r="N21" s="117">
        <v>34</v>
      </c>
      <c r="O21" s="117">
        <v>34</v>
      </c>
      <c r="P21" s="117">
        <v>34</v>
      </c>
      <c r="Q21" s="117">
        <v>34</v>
      </c>
      <c r="R21" s="117">
        <v>34</v>
      </c>
      <c r="S21" s="117">
        <v>34</v>
      </c>
      <c r="T21" s="117">
        <v>34</v>
      </c>
      <c r="U21" s="117">
        <v>34</v>
      </c>
      <c r="V21" s="117">
        <v>34</v>
      </c>
      <c r="W21" s="117">
        <v>34</v>
      </c>
      <c r="X21" s="117">
        <v>34</v>
      </c>
      <c r="Y21" s="117">
        <v>34</v>
      </c>
      <c r="Z21" s="117">
        <v>34</v>
      </c>
      <c r="AA21" s="117">
        <v>34</v>
      </c>
      <c r="AB21" s="117">
        <v>34</v>
      </c>
      <c r="AC21" s="117">
        <v>34</v>
      </c>
      <c r="AD21" s="117">
        <v>34</v>
      </c>
      <c r="AE21" s="117">
        <v>34</v>
      </c>
      <c r="AF21" s="117">
        <v>34</v>
      </c>
      <c r="AG21" s="117">
        <v>34</v>
      </c>
      <c r="AH21" s="117">
        <v>34</v>
      </c>
      <c r="AI21" s="117">
        <v>34</v>
      </c>
      <c r="AJ21" s="117">
        <v>34</v>
      </c>
      <c r="AK21" s="117">
        <v>34</v>
      </c>
      <c r="AL21" s="117">
        <v>34</v>
      </c>
      <c r="AM21" s="117">
        <v>34</v>
      </c>
      <c r="AN21" s="117">
        <v>34</v>
      </c>
    </row>
    <row r="22" spans="2:50" x14ac:dyDescent="0.25">
      <c r="B22" s="2" t="s">
        <v>394</v>
      </c>
      <c r="C22" s="3"/>
      <c r="D22" s="77">
        <f>MAX(_xlfn.ANCHORARRAY(E22))</f>
        <v>94.739054978770952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91.979665027932967</v>
      </c>
      <c r="F22" s="78">
        <v>91.979665027932967</v>
      </c>
      <c r="G22" s="78">
        <v>91.979665027932967</v>
      </c>
      <c r="H22" s="78">
        <v>91.979665027932967</v>
      </c>
      <c r="I22" s="78">
        <v>91.979665027932967</v>
      </c>
      <c r="J22" s="78">
        <v>91.979665027932967</v>
      </c>
      <c r="K22" s="78">
        <v>91.979665027932967</v>
      </c>
      <c r="L22" s="78">
        <v>91.979665027932967</v>
      </c>
      <c r="M22" s="78">
        <v>91.979665027932967</v>
      </c>
      <c r="N22" s="78">
        <v>91.979665027932967</v>
      </c>
      <c r="O22" s="78">
        <v>91.979665027932967</v>
      </c>
      <c r="P22" s="78">
        <v>91.979665027932967</v>
      </c>
      <c r="Q22" s="78">
        <v>94.739054978770952</v>
      </c>
      <c r="R22" s="78">
        <v>94.739054978770952</v>
      </c>
      <c r="S22" s="78">
        <v>94.739054978770952</v>
      </c>
      <c r="T22" s="78">
        <v>94.739054978770952</v>
      </c>
      <c r="U22" s="78">
        <v>94.739054978770952</v>
      </c>
      <c r="V22" s="78">
        <v>94.739054978770952</v>
      </c>
      <c r="W22" s="78">
        <v>94.739054978770952</v>
      </c>
      <c r="X22" s="78">
        <v>94.739054978770952</v>
      </c>
      <c r="Y22" s="78">
        <v>94.739054978770952</v>
      </c>
      <c r="Z22" s="78">
        <v>94.739054978770952</v>
      </c>
      <c r="AA22" s="78">
        <v>94.739054978770952</v>
      </c>
      <c r="AB22" s="78">
        <v>94.739054978770952</v>
      </c>
      <c r="AC22" s="78">
        <v>94.739054978770952</v>
      </c>
      <c r="AD22" s="78">
        <v>94.739054978770952</v>
      </c>
      <c r="AE22" s="78">
        <v>94.739054978770952</v>
      </c>
      <c r="AF22" s="78">
        <v>94.739054978770952</v>
      </c>
      <c r="AG22" s="78">
        <v>94.739054978770952</v>
      </c>
      <c r="AH22" s="78">
        <v>94.739054978770952</v>
      </c>
      <c r="AI22" s="78">
        <v>94.739054978770952</v>
      </c>
      <c r="AJ22" s="78">
        <v>94.739054978770952</v>
      </c>
      <c r="AK22" s="78">
        <v>94.739054978770952</v>
      </c>
      <c r="AL22" s="78">
        <v>94.739054978770952</v>
      </c>
      <c r="AM22" s="78">
        <v>94.739054978770952</v>
      </c>
      <c r="AN22" s="78">
        <v>94.739054978770952</v>
      </c>
    </row>
    <row r="23" spans="2:50" x14ac:dyDescent="0.25">
      <c r="B23" s="2" t="s">
        <v>53</v>
      </c>
      <c r="C23" s="3"/>
      <c r="D23" s="72"/>
      <c r="E23" s="52" cm="1">
        <f t="array" ref="E23:AN23">_xlfn.LET(_xlpm.site,$B$1&amp;"-"&amp;$C$1,_xlpm.locations,Base!$D$4:$BD$4,_xlpm.Customer,_xlfn.ANCHORARRAY(E1),_xlpm.hours,SUM(_xlfn.XLOOKUP(_xlpm.site,_xlpm.locations,Base!$D$74:$BD$78,0,0)),
_xlpm.collection,1-_xlfn.XLOOKUP(_xlpm.site,_xlpm.locations,Base!$D$26:$BD$26,0,0),
_xlpm.Customer*_xlpm.hours*_xlpm.collection*(52/12))</f>
        <v>3045.3866666666663</v>
      </c>
      <c r="F23" s="52">
        <v>3255.413333333333</v>
      </c>
      <c r="G23" s="52">
        <v>3570.4533333333329</v>
      </c>
      <c r="H23" s="52">
        <v>3570.4533333333329</v>
      </c>
      <c r="I23" s="52">
        <v>3570.4533333333329</v>
      </c>
      <c r="J23" s="52">
        <v>3570.4533333333329</v>
      </c>
      <c r="K23" s="52">
        <v>3570.4533333333329</v>
      </c>
      <c r="L23" s="52">
        <v>3570.4533333333329</v>
      </c>
      <c r="M23" s="52">
        <v>3570.4533333333329</v>
      </c>
      <c r="N23" s="52">
        <v>3570.4533333333329</v>
      </c>
      <c r="O23" s="52">
        <v>3570.4533333333329</v>
      </c>
      <c r="P23" s="52">
        <v>3570.4533333333329</v>
      </c>
      <c r="Q23" s="52">
        <v>3570.4533333333329</v>
      </c>
      <c r="R23" s="52">
        <v>3570.4533333333329</v>
      </c>
      <c r="S23" s="52">
        <v>3570.4533333333329</v>
      </c>
      <c r="T23" s="52">
        <v>3570.4533333333329</v>
      </c>
      <c r="U23" s="52">
        <v>3570.4533333333329</v>
      </c>
      <c r="V23" s="52">
        <v>3570.4533333333329</v>
      </c>
      <c r="W23" s="52">
        <v>3570.4533333333329</v>
      </c>
      <c r="X23" s="52">
        <v>3570.4533333333329</v>
      </c>
      <c r="Y23" s="52">
        <v>3570.4533333333329</v>
      </c>
      <c r="Z23" s="52">
        <v>3570.4533333333329</v>
      </c>
      <c r="AA23" s="52">
        <v>3570.4533333333329</v>
      </c>
      <c r="AB23" s="52">
        <v>3570.4533333333329</v>
      </c>
      <c r="AC23" s="52">
        <v>3570.4533333333329</v>
      </c>
      <c r="AD23" s="52">
        <v>3570.4533333333329</v>
      </c>
      <c r="AE23" s="52">
        <v>3570.4533333333329</v>
      </c>
      <c r="AF23" s="52">
        <v>3570.4533333333329</v>
      </c>
      <c r="AG23" s="52">
        <v>3570.4533333333329</v>
      </c>
      <c r="AH23" s="52">
        <v>3570.4533333333329</v>
      </c>
      <c r="AI23" s="52">
        <v>3570.4533333333329</v>
      </c>
      <c r="AJ23" s="52">
        <v>3570.4533333333329</v>
      </c>
      <c r="AK23" s="52">
        <v>3570.4533333333329</v>
      </c>
      <c r="AL23" s="52">
        <v>3570.4533333333329</v>
      </c>
      <c r="AM23" s="52">
        <v>3570.4533333333329</v>
      </c>
      <c r="AN23" s="52">
        <v>3570.4533333333329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21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_xlfn.LET(_xlpm.site,$B$1&amp;"-"&amp;$C$1,_xlpm.locations,Base!$D$4:$BD$4,_xlpm.rates,Base!$D31:$BD31,_xlpm.hours,Base!$D74:$BD74,_xlpm.comp,_xlpm.rates*_xlpm.hours,_xlpm.Customer,_xlfn.ANCHORARRAY($E$1),
_xlpm.Customer_comp,_xlfn.XLOOKUP(_xlpm.site,_xlpm.locations,_xlpm.comp,0,0),_xlpm.ann_incr,_xlfn.XLOOKUP(YEAR(_xlfn.ANCHORARRAY($E$25)),Base!$BJ$4:$BL$4,Base!$BJ74:$BL74,0,0),
_xlpm.bad_debt,_xlfn.XLOOKUP(_xlpm.site,_xlpm.locations,Base!$D$28:$BD$28,0,0),_xlpm.Customer_comp*_xlpm.Customer*_xlpm.bad_debt*_xlpm.ann_incr*(52/12))</f>
        <v>208319.05105439998</v>
      </c>
      <c r="F26" s="12">
        <v>222685.88216159996</v>
      </c>
      <c r="G26" s="12">
        <v>244236.12882239997</v>
      </c>
      <c r="H26" s="12">
        <v>244236.12882239997</v>
      </c>
      <c r="I26" s="12">
        <v>244236.12882239997</v>
      </c>
      <c r="J26" s="12">
        <v>244236.12882239997</v>
      </c>
      <c r="K26" s="12">
        <v>244236.12882239997</v>
      </c>
      <c r="L26" s="12">
        <v>244236.12882239997</v>
      </c>
      <c r="M26" s="12">
        <v>244236.12882239997</v>
      </c>
      <c r="N26" s="12">
        <v>244236.12882239997</v>
      </c>
      <c r="O26" s="12">
        <v>244236.12882239997</v>
      </c>
      <c r="P26" s="12">
        <v>244236.12882239997</v>
      </c>
      <c r="Q26" s="12">
        <v>251563.21268707199</v>
      </c>
      <c r="R26" s="12">
        <v>251563.21268707199</v>
      </c>
      <c r="S26" s="12">
        <v>251563.21268707199</v>
      </c>
      <c r="T26" s="12">
        <v>251563.21268707199</v>
      </c>
      <c r="U26" s="12">
        <v>251563.21268707199</v>
      </c>
      <c r="V26" s="12">
        <v>251563.21268707199</v>
      </c>
      <c r="W26" s="12">
        <v>251563.21268707199</v>
      </c>
      <c r="X26" s="12">
        <v>251563.21268707199</v>
      </c>
      <c r="Y26" s="12">
        <v>251563.21268707199</v>
      </c>
      <c r="Z26" s="12">
        <v>251563.21268707199</v>
      </c>
      <c r="AA26" s="12">
        <v>251563.21268707199</v>
      </c>
      <c r="AB26" s="12">
        <v>251563.21268707199</v>
      </c>
      <c r="AC26" s="12">
        <v>251563.21268707199</v>
      </c>
      <c r="AD26" s="12">
        <v>251563.21268707199</v>
      </c>
      <c r="AE26" s="12">
        <v>251563.21268707199</v>
      </c>
      <c r="AF26" s="12">
        <v>251563.21268707199</v>
      </c>
      <c r="AG26" s="12">
        <v>251563.21268707199</v>
      </c>
      <c r="AH26" s="12">
        <v>251563.21268707199</v>
      </c>
      <c r="AI26" s="12">
        <v>251563.21268707199</v>
      </c>
      <c r="AJ26" s="12">
        <v>251563.21268707199</v>
      </c>
      <c r="AK26" s="12">
        <v>251563.21268707199</v>
      </c>
      <c r="AL26" s="12">
        <v>251563.21268707199</v>
      </c>
      <c r="AM26" s="12">
        <v>251563.21268707199</v>
      </c>
      <c r="AN26" s="12">
        <v>251563.21268707199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_xlfn.LET(_xlpm.site,$B$1&amp;"-"&amp;$C$1,_xlpm.locations,Base!$D$4:$BD$4,_xlpm.rates,Base!$D32:$BD32,_xlpm.hours,Base!$D75:$BD75,_xlpm.comp,_xlpm.rates*_xlpm.hours,_xlpm.Customer,_xlfn.ANCHORARRAY($E$1),
_xlpm.Customer_comp,_xlfn.XLOOKUP(_xlpm.site,_xlpm.locations,_xlpm.comp,0,0),_xlpm.ann_incr,_xlfn.XLOOKUP(YEAR(_xlfn.ANCHORARRAY($E$25)),Base!$BJ$4:$BL$4,Base!$BJ75:$BL75,0,0),
_xlpm.bad_debt,_xlfn.XLOOKUP(_xlpm.site,_xlpm.locations,Base!$D$28:$BD$28,0,0),_xlpm.Customer_comp*_xlpm.Customer*_xlpm.bad_debt*_xlpm.ann_incr*(52/12))</f>
        <v>39940.988533333322</v>
      </c>
      <c r="F27" s="12">
        <v>42695.539466666662</v>
      </c>
      <c r="G27" s="12">
        <v>46827.36586666666</v>
      </c>
      <c r="H27" s="12">
        <v>46827.36586666666</v>
      </c>
      <c r="I27" s="12">
        <v>46827.36586666666</v>
      </c>
      <c r="J27" s="12">
        <v>46827.36586666666</v>
      </c>
      <c r="K27" s="12">
        <v>46827.36586666666</v>
      </c>
      <c r="L27" s="12">
        <v>46827.36586666666</v>
      </c>
      <c r="M27" s="12">
        <v>46827.36586666666</v>
      </c>
      <c r="N27" s="12">
        <v>46827.36586666666</v>
      </c>
      <c r="O27" s="12">
        <v>46827.36586666666</v>
      </c>
      <c r="P27" s="12">
        <v>46827.36586666666</v>
      </c>
      <c r="Q27" s="12">
        <v>48232.186842666662</v>
      </c>
      <c r="R27" s="12">
        <v>48232.186842666662</v>
      </c>
      <c r="S27" s="12">
        <v>48232.186842666662</v>
      </c>
      <c r="T27" s="12">
        <v>48232.186842666662</v>
      </c>
      <c r="U27" s="12">
        <v>48232.186842666662</v>
      </c>
      <c r="V27" s="12">
        <v>48232.186842666662</v>
      </c>
      <c r="W27" s="12">
        <v>48232.186842666662</v>
      </c>
      <c r="X27" s="12">
        <v>48232.186842666662</v>
      </c>
      <c r="Y27" s="12">
        <v>48232.186842666662</v>
      </c>
      <c r="Z27" s="12">
        <v>48232.186842666662</v>
      </c>
      <c r="AA27" s="12">
        <v>48232.186842666662</v>
      </c>
      <c r="AB27" s="12">
        <v>48232.186842666662</v>
      </c>
      <c r="AC27" s="12">
        <v>48232.186842666662</v>
      </c>
      <c r="AD27" s="12">
        <v>48232.186842666662</v>
      </c>
      <c r="AE27" s="12">
        <v>48232.186842666662</v>
      </c>
      <c r="AF27" s="12">
        <v>48232.186842666662</v>
      </c>
      <c r="AG27" s="12">
        <v>48232.186842666662</v>
      </c>
      <c r="AH27" s="12">
        <v>48232.186842666662</v>
      </c>
      <c r="AI27" s="12">
        <v>48232.186842666662</v>
      </c>
      <c r="AJ27" s="12">
        <v>48232.186842666662</v>
      </c>
      <c r="AK27" s="12">
        <v>48232.186842666662</v>
      </c>
      <c r="AL27" s="12">
        <v>48232.186842666662</v>
      </c>
      <c r="AM27" s="12">
        <v>48232.186842666662</v>
      </c>
      <c r="AN27" s="12">
        <v>48232.186842666662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_xlfn.LET(_xlpm.site,$B$1&amp;"-"&amp;$C$1,_xlpm.locations,Base!$D$4:$BD$4,_xlpm.rates,Base!$D33:$BD33,_xlpm.hours,Base!$D76:$BD76,_xlpm.comp,_xlpm.rates*_xlpm.hours,_xlpm.Customer,_xlfn.ANCHORARRAY($E$1),
_xlpm.Customer_comp,_xlfn.XLOOKUP(_xlpm.site,_xlpm.locations,_xlpm.comp,0,0),_xlpm.ann_incr,_xlfn.XLOOKUP(YEAR(_xlfn.ANCHORARRAY($E$25)),Base!$BJ$4:$BL$4,Base!$BJ76:$BL76,0,0),
_xlpm.bad_debt,_xlfn.XLOOKUP(_xlpm.site,_xlpm.locations,Base!$D$28:$BD$28,0,0),_xlpm.Customer_comp*_xlpm.Customer*_xlpm.bad_debt*_xlpm.ann_incr*(52/12))</f>
        <v>43982.612107200002</v>
      </c>
      <c r="F28" s="12">
        <v>47015.8957008</v>
      </c>
      <c r="G28" s="12">
        <v>51565.8210912</v>
      </c>
      <c r="H28" s="12">
        <v>51565.8210912</v>
      </c>
      <c r="I28" s="12">
        <v>51565.8210912</v>
      </c>
      <c r="J28" s="12">
        <v>51565.8210912</v>
      </c>
      <c r="K28" s="12">
        <v>51565.8210912</v>
      </c>
      <c r="L28" s="12">
        <v>51565.8210912</v>
      </c>
      <c r="M28" s="12">
        <v>51565.8210912</v>
      </c>
      <c r="N28" s="12">
        <v>51565.8210912</v>
      </c>
      <c r="O28" s="12">
        <v>51565.8210912</v>
      </c>
      <c r="P28" s="12">
        <v>51565.8210912</v>
      </c>
      <c r="Q28" s="12">
        <v>53112.795723936004</v>
      </c>
      <c r="R28" s="12">
        <v>53112.795723936004</v>
      </c>
      <c r="S28" s="12">
        <v>53112.795723936004</v>
      </c>
      <c r="T28" s="12">
        <v>53112.795723936004</v>
      </c>
      <c r="U28" s="12">
        <v>53112.795723936004</v>
      </c>
      <c r="V28" s="12">
        <v>53112.795723936004</v>
      </c>
      <c r="W28" s="12">
        <v>53112.795723936004</v>
      </c>
      <c r="X28" s="12">
        <v>53112.795723936004</v>
      </c>
      <c r="Y28" s="12">
        <v>53112.795723936004</v>
      </c>
      <c r="Z28" s="12">
        <v>53112.795723936004</v>
      </c>
      <c r="AA28" s="12">
        <v>53112.795723936004</v>
      </c>
      <c r="AB28" s="12">
        <v>53112.795723936004</v>
      </c>
      <c r="AC28" s="12">
        <v>53112.795723936004</v>
      </c>
      <c r="AD28" s="12">
        <v>53112.795723936004</v>
      </c>
      <c r="AE28" s="12">
        <v>53112.795723936004</v>
      </c>
      <c r="AF28" s="12">
        <v>53112.795723936004</v>
      </c>
      <c r="AG28" s="12">
        <v>53112.795723936004</v>
      </c>
      <c r="AH28" s="12">
        <v>53112.795723936004</v>
      </c>
      <c r="AI28" s="12">
        <v>53112.795723936004</v>
      </c>
      <c r="AJ28" s="12">
        <v>53112.795723936004</v>
      </c>
      <c r="AK28" s="12">
        <v>53112.795723936004</v>
      </c>
      <c r="AL28" s="12">
        <v>53112.795723936004</v>
      </c>
      <c r="AM28" s="12">
        <v>53112.795723936004</v>
      </c>
      <c r="AN28" s="12">
        <v>53112.795723936004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_xlfn.LET(_xlpm.site,$B$1&amp;"-"&amp;$C$1,_xlpm.locations,Base!$D$4:$BD$4,_xlpm.rates,Base!$D34:$BD34,_xlpm.hours,Base!$D77:$BD77,_xlpm.comp,_xlpm.rates*_xlpm.hours,_xlpm.Customer,_xlfn.ANCHORARRAY($E$1),
_xlpm.Customer_comp,_xlfn.XLOOKUP(_xlpm.site,_xlpm.locations,_xlpm.comp,0,0),_xlpm.ann_incr,_xlfn.XLOOKUP(YEAR(_xlfn.ANCHORARRAY($E$25)),Base!$BJ$4:$BL$4,Base!$BJ77:$BL77,0,0),
_xlpm.bad_debt,_xlfn.XLOOKUP(_xlpm.site,_xlpm.locations,Base!$D$28:$BD$28,0,0),_xlpm.Customer_comp*_xlpm.Customer*_xlpm.bad_debt*_xlpm.ann_incr*(52/12))</f>
        <v>2488.6308239999998</v>
      </c>
      <c r="F29" s="12">
        <v>2660.2605359999998</v>
      </c>
      <c r="G29" s="12">
        <v>2917.7051039999997</v>
      </c>
      <c r="H29" s="12">
        <v>2917.7051039999997</v>
      </c>
      <c r="I29" s="12">
        <v>2917.7051039999997</v>
      </c>
      <c r="J29" s="12">
        <v>2917.7051039999997</v>
      </c>
      <c r="K29" s="12">
        <v>2917.7051039999997</v>
      </c>
      <c r="L29" s="12">
        <v>2917.7051039999997</v>
      </c>
      <c r="M29" s="12">
        <v>2917.7051039999997</v>
      </c>
      <c r="N29" s="12">
        <v>2917.7051039999997</v>
      </c>
      <c r="O29" s="12">
        <v>2917.7051039999997</v>
      </c>
      <c r="P29" s="12">
        <v>2917.7051039999997</v>
      </c>
      <c r="Q29" s="12">
        <v>3005.2362571199997</v>
      </c>
      <c r="R29" s="12">
        <v>3005.2362571199997</v>
      </c>
      <c r="S29" s="12">
        <v>3005.2362571199997</v>
      </c>
      <c r="T29" s="12">
        <v>3005.2362571199997</v>
      </c>
      <c r="U29" s="12">
        <v>3005.2362571199997</v>
      </c>
      <c r="V29" s="12">
        <v>3005.2362571199997</v>
      </c>
      <c r="W29" s="12">
        <v>3005.2362571199997</v>
      </c>
      <c r="X29" s="12">
        <v>3005.2362571199997</v>
      </c>
      <c r="Y29" s="12">
        <v>3005.2362571199997</v>
      </c>
      <c r="Z29" s="12">
        <v>3005.2362571199997</v>
      </c>
      <c r="AA29" s="12">
        <v>3005.2362571199997</v>
      </c>
      <c r="AB29" s="12">
        <v>3005.2362571199997</v>
      </c>
      <c r="AC29" s="12">
        <v>3005.2362571199997</v>
      </c>
      <c r="AD29" s="12">
        <v>3005.2362571199997</v>
      </c>
      <c r="AE29" s="12">
        <v>3005.2362571199997</v>
      </c>
      <c r="AF29" s="12">
        <v>3005.2362571199997</v>
      </c>
      <c r="AG29" s="12">
        <v>3005.2362571199997</v>
      </c>
      <c r="AH29" s="12">
        <v>3005.2362571199997</v>
      </c>
      <c r="AI29" s="12">
        <v>3005.2362571199997</v>
      </c>
      <c r="AJ29" s="12">
        <v>3005.2362571199997</v>
      </c>
      <c r="AK29" s="12">
        <v>3005.2362571199997</v>
      </c>
      <c r="AL29" s="12">
        <v>3005.2362571199997</v>
      </c>
      <c r="AM29" s="12">
        <v>3005.2362571199997</v>
      </c>
      <c r="AN29" s="12">
        <v>3005.2362571199997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_xlfn.LET(_xlpm.site,$B$1&amp;"-"&amp;$C$1,_xlpm.locations,Base!$D$4:$BD$4,_xlpm.rates,Base!$D35:$BD35,_xlpm.hours,Base!$D78:$BD78,_xlpm.comp,_xlpm.rates*_xlpm.hours,_xlpm.Customer,_xlfn.ANCHORARRAY($E$1),
_xlpm.Customer_comp,_xlfn.XLOOKUP(_xlpm.site,_xlpm.locations,_xlpm.comp,0,0),_xlpm.ann_incr,_xlfn.XLOOKUP(YEAR(_xlfn.ANCHORARRAY($E$25)),Base!$BJ$4:$BL$4,Base!$BJ78:$BL78,0,0),
_xlpm.bad_debt,_xlfn.XLOOKUP(_xlpm.site,_xlpm.locations,Base!$D$28:$BD$28,0,0),_xlpm.Customer_comp*_xlpm.Customer*_xlpm.bad_debt*_xlpm.ann_incr*(52/12))</f>
        <v>4481.0206079999989</v>
      </c>
      <c r="F30" s="12">
        <v>4790.0565120000001</v>
      </c>
      <c r="G30" s="12">
        <v>5253.6103679999997</v>
      </c>
      <c r="H30" s="12">
        <v>5253.6103679999997</v>
      </c>
      <c r="I30" s="12">
        <v>5253.6103679999997</v>
      </c>
      <c r="J30" s="12">
        <v>5253.6103679999997</v>
      </c>
      <c r="K30" s="12">
        <v>5253.6103679999997</v>
      </c>
      <c r="L30" s="12">
        <v>5253.6103679999997</v>
      </c>
      <c r="M30" s="12">
        <v>5253.6103679999997</v>
      </c>
      <c r="N30" s="12">
        <v>5253.6103679999997</v>
      </c>
      <c r="O30" s="12">
        <v>5253.6103679999997</v>
      </c>
      <c r="P30" s="12">
        <v>5253.6103679999997</v>
      </c>
      <c r="Q30" s="12">
        <v>5411.2186790399992</v>
      </c>
      <c r="R30" s="12">
        <v>5411.2186790399992</v>
      </c>
      <c r="S30" s="12">
        <v>5411.2186790399992</v>
      </c>
      <c r="T30" s="12">
        <v>5411.2186790399992</v>
      </c>
      <c r="U30" s="12">
        <v>5411.2186790399992</v>
      </c>
      <c r="V30" s="12">
        <v>5411.2186790399992</v>
      </c>
      <c r="W30" s="12">
        <v>5411.2186790399992</v>
      </c>
      <c r="X30" s="12">
        <v>5411.2186790399992</v>
      </c>
      <c r="Y30" s="12">
        <v>5411.2186790399992</v>
      </c>
      <c r="Z30" s="12">
        <v>5411.2186790399992</v>
      </c>
      <c r="AA30" s="12">
        <v>5411.2186790399992</v>
      </c>
      <c r="AB30" s="12">
        <v>5411.2186790399992</v>
      </c>
      <c r="AC30" s="12">
        <v>5411.2186790399992</v>
      </c>
      <c r="AD30" s="12">
        <v>5411.2186790399992</v>
      </c>
      <c r="AE30" s="12">
        <v>5411.2186790399992</v>
      </c>
      <c r="AF30" s="12">
        <v>5411.2186790399992</v>
      </c>
      <c r="AG30" s="12">
        <v>5411.2186790399992</v>
      </c>
      <c r="AH30" s="12">
        <v>5411.2186790399992</v>
      </c>
      <c r="AI30" s="12">
        <v>5411.2186790399992</v>
      </c>
      <c r="AJ30" s="12">
        <v>5411.2186790399992</v>
      </c>
      <c r="AK30" s="12">
        <v>5411.2186790399992</v>
      </c>
      <c r="AL30" s="12">
        <v>5411.2186790399992</v>
      </c>
      <c r="AM30" s="12">
        <v>5411.2186790399992</v>
      </c>
      <c r="AN30" s="12">
        <v>5411.2186790399992</v>
      </c>
    </row>
    <row r="31" spans="2:50" x14ac:dyDescent="0.25">
      <c r="B31" s="39" t="str">
        <f>Base!B36</f>
        <v>Tertiary Direct Staff - Service A</v>
      </c>
      <c r="C31" s="4"/>
      <c r="E31" s="183" cm="1">
        <f t="array" ref="E31:AN31">_xlfn.LET(_xlpm.site,$B$1&amp;"-"&amp;$C$1,_xlpm.locations,Base!$D$4:$BD$4,_xlpm.rates,Base!$D36:$BD36,_xlpm.hours,Base!$D79:$BD79,_xlpm.comp,_xlpm.rates*_xlpm.hours,_xlpm.Customer,_xlfn.ANCHORARRAY($E$1)*0,
_xlpm.Customer_comp,_xlfn.XLOOKUP(_xlpm.site,_xlpm.locations,_xlpm.comp,0,0),_xlpm.ann_incr,_xlfn.XLOOKUP(YEAR(_xlfn.ANCHORARRAY($E$25)),Base!$BJ$4:$BL$4,Base!$BJ79:$BL79,0,0),
_xlpm.bad_debt,_xlfn.XLOOKUP(_xlpm.site,_xlpm.locations,Base!$D$28:$BD$28,0,0),_xlpm.Customer_comp*_xlpm.Customer*_xlpm.bad_debt*_xlpm.ann_incr*(52/12))</f>
        <v>0</v>
      </c>
      <c r="F31" s="183">
        <v>0</v>
      </c>
      <c r="G31" s="183">
        <v>0</v>
      </c>
      <c r="H31" s="183">
        <v>0</v>
      </c>
      <c r="I31" s="183">
        <v>0</v>
      </c>
      <c r="J31" s="183">
        <v>0</v>
      </c>
      <c r="K31" s="183">
        <v>0</v>
      </c>
      <c r="L31" s="183">
        <v>0</v>
      </c>
      <c r="M31" s="183">
        <v>0</v>
      </c>
      <c r="N31" s="183">
        <v>0</v>
      </c>
      <c r="O31" s="183">
        <v>0</v>
      </c>
      <c r="P31" s="183">
        <v>0</v>
      </c>
      <c r="Q31" s="183">
        <v>0</v>
      </c>
      <c r="R31" s="183">
        <v>0</v>
      </c>
      <c r="S31" s="183">
        <v>0</v>
      </c>
      <c r="T31" s="183">
        <v>0</v>
      </c>
      <c r="U31" s="183">
        <v>0</v>
      </c>
      <c r="V31" s="183">
        <v>0</v>
      </c>
      <c r="W31" s="183">
        <v>0</v>
      </c>
      <c r="X31" s="183">
        <v>0</v>
      </c>
      <c r="Y31" s="183">
        <v>0</v>
      </c>
      <c r="Z31" s="183">
        <v>0</v>
      </c>
      <c r="AA31" s="183">
        <v>0</v>
      </c>
      <c r="AB31" s="183">
        <v>0</v>
      </c>
      <c r="AC31" s="183">
        <v>0</v>
      </c>
      <c r="AD31" s="183">
        <v>0</v>
      </c>
      <c r="AE31" s="183">
        <v>0</v>
      </c>
      <c r="AF31" s="183">
        <v>0</v>
      </c>
      <c r="AG31" s="183">
        <v>0</v>
      </c>
      <c r="AH31" s="183">
        <v>0</v>
      </c>
      <c r="AI31" s="183">
        <v>0</v>
      </c>
      <c r="AJ31" s="183">
        <v>0</v>
      </c>
      <c r="AK31" s="183">
        <v>0</v>
      </c>
      <c r="AL31" s="183">
        <v>0</v>
      </c>
      <c r="AM31" s="183">
        <v>0</v>
      </c>
      <c r="AN31" s="183">
        <v>0</v>
      </c>
    </row>
    <row r="32" spans="2:50" x14ac:dyDescent="0.25">
      <c r="B32" s="39" t="str">
        <f>Base!B37</f>
        <v>Tertiary Direct Staff - Service B</v>
      </c>
      <c r="C32" s="4"/>
      <c r="E32" s="183" cm="1">
        <f t="array" ref="E32:AN32">_xlfn.LET(_xlpm.site,$B$1&amp;"-"&amp;$C$1,_xlpm.locations,Base!$D$4:$BD$4,_xlpm.rates,Base!$D37:$BD37,_xlpm.hours,Base!$D80:$BD80,_xlpm.comp,_xlpm.rates*_xlpm.hours,_xlpm.Customer,_xlfn.ANCHORARRAY($E$1)*0,
_xlpm.Customer_comp,_xlfn.XLOOKUP(_xlpm.site,_xlpm.locations,_xlpm.comp,0,0),_xlpm.ann_incr,_xlfn.XLOOKUP(YEAR(_xlfn.ANCHORARRAY($E$25)),Base!$BJ$4:$BL$4,Base!$BJ80:$BL80,0,0),
_xlpm.bad_debt,_xlfn.XLOOKUP(_xlpm.site,_xlpm.locations,Base!$D$28:$BD$28,0,0),_xlpm.Customer_comp*_xlpm.Customer*_xlpm.bad_debt*_xlpm.ann_incr*(52/12))</f>
        <v>0</v>
      </c>
      <c r="F32" s="183">
        <v>0</v>
      </c>
      <c r="G32" s="183">
        <v>0</v>
      </c>
      <c r="H32" s="183">
        <v>0</v>
      </c>
      <c r="I32" s="183">
        <v>0</v>
      </c>
      <c r="J32" s="183">
        <v>0</v>
      </c>
      <c r="K32" s="183">
        <v>0</v>
      </c>
      <c r="L32" s="183">
        <v>0</v>
      </c>
      <c r="M32" s="183">
        <v>0</v>
      </c>
      <c r="N32" s="183">
        <v>0</v>
      </c>
      <c r="O32" s="183">
        <v>0</v>
      </c>
      <c r="P32" s="183">
        <v>0</v>
      </c>
      <c r="Q32" s="183">
        <v>0</v>
      </c>
      <c r="R32" s="183">
        <v>0</v>
      </c>
      <c r="S32" s="183">
        <v>0</v>
      </c>
      <c r="T32" s="183">
        <v>0</v>
      </c>
      <c r="U32" s="183">
        <v>0</v>
      </c>
      <c r="V32" s="183">
        <v>0</v>
      </c>
      <c r="W32" s="183">
        <v>0</v>
      </c>
      <c r="X32" s="183">
        <v>0</v>
      </c>
      <c r="Y32" s="183">
        <v>0</v>
      </c>
      <c r="Z32" s="183">
        <v>0</v>
      </c>
      <c r="AA32" s="183">
        <v>0</v>
      </c>
      <c r="AB32" s="183">
        <v>0</v>
      </c>
      <c r="AC32" s="183">
        <v>0</v>
      </c>
      <c r="AD32" s="183">
        <v>0</v>
      </c>
      <c r="AE32" s="183">
        <v>0</v>
      </c>
      <c r="AF32" s="183">
        <v>0</v>
      </c>
      <c r="AG32" s="183">
        <v>0</v>
      </c>
      <c r="AH32" s="183">
        <v>0</v>
      </c>
      <c r="AI32" s="183">
        <v>0</v>
      </c>
      <c r="AJ32" s="183">
        <v>0</v>
      </c>
      <c r="AK32" s="183">
        <v>0</v>
      </c>
      <c r="AL32" s="183">
        <v>0</v>
      </c>
      <c r="AM32" s="183">
        <v>0</v>
      </c>
      <c r="AN32" s="183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_xlpm.Customer,_xlfn.ANCHORARRAY($E$2),_xlpm.ann_incr,_xlfn.XLOOKUP(YEAR(_xlfn.ANCHORARRAY($E$25)),Base!$BJ$4:$BL$4,Base!$BJ$81:$BL$81,0,0),
_xlpm.bad_debt,_xlfn.XLOOKUP(_xlpm.site,_xlpm.locations,Base!$D$28:$BD$28,0,0),
_xlpm.comp*_xlpm.bad_debt*_xlpm.ann_incr*(52/12))</f>
        <v>23761.586333333333</v>
      </c>
      <c r="F33" s="12">
        <v>23761.586333333333</v>
      </c>
      <c r="G33" s="12">
        <v>23761.586333333333</v>
      </c>
      <c r="H33" s="12">
        <v>23761.586333333333</v>
      </c>
      <c r="I33" s="12">
        <v>23761.586333333333</v>
      </c>
      <c r="J33" s="12">
        <v>23761.586333333333</v>
      </c>
      <c r="K33" s="12">
        <v>23761.586333333333</v>
      </c>
      <c r="L33" s="12">
        <v>23761.586333333333</v>
      </c>
      <c r="M33" s="12">
        <v>23761.586333333333</v>
      </c>
      <c r="N33" s="12">
        <v>23761.586333333333</v>
      </c>
      <c r="O33" s="12">
        <v>23761.586333333333</v>
      </c>
      <c r="P33" s="12">
        <v>23761.586333333333</v>
      </c>
      <c r="Q33" s="12">
        <v>24474.433923333334</v>
      </c>
      <c r="R33" s="12">
        <v>24474.433923333334</v>
      </c>
      <c r="S33" s="12">
        <v>24474.433923333334</v>
      </c>
      <c r="T33" s="12">
        <v>24474.433923333334</v>
      </c>
      <c r="U33" s="12">
        <v>24474.433923333334</v>
      </c>
      <c r="V33" s="12">
        <v>24474.433923333334</v>
      </c>
      <c r="W33" s="12">
        <v>24474.433923333334</v>
      </c>
      <c r="X33" s="12">
        <v>24474.433923333334</v>
      </c>
      <c r="Y33" s="12">
        <v>24474.433923333334</v>
      </c>
      <c r="Z33" s="12">
        <v>24474.433923333334</v>
      </c>
      <c r="AA33" s="12">
        <v>24474.433923333334</v>
      </c>
      <c r="AB33" s="12">
        <v>24474.433923333334</v>
      </c>
      <c r="AC33" s="12">
        <v>24474.433923333334</v>
      </c>
      <c r="AD33" s="12">
        <v>24474.433923333334</v>
      </c>
      <c r="AE33" s="12">
        <v>24474.433923333334</v>
      </c>
      <c r="AF33" s="12">
        <v>24474.433923333334</v>
      </c>
      <c r="AG33" s="12">
        <v>24474.433923333334</v>
      </c>
      <c r="AH33" s="12">
        <v>24474.433923333334</v>
      </c>
      <c r="AI33" s="12">
        <v>24474.433923333334</v>
      </c>
      <c r="AJ33" s="12">
        <v>24474.433923333334</v>
      </c>
      <c r="AK33" s="12">
        <v>24474.433923333334</v>
      </c>
      <c r="AL33" s="12">
        <v>24474.433923333334</v>
      </c>
      <c r="AM33" s="12">
        <v>24474.433923333334</v>
      </c>
      <c r="AN33" s="12">
        <v>24474.433923333334</v>
      </c>
    </row>
    <row r="34" spans="2:40" x14ac:dyDescent="0.25">
      <c r="B34" s="39" t="str">
        <f>Base!B39</f>
        <v>Quinary Direct Staff - Service A</v>
      </c>
      <c r="C34" s="4"/>
      <c r="E34" s="183" cm="1">
        <f t="array" ref="E34:AN34">_xlfn.LET(_xlpm.site,$B$1&amp;"-"&amp;$C$1,_xlpm.locations,Base!$D$4:$BD$4,_xlpm.rates,Base!$D39:$BD39,_xlpm.hours,Base!$D82:$BD82,_xlpm.comp,_xlpm.rates*_xlpm.hours,_xlpm.Customer,_xlfn.ANCHORARRAY($E$1)*0,
_xlpm.Customer_comp,_xlfn.XLOOKUP(_xlpm.site,_xlpm.locations,_xlpm.comp,0,0),_xlpm.ann_incr,_xlfn.XLOOKUP(YEAR(_xlfn.ANCHORARRAY($E$25)),Base!$BJ$4:$BL$4,Base!$BJ82:$BL82,0,0),
_xlpm.bad_debt,_xlfn.XLOOKUP(_xlpm.site,_xlpm.locations,Base!$D$28:$BD$28,0,0),_xlpm.Customer_comp*_xlpm.Customer*_xlpm.bad_debt*_xlpm.ann_incr*(52/12))</f>
        <v>0</v>
      </c>
      <c r="F34" s="183">
        <v>0</v>
      </c>
      <c r="G34" s="183">
        <v>0</v>
      </c>
      <c r="H34" s="183">
        <v>0</v>
      </c>
      <c r="I34" s="183">
        <v>0</v>
      </c>
      <c r="J34" s="183">
        <v>0</v>
      </c>
      <c r="K34" s="183">
        <v>0</v>
      </c>
      <c r="L34" s="183">
        <v>0</v>
      </c>
      <c r="M34" s="183">
        <v>0</v>
      </c>
      <c r="N34" s="183">
        <v>0</v>
      </c>
      <c r="O34" s="183">
        <v>0</v>
      </c>
      <c r="P34" s="183">
        <v>0</v>
      </c>
      <c r="Q34" s="183">
        <v>0</v>
      </c>
      <c r="R34" s="183">
        <v>0</v>
      </c>
      <c r="S34" s="183">
        <v>0</v>
      </c>
      <c r="T34" s="183">
        <v>0</v>
      </c>
      <c r="U34" s="183">
        <v>0</v>
      </c>
      <c r="V34" s="183">
        <v>0</v>
      </c>
      <c r="W34" s="183">
        <v>0</v>
      </c>
      <c r="X34" s="183">
        <v>0</v>
      </c>
      <c r="Y34" s="183">
        <v>0</v>
      </c>
      <c r="Z34" s="183">
        <v>0</v>
      </c>
      <c r="AA34" s="183">
        <v>0</v>
      </c>
      <c r="AB34" s="183">
        <v>0</v>
      </c>
      <c r="AC34" s="183">
        <v>0</v>
      </c>
      <c r="AD34" s="183">
        <v>0</v>
      </c>
      <c r="AE34" s="183">
        <v>0</v>
      </c>
      <c r="AF34" s="183">
        <v>0</v>
      </c>
      <c r="AG34" s="183">
        <v>0</v>
      </c>
      <c r="AH34" s="183">
        <v>0</v>
      </c>
      <c r="AI34" s="183">
        <v>0</v>
      </c>
      <c r="AJ34" s="183">
        <v>0</v>
      </c>
      <c r="AK34" s="183">
        <v>0</v>
      </c>
      <c r="AL34" s="183">
        <v>0</v>
      </c>
      <c r="AM34" s="183">
        <v>0</v>
      </c>
      <c r="AN34" s="183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-38756.866735231997</v>
      </c>
      <c r="F35" s="12">
        <v>-41233.106485247998</v>
      </c>
      <c r="G35" s="12">
        <v>-44947.466110271998</v>
      </c>
      <c r="H35" s="12">
        <v>-44947.466110271998</v>
      </c>
      <c r="I35" s="12">
        <v>-44947.466110271998</v>
      </c>
      <c r="J35" s="12">
        <v>-44947.466110271998</v>
      </c>
      <c r="K35" s="12">
        <v>-44947.466110271998</v>
      </c>
      <c r="L35" s="12">
        <v>-44947.466110271998</v>
      </c>
      <c r="M35" s="12">
        <v>-44947.466110271998</v>
      </c>
      <c r="N35" s="12">
        <v>-44947.466110271998</v>
      </c>
      <c r="O35" s="12">
        <v>-44947.466110271998</v>
      </c>
      <c r="P35" s="12">
        <v>-44947.466110271998</v>
      </c>
      <c r="Q35" s="12">
        <v>-46295.89009358015</v>
      </c>
      <c r="R35" s="12">
        <v>-46295.89009358015</v>
      </c>
      <c r="S35" s="12">
        <v>-46295.89009358015</v>
      </c>
      <c r="T35" s="12">
        <v>-46295.89009358015</v>
      </c>
      <c r="U35" s="12">
        <v>-46295.89009358015</v>
      </c>
      <c r="V35" s="12">
        <v>-46295.89009358015</v>
      </c>
      <c r="W35" s="12">
        <v>-46295.89009358015</v>
      </c>
      <c r="X35" s="12">
        <v>-46295.89009358015</v>
      </c>
      <c r="Y35" s="12">
        <v>-46295.89009358015</v>
      </c>
      <c r="Z35" s="12">
        <v>-46295.89009358015</v>
      </c>
      <c r="AA35" s="12">
        <v>-46295.89009358015</v>
      </c>
      <c r="AB35" s="12">
        <v>-46295.89009358015</v>
      </c>
      <c r="AC35" s="12">
        <v>-46295.89009358015</v>
      </c>
      <c r="AD35" s="12">
        <v>-46295.89009358015</v>
      </c>
      <c r="AE35" s="12">
        <v>-46295.89009358015</v>
      </c>
      <c r="AF35" s="12">
        <v>-46295.89009358015</v>
      </c>
      <c r="AG35" s="12">
        <v>-46295.89009358015</v>
      </c>
      <c r="AH35" s="12">
        <v>-46295.89009358015</v>
      </c>
      <c r="AI35" s="12">
        <v>-46295.89009358015</v>
      </c>
      <c r="AJ35" s="12">
        <v>-46295.89009358015</v>
      </c>
      <c r="AK35" s="12">
        <v>-46295.89009358015</v>
      </c>
      <c r="AL35" s="12">
        <v>-46295.89009358015</v>
      </c>
      <c r="AM35" s="12">
        <v>-46295.89009358015</v>
      </c>
      <c r="AN35" s="12">
        <v>-46295.89009358015</v>
      </c>
    </row>
    <row r="36" spans="2:40" x14ac:dyDescent="0.25">
      <c r="B36" s="39" t="s">
        <v>261</v>
      </c>
      <c r="C36" s="15"/>
      <c r="E36" s="183" cm="1">
        <f t="array" ref="E36:AN36">_xlfn.BYCOL(_xlfn.ANCHORARRAY($E$25),_xlfn.LAMBDA(_xlpm.a,0))</f>
        <v>0</v>
      </c>
      <c r="F36" s="183">
        <v>0</v>
      </c>
      <c r="G36" s="183">
        <v>0</v>
      </c>
      <c r="H36" s="183">
        <v>0</v>
      </c>
      <c r="I36" s="183">
        <v>0</v>
      </c>
      <c r="J36" s="183">
        <v>0</v>
      </c>
      <c r="K36" s="183">
        <v>0</v>
      </c>
      <c r="L36" s="183">
        <v>0</v>
      </c>
      <c r="M36" s="183">
        <v>0</v>
      </c>
      <c r="N36" s="183">
        <v>0</v>
      </c>
      <c r="O36" s="183">
        <v>0</v>
      </c>
      <c r="P36" s="183">
        <v>0</v>
      </c>
      <c r="Q36" s="183">
        <v>0</v>
      </c>
      <c r="R36" s="183">
        <v>0</v>
      </c>
      <c r="S36" s="183">
        <v>0</v>
      </c>
      <c r="T36" s="183">
        <v>0</v>
      </c>
      <c r="U36" s="183">
        <v>0</v>
      </c>
      <c r="V36" s="183">
        <v>0</v>
      </c>
      <c r="W36" s="183">
        <v>0</v>
      </c>
      <c r="X36" s="183">
        <v>0</v>
      </c>
      <c r="Y36" s="183">
        <v>0</v>
      </c>
      <c r="Z36" s="183">
        <v>0</v>
      </c>
      <c r="AA36" s="183">
        <v>0</v>
      </c>
      <c r="AB36" s="183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271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244276.03419170127</v>
      </c>
      <c r="F37" s="13">
        <v>259680.57475848528</v>
      </c>
      <c r="G37" s="13">
        <v>282787.38560866134</v>
      </c>
      <c r="H37" s="13">
        <v>282787.38560866134</v>
      </c>
      <c r="I37" s="13">
        <v>282787.38560866134</v>
      </c>
      <c r="J37" s="13">
        <v>282787.38560866134</v>
      </c>
      <c r="K37" s="13">
        <v>282787.38560866134</v>
      </c>
      <c r="L37" s="13">
        <v>282787.38560866134</v>
      </c>
      <c r="M37" s="13">
        <v>282787.38560866134</v>
      </c>
      <c r="N37" s="13">
        <v>282787.38560866134</v>
      </c>
      <c r="O37" s="13">
        <v>282787.38560866134</v>
      </c>
      <c r="P37" s="13">
        <v>282787.38560866134</v>
      </c>
      <c r="Q37" s="13">
        <v>291271.00717692112</v>
      </c>
      <c r="R37" s="13">
        <v>291271.00717692112</v>
      </c>
      <c r="S37" s="13">
        <v>291271.00717692112</v>
      </c>
      <c r="T37" s="13">
        <v>291271.00717692112</v>
      </c>
      <c r="U37" s="13">
        <v>291271.00717692112</v>
      </c>
      <c r="V37" s="13">
        <v>291271.00717692112</v>
      </c>
      <c r="W37" s="13">
        <v>291271.00717692112</v>
      </c>
      <c r="X37" s="13">
        <v>291271.00717692112</v>
      </c>
      <c r="Y37" s="13">
        <v>291271.00717692112</v>
      </c>
      <c r="Z37" s="13">
        <v>291271.00717692112</v>
      </c>
      <c r="AA37" s="13">
        <v>291271.00717692112</v>
      </c>
      <c r="AB37" s="13">
        <v>291271.00717692112</v>
      </c>
      <c r="AC37" s="13">
        <v>291271.00717692112</v>
      </c>
      <c r="AD37" s="13">
        <v>291271.00717692112</v>
      </c>
      <c r="AE37" s="13">
        <v>291271.00717692112</v>
      </c>
      <c r="AF37" s="13">
        <v>291271.00717692112</v>
      </c>
      <c r="AG37" s="13">
        <v>291271.00717692112</v>
      </c>
      <c r="AH37" s="13">
        <v>291271.00717692112</v>
      </c>
      <c r="AI37" s="13">
        <v>291271.00717692112</v>
      </c>
      <c r="AJ37" s="13">
        <v>291271.00717692112</v>
      </c>
      <c r="AK37" s="13">
        <v>291271.00717692112</v>
      </c>
      <c r="AL37" s="13">
        <v>291271.00717692112</v>
      </c>
      <c r="AM37" s="13">
        <v>291271.00717692112</v>
      </c>
      <c r="AN37" s="13">
        <v>291271.00717692112</v>
      </c>
    </row>
    <row r="38" spans="2:40" x14ac:dyDescent="0.25">
      <c r="E38" s="67"/>
      <c r="F38" s="67"/>
    </row>
    <row r="39" spans="2:40" x14ac:dyDescent="0.25">
      <c r="B39" s="1" t="s">
        <v>118</v>
      </c>
    </row>
    <row r="40" spans="2:40" x14ac:dyDescent="0.25">
      <c r="B40" s="39" t="s">
        <v>23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188952.26650980959</v>
      </c>
      <c r="F40" s="12">
        <v>199196.65063692289</v>
      </c>
      <c r="G40" s="12">
        <v>210550.30349425951</v>
      </c>
      <c r="H40" s="12">
        <v>210801.63682759285</v>
      </c>
      <c r="I40" s="12">
        <v>211091.63682759283</v>
      </c>
      <c r="J40" s="12">
        <v>211342.97016092617</v>
      </c>
      <c r="K40" s="12">
        <v>211541.13682759283</v>
      </c>
      <c r="L40" s="12">
        <v>211831.13682759285</v>
      </c>
      <c r="M40" s="12">
        <v>212082.47016092614</v>
      </c>
      <c r="N40" s="12">
        <v>212333.80349425951</v>
      </c>
      <c r="O40" s="12">
        <v>212531.97016092617</v>
      </c>
      <c r="P40" s="12">
        <v>212875.13682759283</v>
      </c>
      <c r="Q40" s="12">
        <v>234380.63384368547</v>
      </c>
      <c r="R40" s="12">
        <v>234598.61717701875</v>
      </c>
      <c r="S40" s="12">
        <v>234598.61717701875</v>
      </c>
      <c r="T40" s="12">
        <v>234598.61717701875</v>
      </c>
      <c r="U40" s="12">
        <v>234598.61717701875</v>
      </c>
      <c r="V40" s="12">
        <v>234598.61717701875</v>
      </c>
      <c r="W40" s="12">
        <v>234598.61717701875</v>
      </c>
      <c r="X40" s="12">
        <v>234598.61717701875</v>
      </c>
      <c r="Y40" s="12">
        <v>234598.61717701875</v>
      </c>
      <c r="Z40" s="12">
        <v>234598.61717701875</v>
      </c>
      <c r="AA40" s="12">
        <v>234598.61717701875</v>
      </c>
      <c r="AB40" s="12">
        <v>234598.61717701875</v>
      </c>
      <c r="AC40" s="12">
        <v>258058.47889472067</v>
      </c>
      <c r="AD40" s="12">
        <v>258058.47889472067</v>
      </c>
      <c r="AE40" s="12">
        <v>258058.47889472067</v>
      </c>
      <c r="AF40" s="12">
        <v>258058.47889472067</v>
      </c>
      <c r="AG40" s="12">
        <v>258058.47889472067</v>
      </c>
      <c r="AH40" s="12">
        <v>258058.47889472067</v>
      </c>
      <c r="AI40" s="12">
        <v>258058.47889472067</v>
      </c>
      <c r="AJ40" s="12">
        <v>258058.47889472067</v>
      </c>
      <c r="AK40" s="12">
        <v>258058.47889472067</v>
      </c>
      <c r="AL40" s="12">
        <v>258058.47889472067</v>
      </c>
      <c r="AM40" s="12">
        <v>258058.47889472067</v>
      </c>
      <c r="AN40" s="12">
        <v>258058.47889472067</v>
      </c>
    </row>
    <row r="41" spans="2:40" x14ac:dyDescent="0.25">
      <c r="B41" s="39" t="s">
        <v>388</v>
      </c>
      <c r="C41" s="142">
        <f>_xlfn.XLOOKUP($B$1&amp;"-"&amp;$C$1,Base!$D$4:$BD$4,Base!$D$12:$BD$12,0,0)</f>
        <v>0</v>
      </c>
      <c r="E41" s="183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28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6713</v>
      </c>
      <c r="F42" s="12">
        <v>6713</v>
      </c>
      <c r="G42" s="12">
        <v>6713</v>
      </c>
      <c r="H42" s="12">
        <v>6713</v>
      </c>
      <c r="I42" s="12">
        <v>6713</v>
      </c>
      <c r="J42" s="12">
        <v>6713</v>
      </c>
      <c r="K42" s="12">
        <v>6713</v>
      </c>
      <c r="L42" s="12">
        <v>6713</v>
      </c>
      <c r="M42" s="12">
        <v>6713</v>
      </c>
      <c r="N42" s="12">
        <v>6713</v>
      </c>
      <c r="O42" s="12">
        <v>6713</v>
      </c>
      <c r="P42" s="12">
        <v>6713</v>
      </c>
      <c r="Q42" s="12">
        <v>6914.39</v>
      </c>
      <c r="R42" s="12">
        <v>6914.39</v>
      </c>
      <c r="S42" s="12">
        <v>6914.39</v>
      </c>
      <c r="T42" s="12">
        <v>6914.39</v>
      </c>
      <c r="U42" s="12">
        <v>6914.39</v>
      </c>
      <c r="V42" s="12">
        <v>6914.39</v>
      </c>
      <c r="W42" s="12">
        <v>6914.39</v>
      </c>
      <c r="X42" s="12">
        <v>6914.39</v>
      </c>
      <c r="Y42" s="12">
        <v>6914.39</v>
      </c>
      <c r="Z42" s="12">
        <v>6914.39</v>
      </c>
      <c r="AA42" s="12">
        <v>6914.39</v>
      </c>
      <c r="AB42" s="12">
        <v>6914.39</v>
      </c>
      <c r="AC42" s="12">
        <v>7121.8216999999995</v>
      </c>
      <c r="AD42" s="12">
        <v>7121.8216999999995</v>
      </c>
      <c r="AE42" s="12">
        <v>7121.8216999999995</v>
      </c>
      <c r="AF42" s="12">
        <v>7121.8216999999995</v>
      </c>
      <c r="AG42" s="12">
        <v>7121.8216999999995</v>
      </c>
      <c r="AH42" s="12">
        <v>7121.8216999999995</v>
      </c>
      <c r="AI42" s="12">
        <v>7121.8216999999995</v>
      </c>
      <c r="AJ42" s="12">
        <v>7121.8216999999995</v>
      </c>
      <c r="AK42" s="12">
        <v>7121.8216999999995</v>
      </c>
      <c r="AL42" s="12">
        <v>7121.8216999999995</v>
      </c>
      <c r="AM42" s="12">
        <v>7121.8216999999995</v>
      </c>
      <c r="AN42" s="12">
        <v>7121.8216999999995</v>
      </c>
    </row>
    <row r="43" spans="2:40" x14ac:dyDescent="0.25">
      <c r="B43" s="39" t="s">
        <v>31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5600</v>
      </c>
      <c r="F43" s="12">
        <v>5600</v>
      </c>
      <c r="G43" s="12">
        <v>5600</v>
      </c>
      <c r="H43" s="12">
        <v>5600</v>
      </c>
      <c r="I43" s="12">
        <v>5600</v>
      </c>
      <c r="J43" s="12">
        <v>5600</v>
      </c>
      <c r="K43" s="12">
        <v>5600</v>
      </c>
      <c r="L43" s="12">
        <v>5600</v>
      </c>
      <c r="M43" s="12">
        <v>5600</v>
      </c>
      <c r="N43" s="12">
        <v>5600</v>
      </c>
      <c r="O43" s="12">
        <v>5600</v>
      </c>
      <c r="P43" s="12">
        <v>5600</v>
      </c>
      <c r="Q43" s="12">
        <v>5824</v>
      </c>
      <c r="R43" s="12">
        <v>5824</v>
      </c>
      <c r="S43" s="12">
        <v>5824</v>
      </c>
      <c r="T43" s="12">
        <v>5824</v>
      </c>
      <c r="U43" s="12">
        <v>5824</v>
      </c>
      <c r="V43" s="12">
        <v>5824</v>
      </c>
      <c r="W43" s="12">
        <v>5824</v>
      </c>
      <c r="X43" s="12">
        <v>5824</v>
      </c>
      <c r="Y43" s="12">
        <v>5824</v>
      </c>
      <c r="Z43" s="12">
        <v>5824</v>
      </c>
      <c r="AA43" s="12">
        <v>5824</v>
      </c>
      <c r="AB43" s="12">
        <v>5824</v>
      </c>
      <c r="AC43" s="12">
        <v>6056.9600000000009</v>
      </c>
      <c r="AD43" s="12">
        <v>6056.9600000000009</v>
      </c>
      <c r="AE43" s="12">
        <v>6056.9600000000009</v>
      </c>
      <c r="AF43" s="12">
        <v>6056.9600000000009</v>
      </c>
      <c r="AG43" s="12">
        <v>6056.9600000000009</v>
      </c>
      <c r="AH43" s="12">
        <v>6056.9600000000009</v>
      </c>
      <c r="AI43" s="12">
        <v>6056.9600000000009</v>
      </c>
      <c r="AJ43" s="12">
        <v>6056.9600000000009</v>
      </c>
      <c r="AK43" s="12">
        <v>6056.9600000000009</v>
      </c>
      <c r="AL43" s="12">
        <v>6056.9600000000009</v>
      </c>
      <c r="AM43" s="12">
        <v>6056.9600000000009</v>
      </c>
      <c r="AN43" s="12">
        <v>6056.9600000000009</v>
      </c>
    </row>
    <row r="44" spans="2:40" x14ac:dyDescent="0.25">
      <c r="B44" s="39" t="s">
        <v>34</v>
      </c>
      <c r="C44" s="96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1192.7675999999999</v>
      </c>
      <c r="F44" s="12">
        <v>1223.0922</v>
      </c>
      <c r="G44" s="12">
        <v>1064.7304000000001</v>
      </c>
      <c r="H44" s="12">
        <v>1078.2080000000003</v>
      </c>
      <c r="I44" s="12">
        <v>1091.6856</v>
      </c>
      <c r="J44" s="12">
        <v>1105.1632000000002</v>
      </c>
      <c r="K44" s="12">
        <v>1115.2714000000001</v>
      </c>
      <c r="L44" s="12">
        <v>1128.7490000000003</v>
      </c>
      <c r="M44" s="12">
        <v>1142.2266</v>
      </c>
      <c r="N44" s="12">
        <v>1155.7042000000001</v>
      </c>
      <c r="O44" s="12">
        <v>1165.8124</v>
      </c>
      <c r="P44" s="12">
        <v>1182.6594</v>
      </c>
      <c r="Q44" s="12">
        <v>1240.478304</v>
      </c>
      <c r="R44" s="12">
        <v>1250.9908320000002</v>
      </c>
      <c r="S44" s="12">
        <v>1250.9908320000002</v>
      </c>
      <c r="T44" s="12">
        <v>1250.9908320000002</v>
      </c>
      <c r="U44" s="12">
        <v>1250.9908320000002</v>
      </c>
      <c r="V44" s="12">
        <v>1250.9908320000002</v>
      </c>
      <c r="W44" s="12">
        <v>1250.9908320000002</v>
      </c>
      <c r="X44" s="12">
        <v>1250.9908320000002</v>
      </c>
      <c r="Y44" s="12">
        <v>1250.9908320000002</v>
      </c>
      <c r="Z44" s="12">
        <v>1250.9908320000002</v>
      </c>
      <c r="AA44" s="12">
        <v>1250.9908320000002</v>
      </c>
      <c r="AB44" s="12">
        <v>1250.9908320000002</v>
      </c>
      <c r="AC44" s="12">
        <v>1301.0304652800003</v>
      </c>
      <c r="AD44" s="12">
        <v>1301.0304652800003</v>
      </c>
      <c r="AE44" s="12">
        <v>1301.0304652800003</v>
      </c>
      <c r="AF44" s="12">
        <v>1301.0304652800003</v>
      </c>
      <c r="AG44" s="12">
        <v>1301.0304652800003</v>
      </c>
      <c r="AH44" s="12">
        <v>1301.0304652800003</v>
      </c>
      <c r="AI44" s="12">
        <v>1301.0304652800003</v>
      </c>
      <c r="AJ44" s="12">
        <v>1301.0304652800003</v>
      </c>
      <c r="AK44" s="12">
        <v>1301.0304652800003</v>
      </c>
      <c r="AL44" s="12">
        <v>1301.0304652800003</v>
      </c>
      <c r="AM44" s="12">
        <v>1301.0304652800003</v>
      </c>
      <c r="AN44" s="12">
        <v>1301.0304652800003</v>
      </c>
    </row>
    <row r="45" spans="2:40" x14ac:dyDescent="0.25">
      <c r="B45" s="39" t="s">
        <v>36</v>
      </c>
      <c r="C45" s="96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6000</v>
      </c>
      <c r="F45" s="12">
        <v>6000</v>
      </c>
      <c r="G45" s="12">
        <v>6000</v>
      </c>
      <c r="H45" s="12">
        <v>6000</v>
      </c>
      <c r="I45" s="12">
        <v>6000</v>
      </c>
      <c r="J45" s="12">
        <v>6000</v>
      </c>
      <c r="K45" s="12">
        <v>6000</v>
      </c>
      <c r="L45" s="12">
        <v>6000</v>
      </c>
      <c r="M45" s="12">
        <v>6000</v>
      </c>
      <c r="N45" s="12">
        <v>6000</v>
      </c>
      <c r="O45" s="12">
        <v>6000</v>
      </c>
      <c r="P45" s="12">
        <v>6000</v>
      </c>
      <c r="Q45" s="12">
        <v>6120</v>
      </c>
      <c r="R45" s="12">
        <v>6120</v>
      </c>
      <c r="S45" s="12">
        <v>6120</v>
      </c>
      <c r="T45" s="12">
        <v>6120</v>
      </c>
      <c r="U45" s="12">
        <v>6120</v>
      </c>
      <c r="V45" s="12">
        <v>6120</v>
      </c>
      <c r="W45" s="12">
        <v>6120</v>
      </c>
      <c r="X45" s="12">
        <v>6120</v>
      </c>
      <c r="Y45" s="12">
        <v>6120</v>
      </c>
      <c r="Z45" s="12">
        <v>6120</v>
      </c>
      <c r="AA45" s="12">
        <v>6120</v>
      </c>
      <c r="AB45" s="12">
        <v>6120</v>
      </c>
      <c r="AC45" s="12">
        <v>6242.4</v>
      </c>
      <c r="AD45" s="12">
        <v>6242.4</v>
      </c>
      <c r="AE45" s="12">
        <v>6242.4</v>
      </c>
      <c r="AF45" s="12">
        <v>6242.4</v>
      </c>
      <c r="AG45" s="12">
        <v>6242.4</v>
      </c>
      <c r="AH45" s="12">
        <v>6242.4</v>
      </c>
      <c r="AI45" s="12">
        <v>6242.4</v>
      </c>
      <c r="AJ45" s="12">
        <v>6242.4</v>
      </c>
      <c r="AK45" s="12">
        <v>6242.4</v>
      </c>
      <c r="AL45" s="12">
        <v>6242.4</v>
      </c>
      <c r="AM45" s="12">
        <v>6242.4</v>
      </c>
      <c r="AN45" s="12">
        <v>6242.4</v>
      </c>
    </row>
    <row r="46" spans="2:40" x14ac:dyDescent="0.25">
      <c r="B46" s="39" t="s">
        <v>38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14317.499999999998</v>
      </c>
      <c r="F46" s="12">
        <v>15119.000000000004</v>
      </c>
      <c r="G46" s="12">
        <v>16109.5</v>
      </c>
      <c r="H46" s="12">
        <v>16123.500000000002</v>
      </c>
      <c r="I46" s="12">
        <v>16137.500000000002</v>
      </c>
      <c r="J46" s="12">
        <v>16151.500000000002</v>
      </c>
      <c r="K46" s="12">
        <v>16162</v>
      </c>
      <c r="L46" s="12">
        <v>16176.000000000004</v>
      </c>
      <c r="M46" s="12">
        <v>16190.000000000002</v>
      </c>
      <c r="N46" s="12">
        <v>16204.000000000002</v>
      </c>
      <c r="O46" s="12">
        <v>16214.500000000002</v>
      </c>
      <c r="P46" s="12">
        <v>16232.000000000004</v>
      </c>
      <c r="Q46" s="12">
        <v>16567.350000000002</v>
      </c>
      <c r="R46" s="12">
        <v>16578.060000000005</v>
      </c>
      <c r="S46" s="12">
        <v>16578.060000000005</v>
      </c>
      <c r="T46" s="12">
        <v>16578.060000000005</v>
      </c>
      <c r="U46" s="12">
        <v>16578.060000000005</v>
      </c>
      <c r="V46" s="12">
        <v>16578.060000000005</v>
      </c>
      <c r="W46" s="12">
        <v>16578.060000000005</v>
      </c>
      <c r="X46" s="12">
        <v>16578.060000000005</v>
      </c>
      <c r="Y46" s="12">
        <v>16578.060000000005</v>
      </c>
      <c r="Z46" s="12">
        <v>16578.060000000005</v>
      </c>
      <c r="AA46" s="12">
        <v>16578.060000000005</v>
      </c>
      <c r="AB46" s="12">
        <v>16578.060000000005</v>
      </c>
      <c r="AC46" s="12">
        <v>16909.621200000005</v>
      </c>
      <c r="AD46" s="12">
        <v>16909.621200000005</v>
      </c>
      <c r="AE46" s="12">
        <v>16909.621200000005</v>
      </c>
      <c r="AF46" s="12">
        <v>16909.621200000005</v>
      </c>
      <c r="AG46" s="12">
        <v>16909.621200000005</v>
      </c>
      <c r="AH46" s="12">
        <v>16909.621200000005</v>
      </c>
      <c r="AI46" s="12">
        <v>16909.621200000005</v>
      </c>
      <c r="AJ46" s="12">
        <v>16909.621200000005</v>
      </c>
      <c r="AK46" s="12">
        <v>16909.621200000005</v>
      </c>
      <c r="AL46" s="12">
        <v>16909.621200000005</v>
      </c>
      <c r="AM46" s="12">
        <v>16909.621200000005</v>
      </c>
      <c r="AN46" s="12">
        <v>16909.621200000005</v>
      </c>
    </row>
    <row r="47" spans="2:40" x14ac:dyDescent="0.25">
      <c r="B47" s="39" t="s">
        <v>40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4750</v>
      </c>
      <c r="F47" s="12">
        <v>4750</v>
      </c>
      <c r="G47" s="12">
        <v>4750</v>
      </c>
      <c r="H47" s="12">
        <v>4750</v>
      </c>
      <c r="I47" s="12">
        <v>4750</v>
      </c>
      <c r="J47" s="12">
        <v>4750</v>
      </c>
      <c r="K47" s="12">
        <v>4750</v>
      </c>
      <c r="L47" s="12">
        <v>4750</v>
      </c>
      <c r="M47" s="12">
        <v>4750</v>
      </c>
      <c r="N47" s="12">
        <v>4750</v>
      </c>
      <c r="O47" s="12">
        <v>4750</v>
      </c>
      <c r="P47" s="12">
        <v>4750</v>
      </c>
      <c r="Q47" s="12">
        <v>4987.5</v>
      </c>
      <c r="R47" s="12">
        <v>4987.5</v>
      </c>
      <c r="S47" s="12">
        <v>4987.5</v>
      </c>
      <c r="T47" s="12">
        <v>4987.5</v>
      </c>
      <c r="U47" s="12">
        <v>4987.5</v>
      </c>
      <c r="V47" s="12">
        <v>4987.5</v>
      </c>
      <c r="W47" s="12">
        <v>4987.5</v>
      </c>
      <c r="X47" s="12">
        <v>4987.5</v>
      </c>
      <c r="Y47" s="12">
        <v>4987.5</v>
      </c>
      <c r="Z47" s="12">
        <v>4987.5</v>
      </c>
      <c r="AA47" s="12">
        <v>4987.5</v>
      </c>
      <c r="AB47" s="12">
        <v>4987.5</v>
      </c>
      <c r="AC47" s="12">
        <v>5236.875</v>
      </c>
      <c r="AD47" s="12">
        <v>5236.875</v>
      </c>
      <c r="AE47" s="12">
        <v>5236.875</v>
      </c>
      <c r="AF47" s="12">
        <v>5236.875</v>
      </c>
      <c r="AG47" s="12">
        <v>5236.875</v>
      </c>
      <c r="AH47" s="12">
        <v>5236.875</v>
      </c>
      <c r="AI47" s="12">
        <v>5236.875</v>
      </c>
      <c r="AJ47" s="12">
        <v>5236.875</v>
      </c>
      <c r="AK47" s="12">
        <v>5236.875</v>
      </c>
      <c r="AL47" s="12">
        <v>5236.875</v>
      </c>
      <c r="AM47" s="12">
        <v>5236.875</v>
      </c>
      <c r="AN47" s="12">
        <v>5236.875</v>
      </c>
    </row>
    <row r="48" spans="2:40" x14ac:dyDescent="0.25">
      <c r="B48" s="39" t="s">
        <v>41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42</v>
      </c>
      <c r="E49" s="12">
        <f>'Corp.'!E$50*(E$37-(E31-E32-E34)*$C$35)/(SUM('MDA1:NCA9'!E$37)-SUM('MDA1:NCA9'!E$31)-SUM('MDA1:NCA9'!E$32)-SUM('MDA1:NCA9'!E$34))</f>
        <v>80969.345701492115</v>
      </c>
      <c r="F49" s="12">
        <f>'Corp.'!F$50*(F$37-(F31-F32-F34)*$C$35)/(SUM('MDA1:NCA9'!F$37)-SUM('MDA1:NCA9'!F$31)-SUM('MDA1:NCA9'!F$32)-SUM('MDA1:NCA9'!F$34))</f>
        <v>80795.011003241903</v>
      </c>
      <c r="G49" s="12">
        <f>'Corp.'!G$50*(G$37-(G31-G32-G34)*$C$35)/(SUM('MDA1:NCA9'!G$37)-SUM('MDA1:NCA9'!G$31)-SUM('MDA1:NCA9'!G$32)-SUM('MDA1:NCA9'!G$34))</f>
        <v>80076.122491218877</v>
      </c>
      <c r="H49" s="12">
        <f>'Corp.'!H$50*(H$37-(H31-H32-H34)*$C$35)/(SUM('MDA1:NCA9'!H$37)-SUM('MDA1:NCA9'!H$31)-SUM('MDA1:NCA9'!H$32)-SUM('MDA1:NCA9'!H$34))</f>
        <v>73212.179689657947</v>
      </c>
      <c r="I49" s="12">
        <f>'Corp.'!I$50*(I$37-(I31-I32-I34)*$C$35)/(SUM('MDA1:NCA9'!I$37)-SUM('MDA1:NCA9'!I$31)-SUM('MDA1:NCA9'!I$32)-SUM('MDA1:NCA9'!I$34))</f>
        <v>68893.124313813183</v>
      </c>
      <c r="J49" s="12">
        <f>'Corp.'!J$50*(J$37-(J31-J32-J34)*$C$35)/(SUM('MDA1:NCA9'!J$37)-SUM('MDA1:NCA9'!J$31)-SUM('MDA1:NCA9'!J$32)-SUM('MDA1:NCA9'!J$34))</f>
        <v>64392.127505763514</v>
      </c>
      <c r="K49" s="12">
        <f>'Corp.'!K$50*(K$37-(K31-K32-K34)*$C$35)/(SUM('MDA1:NCA9'!K$37)-SUM('MDA1:NCA9'!K$31)-SUM('MDA1:NCA9'!K$32)-SUM('MDA1:NCA9'!K$34))</f>
        <v>59143.414191907461</v>
      </c>
      <c r="L49" s="12">
        <f>'Corp.'!L$50*(L$37-(L31-L32-L34)*$C$35)/(SUM('MDA1:NCA9'!L$37)-SUM('MDA1:NCA9'!L$31)-SUM('MDA1:NCA9'!L$32)-SUM('MDA1:NCA9'!L$34))</f>
        <v>55890.398946950307</v>
      </c>
      <c r="M49" s="12">
        <f>'Corp.'!M$50*(M$37-(M31-M32-M34)*$C$35)/(SUM('MDA1:NCA9'!M$37)-SUM('MDA1:NCA9'!M$31)-SUM('MDA1:NCA9'!M$32)-SUM('MDA1:NCA9'!M$34))</f>
        <v>52377.811346713002</v>
      </c>
      <c r="N49" s="12">
        <f>'Corp.'!N$50*(N$37-(N31-N32-N34)*$C$35)/(SUM('MDA1:NCA9'!N$37)-SUM('MDA1:NCA9'!N$31)-SUM('MDA1:NCA9'!N$32)-SUM('MDA1:NCA9'!N$34))</f>
        <v>49354.619509461139</v>
      </c>
      <c r="O49" s="12">
        <f>'Corp.'!O$50*(O$37-(O31-O32-O34)*$C$35)/(SUM('MDA1:NCA9'!O$37)-SUM('MDA1:NCA9'!O$31)-SUM('MDA1:NCA9'!O$32)-SUM('MDA1:NCA9'!O$34))</f>
        <v>46190.941648596156</v>
      </c>
      <c r="P49" s="12">
        <f>'Corp.'!P$50*(P$37-(P31-P32-P34)*$C$35)/(SUM('MDA1:NCA9'!P$37)-SUM('MDA1:NCA9'!P$31)-SUM('MDA1:NCA9'!P$32)-SUM('MDA1:NCA9'!P$34))</f>
        <v>43587.959865050194</v>
      </c>
      <c r="Q49" s="12">
        <f>'Corp.'!Q$50*(Q$37-(Q31-Q32-Q34)*$C$35)/(SUM('MDA1:NCA9'!Q$37)-SUM('MDA1:NCA9'!Q$31)-SUM('MDA1:NCA9'!Q$32)-SUM('MDA1:NCA9'!Q$34))</f>
        <v>45060.270800768471</v>
      </c>
      <c r="R49" s="12">
        <f>'Corp.'!R$50*(R$37-(R31-R32-R34)*$C$35)/(SUM('MDA1:NCA9'!R$37)-SUM('MDA1:NCA9'!R$31)-SUM('MDA1:NCA9'!R$32)-SUM('MDA1:NCA9'!R$34))</f>
        <v>43353.535793417614</v>
      </c>
      <c r="S49" s="12">
        <f>'Corp.'!S$50*(S$37-(S31-S32-S34)*$C$35)/(SUM('MDA1:NCA9'!S$37)-SUM('MDA1:NCA9'!S$31)-SUM('MDA1:NCA9'!S$32)-SUM('MDA1:NCA9'!S$34))</f>
        <v>41477.488295073526</v>
      </c>
      <c r="T49" s="12">
        <f>'Corp.'!T$50*(T$37-(T31-T32-T34)*$C$35)/(SUM('MDA1:NCA9'!T$37)-SUM('MDA1:NCA9'!T$31)-SUM('MDA1:NCA9'!T$32)-SUM('MDA1:NCA9'!T$34))</f>
        <v>39889.48884331638</v>
      </c>
      <c r="U49" s="12">
        <f>'Corp.'!U$50*(U$37-(U31-U32-U34)*$C$35)/(SUM('MDA1:NCA9'!U$37)-SUM('MDA1:NCA9'!U$31)-SUM('MDA1:NCA9'!U$32)-SUM('MDA1:NCA9'!U$34))</f>
        <v>38800.735239652633</v>
      </c>
      <c r="V49" s="12">
        <f>'Corp.'!V$50*(V$37-(V31-V32-V34)*$C$35)/(SUM('MDA1:NCA9'!V$37)-SUM('MDA1:NCA9'!V$31)-SUM('MDA1:NCA9'!V$32)-SUM('MDA1:NCA9'!V$34))</f>
        <v>37913.076996507974</v>
      </c>
      <c r="W49" s="12">
        <f>'Corp.'!W$50*(W$37-(W31-W32-W34)*$C$35)/(SUM('MDA1:NCA9'!W$37)-SUM('MDA1:NCA9'!W$31)-SUM('MDA1:NCA9'!W$32)-SUM('MDA1:NCA9'!W$34))</f>
        <v>36760.803574114034</v>
      </c>
      <c r="X49" s="12">
        <f>'Corp.'!X$50*(X$37-(X31-X32-X34)*$C$35)/(SUM('MDA1:NCA9'!X$37)-SUM('MDA1:NCA9'!X$31)-SUM('MDA1:NCA9'!X$32)-SUM('MDA1:NCA9'!X$34))</f>
        <v>35609.320738155744</v>
      </c>
      <c r="Y49" s="12">
        <f>'Corp.'!Y$50*(Y$37-(Y31-Y32-Y34)*$C$35)/(SUM('MDA1:NCA9'!Y$37)-SUM('MDA1:NCA9'!Y$31)-SUM('MDA1:NCA9'!Y$32)-SUM('MDA1:NCA9'!Y$34))</f>
        <v>34854.886780501547</v>
      </c>
      <c r="Z49" s="12">
        <f>'Corp.'!Z$50*(Z$37-(Z31-Z32-Z34)*$C$35)/(SUM('MDA1:NCA9'!Z$37)-SUM('MDA1:NCA9'!Z$31)-SUM('MDA1:NCA9'!Z$32)-SUM('MDA1:NCA9'!Z$34))</f>
        <v>34097.922288676877</v>
      </c>
      <c r="AA49" s="12">
        <f>'Corp.'!AA$50*(AA$37-(AA31-AA32-AA34)*$C$35)/(SUM('MDA1:NCA9'!AA$37)-SUM('MDA1:NCA9'!AA$31)-SUM('MDA1:NCA9'!AA$32)-SUM('MDA1:NCA9'!AA$34))</f>
        <v>33318.330011822793</v>
      </c>
      <c r="AB49" s="12">
        <f>'Corp.'!AB$50*(AB$37-(AB31-AB32-AB34)*$C$35)/(SUM('MDA1:NCA9'!AB$37)-SUM('MDA1:NCA9'!AB$31)-SUM('MDA1:NCA9'!AB$32)-SUM('MDA1:NCA9'!AB$34))</f>
        <v>32562.204162756447</v>
      </c>
      <c r="AC49" s="12">
        <f>'Corp.'!AC$50*(AC$37-(AC31-AC32-AC34)*$C$35)/(SUM('MDA1:NCA9'!AC$37)-SUM('MDA1:NCA9'!AC$31)-SUM('MDA1:NCA9'!AC$32)-SUM('MDA1:NCA9'!AC$34))</f>
        <v>34947.297051673966</v>
      </c>
      <c r="AD49" s="12">
        <f>'Corp.'!AD$50*(AD$37-(AD31-AD32-AD34)*$C$35)/(SUM('MDA1:NCA9'!AD$37)-SUM('MDA1:NCA9'!AD$31)-SUM('MDA1:NCA9'!AD$32)-SUM('MDA1:NCA9'!AD$34))</f>
        <v>34373.180132056987</v>
      </c>
      <c r="AE49" s="12">
        <f>'Corp.'!AE$50*(AE$37-(AE31-AE32-AE34)*$C$35)/(SUM('MDA1:NCA9'!AE$37)-SUM('MDA1:NCA9'!AE$31)-SUM('MDA1:NCA9'!AE$32)-SUM('MDA1:NCA9'!AE$34))</f>
        <v>33831.842219601829</v>
      </c>
      <c r="AF49" s="12">
        <f>'Corp.'!AF$50*(AF$37-(AF31-AF32-AF34)*$C$35)/(SUM('MDA1:NCA9'!AF$37)-SUM('MDA1:NCA9'!AF$31)-SUM('MDA1:NCA9'!AF$32)-SUM('MDA1:NCA9'!AF$34))</f>
        <v>33324.590847993612</v>
      </c>
      <c r="AG49" s="12">
        <f>'Corp.'!AG$50*(AG$37-(AG31-AG32-AG34)*$C$35)/(SUM('MDA1:NCA9'!AG$37)-SUM('MDA1:NCA9'!AG$31)-SUM('MDA1:NCA9'!AG$32)-SUM('MDA1:NCA9'!AG$34))</f>
        <v>32917.79884591532</v>
      </c>
      <c r="AH49" s="12">
        <f>'Corp.'!AH$50*(AH$37-(AH31-AH32-AH34)*$C$35)/(SUM('MDA1:NCA9'!AH$37)-SUM('MDA1:NCA9'!AH$31)-SUM('MDA1:NCA9'!AH$32)-SUM('MDA1:NCA9'!AH$34))</f>
        <v>32382.715482688935</v>
      </c>
      <c r="AI49" s="12">
        <f>'Corp.'!AI$50*(AI$37-(AI31-AI32-AI34)*$C$35)/(SUM('MDA1:NCA9'!AI$37)-SUM('MDA1:NCA9'!AI$31)-SUM('MDA1:NCA9'!AI$32)-SUM('MDA1:NCA9'!AI$34))</f>
        <v>31825.096022527909</v>
      </c>
      <c r="AJ49" s="12">
        <f>'Corp.'!AJ$50*(AJ$37-(AJ31-AJ32-AJ34)*$C$35)/(SUM('MDA1:NCA9'!AJ$37)-SUM('MDA1:NCA9'!AJ$31)-SUM('MDA1:NCA9'!AJ$32)-SUM('MDA1:NCA9'!AJ$34))</f>
        <v>31253.779108278428</v>
      </c>
      <c r="AK49" s="12">
        <f>'Corp.'!AK$50*(AK$37-(AK31-AK32-AK34)*$C$35)/(SUM('MDA1:NCA9'!AK$37)-SUM('MDA1:NCA9'!AK$31)-SUM('MDA1:NCA9'!AK$32)-SUM('MDA1:NCA9'!AK$34))</f>
        <v>30726.238958771406</v>
      </c>
      <c r="AL49" s="12">
        <f>'Corp.'!AL$50*(AL$37-(AL31-AL32-AL34)*$C$35)/(SUM('MDA1:NCA9'!AL$37)-SUM('MDA1:NCA9'!AL$31)-SUM('MDA1:NCA9'!AL$32)-SUM('MDA1:NCA9'!AL$34))</f>
        <v>30242.136080008007</v>
      </c>
      <c r="AM49" s="12">
        <f>'Corp.'!AM$50*(AM$37-(AM31-AM32-AM34)*$C$35)/(SUM('MDA1:NCA9'!AM$37)-SUM('MDA1:NCA9'!AM$31)-SUM('MDA1:NCA9'!AM$32)-SUM('MDA1:NCA9'!AM$34))</f>
        <v>29720.781415103782</v>
      </c>
      <c r="AN49" s="12">
        <f>'Corp.'!AN$50*(AN$37-(AN31-AN32-AN34)*$C$35)/(SUM('MDA1:NCA9'!AN$37)-SUM('MDA1:NCA9'!AN$31)-SUM('MDA1:NCA9'!AN$32)-SUM('MDA1:NCA9'!AN$34))</f>
        <v>29276.369156655899</v>
      </c>
    </row>
    <row r="50" spans="2:40" x14ac:dyDescent="0.25">
      <c r="B50" s="1" t="s">
        <v>272</v>
      </c>
      <c r="E50" s="13" cm="1">
        <f t="array" ref="E50:AN50">_xlfn.BYCOL(_xlfn.VSTACK(_xlfn.ANCHORARRAY(E40),_xlfn.ANCHORARRAY(E42),_xlfn.ANCHORARRAY(E43),_xlfn.ANCHORARRAY(E45),_xlfn.ANCHORARRAY(E46),_xlfn.ANCHORARRAY(E47),_xlfn.ANCHORARRAY(E48),_xlfn.HSTACK(E49:AN49)),_xlfn.LAMBDA(_xlpm.a,SUM(_xlpm.a)))</f>
        <v>307302.11221130169</v>
      </c>
      <c r="F50" s="13">
        <v>318173.66164016479</v>
      </c>
      <c r="G50" s="13">
        <v>329798.92598547839</v>
      </c>
      <c r="H50" s="13">
        <v>323200.31651725079</v>
      </c>
      <c r="I50" s="13">
        <v>319185.26114140602</v>
      </c>
      <c r="J50" s="13">
        <v>314949.59766668966</v>
      </c>
      <c r="K50" s="13">
        <v>309909.5510195003</v>
      </c>
      <c r="L50" s="13">
        <v>306960.53577454318</v>
      </c>
      <c r="M50" s="13">
        <v>303713.28150763916</v>
      </c>
      <c r="N50" s="13">
        <v>300955.42300372064</v>
      </c>
      <c r="O50" s="13">
        <v>298000.41180952231</v>
      </c>
      <c r="P50" s="13">
        <v>295758.09669264301</v>
      </c>
      <c r="Q50" s="13">
        <v>319854.14464445395</v>
      </c>
      <c r="R50" s="13">
        <v>318376.10297043639</v>
      </c>
      <c r="S50" s="13">
        <v>316500.0554720923</v>
      </c>
      <c r="T50" s="13">
        <v>314912.05602033518</v>
      </c>
      <c r="U50" s="13">
        <v>313823.30241667142</v>
      </c>
      <c r="V50" s="13">
        <v>312935.64417352679</v>
      </c>
      <c r="W50" s="13">
        <v>311783.37075113284</v>
      </c>
      <c r="X50" s="13">
        <v>310631.88791517454</v>
      </c>
      <c r="Y50" s="13">
        <v>309877.45395752031</v>
      </c>
      <c r="Z50" s="13">
        <v>309120.48946569569</v>
      </c>
      <c r="AA50" s="13">
        <v>308340.8971888416</v>
      </c>
      <c r="AB50" s="13">
        <v>307584.77133977524</v>
      </c>
      <c r="AC50" s="13">
        <v>334573.45384639467</v>
      </c>
      <c r="AD50" s="13">
        <v>333999.33692677767</v>
      </c>
      <c r="AE50" s="13">
        <v>333457.99901432253</v>
      </c>
      <c r="AF50" s="13">
        <v>332950.7476427143</v>
      </c>
      <c r="AG50" s="13">
        <v>332543.95564063598</v>
      </c>
      <c r="AH50" s="13">
        <v>332008.87227740959</v>
      </c>
      <c r="AI50" s="13">
        <v>331451.25281724858</v>
      </c>
      <c r="AJ50" s="13">
        <v>330879.93590299913</v>
      </c>
      <c r="AK50" s="13">
        <v>330352.39575349208</v>
      </c>
      <c r="AL50" s="13">
        <v>329868.29287472868</v>
      </c>
      <c r="AM50" s="13">
        <v>329346.93820982444</v>
      </c>
      <c r="AN50" s="13">
        <v>328902.52595137659</v>
      </c>
    </row>
    <row r="52" spans="2:40" x14ac:dyDescent="0.25">
      <c r="B52" s="1" t="s">
        <v>48</v>
      </c>
      <c r="E52" s="74">
        <f>E37-E50</f>
        <v>-63026.07801960042</v>
      </c>
      <c r="F52" s="74">
        <f t="shared" ref="F52:AN52" si="0">F37-F50</f>
        <v>-58493.086881679512</v>
      </c>
      <c r="G52" s="74">
        <f t="shared" si="0"/>
        <v>-47011.540376817051</v>
      </c>
      <c r="H52" s="74">
        <f t="shared" si="0"/>
        <v>-40412.930908589449</v>
      </c>
      <c r="I52" s="74">
        <f t="shared" si="0"/>
        <v>-36397.875532744685</v>
      </c>
      <c r="J52" s="74">
        <f t="shared" si="0"/>
        <v>-32162.212058028323</v>
      </c>
      <c r="K52" s="74">
        <f t="shared" si="0"/>
        <v>-27122.165410838963</v>
      </c>
      <c r="L52" s="74">
        <f t="shared" si="0"/>
        <v>-24173.150165881845</v>
      </c>
      <c r="M52" s="74">
        <f t="shared" si="0"/>
        <v>-20925.895898977818</v>
      </c>
      <c r="N52" s="74">
        <f t="shared" si="0"/>
        <v>-18168.037395059306</v>
      </c>
      <c r="O52" s="74">
        <f t="shared" si="0"/>
        <v>-15213.026200860972</v>
      </c>
      <c r="P52" s="74">
        <f t="shared" si="0"/>
        <v>-12970.711083981674</v>
      </c>
      <c r="Q52" s="74">
        <f t="shared" si="0"/>
        <v>-28583.137467532826</v>
      </c>
      <c r="R52" s="74">
        <f t="shared" si="0"/>
        <v>-27105.095793515269</v>
      </c>
      <c r="S52" s="74">
        <f t="shared" si="0"/>
        <v>-25229.048295171175</v>
      </c>
      <c r="T52" s="74">
        <f t="shared" si="0"/>
        <v>-23641.048843414057</v>
      </c>
      <c r="U52" s="74">
        <f t="shared" si="0"/>
        <v>-22552.295239750296</v>
      </c>
      <c r="V52" s="74">
        <f t="shared" si="0"/>
        <v>-21664.636996605666</v>
      </c>
      <c r="W52" s="74">
        <f t="shared" si="0"/>
        <v>-20512.363574211719</v>
      </c>
      <c r="X52" s="74">
        <f t="shared" si="0"/>
        <v>-19360.880738253414</v>
      </c>
      <c r="Y52" s="74">
        <f t="shared" si="0"/>
        <v>-18606.446780599188</v>
      </c>
      <c r="Z52" s="74">
        <f t="shared" si="0"/>
        <v>-17849.482288774569</v>
      </c>
      <c r="AA52" s="74">
        <f t="shared" si="0"/>
        <v>-17069.890011920477</v>
      </c>
      <c r="AB52" s="74">
        <f t="shared" si="0"/>
        <v>-16313.764162854117</v>
      </c>
      <c r="AC52" s="74">
        <f t="shared" si="0"/>
        <v>-43302.446669473546</v>
      </c>
      <c r="AD52" s="74">
        <f t="shared" si="0"/>
        <v>-42728.329749856552</v>
      </c>
      <c r="AE52" s="74">
        <f t="shared" si="0"/>
        <v>-42186.991837401409</v>
      </c>
      <c r="AF52" s="74">
        <f t="shared" si="0"/>
        <v>-41679.740465793177</v>
      </c>
      <c r="AG52" s="74">
        <f t="shared" si="0"/>
        <v>-41272.948463714856</v>
      </c>
      <c r="AH52" s="74">
        <f t="shared" si="0"/>
        <v>-40737.865100488474</v>
      </c>
      <c r="AI52" s="74">
        <f t="shared" si="0"/>
        <v>-40180.245640327455</v>
      </c>
      <c r="AJ52" s="74">
        <f t="shared" si="0"/>
        <v>-39608.928726078011</v>
      </c>
      <c r="AK52" s="74">
        <f t="shared" si="0"/>
        <v>-39081.388576570957</v>
      </c>
      <c r="AL52" s="74">
        <f t="shared" si="0"/>
        <v>-38597.285697807558</v>
      </c>
      <c r="AM52" s="74">
        <f t="shared" si="0"/>
        <v>-38075.931032903318</v>
      </c>
      <c r="AN52" s="74">
        <f t="shared" si="0"/>
        <v>-37631.518774455471</v>
      </c>
    </row>
    <row r="53" spans="2:40" x14ac:dyDescent="0.25">
      <c r="E53" s="105">
        <f>IFERROR(E52/E37,"")</f>
        <v>-0.2580117129711515</v>
      </c>
      <c r="F53" s="105">
        <f t="shared" ref="F53:AN53" si="1">IFERROR(F52/F37,"")</f>
        <v>-0.22525014408983321</v>
      </c>
      <c r="G53" s="105">
        <f t="shared" si="1"/>
        <v>-0.16624341384829139</v>
      </c>
      <c r="H53" s="105">
        <f t="shared" si="1"/>
        <v>-0.14290924194375262</v>
      </c>
      <c r="I53" s="105">
        <f t="shared" si="1"/>
        <v>-0.12871110022960613</v>
      </c>
      <c r="J53" s="105">
        <f t="shared" si="1"/>
        <v>-0.11373283850269184</v>
      </c>
      <c r="K53" s="105">
        <f t="shared" si="1"/>
        <v>-9.5910096387298874E-2</v>
      </c>
      <c r="L53" s="105">
        <f t="shared" si="1"/>
        <v>-8.548171310347677E-2</v>
      </c>
      <c r="M53" s="105">
        <f t="shared" si="1"/>
        <v>-7.3998689347255273E-2</v>
      </c>
      <c r="N53" s="105">
        <f t="shared" si="1"/>
        <v>-6.4246279429880079E-2</v>
      </c>
      <c r="O53" s="105">
        <f t="shared" si="1"/>
        <v>-5.3796693116692614E-2</v>
      </c>
      <c r="P53" s="105">
        <f t="shared" si="1"/>
        <v>-4.586736093642927E-2</v>
      </c>
      <c r="Q53" s="105">
        <f t="shared" si="1"/>
        <v>-9.813244972291775E-2</v>
      </c>
      <c r="R53" s="105">
        <f t="shared" si="1"/>
        <v>-9.3057994533082194E-2</v>
      </c>
      <c r="S53" s="105">
        <f t="shared" si="1"/>
        <v>-8.6617094298873293E-2</v>
      </c>
      <c r="T53" s="105">
        <f t="shared" si="1"/>
        <v>-8.1165128903661302E-2</v>
      </c>
      <c r="U53" s="105">
        <f t="shared" si="1"/>
        <v>-7.7427188714501174E-2</v>
      </c>
      <c r="V53" s="105">
        <f t="shared" si="1"/>
        <v>-7.4379654901410547E-2</v>
      </c>
      <c r="W53" s="105">
        <f t="shared" si="1"/>
        <v>-7.0423636643492937E-2</v>
      </c>
      <c r="X53" s="105">
        <f t="shared" si="1"/>
        <v>-6.647033264966673E-2</v>
      </c>
      <c r="Y53" s="105">
        <f t="shared" si="1"/>
        <v>-6.3880188285603837E-2</v>
      </c>
      <c r="Z53" s="105">
        <f t="shared" si="1"/>
        <v>-6.1281356018838502E-2</v>
      </c>
      <c r="AA53" s="105">
        <f t="shared" si="1"/>
        <v>-5.8604837389641201E-2</v>
      </c>
      <c r="AB53" s="105">
        <f t="shared" si="1"/>
        <v>-5.6008884375316363E-2</v>
      </c>
      <c r="AC53" s="105">
        <f t="shared" si="1"/>
        <v>-0.14866720546329959</v>
      </c>
      <c r="AD53" s="105">
        <f t="shared" si="1"/>
        <v>-0.14669613074089077</v>
      </c>
      <c r="AE53" s="105">
        <f t="shared" si="1"/>
        <v>-0.14483759384872996</v>
      </c>
      <c r="AF53" s="105">
        <f t="shared" si="1"/>
        <v>-0.14309608384907482</v>
      </c>
      <c r="AG53" s="105">
        <f t="shared" si="1"/>
        <v>-0.14169947384651718</v>
      </c>
      <c r="AH53" s="105">
        <f t="shared" si="1"/>
        <v>-0.13986241025267529</v>
      </c>
      <c r="AI53" s="105">
        <f t="shared" si="1"/>
        <v>-0.13794797508260595</v>
      </c>
      <c r="AJ53" s="105">
        <f t="shared" si="1"/>
        <v>-0.13598651341916473</v>
      </c>
      <c r="AK53" s="105">
        <f t="shared" si="1"/>
        <v>-0.1341753474036381</v>
      </c>
      <c r="AL53" s="105">
        <f t="shared" si="1"/>
        <v>-0.13251331147546433</v>
      </c>
      <c r="AM53" s="105">
        <f t="shared" si="1"/>
        <v>-0.13072338164359623</v>
      </c>
      <c r="AN53" s="105">
        <f t="shared" si="1"/>
        <v>-0.12919761269475641</v>
      </c>
    </row>
    <row r="55" spans="2:40" x14ac:dyDescent="0.25">
      <c r="B55" t="s">
        <v>57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907240</v>
      </c>
      <c r="D55" s="12">
        <f>C55-SUM(_xlfn.ANCHORARRAY(E55))</f>
        <v>907240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</row>
    <row r="56" spans="2:40" x14ac:dyDescent="0.25">
      <c r="B56" t="s">
        <v>285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-36641.405128755192</v>
      </c>
      <c r="F56" s="90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-36641.405128755192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-36641.405128755192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-36641.405128755192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-36641.405128755192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-36641.405128755192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-38952.086213772789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-42418.107841299199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-42418.107841299199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-42418.107841299199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-42418.107841299199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-42418.107841299199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-42418.107841299199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-42418.107841299199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-42418.107841299199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-42418.107841299199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-42418.107841299199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-43690.651076538168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-43690.651076538168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-43690.651076538168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-43690.651076538168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-43690.651076538168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-43690.651076538168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-43690.651076538168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-43690.651076538168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-43690.651076538168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-43690.651076538168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-43690.651076538168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-43690.651076538168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-43690.651076538168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-43690.651076538168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-43690.651076538168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-43690.651076538168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-43690.651076538168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-43690.651076538168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-43690.651076538168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276</v>
      </c>
      <c r="E58" s="13">
        <f>E37-E50-E55+E56</f>
        <v>-99667.483148355619</v>
      </c>
      <c r="F58" s="13">
        <f t="shared" ref="F58:AN58" si="2">F37-F50-F55+F56</f>
        <v>-95134.492010434711</v>
      </c>
      <c r="G58" s="13">
        <f t="shared" si="2"/>
        <v>-83652.94550557225</v>
      </c>
      <c r="H58" s="13">
        <f t="shared" si="2"/>
        <v>-77054.336037344649</v>
      </c>
      <c r="I58" s="13">
        <f t="shared" si="2"/>
        <v>-73039.280661499884</v>
      </c>
      <c r="J58" s="13">
        <f t="shared" si="2"/>
        <v>-68803.617186783522</v>
      </c>
      <c r="K58" s="13">
        <f t="shared" si="2"/>
        <v>-66074.251624611759</v>
      </c>
      <c r="L58" s="13">
        <f t="shared" si="2"/>
        <v>-66591.258007181052</v>
      </c>
      <c r="M58" s="13">
        <f t="shared" si="2"/>
        <v>-63344.003740277018</v>
      </c>
      <c r="N58" s="13">
        <f t="shared" si="2"/>
        <v>-60586.145236358505</v>
      </c>
      <c r="O58" s="13">
        <f t="shared" si="2"/>
        <v>-57631.134042160171</v>
      </c>
      <c r="P58" s="13">
        <f t="shared" si="2"/>
        <v>-55388.818925280873</v>
      </c>
      <c r="Q58" s="13">
        <f t="shared" si="2"/>
        <v>-71001.245308832033</v>
      </c>
      <c r="R58" s="13">
        <f t="shared" si="2"/>
        <v>-69523.203634814476</v>
      </c>
      <c r="S58" s="13">
        <f t="shared" si="2"/>
        <v>-67647.156136470381</v>
      </c>
      <c r="T58" s="13">
        <f t="shared" si="2"/>
        <v>-66059.156684713264</v>
      </c>
      <c r="U58" s="13">
        <f t="shared" si="2"/>
        <v>-64970.403081049495</v>
      </c>
      <c r="V58" s="13">
        <f t="shared" si="2"/>
        <v>-65355.288073143834</v>
      </c>
      <c r="W58" s="13">
        <f t="shared" si="2"/>
        <v>-64203.014650749887</v>
      </c>
      <c r="X58" s="13">
        <f t="shared" si="2"/>
        <v>-63051.531814791582</v>
      </c>
      <c r="Y58" s="13">
        <f t="shared" si="2"/>
        <v>-62297.097857137356</v>
      </c>
      <c r="Z58" s="13">
        <f t="shared" si="2"/>
        <v>-61540.133365312737</v>
      </c>
      <c r="AA58" s="13">
        <f t="shared" si="2"/>
        <v>-60760.541088458645</v>
      </c>
      <c r="AB58" s="13">
        <f t="shared" si="2"/>
        <v>-60004.415239392285</v>
      </c>
      <c r="AC58" s="13">
        <f t="shared" si="2"/>
        <v>-86993.097746011714</v>
      </c>
      <c r="AD58" s="13">
        <f t="shared" si="2"/>
        <v>-86418.98082639472</v>
      </c>
      <c r="AE58" s="13">
        <f t="shared" si="2"/>
        <v>-85877.642913939577</v>
      </c>
      <c r="AF58" s="13">
        <f t="shared" si="2"/>
        <v>-85370.391542331345</v>
      </c>
      <c r="AG58" s="13">
        <f t="shared" si="2"/>
        <v>-84963.599540253024</v>
      </c>
      <c r="AH58" s="13">
        <f t="shared" si="2"/>
        <v>-84428.516177026642</v>
      </c>
      <c r="AI58" s="13">
        <f t="shared" si="2"/>
        <v>-83870.896716865624</v>
      </c>
      <c r="AJ58" s="13">
        <f t="shared" si="2"/>
        <v>-83299.579802616179</v>
      </c>
      <c r="AK58" s="13">
        <f t="shared" si="2"/>
        <v>-82772.039653109125</v>
      </c>
      <c r="AL58" s="13">
        <f t="shared" si="2"/>
        <v>-82287.936774345726</v>
      </c>
      <c r="AM58" s="13">
        <f t="shared" si="2"/>
        <v>-81766.582109441486</v>
      </c>
      <c r="AN58" s="13">
        <f t="shared" si="2"/>
        <v>-81322.16985099364</v>
      </c>
    </row>
    <row r="59" spans="2:40" x14ac:dyDescent="0.25">
      <c r="B59" t="s">
        <v>277</v>
      </c>
      <c r="E59" s="12" cm="1">
        <f t="array" ref="E59:AN59">_xlfn.SCAN(-D55,E58:AN58,_xlfn.LAMBDA(_xlpm.capex,_xlpm.fcf,_xlpm.capex+_xlpm.fcf))</f>
        <v>-1006907.4831483556</v>
      </c>
      <c r="F59" s="12">
        <v>-1102041.9751587904</v>
      </c>
      <c r="G59" s="12">
        <v>-1185694.9206643626</v>
      </c>
      <c r="H59" s="12">
        <v>-1262749.2567017074</v>
      </c>
      <c r="I59" s="12">
        <v>-1335788.5373632072</v>
      </c>
      <c r="J59" s="12">
        <v>-1404592.1545499908</v>
      </c>
      <c r="K59" s="12">
        <v>-1470666.4061746025</v>
      </c>
      <c r="L59" s="12">
        <v>-1537257.6641817836</v>
      </c>
      <c r="M59" s="12">
        <v>-1600601.6679220605</v>
      </c>
      <c r="N59" s="12">
        <v>-1661187.813158419</v>
      </c>
      <c r="O59" s="12">
        <v>-1718818.9472005791</v>
      </c>
      <c r="P59" s="12">
        <v>-1774207.7661258599</v>
      </c>
      <c r="Q59" s="12">
        <v>-1845209.011434692</v>
      </c>
      <c r="R59" s="12">
        <v>-1914732.2150695063</v>
      </c>
      <c r="S59" s="12">
        <v>-1982379.3712059767</v>
      </c>
      <c r="T59" s="12">
        <v>-2048438.5278906899</v>
      </c>
      <c r="U59" s="12">
        <v>-2113408.9309717393</v>
      </c>
      <c r="V59" s="12">
        <v>-2178764.2190448833</v>
      </c>
      <c r="W59" s="12">
        <v>-2242967.2336956332</v>
      </c>
      <c r="X59" s="12">
        <v>-2306018.765510425</v>
      </c>
      <c r="Y59" s="12">
        <v>-2368315.8633675622</v>
      </c>
      <c r="Z59" s="12">
        <v>-2429855.9967328748</v>
      </c>
      <c r="AA59" s="12">
        <v>-2490616.5378213334</v>
      </c>
      <c r="AB59" s="12">
        <v>-2550620.9530607257</v>
      </c>
      <c r="AC59" s="12">
        <v>-2637614.0508067375</v>
      </c>
      <c r="AD59" s="12">
        <v>-2724033.0316331321</v>
      </c>
      <c r="AE59" s="12">
        <v>-2809910.6745470716</v>
      </c>
      <c r="AF59" s="12">
        <v>-2895281.0660894029</v>
      </c>
      <c r="AG59" s="12">
        <v>-2980244.6656296561</v>
      </c>
      <c r="AH59" s="12">
        <v>-3064673.1818066826</v>
      </c>
      <c r="AI59" s="12">
        <v>-3148544.0785235483</v>
      </c>
      <c r="AJ59" s="12">
        <v>-3231843.6583261644</v>
      </c>
      <c r="AK59" s="12">
        <v>-3314615.6979792733</v>
      </c>
      <c r="AL59" s="12">
        <v>-3396903.6347536189</v>
      </c>
      <c r="AM59" s="12">
        <v>-3478670.2168630604</v>
      </c>
      <c r="AN59" s="12">
        <v>-3559992.3867140538</v>
      </c>
    </row>
    <row r="61" spans="2:40" x14ac:dyDescent="0.25">
      <c r="B61" s="1" t="s">
        <v>302</v>
      </c>
    </row>
    <row r="63" spans="2:40" x14ac:dyDescent="0.25">
      <c r="B63" s="39" t="s">
        <v>103</v>
      </c>
      <c r="E63" s="12" cm="1">
        <f t="array" ref="E63:AN63">_xlfn.LET(_xlpm.site,$B$1&amp;"-"&amp;$C$1,_xlpm.locations,Base!$D$4:$BD$4,_xlpm.rates,Base!$D$36:$BD$36,_xlpm.hours,Base!$D$79:$BD$79,_xlpm.comp,_xlpm.rates*_xlpm.hours,_xlpm.Customer,_xlfn.ANCHORARRAY($E$1),
_xlpm.Customer_comp,_xlfn.XLOOKUP(_xlpm.site,_xlpm.locations,_xlpm.comp,0,0),_xlpm.ann_incr,_xlfn.XLOOKUP(YEAR(_xlfn.ANCHORARRAY($E$25)),Base!$BJ$4:$BL$4,Base!$BJ$79:$BL$79,0,0),
_xlpm.bad_debt,_xlfn.XLOOKUP(_xlpm.site,_xlpm.locations,Base!$D$28:$BD$28,0,0),_xlpm.Customer_comp*_xlpm.Customer*_xlpm.bad_debt*_xlpm.ann_incr*(52/12)*(1-$C$35))</f>
        <v>12641.130371584</v>
      </c>
      <c r="F63" s="12">
        <v>13512.932466176</v>
      </c>
      <c r="G63" s="12">
        <v>14820.635608064002</v>
      </c>
      <c r="H63" s="12">
        <v>14820.635608064002</v>
      </c>
      <c r="I63" s="12">
        <v>14820.635608064002</v>
      </c>
      <c r="J63" s="12">
        <v>14820.635608064002</v>
      </c>
      <c r="K63" s="12">
        <v>14820.635608064002</v>
      </c>
      <c r="L63" s="12">
        <v>14820.635608064002</v>
      </c>
      <c r="M63" s="12">
        <v>14820.635608064002</v>
      </c>
      <c r="N63" s="12">
        <v>14820.635608064002</v>
      </c>
      <c r="O63" s="12">
        <v>14820.635608064002</v>
      </c>
      <c r="P63" s="12">
        <v>14820.635608064002</v>
      </c>
      <c r="Q63" s="12">
        <v>15265.254676305922</v>
      </c>
      <c r="R63" s="12">
        <v>15265.254676305922</v>
      </c>
      <c r="S63" s="12">
        <v>15265.254676305922</v>
      </c>
      <c r="T63" s="12">
        <v>15265.254676305922</v>
      </c>
      <c r="U63" s="12">
        <v>15265.254676305922</v>
      </c>
      <c r="V63" s="12">
        <v>15265.254676305922</v>
      </c>
      <c r="W63" s="12">
        <v>15265.254676305922</v>
      </c>
      <c r="X63" s="12">
        <v>15265.254676305922</v>
      </c>
      <c r="Y63" s="12">
        <v>15265.254676305922</v>
      </c>
      <c r="Z63" s="12">
        <v>15265.254676305922</v>
      </c>
      <c r="AA63" s="12">
        <v>15265.254676305922</v>
      </c>
      <c r="AB63" s="12">
        <v>15265.254676305922</v>
      </c>
      <c r="AC63" s="12">
        <v>15265.254676305922</v>
      </c>
      <c r="AD63" s="12">
        <v>15265.254676305922</v>
      </c>
      <c r="AE63" s="12">
        <v>15265.254676305922</v>
      </c>
      <c r="AF63" s="12">
        <v>15265.254676305922</v>
      </c>
      <c r="AG63" s="12">
        <v>15265.254676305922</v>
      </c>
      <c r="AH63" s="12">
        <v>15265.254676305922</v>
      </c>
      <c r="AI63" s="12">
        <v>15265.254676305922</v>
      </c>
      <c r="AJ63" s="12">
        <v>15265.254676305922</v>
      </c>
      <c r="AK63" s="12">
        <v>15265.254676305922</v>
      </c>
      <c r="AL63" s="12">
        <v>15265.254676305922</v>
      </c>
      <c r="AM63" s="12">
        <v>15265.254676305922</v>
      </c>
      <c r="AN63" s="12">
        <v>15265.254676305922</v>
      </c>
    </row>
    <row r="64" spans="2:40" x14ac:dyDescent="0.25">
      <c r="B64" s="39" t="s">
        <v>104</v>
      </c>
      <c r="E64" s="12" cm="1">
        <f t="array" ref="E64:AN64">_xlfn.LET(_xlpm.site,$B$1&amp;"-"&amp;$C$1,_xlpm.locations,Base!$D$4:$BD$4,_xlpm.rates,Base!$D$37:$BD$37,_xlpm.hours,Base!$D$80:$BD$80,_xlpm.comp,_xlpm.rates*_xlpm.hours,_xlpm.Customer,_xlfn.ANCHORARRAY($E$1),
_xlpm.Customer_comp,_xlfn.XLOOKUP(_xlpm.site,_xlpm.locations,_xlpm.comp,0,0),_xlpm.ann_incr,_xlfn.XLOOKUP(YEAR(_xlfn.ANCHORARRAY($E$25)),Base!$BJ$4:$BL$4,Base!$BJ$80:$BL$80,0,0),
_xlpm.bad_debt,_xlfn.XLOOKUP(_xlpm.site,_xlpm.locations,Base!$D$28:$BD$28,0,0),_xlpm.Customer_comp*_xlpm.Customer*_xlpm.bad_debt*_xlpm.ann_incr*(52/12)*(1-$C$35))</f>
        <v>3418.0758332160008</v>
      </c>
      <c r="F64" s="12">
        <v>3653.8052010240003</v>
      </c>
      <c r="G64" s="12">
        <v>4007.3992527360015</v>
      </c>
      <c r="H64" s="12">
        <v>4007.3992527360015</v>
      </c>
      <c r="I64" s="12">
        <v>4007.3992527360015</v>
      </c>
      <c r="J64" s="12">
        <v>4007.3992527360015</v>
      </c>
      <c r="K64" s="12">
        <v>4007.3992527360015</v>
      </c>
      <c r="L64" s="12">
        <v>4007.3992527360015</v>
      </c>
      <c r="M64" s="12">
        <v>4007.3992527360015</v>
      </c>
      <c r="N64" s="12">
        <v>4007.3992527360015</v>
      </c>
      <c r="O64" s="12">
        <v>4007.3992527360015</v>
      </c>
      <c r="P64" s="12">
        <v>4007.3992527360015</v>
      </c>
      <c r="Q64" s="12">
        <v>4127.621230318081</v>
      </c>
      <c r="R64" s="12">
        <v>4127.621230318081</v>
      </c>
      <c r="S64" s="12">
        <v>4127.621230318081</v>
      </c>
      <c r="T64" s="12">
        <v>4127.621230318081</v>
      </c>
      <c r="U64" s="12">
        <v>4127.621230318081</v>
      </c>
      <c r="V64" s="12">
        <v>4127.621230318081</v>
      </c>
      <c r="W64" s="12">
        <v>4127.621230318081</v>
      </c>
      <c r="X64" s="12">
        <v>4127.621230318081</v>
      </c>
      <c r="Y64" s="12">
        <v>4127.621230318081</v>
      </c>
      <c r="Z64" s="12">
        <v>4127.621230318081</v>
      </c>
      <c r="AA64" s="12">
        <v>4127.621230318081</v>
      </c>
      <c r="AB64" s="12">
        <v>4127.621230318081</v>
      </c>
      <c r="AC64" s="12">
        <v>4127.621230318081</v>
      </c>
      <c r="AD64" s="12">
        <v>4127.621230318081</v>
      </c>
      <c r="AE64" s="12">
        <v>4127.621230318081</v>
      </c>
      <c r="AF64" s="12">
        <v>4127.621230318081</v>
      </c>
      <c r="AG64" s="12">
        <v>4127.621230318081</v>
      </c>
      <c r="AH64" s="12">
        <v>4127.621230318081</v>
      </c>
      <c r="AI64" s="12">
        <v>4127.621230318081</v>
      </c>
      <c r="AJ64" s="12">
        <v>4127.621230318081</v>
      </c>
      <c r="AK64" s="12">
        <v>4127.621230318081</v>
      </c>
      <c r="AL64" s="12">
        <v>4127.621230318081</v>
      </c>
      <c r="AM64" s="12">
        <v>4127.621230318081</v>
      </c>
      <c r="AN64" s="12">
        <v>4127.621230318081</v>
      </c>
    </row>
    <row r="65" spans="2:40" x14ac:dyDescent="0.25">
      <c r="B65" s="39" t="s">
        <v>56</v>
      </c>
      <c r="E65" s="12" cm="1">
        <f t="array" ref="E65:AN65">_xlfn.LET(_xlpm.site,$B$1&amp;"-"&amp;$C$1,_xlpm.locations,Base!$D$4:$BD$4,_xlpm.rates,Base!$D$39:$BD$39,_xlpm.hours,Base!$D$82:$BD$82,_xlpm.comp,_xlpm.rates*_xlpm.hours,_xlpm.Customer,_xlfn.ANCHORARRAY($E$1),
_xlpm.Customer_comp,_xlfn.XLOOKUP(_xlpm.site,_xlpm.locations,_xlpm.comp,0,0),_xlpm.ann_incr,_xlfn.XLOOKUP(YEAR(_xlfn.ANCHORARRAY($E$25)),Base!$BJ$4:$BL$4,Base!$BJ$82:$BL$82,0,0),
_xlpm.bad_debt,_xlfn.XLOOKUP(_xlpm.site,_xlpm.locations,Base!$D$28:$BD$28,0,0),_xlpm.Customer_comp*_xlpm.Customer*_xlpm.bad_debt*_xlpm.ann_incr*(52/12)*(1-$C$35))</f>
        <v>9421.5954426880016</v>
      </c>
      <c r="F65" s="12">
        <v>10071.360645632003</v>
      </c>
      <c r="G65" s="12">
        <v>11046.008450048001</v>
      </c>
      <c r="H65" s="12">
        <v>11046.008450048001</v>
      </c>
      <c r="I65" s="12">
        <v>11046.008450048001</v>
      </c>
      <c r="J65" s="12">
        <v>11046.008450048001</v>
      </c>
      <c r="K65" s="12">
        <v>11046.008450048001</v>
      </c>
      <c r="L65" s="12">
        <v>11046.008450048001</v>
      </c>
      <c r="M65" s="12">
        <v>11046.008450048001</v>
      </c>
      <c r="N65" s="12">
        <v>11046.008450048001</v>
      </c>
      <c r="O65" s="12">
        <v>11046.008450048001</v>
      </c>
      <c r="P65" s="12">
        <v>11046.008450048001</v>
      </c>
      <c r="Q65" s="12">
        <v>11377.388703549441</v>
      </c>
      <c r="R65" s="12">
        <v>11377.388703549441</v>
      </c>
      <c r="S65" s="12">
        <v>11377.388703549441</v>
      </c>
      <c r="T65" s="12">
        <v>11377.388703549441</v>
      </c>
      <c r="U65" s="12">
        <v>11377.388703549441</v>
      </c>
      <c r="V65" s="12">
        <v>11377.388703549441</v>
      </c>
      <c r="W65" s="12">
        <v>11377.388703549441</v>
      </c>
      <c r="X65" s="12">
        <v>11377.388703549441</v>
      </c>
      <c r="Y65" s="12">
        <v>11377.388703549441</v>
      </c>
      <c r="Z65" s="12">
        <v>11377.388703549441</v>
      </c>
      <c r="AA65" s="12">
        <v>11377.388703549441</v>
      </c>
      <c r="AB65" s="12">
        <v>11377.388703549441</v>
      </c>
      <c r="AC65" s="12">
        <v>11377.388703549441</v>
      </c>
      <c r="AD65" s="12">
        <v>11377.388703549441</v>
      </c>
      <c r="AE65" s="12">
        <v>11377.388703549441</v>
      </c>
      <c r="AF65" s="12">
        <v>11377.388703549441</v>
      </c>
      <c r="AG65" s="12">
        <v>11377.388703549441</v>
      </c>
      <c r="AH65" s="12">
        <v>11377.388703549441</v>
      </c>
      <c r="AI65" s="12">
        <v>11377.388703549441</v>
      </c>
      <c r="AJ65" s="12">
        <v>11377.388703549441</v>
      </c>
      <c r="AK65" s="12">
        <v>11377.388703549441</v>
      </c>
      <c r="AL65" s="12">
        <v>11377.388703549441</v>
      </c>
      <c r="AM65" s="12">
        <v>11377.388703549441</v>
      </c>
      <c r="AN65" s="12">
        <v>11377.388703549441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303</v>
      </c>
      <c r="C67" s="12"/>
      <c r="E67" s="13" cm="1">
        <f t="array" ref="E67:AN67">_xlfn.BYCOL(_xlfn.VSTACK(_xlfn.ANCHORARRAY($E$63),_xlfn.ANCHORARRAY($E$64),_xlfn.ANCHORARRAY($E$65)),_xlfn.LAMBDA(_xlpm.a,SUM(_xlpm.a)))</f>
        <v>25480.801647488002</v>
      </c>
      <c r="F67" s="13">
        <v>27238.098312832</v>
      </c>
      <c r="G67" s="13">
        <v>29874.043310848003</v>
      </c>
      <c r="H67" s="13">
        <v>29874.043310848003</v>
      </c>
      <c r="I67" s="13">
        <v>29874.043310848003</v>
      </c>
      <c r="J67" s="13">
        <v>29874.043310848003</v>
      </c>
      <c r="K67" s="13">
        <v>29874.043310848003</v>
      </c>
      <c r="L67" s="13">
        <v>29874.043310848003</v>
      </c>
      <c r="M67" s="13">
        <v>29874.043310848003</v>
      </c>
      <c r="N67" s="13">
        <v>29874.043310848003</v>
      </c>
      <c r="O67" s="13">
        <v>29874.043310848003</v>
      </c>
      <c r="P67" s="13">
        <v>29874.043310848003</v>
      </c>
      <c r="Q67" s="13">
        <v>30770.264610173443</v>
      </c>
      <c r="R67" s="13">
        <v>30770.264610173443</v>
      </c>
      <c r="S67" s="13">
        <v>30770.264610173443</v>
      </c>
      <c r="T67" s="13">
        <v>30770.264610173443</v>
      </c>
      <c r="U67" s="13">
        <v>30770.264610173443</v>
      </c>
      <c r="V67" s="13">
        <v>30770.264610173443</v>
      </c>
      <c r="W67" s="13">
        <v>30770.264610173443</v>
      </c>
      <c r="X67" s="13">
        <v>30770.264610173443</v>
      </c>
      <c r="Y67" s="13">
        <v>30770.264610173443</v>
      </c>
      <c r="Z67" s="13">
        <v>30770.264610173443</v>
      </c>
      <c r="AA67" s="13">
        <v>30770.264610173443</v>
      </c>
      <c r="AB67" s="13">
        <v>30770.264610173443</v>
      </c>
      <c r="AC67" s="13">
        <v>30770.264610173443</v>
      </c>
      <c r="AD67" s="13">
        <v>30770.264610173443</v>
      </c>
      <c r="AE67" s="13">
        <v>30770.264610173443</v>
      </c>
      <c r="AF67" s="13">
        <v>30770.264610173443</v>
      </c>
      <c r="AG67" s="13">
        <v>30770.264610173443</v>
      </c>
      <c r="AH67" s="13">
        <v>30770.264610173443</v>
      </c>
      <c r="AI67" s="13">
        <v>30770.264610173443</v>
      </c>
      <c r="AJ67" s="13">
        <v>30770.264610173443</v>
      </c>
      <c r="AK67" s="13">
        <v>30770.264610173443</v>
      </c>
      <c r="AL67" s="13">
        <v>30770.264610173443</v>
      </c>
      <c r="AM67" s="13">
        <v>30770.264610173443</v>
      </c>
      <c r="AN67" s="13">
        <v>30770.264610173443</v>
      </c>
    </row>
    <row r="68" spans="2:40" x14ac:dyDescent="0.25">
      <c r="B68" s="39"/>
      <c r="C68" s="12"/>
    </row>
    <row r="69" spans="2:40" x14ac:dyDescent="0.25">
      <c r="B69" s="39" t="s">
        <v>304</v>
      </c>
      <c r="C69" s="12"/>
      <c r="E69" s="106" cm="1">
        <f t="array" ref="E69:AN70">_xlfn.LET(_xlpm.Customer_staff,_xlfn._xlws.FILTER(Base!$D$96:$BD$97,ISNUMBER(SEARCH($B$1&amp;"-"&amp;$C$1,Base!$D$4:$BD$4))),_xlpm.Customer,_xlfn.ANCHORARRAY($E$1),_xlpm.headcount,_xlpm.Customer/_xlpm.Customer_staff,
_xlpm.rounding,_xlfn.VSTACK(0,0),IFERROR(ROUND(_xlpm.headcount,_xlpm.rounding),0))</f>
        <v>1</v>
      </c>
      <c r="F69" s="106">
        <v>1</v>
      </c>
      <c r="G69" s="106">
        <v>1</v>
      </c>
      <c r="H69" s="106">
        <v>1</v>
      </c>
      <c r="I69" s="106">
        <v>1</v>
      </c>
      <c r="J69" s="106">
        <v>1</v>
      </c>
      <c r="K69" s="106">
        <v>1</v>
      </c>
      <c r="L69" s="106">
        <v>1</v>
      </c>
      <c r="M69" s="106">
        <v>1</v>
      </c>
      <c r="N69" s="106">
        <v>1</v>
      </c>
      <c r="O69" s="106">
        <v>1</v>
      </c>
      <c r="P69" s="106">
        <v>1</v>
      </c>
      <c r="Q69" s="106">
        <v>1</v>
      </c>
      <c r="R69" s="106">
        <v>1</v>
      </c>
      <c r="S69" s="106">
        <v>1</v>
      </c>
      <c r="T69" s="106">
        <v>1</v>
      </c>
      <c r="U69" s="106">
        <v>1</v>
      </c>
      <c r="V69" s="106">
        <v>1</v>
      </c>
      <c r="W69" s="106">
        <v>1</v>
      </c>
      <c r="X69" s="106">
        <v>1</v>
      </c>
      <c r="Y69" s="106">
        <v>1</v>
      </c>
      <c r="Z69" s="106">
        <v>1</v>
      </c>
      <c r="AA69" s="106">
        <v>1</v>
      </c>
      <c r="AB69" s="106">
        <v>1</v>
      </c>
      <c r="AC69" s="106">
        <v>1</v>
      </c>
      <c r="AD69" s="106">
        <v>1</v>
      </c>
      <c r="AE69" s="106">
        <v>1</v>
      </c>
      <c r="AF69" s="106">
        <v>1</v>
      </c>
      <c r="AG69" s="106">
        <v>1</v>
      </c>
      <c r="AH69" s="106">
        <v>1</v>
      </c>
      <c r="AI69" s="106">
        <v>1</v>
      </c>
      <c r="AJ69" s="106">
        <v>1</v>
      </c>
      <c r="AK69" s="106">
        <v>1</v>
      </c>
      <c r="AL69" s="106">
        <v>1</v>
      </c>
      <c r="AM69" s="106">
        <v>1</v>
      </c>
      <c r="AN69" s="106">
        <v>1</v>
      </c>
    </row>
    <row r="70" spans="2:40" x14ac:dyDescent="0.25">
      <c r="B70" s="39" t="s">
        <v>305</v>
      </c>
      <c r="C70" s="12"/>
      <c r="E70" s="106">
        <v>1</v>
      </c>
      <c r="F70" s="106">
        <v>1</v>
      </c>
      <c r="G70" s="106">
        <v>1</v>
      </c>
      <c r="H70" s="106">
        <v>1</v>
      </c>
      <c r="I70" s="106">
        <v>1</v>
      </c>
      <c r="J70" s="106">
        <v>1</v>
      </c>
      <c r="K70" s="106">
        <v>1</v>
      </c>
      <c r="L70" s="106">
        <v>1</v>
      </c>
      <c r="M70" s="106">
        <v>1</v>
      </c>
      <c r="N70" s="106">
        <v>1</v>
      </c>
      <c r="O70" s="106">
        <v>1</v>
      </c>
      <c r="P70" s="106">
        <v>1</v>
      </c>
      <c r="Q70" s="106">
        <v>1</v>
      </c>
      <c r="R70" s="106">
        <v>1</v>
      </c>
      <c r="S70" s="106">
        <v>1</v>
      </c>
      <c r="T70" s="106">
        <v>1</v>
      </c>
      <c r="U70" s="106">
        <v>1</v>
      </c>
      <c r="V70" s="106">
        <v>1</v>
      </c>
      <c r="W70" s="106">
        <v>1</v>
      </c>
      <c r="X70" s="106">
        <v>1</v>
      </c>
      <c r="Y70" s="106">
        <v>1</v>
      </c>
      <c r="Z70" s="106">
        <v>1</v>
      </c>
      <c r="AA70" s="106">
        <v>1</v>
      </c>
      <c r="AB70" s="106">
        <v>1</v>
      </c>
      <c r="AC70" s="106">
        <v>1</v>
      </c>
      <c r="AD70" s="106">
        <v>1</v>
      </c>
      <c r="AE70" s="106">
        <v>1</v>
      </c>
      <c r="AF70" s="106">
        <v>1</v>
      </c>
      <c r="AG70" s="106">
        <v>1</v>
      </c>
      <c r="AH70" s="106">
        <v>1</v>
      </c>
      <c r="AI70" s="106">
        <v>1</v>
      </c>
      <c r="AJ70" s="106">
        <v>1</v>
      </c>
      <c r="AK70" s="106">
        <v>1</v>
      </c>
      <c r="AL70" s="106">
        <v>1</v>
      </c>
      <c r="AM70" s="106">
        <v>1</v>
      </c>
      <c r="AN70" s="106">
        <v>1</v>
      </c>
    </row>
    <row r="71" spans="2:40" x14ac:dyDescent="0.25">
      <c r="B71" s="39"/>
      <c r="C71" s="12"/>
    </row>
    <row r="72" spans="2:40" x14ac:dyDescent="0.25">
      <c r="B72" s="39" t="s">
        <v>23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33691.776509809592</v>
      </c>
      <c r="F72" s="12">
        <v>34111.347303589566</v>
      </c>
      <c r="G72" s="12">
        <v>34740.70349425952</v>
      </c>
      <c r="H72" s="12">
        <v>34740.70349425952</v>
      </c>
      <c r="I72" s="12">
        <v>34740.70349425952</v>
      </c>
      <c r="J72" s="12">
        <v>34740.70349425952</v>
      </c>
      <c r="K72" s="12">
        <v>34740.70349425952</v>
      </c>
      <c r="L72" s="12">
        <v>34740.70349425952</v>
      </c>
      <c r="M72" s="12">
        <v>34740.70349425952</v>
      </c>
      <c r="N72" s="12">
        <v>34740.70349425952</v>
      </c>
      <c r="O72" s="12">
        <v>34740.70349425952</v>
      </c>
      <c r="P72" s="12">
        <v>34740.70349425952</v>
      </c>
      <c r="Q72" s="12">
        <v>38214.773843685478</v>
      </c>
      <c r="R72" s="12">
        <v>38214.773843685478</v>
      </c>
      <c r="S72" s="12">
        <v>38214.773843685478</v>
      </c>
      <c r="T72" s="12">
        <v>38214.773843685478</v>
      </c>
      <c r="U72" s="12">
        <v>38214.773843685478</v>
      </c>
      <c r="V72" s="12">
        <v>38214.773843685478</v>
      </c>
      <c r="W72" s="12">
        <v>38214.773843685478</v>
      </c>
      <c r="X72" s="12">
        <v>38214.773843685478</v>
      </c>
      <c r="Y72" s="12">
        <v>38214.773843685478</v>
      </c>
      <c r="Z72" s="12">
        <v>38214.773843685478</v>
      </c>
      <c r="AA72" s="12">
        <v>38214.773843685478</v>
      </c>
      <c r="AB72" s="12">
        <v>38214.773843685478</v>
      </c>
      <c r="AC72" s="12">
        <v>42036.251228054025</v>
      </c>
      <c r="AD72" s="12">
        <v>42036.251228054025</v>
      </c>
      <c r="AE72" s="12">
        <v>42036.251228054025</v>
      </c>
      <c r="AF72" s="12">
        <v>42036.251228054025</v>
      </c>
      <c r="AG72" s="12">
        <v>42036.251228054025</v>
      </c>
      <c r="AH72" s="12">
        <v>42036.251228054025</v>
      </c>
      <c r="AI72" s="12">
        <v>42036.251228054025</v>
      </c>
      <c r="AJ72" s="12">
        <v>42036.251228054025</v>
      </c>
      <c r="AK72" s="12">
        <v>42036.251228054025</v>
      </c>
      <c r="AL72" s="12">
        <v>42036.251228054025</v>
      </c>
      <c r="AM72" s="12">
        <v>42036.251228054025</v>
      </c>
      <c r="AN72" s="12">
        <v>42036.251228054025</v>
      </c>
    </row>
    <row r="73" spans="2:40" x14ac:dyDescent="0.25">
      <c r="B73" s="39" t="s">
        <v>24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306</v>
      </c>
      <c r="E75" s="74" cm="1">
        <f t="array" ref="E75:AN75">_xlfn.ANCHORARRAY(E67)-_xlfn.ANCHORARRAY(E72)-_xlfn.ANCHORARRAY(E73)</f>
        <v>-8210.9748623215892</v>
      </c>
      <c r="F75" s="74">
        <v>-6873.2489907575655</v>
      </c>
      <c r="G75" s="74">
        <v>-4866.6601834115172</v>
      </c>
      <c r="H75" s="74">
        <v>-4866.6601834115172</v>
      </c>
      <c r="I75" s="74">
        <v>-4866.6601834115172</v>
      </c>
      <c r="J75" s="74">
        <v>-4866.6601834115172</v>
      </c>
      <c r="K75" s="74">
        <v>-4866.6601834115172</v>
      </c>
      <c r="L75" s="74">
        <v>-4866.6601834115172</v>
      </c>
      <c r="M75" s="74">
        <v>-4866.6601834115172</v>
      </c>
      <c r="N75" s="74">
        <v>-4866.6601834115172</v>
      </c>
      <c r="O75" s="74">
        <v>-4866.6601834115172</v>
      </c>
      <c r="P75" s="74">
        <v>-4866.6601834115172</v>
      </c>
      <c r="Q75" s="74">
        <v>-7444.5092335120353</v>
      </c>
      <c r="R75" s="74">
        <v>-7444.5092335120353</v>
      </c>
      <c r="S75" s="74">
        <v>-7444.5092335120353</v>
      </c>
      <c r="T75" s="74">
        <v>-7444.5092335120353</v>
      </c>
      <c r="U75" s="74">
        <v>-7444.5092335120353</v>
      </c>
      <c r="V75" s="74">
        <v>-7444.5092335120353</v>
      </c>
      <c r="W75" s="74">
        <v>-7444.5092335120353</v>
      </c>
      <c r="X75" s="74">
        <v>-7444.5092335120353</v>
      </c>
      <c r="Y75" s="74">
        <v>-7444.5092335120353</v>
      </c>
      <c r="Z75" s="74">
        <v>-7444.5092335120353</v>
      </c>
      <c r="AA75" s="74">
        <v>-7444.5092335120353</v>
      </c>
      <c r="AB75" s="74">
        <v>-7444.5092335120353</v>
      </c>
      <c r="AC75" s="74">
        <v>-11265.986617880582</v>
      </c>
      <c r="AD75" s="74">
        <v>-11265.986617880582</v>
      </c>
      <c r="AE75" s="74">
        <v>-11265.986617880582</v>
      </c>
      <c r="AF75" s="74">
        <v>-11265.986617880582</v>
      </c>
      <c r="AG75" s="74">
        <v>-11265.986617880582</v>
      </c>
      <c r="AH75" s="74">
        <v>-11265.986617880582</v>
      </c>
      <c r="AI75" s="74">
        <v>-11265.986617880582</v>
      </c>
      <c r="AJ75" s="74">
        <v>-11265.986617880582</v>
      </c>
      <c r="AK75" s="74">
        <v>-11265.986617880582</v>
      </c>
      <c r="AL75" s="74">
        <v>-11265.986617880582</v>
      </c>
      <c r="AM75" s="74">
        <v>-11265.986617880582</v>
      </c>
      <c r="AN75" s="74">
        <v>-11265.986617880582</v>
      </c>
    </row>
    <row r="83" spans="10:13" x14ac:dyDescent="0.25">
      <c r="M83" s="12"/>
    </row>
    <row r="84" spans="10:13" x14ac:dyDescent="0.25">
      <c r="J84" s="135"/>
    </row>
    <row r="86" spans="10:13" x14ac:dyDescent="0.25">
      <c r="L86" s="12"/>
      <c r="M86" s="12"/>
    </row>
    <row r="87" spans="10:13" x14ac:dyDescent="0.25">
      <c r="L87" s="12"/>
      <c r="M87" s="12"/>
    </row>
    <row r="88" spans="10:13" x14ac:dyDescent="0.25">
      <c r="L88" s="12"/>
      <c r="M88" s="12"/>
    </row>
    <row r="89" spans="10:13" x14ac:dyDescent="0.25">
      <c r="L89" s="12"/>
      <c r="M89" s="12"/>
    </row>
    <row r="90" spans="10:13" x14ac:dyDescent="0.25">
      <c r="L90" s="12"/>
      <c r="M90" s="12"/>
    </row>
    <row r="91" spans="10:13" x14ac:dyDescent="0.25">
      <c r="L91" s="12"/>
      <c r="M91" s="12"/>
    </row>
    <row r="92" spans="10:13" x14ac:dyDescent="0.25">
      <c r="L92" s="12"/>
      <c r="M92" s="12"/>
    </row>
    <row r="93" spans="10:13" x14ac:dyDescent="0.25">
      <c r="L93" s="12"/>
      <c r="M93" s="12"/>
    </row>
    <row r="94" spans="10:13" x14ac:dyDescent="0.25">
      <c r="L94" s="12"/>
      <c r="M94" s="12"/>
    </row>
    <row r="95" spans="10:13" x14ac:dyDescent="0.25">
      <c r="L95" s="12"/>
      <c r="M95" s="12"/>
    </row>
    <row r="96" spans="10:13" x14ac:dyDescent="0.25">
      <c r="L96" s="12"/>
      <c r="M96" s="12"/>
    </row>
    <row r="97" spans="12:13" x14ac:dyDescent="0.25">
      <c r="L97" s="12"/>
      <c r="M97" s="12"/>
    </row>
    <row r="98" spans="12:13" x14ac:dyDescent="0.25">
      <c r="L98" s="12"/>
      <c r="M98" s="12"/>
    </row>
    <row r="99" spans="12:13" x14ac:dyDescent="0.25">
      <c r="L99" s="12"/>
      <c r="M99" s="12"/>
    </row>
    <row r="100" spans="12:13" x14ac:dyDescent="0.25">
      <c r="L100" s="12"/>
    </row>
    <row r="101" spans="12:13" x14ac:dyDescent="0.25">
      <c r="L101" s="13"/>
    </row>
    <row r="102" spans="12:13" x14ac:dyDescent="0.25">
      <c r="L102" s="79"/>
    </row>
    <row r="103" spans="12:13" x14ac:dyDescent="0.25">
      <c r="L103" s="170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215BF-0B2A-4812-9C9A-B35F5B4ED408}">
  <dimension ref="A1:AX75"/>
  <sheetViews>
    <sheetView workbookViewId="0">
      <pane xSplit="4" ySplit="25" topLeftCell="E26" activePane="bottomRight" state="frozen"/>
      <selection activeCell="E63" sqref="E63:E65"/>
      <selection pane="topRight" activeCell="E63" sqref="E63:E65"/>
      <selection pane="bottomLeft" activeCell="E63" sqref="E63:E65"/>
      <selection pane="bottomRight" activeCell="E63" sqref="E63:E65"/>
    </sheetView>
  </sheetViews>
  <sheetFormatPr defaultRowHeight="15" outlineLevelRow="1" x14ac:dyDescent="0.25"/>
  <cols>
    <col min="2" max="2" width="24.5703125" bestFit="1" customWidth="1"/>
    <col min="3" max="3" width="10.7109375" bestFit="1" customWidth="1"/>
    <col min="4" max="4" width="10" bestFit="1" customWidth="1"/>
    <col min="5" max="6" width="11.5703125" bestFit="1" customWidth="1"/>
    <col min="7" max="13" width="12.28515625" bestFit="1" customWidth="1"/>
    <col min="14" max="18" width="11.5703125" bestFit="1" customWidth="1"/>
    <col min="19" max="40" width="12.5703125" bestFit="1" customWidth="1"/>
  </cols>
  <sheetData>
    <row r="1" spans="1:40" x14ac:dyDescent="0.25">
      <c r="A1" s="96" t="str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/>
      </c>
      <c r="B1" s="10" t="s">
        <v>432</v>
      </c>
      <c r="C1" s="16" t="s">
        <v>344</v>
      </c>
      <c r="D1" s="3" t="s">
        <v>307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IFERROR(_xlpm.kiddos,0))</f>
        <v>99</v>
      </c>
      <c r="F1" s="69">
        <v>102</v>
      </c>
      <c r="G1" s="69">
        <v>104</v>
      </c>
      <c r="H1" s="69">
        <v>107</v>
      </c>
      <c r="I1" s="69">
        <v>110</v>
      </c>
      <c r="J1" s="69">
        <v>113</v>
      </c>
      <c r="K1" s="69">
        <v>115</v>
      </c>
      <c r="L1" s="69">
        <v>118</v>
      </c>
      <c r="M1" s="69">
        <v>121</v>
      </c>
      <c r="N1" s="69">
        <v>124</v>
      </c>
      <c r="O1" s="69">
        <v>126</v>
      </c>
      <c r="P1" s="69">
        <v>129</v>
      </c>
      <c r="Q1" s="69">
        <v>132</v>
      </c>
      <c r="R1" s="69">
        <v>135</v>
      </c>
      <c r="S1" s="69">
        <v>137</v>
      </c>
      <c r="T1" s="69">
        <v>140</v>
      </c>
      <c r="U1" s="69">
        <v>143</v>
      </c>
      <c r="V1" s="69">
        <v>146</v>
      </c>
      <c r="W1" s="69">
        <v>148</v>
      </c>
      <c r="X1" s="69">
        <v>151</v>
      </c>
      <c r="Y1" s="69">
        <v>154</v>
      </c>
      <c r="Z1" s="69">
        <v>157</v>
      </c>
      <c r="AA1" s="69">
        <v>160</v>
      </c>
      <c r="AB1" s="69">
        <v>162</v>
      </c>
      <c r="AC1" s="69">
        <v>165</v>
      </c>
      <c r="AD1" s="69">
        <v>168</v>
      </c>
      <c r="AE1" s="69">
        <v>171</v>
      </c>
      <c r="AF1" s="69">
        <v>173</v>
      </c>
      <c r="AG1" s="69">
        <v>176</v>
      </c>
      <c r="AH1" s="69">
        <v>179</v>
      </c>
      <c r="AI1" s="69">
        <v>182</v>
      </c>
      <c r="AJ1" s="69">
        <v>184</v>
      </c>
      <c r="AK1" s="69">
        <v>187</v>
      </c>
      <c r="AL1" s="69">
        <v>190</v>
      </c>
      <c r="AM1" s="69">
        <v>193</v>
      </c>
      <c r="AN1" s="69">
        <v>195</v>
      </c>
    </row>
    <row r="2" spans="1:40" x14ac:dyDescent="0.25">
      <c r="A2" s="65"/>
      <c r="B2" s="3" t="str">
        <f>_xlfn.XLOOKUP($B$1&amp;"-"&amp;$C$1,Base!$D$4:$BD$4,Base!$D$2:$BD$2,"",0)</f>
        <v>North Carolina</v>
      </c>
      <c r="C2" s="55"/>
      <c r="D2" s="55" t="s">
        <v>259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6.7586206896551726</v>
      </c>
      <c r="F2" s="69">
        <v>6.7586206896551726</v>
      </c>
      <c r="G2" s="69">
        <v>6.7586206896551726</v>
      </c>
      <c r="H2" s="69">
        <v>6.7586206896551726</v>
      </c>
      <c r="I2" s="69">
        <v>6.7586206896551726</v>
      </c>
      <c r="J2" s="69">
        <v>6.7586206896551726</v>
      </c>
      <c r="K2" s="69">
        <v>6.7586206896551726</v>
      </c>
      <c r="L2" s="69">
        <v>6.7586206896551726</v>
      </c>
      <c r="M2" s="69">
        <v>6.7586206896551726</v>
      </c>
      <c r="N2" s="69">
        <v>6.7586206896551726</v>
      </c>
      <c r="O2" s="69">
        <v>6.7586206896551726</v>
      </c>
      <c r="P2" s="69">
        <v>6.7586206896551726</v>
      </c>
      <c r="Q2" s="69">
        <v>6.7586206896551726</v>
      </c>
      <c r="R2" s="69">
        <v>6.7586206896551726</v>
      </c>
      <c r="S2" s="69">
        <v>6.7586206896551726</v>
      </c>
      <c r="T2" s="69">
        <v>6.7586206896551726</v>
      </c>
      <c r="U2" s="69">
        <v>6.7586206896551726</v>
      </c>
      <c r="V2" s="69">
        <v>6.7586206896551726</v>
      </c>
      <c r="W2" s="69">
        <v>6.7586206896551726</v>
      </c>
      <c r="X2" s="69">
        <v>6.7586206896551726</v>
      </c>
      <c r="Y2" s="69">
        <v>6.7586206896551726</v>
      </c>
      <c r="Z2" s="69">
        <v>6.7586206896551726</v>
      </c>
      <c r="AA2" s="69">
        <v>6.7586206896551726</v>
      </c>
      <c r="AB2" s="69">
        <v>6.7586206896551726</v>
      </c>
      <c r="AC2" s="69">
        <v>6.7586206896551726</v>
      </c>
      <c r="AD2" s="69">
        <v>6.7586206896551726</v>
      </c>
      <c r="AE2" s="69">
        <v>6.7586206896551726</v>
      </c>
      <c r="AF2" s="69">
        <v>6.7586206896551726</v>
      </c>
      <c r="AG2" s="69">
        <v>6.7586206896551726</v>
      </c>
      <c r="AH2" s="69">
        <v>6.7586206896551726</v>
      </c>
      <c r="AI2" s="69">
        <v>6.7586206896551726</v>
      </c>
      <c r="AJ2" s="69">
        <v>6.7586206896551726</v>
      </c>
      <c r="AK2" s="69">
        <v>6.7586206896551726</v>
      </c>
      <c r="AL2" s="69">
        <v>6.7586206896551726</v>
      </c>
      <c r="AM2" s="69">
        <v>6.7586206896551726</v>
      </c>
      <c r="AN2" s="69">
        <v>6.7586206896551726</v>
      </c>
    </row>
    <row r="3" spans="1:40" x14ac:dyDescent="0.25">
      <c r="A3" s="65"/>
      <c r="B3" s="55"/>
      <c r="C3" s="55"/>
      <c r="D3" s="55" t="s">
        <v>62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_xlpm.months_since,DATEDIF(_xlpm.launchdate,_xlfn.ANCHORARRAY($E$25),"m"),_xlfn.BYCOL(_xlpm.months_since,_xlfn.LAMBDA(_xlpm.a,IFERROR(MIN(_xlpm.a/6,_xlpm.max_kiddos),0))))</f>
        <v>4</v>
      </c>
      <c r="F3" s="69">
        <v>4</v>
      </c>
      <c r="G3" s="69">
        <v>4</v>
      </c>
      <c r="H3" s="69">
        <v>4</v>
      </c>
      <c r="I3" s="69">
        <v>4</v>
      </c>
      <c r="J3" s="69">
        <v>4</v>
      </c>
      <c r="K3" s="69">
        <v>4</v>
      </c>
      <c r="L3" s="69">
        <v>4</v>
      </c>
      <c r="M3" s="69">
        <v>4</v>
      </c>
      <c r="N3" s="69">
        <v>4</v>
      </c>
      <c r="O3" s="69">
        <v>4</v>
      </c>
      <c r="P3" s="69">
        <v>4</v>
      </c>
      <c r="Q3" s="69">
        <v>4</v>
      </c>
      <c r="R3" s="69">
        <v>4</v>
      </c>
      <c r="S3" s="69">
        <v>4</v>
      </c>
      <c r="T3" s="69">
        <v>4</v>
      </c>
      <c r="U3" s="69">
        <v>4</v>
      </c>
      <c r="V3" s="69">
        <v>4</v>
      </c>
      <c r="W3" s="69">
        <v>4</v>
      </c>
      <c r="X3" s="69">
        <v>4</v>
      </c>
      <c r="Y3" s="69">
        <v>4</v>
      </c>
      <c r="Z3" s="69">
        <v>4</v>
      </c>
      <c r="AA3" s="69">
        <v>4</v>
      </c>
      <c r="AB3" s="69">
        <v>4</v>
      </c>
      <c r="AC3" s="69">
        <v>4</v>
      </c>
      <c r="AD3" s="69">
        <v>4</v>
      </c>
      <c r="AE3" s="69">
        <v>4</v>
      </c>
      <c r="AF3" s="69">
        <v>4</v>
      </c>
      <c r="AG3" s="69">
        <v>4</v>
      </c>
      <c r="AH3" s="69">
        <v>4</v>
      </c>
      <c r="AI3" s="69">
        <v>4</v>
      </c>
      <c r="AJ3" s="69">
        <v>4</v>
      </c>
      <c r="AK3" s="69">
        <v>4</v>
      </c>
      <c r="AL3" s="69">
        <v>4</v>
      </c>
      <c r="AM3" s="69">
        <v>4</v>
      </c>
      <c r="AN3" s="69">
        <v>4</v>
      </c>
    </row>
    <row r="4" spans="1:40" x14ac:dyDescent="0.25">
      <c r="A4" s="65"/>
      <c r="B4" s="55"/>
      <c r="C4" s="55"/>
      <c r="D4" s="55" t="s">
        <v>260</v>
      </c>
      <c r="E4" s="69" cm="1">
        <f t="array" ref="E4:AN4">_xlfn.BYCOL(_xlfn.VSTACK(_xlfn.ANCHORARRAY($E$1),_xlfn.ANCHORARRAY($E$2)),_xlfn.LAMBDA(_xlpm.a,SUM(_xlpm.a)))</f>
        <v>105.75862068965517</v>
      </c>
      <c r="F4" s="69">
        <v>108.75862068965517</v>
      </c>
      <c r="G4" s="69">
        <v>110.75862068965517</v>
      </c>
      <c r="H4" s="69">
        <v>113.75862068965517</v>
      </c>
      <c r="I4" s="69">
        <v>116.75862068965517</v>
      </c>
      <c r="J4" s="69">
        <v>119.75862068965517</v>
      </c>
      <c r="K4" s="69">
        <v>121.75862068965517</v>
      </c>
      <c r="L4" s="69">
        <v>124.75862068965517</v>
      </c>
      <c r="M4" s="69">
        <v>127.75862068965517</v>
      </c>
      <c r="N4" s="69">
        <v>130.75862068965517</v>
      </c>
      <c r="O4" s="69">
        <v>132.75862068965517</v>
      </c>
      <c r="P4" s="69">
        <v>135.75862068965517</v>
      </c>
      <c r="Q4" s="69">
        <v>138.75862068965517</v>
      </c>
      <c r="R4" s="69">
        <v>141.75862068965517</v>
      </c>
      <c r="S4" s="69">
        <v>143.75862068965517</v>
      </c>
      <c r="T4" s="69">
        <v>146.75862068965517</v>
      </c>
      <c r="U4" s="69">
        <v>149.75862068965517</v>
      </c>
      <c r="V4" s="69">
        <v>152.75862068965517</v>
      </c>
      <c r="W4" s="69">
        <v>154.75862068965517</v>
      </c>
      <c r="X4" s="69">
        <v>157.75862068965517</v>
      </c>
      <c r="Y4" s="69">
        <v>160.75862068965517</v>
      </c>
      <c r="Z4" s="69">
        <v>163.75862068965517</v>
      </c>
      <c r="AA4" s="69">
        <v>166.75862068965517</v>
      </c>
      <c r="AB4" s="69">
        <v>168.75862068965517</v>
      </c>
      <c r="AC4" s="69">
        <v>171.75862068965517</v>
      </c>
      <c r="AD4" s="69">
        <v>174.75862068965517</v>
      </c>
      <c r="AE4" s="69">
        <v>177.75862068965517</v>
      </c>
      <c r="AF4" s="69">
        <v>179.75862068965517</v>
      </c>
      <c r="AG4" s="69">
        <v>182.75862068965517</v>
      </c>
      <c r="AH4" s="69">
        <v>185.75862068965517</v>
      </c>
      <c r="AI4" s="69">
        <v>188.75862068965517</v>
      </c>
      <c r="AJ4" s="69">
        <v>190.75862068965517</v>
      </c>
      <c r="AK4" s="69">
        <v>193.75862068965517</v>
      </c>
      <c r="AL4" s="69">
        <v>196.75862068965517</v>
      </c>
      <c r="AM4" s="69">
        <v>199.75862068965517</v>
      </c>
      <c r="AN4" s="69">
        <v>201.75862068965517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107</v>
      </c>
      <c r="C6" s="3"/>
      <c r="D6" s="3"/>
      <c r="E6" s="66" cm="1">
        <f t="array" ref="E6:AN6">ROUND(_xlfn.BYCOL(_xlfn.ANCHORARRAY(E7),_xlfn.LAMBDA(_xlpm.a,SUM(_xlpm.a))),0)</f>
        <v>55</v>
      </c>
      <c r="F6" s="66">
        <v>57</v>
      </c>
      <c r="G6" s="66">
        <v>58</v>
      </c>
      <c r="H6" s="66">
        <v>59</v>
      </c>
      <c r="I6" s="66">
        <v>61</v>
      </c>
      <c r="J6" s="66">
        <v>62</v>
      </c>
      <c r="K6" s="66">
        <v>63</v>
      </c>
      <c r="L6" s="66">
        <v>65</v>
      </c>
      <c r="M6" s="66">
        <v>67</v>
      </c>
      <c r="N6" s="66">
        <v>68</v>
      </c>
      <c r="O6" s="66">
        <v>69</v>
      </c>
      <c r="P6" s="66">
        <v>71</v>
      </c>
      <c r="Q6" s="66">
        <v>72</v>
      </c>
      <c r="R6" s="66">
        <v>74</v>
      </c>
      <c r="S6" s="66">
        <v>75</v>
      </c>
      <c r="T6" s="66">
        <v>76</v>
      </c>
      <c r="U6" s="66">
        <v>78</v>
      </c>
      <c r="V6" s="66">
        <v>80</v>
      </c>
      <c r="W6" s="66">
        <v>81</v>
      </c>
      <c r="X6" s="66">
        <v>82</v>
      </c>
      <c r="Y6" s="66">
        <v>84</v>
      </c>
      <c r="Z6" s="66">
        <v>85</v>
      </c>
      <c r="AA6" s="66">
        <v>87</v>
      </c>
      <c r="AB6" s="66">
        <v>88</v>
      </c>
      <c r="AC6" s="66">
        <v>89</v>
      </c>
      <c r="AD6" s="66">
        <v>91</v>
      </c>
      <c r="AE6" s="66">
        <v>93</v>
      </c>
      <c r="AF6" s="66">
        <v>94</v>
      </c>
      <c r="AG6" s="66">
        <v>95</v>
      </c>
      <c r="AH6" s="66">
        <v>97</v>
      </c>
      <c r="AI6" s="66">
        <v>98</v>
      </c>
      <c r="AJ6" s="66">
        <v>99</v>
      </c>
      <c r="AK6" s="66">
        <v>101</v>
      </c>
      <c r="AL6" s="66">
        <v>102</v>
      </c>
      <c r="AM6" s="66">
        <v>104</v>
      </c>
      <c r="AN6" s="66">
        <v>105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1"/>
      <c r="E7" s="106" cm="1">
        <f t="array" ref="E7:AN20">_xlfn.LET(_xlpm.Customer_staff,_xlfn._xlws.FILTER(Base!$D$85:$BD$98,ISNUMBER(SEARCH($B$1&amp;"-"&amp;$C$1,Base!$D$4:$BD$4))),_xlpm.Customer,_xlfn.ANCHORARRAY($E$1),_xlpm.headcount,_xlpm.Customer/_xlpm.Customer_staff,
_xlpm.patient_staff,_xlfn.ANCHORARRAY($E$2)/_xlpm.Customer_staff,_xlpm.prim_staff_tr_rec,_xlfn.ANCHORARRAY($E$2)/_xlfn.CHOOSEROWS(_xlpm.Customer_staff,{7,8})+(_xlfn.ANCHORARRAY($E$1)*0.0055),_xlpm.rounding,_xlfn.VSTACK(2,2,0,0,2,2,2,2,2,2,2,0,0,0),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prim_staff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40.669999999999995</v>
      </c>
      <c r="F7" s="106">
        <v>41.9</v>
      </c>
      <c r="G7" s="106">
        <v>42.72</v>
      </c>
      <c r="H7" s="106">
        <v>43.949999999999996</v>
      </c>
      <c r="I7" s="106">
        <v>45.18</v>
      </c>
      <c r="J7" s="106">
        <v>46.419999999999995</v>
      </c>
      <c r="K7" s="106">
        <v>47.239999999999995</v>
      </c>
      <c r="L7" s="106">
        <v>48.47</v>
      </c>
      <c r="M7" s="106">
        <v>49.699999999999996</v>
      </c>
      <c r="N7" s="106">
        <v>50.93</v>
      </c>
      <c r="O7" s="106">
        <v>51.75</v>
      </c>
      <c r="P7" s="106">
        <v>52.989999999999995</v>
      </c>
      <c r="Q7" s="106">
        <v>54.22</v>
      </c>
      <c r="R7" s="106">
        <v>55.449999999999996</v>
      </c>
      <c r="S7" s="106">
        <v>56.269999999999996</v>
      </c>
      <c r="T7" s="106">
        <v>57.5</v>
      </c>
      <c r="U7" s="106">
        <v>58.739999999999995</v>
      </c>
      <c r="V7" s="106">
        <v>59.97</v>
      </c>
      <c r="W7" s="106">
        <v>60.79</v>
      </c>
      <c r="X7" s="106">
        <v>62.019999999999996</v>
      </c>
      <c r="Y7" s="106">
        <v>63.25</v>
      </c>
      <c r="Z7" s="106">
        <v>64.490000000000009</v>
      </c>
      <c r="AA7" s="106">
        <v>65.72</v>
      </c>
      <c r="AB7" s="106">
        <v>66.540000000000006</v>
      </c>
      <c r="AC7" s="106">
        <v>67.77000000000001</v>
      </c>
      <c r="AD7" s="106">
        <v>69</v>
      </c>
      <c r="AE7" s="106">
        <v>70.240000000000009</v>
      </c>
      <c r="AF7" s="106">
        <v>71.06</v>
      </c>
      <c r="AG7" s="106">
        <v>72.290000000000006</v>
      </c>
      <c r="AH7" s="106">
        <v>73.52000000000001</v>
      </c>
      <c r="AI7" s="106">
        <v>74.75</v>
      </c>
      <c r="AJ7" s="106">
        <v>75.58</v>
      </c>
      <c r="AK7" s="106">
        <v>76.81</v>
      </c>
      <c r="AL7" s="106">
        <v>78.040000000000006</v>
      </c>
      <c r="AM7" s="106">
        <v>79.27000000000001</v>
      </c>
      <c r="AN7" s="106">
        <v>80.09</v>
      </c>
    </row>
    <row r="8" spans="1:40" hidden="1" outlineLevel="1" x14ac:dyDescent="0.25">
      <c r="B8" s="39" t="str">
        <v>Secondary Direct Staff</v>
      </c>
      <c r="C8" s="3"/>
      <c r="D8" s="3"/>
      <c r="E8" s="106">
        <v>9</v>
      </c>
      <c r="F8" s="106">
        <v>9.2799999999999994</v>
      </c>
      <c r="G8" s="106">
        <v>9.4599999999999991</v>
      </c>
      <c r="H8" s="106">
        <v>9.73</v>
      </c>
      <c r="I8" s="106">
        <v>10</v>
      </c>
      <c r="J8" s="106">
        <v>10.28</v>
      </c>
      <c r="K8" s="106">
        <v>10.459999999999999</v>
      </c>
      <c r="L8" s="106">
        <v>10.73</v>
      </c>
      <c r="M8" s="106">
        <v>11</v>
      </c>
      <c r="N8" s="106">
        <v>11.28</v>
      </c>
      <c r="O8" s="106">
        <v>11.459999999999999</v>
      </c>
      <c r="P8" s="106">
        <v>11.73</v>
      </c>
      <c r="Q8" s="106">
        <v>12</v>
      </c>
      <c r="R8" s="106">
        <v>12.28</v>
      </c>
      <c r="S8" s="106">
        <v>12.459999999999999</v>
      </c>
      <c r="T8" s="106">
        <v>12.73</v>
      </c>
      <c r="U8" s="106">
        <v>13</v>
      </c>
      <c r="V8" s="106">
        <v>13.28</v>
      </c>
      <c r="W8" s="106">
        <v>13.459999999999999</v>
      </c>
      <c r="X8" s="106">
        <v>13.73</v>
      </c>
      <c r="Y8" s="106">
        <v>14</v>
      </c>
      <c r="Z8" s="106">
        <v>14.28</v>
      </c>
      <c r="AA8" s="106">
        <v>14.549999999999999</v>
      </c>
      <c r="AB8" s="106">
        <v>14.73</v>
      </c>
      <c r="AC8" s="106">
        <v>15</v>
      </c>
      <c r="AD8" s="106">
        <v>15.28</v>
      </c>
      <c r="AE8" s="106">
        <v>15.549999999999999</v>
      </c>
      <c r="AF8" s="106">
        <v>15.73</v>
      </c>
      <c r="AG8" s="106">
        <v>16</v>
      </c>
      <c r="AH8" s="106">
        <v>16.28</v>
      </c>
      <c r="AI8" s="106">
        <v>16.55</v>
      </c>
      <c r="AJ8" s="106">
        <v>16.73</v>
      </c>
      <c r="AK8" s="106">
        <v>17</v>
      </c>
      <c r="AL8" s="106">
        <v>17.28</v>
      </c>
      <c r="AM8" s="106">
        <v>17.55</v>
      </c>
      <c r="AN8" s="106">
        <v>17.73</v>
      </c>
    </row>
    <row r="9" spans="1:40" hidden="1" outlineLevel="1" x14ac:dyDescent="0.25">
      <c r="B9" s="39" t="str">
        <v>Center Manager</v>
      </c>
      <c r="C9" s="3"/>
      <c r="D9" s="3"/>
      <c r="E9" s="106">
        <v>1</v>
      </c>
      <c r="F9" s="106">
        <v>1</v>
      </c>
      <c r="G9" s="106">
        <v>1</v>
      </c>
      <c r="H9" s="106">
        <v>1</v>
      </c>
      <c r="I9" s="106">
        <v>1</v>
      </c>
      <c r="J9" s="106">
        <v>1</v>
      </c>
      <c r="K9" s="106">
        <v>1</v>
      </c>
      <c r="L9" s="106">
        <v>1</v>
      </c>
      <c r="M9" s="106">
        <v>1</v>
      </c>
      <c r="N9" s="106">
        <v>1</v>
      </c>
      <c r="O9" s="106">
        <v>1</v>
      </c>
      <c r="P9" s="106">
        <v>1</v>
      </c>
      <c r="Q9" s="106">
        <v>1</v>
      </c>
      <c r="R9" s="106">
        <v>1</v>
      </c>
      <c r="S9" s="106">
        <v>1</v>
      </c>
      <c r="T9" s="106">
        <v>1</v>
      </c>
      <c r="U9" s="106">
        <v>1</v>
      </c>
      <c r="V9" s="106">
        <v>1</v>
      </c>
      <c r="W9" s="106">
        <v>1</v>
      </c>
      <c r="X9" s="106">
        <v>1</v>
      </c>
      <c r="Y9" s="106">
        <v>1</v>
      </c>
      <c r="Z9" s="106">
        <v>1</v>
      </c>
      <c r="AA9" s="106">
        <v>1</v>
      </c>
      <c r="AB9" s="106">
        <v>1</v>
      </c>
      <c r="AC9" s="106">
        <v>1</v>
      </c>
      <c r="AD9" s="106">
        <v>1</v>
      </c>
      <c r="AE9" s="106">
        <v>1</v>
      </c>
      <c r="AF9" s="106">
        <v>1</v>
      </c>
      <c r="AG9" s="106">
        <v>1</v>
      </c>
      <c r="AH9" s="106">
        <v>1</v>
      </c>
      <c r="AI9" s="106">
        <v>1</v>
      </c>
      <c r="AJ9" s="106">
        <v>1</v>
      </c>
      <c r="AK9" s="106">
        <v>1</v>
      </c>
      <c r="AL9" s="106">
        <v>1</v>
      </c>
      <c r="AM9" s="106">
        <v>1</v>
      </c>
      <c r="AN9" s="106">
        <v>1</v>
      </c>
    </row>
    <row r="10" spans="1:40" hidden="1" outlineLevel="1" x14ac:dyDescent="0.25">
      <c r="B10" s="39" t="str">
        <v>Intake</v>
      </c>
      <c r="C10" s="3"/>
      <c r="D10" s="3"/>
      <c r="E10" s="106">
        <v>1</v>
      </c>
      <c r="F10" s="106">
        <v>1</v>
      </c>
      <c r="G10" s="106">
        <v>1</v>
      </c>
      <c r="H10" s="106">
        <v>1</v>
      </c>
      <c r="I10" s="106">
        <v>1</v>
      </c>
      <c r="J10" s="106">
        <v>1</v>
      </c>
      <c r="K10" s="106">
        <v>1</v>
      </c>
      <c r="L10" s="106">
        <v>1</v>
      </c>
      <c r="M10" s="106">
        <v>1</v>
      </c>
      <c r="N10" s="106">
        <v>1</v>
      </c>
      <c r="O10" s="106">
        <v>1</v>
      </c>
      <c r="P10" s="106">
        <v>1</v>
      </c>
      <c r="Q10" s="106">
        <v>1</v>
      </c>
      <c r="R10" s="106">
        <v>1</v>
      </c>
      <c r="S10" s="106">
        <v>1</v>
      </c>
      <c r="T10" s="106">
        <v>1</v>
      </c>
      <c r="U10" s="106">
        <v>1</v>
      </c>
      <c r="V10" s="106">
        <v>1</v>
      </c>
      <c r="W10" s="106">
        <v>1</v>
      </c>
      <c r="X10" s="106">
        <v>1</v>
      </c>
      <c r="Y10" s="106">
        <v>1</v>
      </c>
      <c r="Z10" s="106">
        <v>1</v>
      </c>
      <c r="AA10" s="106">
        <v>1</v>
      </c>
      <c r="AB10" s="106">
        <v>1</v>
      </c>
      <c r="AC10" s="106">
        <v>1</v>
      </c>
      <c r="AD10" s="106">
        <v>1</v>
      </c>
      <c r="AE10" s="106">
        <v>1</v>
      </c>
      <c r="AF10" s="106">
        <v>1</v>
      </c>
      <c r="AG10" s="106">
        <v>1</v>
      </c>
      <c r="AH10" s="106">
        <v>1</v>
      </c>
      <c r="AI10" s="106">
        <v>1</v>
      </c>
      <c r="AJ10" s="106">
        <v>1</v>
      </c>
      <c r="AK10" s="106">
        <v>1</v>
      </c>
      <c r="AL10" s="106">
        <v>1</v>
      </c>
      <c r="AM10" s="106">
        <v>1</v>
      </c>
      <c r="AN10" s="106">
        <v>1</v>
      </c>
    </row>
    <row r="11" spans="1:40" hidden="1" outlineLevel="1" x14ac:dyDescent="0.25">
      <c r="B11" s="39" t="str">
        <v>Scheduler</v>
      </c>
      <c r="C11" s="3"/>
      <c r="D11" s="3"/>
      <c r="E11" s="106">
        <v>0</v>
      </c>
      <c r="F11" s="106">
        <v>0</v>
      </c>
      <c r="G11" s="106">
        <v>0</v>
      </c>
      <c r="H11" s="106">
        <v>0</v>
      </c>
      <c r="I11" s="106">
        <v>0</v>
      </c>
      <c r="J11" s="106">
        <v>0</v>
      </c>
      <c r="K11" s="106">
        <v>0</v>
      </c>
      <c r="L11" s="106">
        <v>0</v>
      </c>
      <c r="M11" s="106">
        <v>0</v>
      </c>
      <c r="N11" s="106">
        <v>0</v>
      </c>
      <c r="O11" s="106">
        <v>0</v>
      </c>
      <c r="P11" s="106">
        <v>0</v>
      </c>
      <c r="Q11" s="106">
        <v>0</v>
      </c>
      <c r="R11" s="106">
        <v>0</v>
      </c>
      <c r="S11" s="106">
        <v>0</v>
      </c>
      <c r="T11" s="106">
        <v>0</v>
      </c>
      <c r="U11" s="106">
        <v>0</v>
      </c>
      <c r="V11" s="106">
        <v>0</v>
      </c>
      <c r="W11" s="106">
        <v>0</v>
      </c>
      <c r="X11" s="106">
        <v>0</v>
      </c>
      <c r="Y11" s="106">
        <v>0</v>
      </c>
      <c r="Z11" s="106">
        <v>0</v>
      </c>
      <c r="AA11" s="106">
        <v>0</v>
      </c>
      <c r="AB11" s="106">
        <v>0</v>
      </c>
      <c r="AC11" s="106">
        <v>0</v>
      </c>
      <c r="AD11" s="106">
        <v>0</v>
      </c>
      <c r="AE11" s="106">
        <v>0</v>
      </c>
      <c r="AF11" s="106">
        <v>0</v>
      </c>
      <c r="AG11" s="106">
        <v>0</v>
      </c>
      <c r="AH11" s="106">
        <v>0</v>
      </c>
      <c r="AI11" s="106">
        <v>0</v>
      </c>
      <c r="AJ11" s="106">
        <v>0</v>
      </c>
      <c r="AK11" s="106">
        <v>0</v>
      </c>
      <c r="AL11" s="106">
        <v>0</v>
      </c>
      <c r="AM11" s="106">
        <v>0</v>
      </c>
      <c r="AN11" s="106">
        <v>0</v>
      </c>
    </row>
    <row r="12" spans="1:40" hidden="1" outlineLevel="1" x14ac:dyDescent="0.25">
      <c r="B12" s="39" t="str">
        <v>Initial Consultation Expert</v>
      </c>
      <c r="C12" s="3"/>
      <c r="D12" s="3"/>
      <c r="E12" s="106">
        <v>0.52</v>
      </c>
      <c r="F12" s="106">
        <v>0.52</v>
      </c>
      <c r="G12" s="106">
        <v>0.52</v>
      </c>
      <c r="H12" s="106">
        <v>0.52</v>
      </c>
      <c r="I12" s="106">
        <v>0.52</v>
      </c>
      <c r="J12" s="106">
        <v>0.52</v>
      </c>
      <c r="K12" s="106">
        <v>0.52</v>
      </c>
      <c r="L12" s="106">
        <v>0.52</v>
      </c>
      <c r="M12" s="106">
        <v>0.52</v>
      </c>
      <c r="N12" s="106">
        <v>0.52</v>
      </c>
      <c r="O12" s="106">
        <v>0.52</v>
      </c>
      <c r="P12" s="106">
        <v>0.52</v>
      </c>
      <c r="Q12" s="106">
        <v>0.52</v>
      </c>
      <c r="R12" s="106">
        <v>0.52</v>
      </c>
      <c r="S12" s="106">
        <v>0.52</v>
      </c>
      <c r="T12" s="106">
        <v>0.52</v>
      </c>
      <c r="U12" s="106">
        <v>0.52</v>
      </c>
      <c r="V12" s="106">
        <v>0.52</v>
      </c>
      <c r="W12" s="106">
        <v>0.52</v>
      </c>
      <c r="X12" s="106">
        <v>0.52</v>
      </c>
      <c r="Y12" s="106">
        <v>0.52</v>
      </c>
      <c r="Z12" s="106">
        <v>0.52</v>
      </c>
      <c r="AA12" s="106">
        <v>0.52</v>
      </c>
      <c r="AB12" s="106">
        <v>0.52</v>
      </c>
      <c r="AC12" s="106">
        <v>0.52</v>
      </c>
      <c r="AD12" s="106">
        <v>0.52</v>
      </c>
      <c r="AE12" s="106">
        <v>0.52</v>
      </c>
      <c r="AF12" s="106">
        <v>0.52</v>
      </c>
      <c r="AG12" s="106">
        <v>0.52</v>
      </c>
      <c r="AH12" s="106">
        <v>0.52</v>
      </c>
      <c r="AI12" s="106">
        <v>0.52</v>
      </c>
      <c r="AJ12" s="106">
        <v>0.52</v>
      </c>
      <c r="AK12" s="106">
        <v>0.52</v>
      </c>
      <c r="AL12" s="106">
        <v>0.52</v>
      </c>
      <c r="AM12" s="106">
        <v>0.52</v>
      </c>
      <c r="AN12" s="106">
        <v>0.52</v>
      </c>
    </row>
    <row r="13" spans="1:40" hidden="1" outlineLevel="1" x14ac:dyDescent="0.25">
      <c r="B13" s="39" t="str">
        <v>Trainer</v>
      </c>
      <c r="C13" s="3"/>
      <c r="D13" s="3"/>
      <c r="E13" s="106">
        <v>1.23</v>
      </c>
      <c r="F13" s="106">
        <v>1.24</v>
      </c>
      <c r="G13" s="106">
        <v>1.25</v>
      </c>
      <c r="H13" s="106">
        <v>1.27</v>
      </c>
      <c r="I13" s="106">
        <v>1.29</v>
      </c>
      <c r="J13" s="106">
        <v>1.3</v>
      </c>
      <c r="K13" s="106">
        <v>1.31</v>
      </c>
      <c r="L13" s="106">
        <v>1.33</v>
      </c>
      <c r="M13" s="106">
        <v>1.35</v>
      </c>
      <c r="N13" s="106">
        <v>1.36</v>
      </c>
      <c r="O13" s="106">
        <v>1.37</v>
      </c>
      <c r="P13" s="106">
        <v>1.39</v>
      </c>
      <c r="Q13" s="106">
        <v>1.41</v>
      </c>
      <c r="R13" s="106">
        <v>1.42</v>
      </c>
      <c r="S13" s="106">
        <v>1.43</v>
      </c>
      <c r="T13" s="106">
        <v>1.45</v>
      </c>
      <c r="U13" s="106">
        <v>1.47</v>
      </c>
      <c r="V13" s="106">
        <v>1.48</v>
      </c>
      <c r="W13" s="106">
        <v>1.49</v>
      </c>
      <c r="X13" s="106">
        <v>1.51</v>
      </c>
      <c r="Y13" s="106">
        <v>1.53</v>
      </c>
      <c r="Z13" s="106">
        <v>1.54</v>
      </c>
      <c r="AA13" s="106">
        <v>1.56</v>
      </c>
      <c r="AB13" s="106">
        <v>1.57</v>
      </c>
      <c r="AC13" s="106">
        <v>1.59</v>
      </c>
      <c r="AD13" s="106">
        <v>1.6</v>
      </c>
      <c r="AE13" s="106">
        <v>1.62</v>
      </c>
      <c r="AF13" s="106">
        <v>1.6300000000000001</v>
      </c>
      <c r="AG13" s="106">
        <v>1.65</v>
      </c>
      <c r="AH13" s="106">
        <v>1.67</v>
      </c>
      <c r="AI13" s="106">
        <v>1.68</v>
      </c>
      <c r="AJ13" s="106">
        <v>1.69</v>
      </c>
      <c r="AK13" s="106">
        <v>1.71</v>
      </c>
      <c r="AL13" s="106">
        <v>1.73</v>
      </c>
      <c r="AM13" s="106">
        <v>1.74</v>
      </c>
      <c r="AN13" s="106">
        <v>1.75</v>
      </c>
    </row>
    <row r="14" spans="1:40" hidden="1" outlineLevel="1" x14ac:dyDescent="0.25">
      <c r="B14" s="39" t="str">
        <v>Recruiter</v>
      </c>
      <c r="C14" s="3"/>
      <c r="D14" s="3"/>
      <c r="E14" s="106">
        <v>0.89</v>
      </c>
      <c r="F14" s="106">
        <v>0.9</v>
      </c>
      <c r="G14" s="106">
        <v>0.91</v>
      </c>
      <c r="H14" s="106">
        <v>0.93</v>
      </c>
      <c r="I14" s="106">
        <v>0.95</v>
      </c>
      <c r="J14" s="106">
        <v>0.96</v>
      </c>
      <c r="K14" s="106">
        <v>0.98</v>
      </c>
      <c r="L14" s="106">
        <v>0.99</v>
      </c>
      <c r="M14" s="106">
        <v>1.01</v>
      </c>
      <c r="N14" s="106">
        <v>1.02</v>
      </c>
      <c r="O14" s="106">
        <v>1.04</v>
      </c>
      <c r="P14" s="106">
        <v>1.05</v>
      </c>
      <c r="Q14" s="106">
        <v>1.07</v>
      </c>
      <c r="R14" s="106">
        <v>1.0900000000000001</v>
      </c>
      <c r="S14" s="106">
        <v>1.1000000000000001</v>
      </c>
      <c r="T14" s="106">
        <v>1.1100000000000001</v>
      </c>
      <c r="U14" s="106">
        <v>1.1300000000000001</v>
      </c>
      <c r="V14" s="106">
        <v>1.1499999999999999</v>
      </c>
      <c r="W14" s="106">
        <v>1.1599999999999999</v>
      </c>
      <c r="X14" s="106">
        <v>1.17</v>
      </c>
      <c r="Y14" s="106">
        <v>1.19</v>
      </c>
      <c r="Z14" s="106">
        <v>1.21</v>
      </c>
      <c r="AA14" s="106">
        <v>1.22</v>
      </c>
      <c r="AB14" s="106">
        <v>1.23</v>
      </c>
      <c r="AC14" s="106">
        <v>1.25</v>
      </c>
      <c r="AD14" s="106">
        <v>1.27</v>
      </c>
      <c r="AE14" s="106">
        <v>1.28</v>
      </c>
      <c r="AF14" s="106">
        <v>1.29</v>
      </c>
      <c r="AG14" s="106">
        <v>1.31</v>
      </c>
      <c r="AH14" s="106">
        <v>1.33</v>
      </c>
      <c r="AI14" s="106">
        <v>1.34</v>
      </c>
      <c r="AJ14" s="106">
        <v>1.35</v>
      </c>
      <c r="AK14" s="106">
        <v>1.37</v>
      </c>
      <c r="AL14" s="106">
        <v>1.39</v>
      </c>
      <c r="AM14" s="106">
        <v>1.4</v>
      </c>
      <c r="AN14" s="106">
        <v>1.42</v>
      </c>
    </row>
    <row r="15" spans="1:40" hidden="1" outlineLevel="1" x14ac:dyDescent="0.25">
      <c r="B15" s="39" t="str">
        <v>Center Director / Remote Site Director</v>
      </c>
      <c r="C15" s="3"/>
      <c r="D15" s="3"/>
      <c r="E15" s="106">
        <v>0.4</v>
      </c>
      <c r="F15" s="106">
        <v>0.41000000000000003</v>
      </c>
      <c r="G15" s="106">
        <v>0.42</v>
      </c>
      <c r="H15" s="106">
        <v>0.43</v>
      </c>
      <c r="I15" s="106">
        <v>0.44</v>
      </c>
      <c r="J15" s="106">
        <v>0.46</v>
      </c>
      <c r="K15" s="106">
        <v>0.46</v>
      </c>
      <c r="L15" s="106">
        <v>0.48</v>
      </c>
      <c r="M15" s="106">
        <v>0.49</v>
      </c>
      <c r="N15" s="106">
        <v>0.5</v>
      </c>
      <c r="O15" s="106">
        <v>0.51</v>
      </c>
      <c r="P15" s="106">
        <v>0.52</v>
      </c>
      <c r="Q15" s="106">
        <v>0.53</v>
      </c>
      <c r="R15" s="106">
        <v>0.54</v>
      </c>
      <c r="S15" s="106">
        <v>0.55000000000000004</v>
      </c>
      <c r="T15" s="106">
        <v>0.56000000000000005</v>
      </c>
      <c r="U15" s="106">
        <v>0.57999999999999996</v>
      </c>
      <c r="V15" s="106">
        <v>0.59</v>
      </c>
      <c r="W15" s="106">
        <v>0.6</v>
      </c>
      <c r="X15" s="106">
        <v>0.61</v>
      </c>
      <c r="Y15" s="106">
        <v>0.62</v>
      </c>
      <c r="Z15" s="106">
        <v>0.63</v>
      </c>
      <c r="AA15" s="106">
        <v>0.64</v>
      </c>
      <c r="AB15" s="106">
        <v>0.65</v>
      </c>
      <c r="AC15" s="106">
        <v>0.66</v>
      </c>
      <c r="AD15" s="106">
        <v>0.68</v>
      </c>
      <c r="AE15" s="106">
        <v>0.69000000000000006</v>
      </c>
      <c r="AF15" s="106">
        <v>0.7</v>
      </c>
      <c r="AG15" s="106">
        <v>0.71</v>
      </c>
      <c r="AH15" s="106">
        <v>0.72</v>
      </c>
      <c r="AI15" s="106">
        <v>0.73</v>
      </c>
      <c r="AJ15" s="106">
        <v>0.74</v>
      </c>
      <c r="AK15" s="106">
        <v>0.75</v>
      </c>
      <c r="AL15" s="106">
        <v>0.76</v>
      </c>
      <c r="AM15" s="106">
        <v>0.78</v>
      </c>
      <c r="AN15" s="106">
        <v>0.78</v>
      </c>
    </row>
    <row r="16" spans="1:40" hidden="1" outlineLevel="1" x14ac:dyDescent="0.25">
      <c r="B16" s="39" t="str">
        <v>Center Marketing Outreach</v>
      </c>
      <c r="C16" s="3"/>
      <c r="D16" s="3"/>
      <c r="E16" s="106">
        <v>0.4</v>
      </c>
      <c r="F16" s="106">
        <v>0.41000000000000003</v>
      </c>
      <c r="G16" s="106">
        <v>0.42</v>
      </c>
      <c r="H16" s="106">
        <v>0.43</v>
      </c>
      <c r="I16" s="106">
        <v>0.44</v>
      </c>
      <c r="J16" s="106">
        <v>0.46</v>
      </c>
      <c r="K16" s="106">
        <v>0.46</v>
      </c>
      <c r="L16" s="106">
        <v>0.48</v>
      </c>
      <c r="M16" s="106">
        <v>0.49</v>
      </c>
      <c r="N16" s="106">
        <v>0.5</v>
      </c>
      <c r="O16" s="106">
        <v>0.51</v>
      </c>
      <c r="P16" s="106">
        <v>0.52</v>
      </c>
      <c r="Q16" s="106">
        <v>0.53</v>
      </c>
      <c r="R16" s="106">
        <v>0.54</v>
      </c>
      <c r="S16" s="106">
        <v>0.55000000000000004</v>
      </c>
      <c r="T16" s="106">
        <v>0.56000000000000005</v>
      </c>
      <c r="U16" s="106">
        <v>0.57999999999999996</v>
      </c>
      <c r="V16" s="106">
        <v>0.59</v>
      </c>
      <c r="W16" s="106">
        <v>0.6</v>
      </c>
      <c r="X16" s="106">
        <v>0.61</v>
      </c>
      <c r="Y16" s="106">
        <v>0.62</v>
      </c>
      <c r="Z16" s="106">
        <v>0.63</v>
      </c>
      <c r="AA16" s="106">
        <v>0.64</v>
      </c>
      <c r="AB16" s="106">
        <v>0.65</v>
      </c>
      <c r="AC16" s="106">
        <v>0.66</v>
      </c>
      <c r="AD16" s="106">
        <v>0.68</v>
      </c>
      <c r="AE16" s="106">
        <v>0.69000000000000006</v>
      </c>
      <c r="AF16" s="106">
        <v>0.7</v>
      </c>
      <c r="AG16" s="106">
        <v>0.71</v>
      </c>
      <c r="AH16" s="106">
        <v>0.72</v>
      </c>
      <c r="AI16" s="106">
        <v>0.73</v>
      </c>
      <c r="AJ16" s="106">
        <v>0.74</v>
      </c>
      <c r="AK16" s="106">
        <v>0.75</v>
      </c>
      <c r="AL16" s="106">
        <v>0.76</v>
      </c>
      <c r="AM16" s="106">
        <v>0.78</v>
      </c>
      <c r="AN16" s="106">
        <v>0.78</v>
      </c>
    </row>
    <row r="17" spans="2:50" hidden="1" outlineLevel="1" x14ac:dyDescent="0.25">
      <c r="B17" s="39" t="str">
        <v>Primary Direct Staff Lead</v>
      </c>
      <c r="C17" s="3"/>
      <c r="D17" s="3"/>
      <c r="E17" s="106">
        <v>0</v>
      </c>
      <c r="F17" s="106">
        <v>0</v>
      </c>
      <c r="G17" s="106">
        <v>0</v>
      </c>
      <c r="H17" s="106">
        <v>0</v>
      </c>
      <c r="I17" s="106">
        <v>0</v>
      </c>
      <c r="J17" s="106">
        <v>0</v>
      </c>
      <c r="K17" s="106">
        <v>0</v>
      </c>
      <c r="L17" s="106">
        <v>0</v>
      </c>
      <c r="M17" s="106">
        <v>0</v>
      </c>
      <c r="N17" s="106">
        <v>0</v>
      </c>
      <c r="O17" s="106">
        <v>0</v>
      </c>
      <c r="P17" s="106">
        <v>0</v>
      </c>
      <c r="Q17" s="106">
        <v>0</v>
      </c>
      <c r="R17" s="106">
        <v>0</v>
      </c>
      <c r="S17" s="106">
        <v>0</v>
      </c>
      <c r="T17" s="106">
        <v>0</v>
      </c>
      <c r="U17" s="106">
        <v>0</v>
      </c>
      <c r="V17" s="106">
        <v>0</v>
      </c>
      <c r="W17" s="106">
        <v>0</v>
      </c>
      <c r="X17" s="106">
        <v>0</v>
      </c>
      <c r="Y17" s="106">
        <v>0</v>
      </c>
      <c r="Z17" s="106">
        <v>0</v>
      </c>
      <c r="AA17" s="106">
        <v>0</v>
      </c>
      <c r="AB17" s="106">
        <v>0</v>
      </c>
      <c r="AC17" s="106">
        <v>0</v>
      </c>
      <c r="AD17" s="106">
        <v>0</v>
      </c>
      <c r="AE17" s="106">
        <v>0</v>
      </c>
      <c r="AF17" s="106">
        <v>0</v>
      </c>
      <c r="AG17" s="106">
        <v>0</v>
      </c>
      <c r="AH17" s="106">
        <v>0</v>
      </c>
      <c r="AI17" s="106">
        <v>0</v>
      </c>
      <c r="AJ17" s="106">
        <v>0</v>
      </c>
      <c r="AK17" s="106">
        <v>0</v>
      </c>
      <c r="AL17" s="106">
        <v>0</v>
      </c>
      <c r="AM17" s="106">
        <v>0</v>
      </c>
      <c r="AN17" s="106">
        <v>0</v>
      </c>
    </row>
    <row r="18" spans="2:50" hidden="1" outlineLevel="1" x14ac:dyDescent="0.25">
      <c r="B18" s="39" t="str">
        <v>Tertiary Direct Staff</v>
      </c>
      <c r="C18" s="3"/>
      <c r="D18" s="3"/>
      <c r="E18" s="106">
        <v>0</v>
      </c>
      <c r="F18" s="106">
        <v>0</v>
      </c>
      <c r="G18" s="106">
        <v>0</v>
      </c>
      <c r="H18" s="106">
        <v>0</v>
      </c>
      <c r="I18" s="106">
        <v>0</v>
      </c>
      <c r="J18" s="106">
        <v>0</v>
      </c>
      <c r="K18" s="106">
        <v>0</v>
      </c>
      <c r="L18" s="106">
        <v>0</v>
      </c>
      <c r="M18" s="106">
        <v>0</v>
      </c>
      <c r="N18" s="106">
        <v>0</v>
      </c>
      <c r="O18" s="106">
        <v>0</v>
      </c>
      <c r="P18" s="106">
        <v>0</v>
      </c>
      <c r="Q18" s="106">
        <v>0</v>
      </c>
      <c r="R18" s="106">
        <v>0</v>
      </c>
      <c r="S18" s="106">
        <v>0</v>
      </c>
      <c r="T18" s="106">
        <v>0</v>
      </c>
      <c r="U18" s="106">
        <v>0</v>
      </c>
      <c r="V18" s="106">
        <v>0</v>
      </c>
      <c r="W18" s="106">
        <v>0</v>
      </c>
      <c r="X18" s="106">
        <v>0</v>
      </c>
      <c r="Y18" s="106">
        <v>0</v>
      </c>
      <c r="Z18" s="106">
        <v>0</v>
      </c>
      <c r="AA18" s="106">
        <v>0</v>
      </c>
      <c r="AB18" s="106">
        <v>0</v>
      </c>
      <c r="AC18" s="106">
        <v>0</v>
      </c>
      <c r="AD18" s="106">
        <v>0</v>
      </c>
      <c r="AE18" s="106">
        <v>0</v>
      </c>
      <c r="AF18" s="106">
        <v>0</v>
      </c>
      <c r="AG18" s="106">
        <v>0</v>
      </c>
      <c r="AH18" s="106">
        <v>0</v>
      </c>
      <c r="AI18" s="106">
        <v>0</v>
      </c>
      <c r="AJ18" s="106">
        <v>0</v>
      </c>
      <c r="AK18" s="106">
        <v>0</v>
      </c>
      <c r="AL18" s="106">
        <v>0</v>
      </c>
      <c r="AM18" s="106">
        <v>0</v>
      </c>
      <c r="AN18" s="106">
        <v>0</v>
      </c>
    </row>
    <row r="19" spans="2:50" hidden="1" outlineLevel="1" x14ac:dyDescent="0.25">
      <c r="B19" s="39" t="str">
        <v>Quinary Direct Staff</v>
      </c>
      <c r="C19" s="3"/>
      <c r="D19" s="3"/>
      <c r="E19" s="106">
        <v>0</v>
      </c>
      <c r="F19" s="106">
        <v>0</v>
      </c>
      <c r="G19" s="106">
        <v>0</v>
      </c>
      <c r="H19" s="106">
        <v>0</v>
      </c>
      <c r="I19" s="106">
        <v>0</v>
      </c>
      <c r="J19" s="106">
        <v>0</v>
      </c>
      <c r="K19" s="106">
        <v>0</v>
      </c>
      <c r="L19" s="106">
        <v>0</v>
      </c>
      <c r="M19" s="106">
        <v>0</v>
      </c>
      <c r="N19" s="106">
        <v>0</v>
      </c>
      <c r="O19" s="106">
        <v>0</v>
      </c>
      <c r="P19" s="106">
        <v>0</v>
      </c>
      <c r="Q19" s="106">
        <v>0</v>
      </c>
      <c r="R19" s="106">
        <v>0</v>
      </c>
      <c r="S19" s="106">
        <v>0</v>
      </c>
      <c r="T19" s="106">
        <v>0</v>
      </c>
      <c r="U19" s="106">
        <v>0</v>
      </c>
      <c r="V19" s="106">
        <v>0</v>
      </c>
      <c r="W19" s="106">
        <v>0</v>
      </c>
      <c r="X19" s="106">
        <v>0</v>
      </c>
      <c r="Y19" s="106">
        <v>0</v>
      </c>
      <c r="Z19" s="106">
        <v>0</v>
      </c>
      <c r="AA19" s="106">
        <v>0</v>
      </c>
      <c r="AB19" s="106">
        <v>0</v>
      </c>
      <c r="AC19" s="106">
        <v>0</v>
      </c>
      <c r="AD19" s="106">
        <v>0</v>
      </c>
      <c r="AE19" s="106">
        <v>0</v>
      </c>
      <c r="AF19" s="106">
        <v>0</v>
      </c>
      <c r="AG19" s="106">
        <v>0</v>
      </c>
      <c r="AH19" s="106">
        <v>0</v>
      </c>
      <c r="AI19" s="106">
        <v>0</v>
      </c>
      <c r="AJ19" s="106">
        <v>0</v>
      </c>
      <c r="AK19" s="106">
        <v>0</v>
      </c>
      <c r="AL19" s="106">
        <v>0</v>
      </c>
      <c r="AM19" s="106">
        <v>0</v>
      </c>
      <c r="AN19" s="106">
        <v>0</v>
      </c>
    </row>
    <row r="20" spans="2:50" hidden="1" outlineLevel="1" x14ac:dyDescent="0.25">
      <c r="B20" s="39" t="str">
        <v>Quaternary Direct Staff</v>
      </c>
      <c r="C20" s="3"/>
      <c r="D20" s="3"/>
      <c r="E20" s="106">
        <v>0</v>
      </c>
      <c r="F20" s="106">
        <v>0</v>
      </c>
      <c r="G20" s="106">
        <v>0</v>
      </c>
      <c r="H20" s="106">
        <v>0</v>
      </c>
      <c r="I20" s="106">
        <v>0</v>
      </c>
      <c r="J20" s="106">
        <v>0</v>
      </c>
      <c r="K20" s="106">
        <v>0</v>
      </c>
      <c r="L20" s="106">
        <v>0</v>
      </c>
      <c r="M20" s="106">
        <v>0</v>
      </c>
      <c r="N20" s="106">
        <v>0</v>
      </c>
      <c r="O20" s="106">
        <v>0</v>
      </c>
      <c r="P20" s="106">
        <v>0</v>
      </c>
      <c r="Q20" s="106">
        <v>0</v>
      </c>
      <c r="R20" s="106">
        <v>0</v>
      </c>
      <c r="S20" s="106">
        <v>0</v>
      </c>
      <c r="T20" s="106">
        <v>0</v>
      </c>
      <c r="U20" s="106">
        <v>0</v>
      </c>
      <c r="V20" s="106">
        <v>0</v>
      </c>
      <c r="W20" s="106">
        <v>0</v>
      </c>
      <c r="X20" s="106">
        <v>0</v>
      </c>
      <c r="Y20" s="106">
        <v>0</v>
      </c>
      <c r="Z20" s="106">
        <v>0</v>
      </c>
      <c r="AA20" s="106">
        <v>0</v>
      </c>
      <c r="AB20" s="106">
        <v>0</v>
      </c>
      <c r="AC20" s="106">
        <v>0</v>
      </c>
      <c r="AD20" s="106">
        <v>0</v>
      </c>
      <c r="AE20" s="106">
        <v>0</v>
      </c>
      <c r="AF20" s="106">
        <v>0</v>
      </c>
      <c r="AG20" s="106">
        <v>0</v>
      </c>
      <c r="AH20" s="106">
        <v>0</v>
      </c>
      <c r="AI20" s="106">
        <v>0</v>
      </c>
      <c r="AJ20" s="106">
        <v>0</v>
      </c>
      <c r="AK20" s="106">
        <v>0</v>
      </c>
      <c r="AL20" s="106">
        <v>0</v>
      </c>
      <c r="AM20" s="106">
        <v>0</v>
      </c>
      <c r="AN20" s="106">
        <v>0</v>
      </c>
    </row>
    <row r="21" spans="2:50" collapsed="1" x14ac:dyDescent="0.25">
      <c r="B21" s="39" t="s">
        <v>389</v>
      </c>
      <c r="C21" s="3"/>
      <c r="D21" s="5"/>
      <c r="E21" s="117" cm="1">
        <f t="array" ref="E21:AN21">ROUND(_xlfn.BYCOL(_xlfn.CHOOSEROWS(_xlfn.ANCHORARRAY(E7),1,2),_xlfn.LAMBDA(_xlpm.col,SUM(_xlpm.col))),0)</f>
        <v>50</v>
      </c>
      <c r="F21" s="117">
        <v>51</v>
      </c>
      <c r="G21" s="117">
        <v>52</v>
      </c>
      <c r="H21" s="117">
        <v>54</v>
      </c>
      <c r="I21" s="117">
        <v>55</v>
      </c>
      <c r="J21" s="117">
        <v>57</v>
      </c>
      <c r="K21" s="117">
        <v>58</v>
      </c>
      <c r="L21" s="117">
        <v>59</v>
      </c>
      <c r="M21" s="117">
        <v>61</v>
      </c>
      <c r="N21" s="117">
        <v>62</v>
      </c>
      <c r="O21" s="117">
        <v>63</v>
      </c>
      <c r="P21" s="117">
        <v>65</v>
      </c>
      <c r="Q21" s="117">
        <v>66</v>
      </c>
      <c r="R21" s="117">
        <v>68</v>
      </c>
      <c r="S21" s="117">
        <v>69</v>
      </c>
      <c r="T21" s="117">
        <v>70</v>
      </c>
      <c r="U21" s="117">
        <v>72</v>
      </c>
      <c r="V21" s="117">
        <v>73</v>
      </c>
      <c r="W21" s="117">
        <v>74</v>
      </c>
      <c r="X21" s="117">
        <v>76</v>
      </c>
      <c r="Y21" s="117">
        <v>77</v>
      </c>
      <c r="Z21" s="117">
        <v>79</v>
      </c>
      <c r="AA21" s="117">
        <v>80</v>
      </c>
      <c r="AB21" s="117">
        <v>81</v>
      </c>
      <c r="AC21" s="117">
        <v>83</v>
      </c>
      <c r="AD21" s="117">
        <v>84</v>
      </c>
      <c r="AE21" s="117">
        <v>86</v>
      </c>
      <c r="AF21" s="117">
        <v>87</v>
      </c>
      <c r="AG21" s="117">
        <v>88</v>
      </c>
      <c r="AH21" s="117">
        <v>90</v>
      </c>
      <c r="AI21" s="117">
        <v>91</v>
      </c>
      <c r="AJ21" s="117">
        <v>92</v>
      </c>
      <c r="AK21" s="117">
        <v>94</v>
      </c>
      <c r="AL21" s="117">
        <v>95</v>
      </c>
      <c r="AM21" s="117">
        <v>97</v>
      </c>
      <c r="AN21" s="117">
        <v>98</v>
      </c>
    </row>
    <row r="22" spans="2:50" x14ac:dyDescent="0.25">
      <c r="B22" s="2" t="s">
        <v>394</v>
      </c>
      <c r="C22" s="3"/>
      <c r="D22" s="77">
        <f>MAX(_xlfn.ANCHORARRAY(E22))</f>
        <v>88.785593969318214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86.199605795454545</v>
      </c>
      <c r="F22" s="78">
        <v>86.199605795454545</v>
      </c>
      <c r="G22" s="78">
        <v>86.199605795454559</v>
      </c>
      <c r="H22" s="78">
        <v>86.199605795454545</v>
      </c>
      <c r="I22" s="78">
        <v>86.199605795454545</v>
      </c>
      <c r="J22" s="78">
        <v>86.199605795454545</v>
      </c>
      <c r="K22" s="78">
        <v>86.199605795454545</v>
      </c>
      <c r="L22" s="78">
        <v>86.199605795454573</v>
      </c>
      <c r="M22" s="78">
        <v>86.199605795454559</v>
      </c>
      <c r="N22" s="78">
        <v>86.199605795454545</v>
      </c>
      <c r="O22" s="78">
        <v>86.199605795454545</v>
      </c>
      <c r="P22" s="78">
        <v>86.199605795454545</v>
      </c>
      <c r="Q22" s="78">
        <v>88.785593969318199</v>
      </c>
      <c r="R22" s="78">
        <v>88.785593969318199</v>
      </c>
      <c r="S22" s="78">
        <v>88.785593969318199</v>
      </c>
      <c r="T22" s="78">
        <v>88.785593969318214</v>
      </c>
      <c r="U22" s="78">
        <v>88.785593969318185</v>
      </c>
      <c r="V22" s="78">
        <v>88.785593969318199</v>
      </c>
      <c r="W22" s="78">
        <v>88.785593969318185</v>
      </c>
      <c r="X22" s="78">
        <v>88.785593969318185</v>
      </c>
      <c r="Y22" s="78">
        <v>88.785593969318199</v>
      </c>
      <c r="Z22" s="78">
        <v>88.785593969318199</v>
      </c>
      <c r="AA22" s="78">
        <v>88.785593969318185</v>
      </c>
      <c r="AB22" s="78">
        <v>88.785593969318185</v>
      </c>
      <c r="AC22" s="78">
        <v>88.785593969318214</v>
      </c>
      <c r="AD22" s="78">
        <v>88.785593969318199</v>
      </c>
      <c r="AE22" s="78">
        <v>88.785593969318214</v>
      </c>
      <c r="AF22" s="78">
        <v>88.785593969318185</v>
      </c>
      <c r="AG22" s="78">
        <v>88.785593969318199</v>
      </c>
      <c r="AH22" s="78">
        <v>88.785593969318199</v>
      </c>
      <c r="AI22" s="78">
        <v>88.785593969318214</v>
      </c>
      <c r="AJ22" s="78">
        <v>88.785593969318185</v>
      </c>
      <c r="AK22" s="78">
        <v>88.785593969318185</v>
      </c>
      <c r="AL22" s="78">
        <v>88.785593969318199</v>
      </c>
      <c r="AM22" s="78">
        <v>88.785593969318214</v>
      </c>
      <c r="AN22" s="78">
        <v>88.785593969318199</v>
      </c>
    </row>
    <row r="23" spans="2:50" x14ac:dyDescent="0.25">
      <c r="B23" s="2" t="s">
        <v>53</v>
      </c>
      <c r="C23" s="3"/>
      <c r="D23" s="72"/>
      <c r="E23" s="52" cm="1">
        <f t="array" ref="E23:AN23">_xlfn.LET(_xlpm.site,$B$1&amp;"-"&amp;$C$1,_xlpm.locations,Base!$D$4:$BD$4,_xlpm.Customer,_xlfn.ANCHORARRAY(E1),_xlpm.hours,SUM(_xlfn.XLOOKUP(_xlpm.site,_xlpm.locations,Base!$D$74:$BD$78,0,0)),
_xlpm.collection,1-_xlfn.XLOOKUP(_xlpm.site,_xlpm.locations,Base!$D$26:$BD$26,0,0),
_xlpm.Customer*_xlpm.hours*_xlpm.collection*(52/12))</f>
        <v>5111.04</v>
      </c>
      <c r="F23" s="52">
        <v>5265.9199999999992</v>
      </c>
      <c r="G23" s="52">
        <v>5369.1733333333332</v>
      </c>
      <c r="H23" s="52">
        <v>5524.0533333333333</v>
      </c>
      <c r="I23" s="52">
        <v>5678.9333333333334</v>
      </c>
      <c r="J23" s="52">
        <v>5833.8133333333326</v>
      </c>
      <c r="K23" s="52">
        <v>5937.0666666666666</v>
      </c>
      <c r="L23" s="52">
        <v>6091.9466666666658</v>
      </c>
      <c r="M23" s="52">
        <v>6246.8266666666659</v>
      </c>
      <c r="N23" s="52">
        <v>6401.706666666666</v>
      </c>
      <c r="O23" s="52">
        <v>6504.96</v>
      </c>
      <c r="P23" s="52">
        <v>6659.8399999999992</v>
      </c>
      <c r="Q23" s="52">
        <v>6814.7199999999993</v>
      </c>
      <c r="R23" s="52">
        <v>6969.5999999999985</v>
      </c>
      <c r="S23" s="52">
        <v>7072.8533333333326</v>
      </c>
      <c r="T23" s="52">
        <v>7227.7333333333327</v>
      </c>
      <c r="U23" s="52">
        <v>7382.6133333333328</v>
      </c>
      <c r="V23" s="52">
        <v>7537.4933333333329</v>
      </c>
      <c r="W23" s="52">
        <v>7640.746666666666</v>
      </c>
      <c r="X23" s="52">
        <v>7795.6266666666661</v>
      </c>
      <c r="Y23" s="52">
        <v>7950.5066666666653</v>
      </c>
      <c r="Z23" s="52">
        <v>8105.3866666666663</v>
      </c>
      <c r="AA23" s="52">
        <v>8260.2666666666664</v>
      </c>
      <c r="AB23" s="52">
        <v>8363.5199999999986</v>
      </c>
      <c r="AC23" s="52">
        <v>8518.4</v>
      </c>
      <c r="AD23" s="52">
        <v>8673.2799999999988</v>
      </c>
      <c r="AE23" s="52">
        <v>8828.159999999998</v>
      </c>
      <c r="AF23" s="52">
        <v>8931.4133333333339</v>
      </c>
      <c r="AG23" s="52">
        <v>9086.2933333333331</v>
      </c>
      <c r="AH23" s="52">
        <v>9241.1733333333323</v>
      </c>
      <c r="AI23" s="52">
        <v>9396.0533333333333</v>
      </c>
      <c r="AJ23" s="52">
        <v>9499.3066666666655</v>
      </c>
      <c r="AK23" s="52">
        <v>9654.1866666666665</v>
      </c>
      <c r="AL23" s="52">
        <v>9809.0666666666657</v>
      </c>
      <c r="AM23" s="52">
        <v>9963.9466666666649</v>
      </c>
      <c r="AN23" s="52">
        <v>10067.199999999999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21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_xlfn.LET(_xlpm.site,$B$1&amp;"-"&amp;$C$1,_xlpm.locations,Base!$D$4:$BD$4,_xlpm.rates,Base!$D31:$BD31,_xlpm.hours,Base!$D74:$BD74,_xlpm.comp,_xlpm.rates*_xlpm.hours,_xlpm.Customer,_xlfn.ANCHORARRAY($E$1),
_xlpm.Customer_comp,_xlfn.XLOOKUP(_xlpm.site,_xlpm.locations,_xlpm.comp,0,0),_xlpm.ann_incr,_xlfn.XLOOKUP(YEAR(_xlfn.ANCHORARRAY($E$25)),Base!$BJ$4:$BL$4,Base!$BJ74:$BL74,0,0),
_xlpm.bad_debt,_xlfn.XLOOKUP(_xlpm.site,_xlpm.locations,Base!$D$28:$BD$28,0,0),_xlpm.Customer_comp*_xlpm.Customer*_xlpm.bad_debt*_xlpm.ann_incr*(52/12))</f>
        <v>371741.75489879999</v>
      </c>
      <c r="F26" s="12">
        <v>383006.65656239999</v>
      </c>
      <c r="G26" s="12">
        <v>390516.59100480005</v>
      </c>
      <c r="H26" s="12">
        <v>401781.49266839999</v>
      </c>
      <c r="I26" s="12">
        <v>413046.394332</v>
      </c>
      <c r="J26" s="12">
        <v>424311.2959956</v>
      </c>
      <c r="K26" s="12">
        <v>431821.230438</v>
      </c>
      <c r="L26" s="12">
        <v>443086.1321016</v>
      </c>
      <c r="M26" s="12">
        <v>454351.0337652</v>
      </c>
      <c r="N26" s="12">
        <v>465615.93542879994</v>
      </c>
      <c r="O26" s="12">
        <v>473125.8698712</v>
      </c>
      <c r="P26" s="12">
        <v>484390.77153479995</v>
      </c>
      <c r="Q26" s="12">
        <v>510525.34339435201</v>
      </c>
      <c r="R26" s="12">
        <v>522128.19210786</v>
      </c>
      <c r="S26" s="12">
        <v>529863.42458353192</v>
      </c>
      <c r="T26" s="12">
        <v>541466.27329704002</v>
      </c>
      <c r="U26" s="12">
        <v>553069.12201054802</v>
      </c>
      <c r="V26" s="12">
        <v>564671.97072405601</v>
      </c>
      <c r="W26" s="12">
        <v>572407.20319972793</v>
      </c>
      <c r="X26" s="12">
        <v>584010.05191323604</v>
      </c>
      <c r="Y26" s="12">
        <v>595612.90062674403</v>
      </c>
      <c r="Z26" s="12">
        <v>607215.74934025202</v>
      </c>
      <c r="AA26" s="12">
        <v>618818.5980537599</v>
      </c>
      <c r="AB26" s="12">
        <v>626553.83052943193</v>
      </c>
      <c r="AC26" s="12">
        <v>638156.67924294015</v>
      </c>
      <c r="AD26" s="12">
        <v>649759.52795644803</v>
      </c>
      <c r="AE26" s="12">
        <v>661362.37666995602</v>
      </c>
      <c r="AF26" s="12">
        <v>669097.60914562806</v>
      </c>
      <c r="AG26" s="12">
        <v>680700.45785913593</v>
      </c>
      <c r="AH26" s="12">
        <v>692303.30657264404</v>
      </c>
      <c r="AI26" s="12">
        <v>703906.15528615215</v>
      </c>
      <c r="AJ26" s="12">
        <v>711641.38776182395</v>
      </c>
      <c r="AK26" s="12">
        <v>723244.23647533206</v>
      </c>
      <c r="AL26" s="12">
        <v>734847.08518883993</v>
      </c>
      <c r="AM26" s="12">
        <v>746449.93390234804</v>
      </c>
      <c r="AN26" s="12">
        <v>754185.16637802008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_xlfn.LET(_xlpm.site,$B$1&amp;"-"&amp;$C$1,_xlpm.locations,Base!$D$4:$BD$4,_xlpm.rates,Base!$D32:$BD32,_xlpm.hours,Base!$D75:$BD75,_xlpm.comp,_xlpm.rates*_xlpm.hours,_xlpm.Customer,_xlfn.ANCHORARRAY($E$1),
_xlpm.Customer_comp,_xlfn.XLOOKUP(_xlpm.site,_xlpm.locations,_xlpm.comp,0,0),_xlpm.ann_incr,_xlfn.XLOOKUP(YEAR(_xlfn.ANCHORARRAY($E$25)),Base!$BJ$4:$BL$4,Base!$BJ75:$BL75,0,0),
_xlpm.bad_debt,_xlfn.XLOOKUP(_xlpm.site,_xlpm.locations,Base!$D$28:$BD$28,0,0),_xlpm.Customer_comp*_xlpm.Customer*_xlpm.bad_debt*_xlpm.ann_incr*(52/12))</f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12">
        <v>0</v>
      </c>
      <c r="AA27" s="12">
        <v>0</v>
      </c>
      <c r="AB27" s="12">
        <v>0</v>
      </c>
      <c r="AC27" s="12">
        <v>0</v>
      </c>
      <c r="AD27" s="12">
        <v>0</v>
      </c>
      <c r="AE27" s="12">
        <v>0</v>
      </c>
      <c r="AF27" s="12">
        <v>0</v>
      </c>
      <c r="AG27" s="12">
        <v>0</v>
      </c>
      <c r="AH27" s="12">
        <v>0</v>
      </c>
      <c r="AI27" s="12">
        <v>0</v>
      </c>
      <c r="AJ27" s="12">
        <v>0</v>
      </c>
      <c r="AK27" s="12">
        <v>0</v>
      </c>
      <c r="AL27" s="12">
        <v>0</v>
      </c>
      <c r="AM27" s="12">
        <v>0</v>
      </c>
      <c r="AN27" s="12">
        <v>0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_xlfn.LET(_xlpm.site,$B$1&amp;"-"&amp;$C$1,_xlpm.locations,Base!$D$4:$BD$4,_xlpm.rates,Base!$D33:$BD33,_xlpm.hours,Base!$D76:$BD76,_xlpm.comp,_xlpm.rates*_xlpm.hours,_xlpm.Customer,_xlfn.ANCHORARRAY($E$1),
_xlpm.Customer_comp,_xlfn.XLOOKUP(_xlpm.site,_xlpm.locations,_xlpm.comp,0,0),_xlpm.ann_incr,_xlfn.XLOOKUP(YEAR(_xlfn.ANCHORARRAY($E$25)),Base!$BJ$4:$BL$4,Base!$BJ76:$BL76,0,0),
_xlpm.bad_debt,_xlfn.XLOOKUP(_xlpm.site,_xlpm.locations,Base!$D$28:$BD$28,0,0),_xlpm.Customer_comp*_xlpm.Customer*_xlpm.bad_debt*_xlpm.ann_incr*(52/12))</f>
        <v>75073.768941600007</v>
      </c>
      <c r="F28" s="12">
        <v>77348.731636800003</v>
      </c>
      <c r="G28" s="12">
        <v>78865.373433600005</v>
      </c>
      <c r="H28" s="12">
        <v>81140.336128800001</v>
      </c>
      <c r="I28" s="12">
        <v>83415.298823999998</v>
      </c>
      <c r="J28" s="12">
        <v>85690.261519200008</v>
      </c>
      <c r="K28" s="12">
        <v>87206.903315999996</v>
      </c>
      <c r="L28" s="12">
        <v>89481.866011200007</v>
      </c>
      <c r="M28" s="12">
        <v>91756.828706400003</v>
      </c>
      <c r="N28" s="12">
        <v>94031.7914016</v>
      </c>
      <c r="O28" s="12">
        <v>95548.433198399987</v>
      </c>
      <c r="P28" s="12">
        <v>97823.395893600013</v>
      </c>
      <c r="Q28" s="12">
        <v>103101.309346464</v>
      </c>
      <c r="R28" s="12">
        <v>105444.52092252001</v>
      </c>
      <c r="S28" s="12">
        <v>107006.66197322402</v>
      </c>
      <c r="T28" s="12">
        <v>109349.87354928</v>
      </c>
      <c r="U28" s="12">
        <v>111693.08512533599</v>
      </c>
      <c r="V28" s="12">
        <v>114036.296701392</v>
      </c>
      <c r="W28" s="12">
        <v>115598.43775209601</v>
      </c>
      <c r="X28" s="12">
        <v>117941.64932815201</v>
      </c>
      <c r="Y28" s="12">
        <v>120284.86090420801</v>
      </c>
      <c r="Z28" s="12">
        <v>122628.07248026399</v>
      </c>
      <c r="AA28" s="12">
        <v>124971.28405631999</v>
      </c>
      <c r="AB28" s="12">
        <v>126533.425107024</v>
      </c>
      <c r="AC28" s="12">
        <v>128876.63668308</v>
      </c>
      <c r="AD28" s="12">
        <v>131219.84825913602</v>
      </c>
      <c r="AE28" s="12">
        <v>133563.05983519202</v>
      </c>
      <c r="AF28" s="12">
        <v>135125.20088589599</v>
      </c>
      <c r="AG28" s="12">
        <v>137468.41246195202</v>
      </c>
      <c r="AH28" s="12">
        <v>139811.62403800801</v>
      </c>
      <c r="AI28" s="12">
        <v>142154.83561406401</v>
      </c>
      <c r="AJ28" s="12">
        <v>143716.97666476798</v>
      </c>
      <c r="AK28" s="12">
        <v>146060.18824082401</v>
      </c>
      <c r="AL28" s="12">
        <v>148403.39981688</v>
      </c>
      <c r="AM28" s="12">
        <v>150746.611392936</v>
      </c>
      <c r="AN28" s="12">
        <v>152308.75244364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_xlfn.LET(_xlpm.site,$B$1&amp;"-"&amp;$C$1,_xlpm.locations,Base!$D$4:$BD$4,_xlpm.rates,Base!$D34:$BD34,_xlpm.hours,Base!$D77:$BD77,_xlpm.comp,_xlpm.rates*_xlpm.hours,_xlpm.Customer,_xlfn.ANCHORARRAY($E$1),
_xlpm.Customer_comp,_xlfn.XLOOKUP(_xlpm.site,_xlpm.locations,_xlpm.comp,0,0),_xlpm.ann_incr,_xlfn.XLOOKUP(YEAR(_xlfn.ANCHORARRAY($E$25)),Base!$BJ$4:$BL$4,Base!$BJ77:$BL77,0,0),
_xlpm.bad_debt,_xlfn.XLOOKUP(_xlpm.site,_xlpm.locations,Base!$D$28:$BD$28,0,0),_xlpm.Customer_comp*_xlpm.Customer*_xlpm.bad_debt*_xlpm.ann_incr*(52/12))</f>
        <v>8495.6707440000009</v>
      </c>
      <c r="F29" s="12">
        <v>8753.1153119999999</v>
      </c>
      <c r="G29" s="12">
        <v>8924.7450239999998</v>
      </c>
      <c r="H29" s="12">
        <v>9182.1895920000006</v>
      </c>
      <c r="I29" s="12">
        <v>9439.6341599999996</v>
      </c>
      <c r="J29" s="12">
        <v>9697.0787279999986</v>
      </c>
      <c r="K29" s="12">
        <v>9868.7084400000003</v>
      </c>
      <c r="L29" s="12">
        <v>10126.153008000001</v>
      </c>
      <c r="M29" s="12">
        <v>10383.597576</v>
      </c>
      <c r="N29" s="12">
        <v>10641.042143999999</v>
      </c>
      <c r="O29" s="12">
        <v>10812.671855999999</v>
      </c>
      <c r="P29" s="12">
        <v>11070.116423999998</v>
      </c>
      <c r="Q29" s="12">
        <v>11667.387821759999</v>
      </c>
      <c r="R29" s="12">
        <v>11932.555726799999</v>
      </c>
      <c r="S29" s="12">
        <v>12109.334330159998</v>
      </c>
      <c r="T29" s="12">
        <v>12374.502235199998</v>
      </c>
      <c r="U29" s="12">
        <v>12639.670140240001</v>
      </c>
      <c r="V29" s="12">
        <v>12904.838045279999</v>
      </c>
      <c r="W29" s="12">
        <v>13081.616648640002</v>
      </c>
      <c r="X29" s="12">
        <v>13346.78455368</v>
      </c>
      <c r="Y29" s="12">
        <v>13611.952458719999</v>
      </c>
      <c r="Z29" s="12">
        <v>13877.120363759999</v>
      </c>
      <c r="AA29" s="12">
        <v>14142.288268800001</v>
      </c>
      <c r="AB29" s="12">
        <v>14319.066872159998</v>
      </c>
      <c r="AC29" s="12">
        <v>14584.234777199998</v>
      </c>
      <c r="AD29" s="12">
        <v>14849.402682239999</v>
      </c>
      <c r="AE29" s="12">
        <v>15114.570587279999</v>
      </c>
      <c r="AF29" s="12">
        <v>15291.34919064</v>
      </c>
      <c r="AG29" s="12">
        <v>15556.517095679998</v>
      </c>
      <c r="AH29" s="12">
        <v>15821.685000719999</v>
      </c>
      <c r="AI29" s="12">
        <v>16086.852905760001</v>
      </c>
      <c r="AJ29" s="12">
        <v>16263.631509120001</v>
      </c>
      <c r="AK29" s="12">
        <v>16528.799414159999</v>
      </c>
      <c r="AL29" s="12">
        <v>16793.967319200001</v>
      </c>
      <c r="AM29" s="12">
        <v>17059.135224239999</v>
      </c>
      <c r="AN29" s="12">
        <v>17235.913827599998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_xlfn.LET(_xlpm.site,$B$1&amp;"-"&amp;$C$1,_xlpm.locations,Base!$D$4:$BD$4,_xlpm.rates,Base!$D35:$BD35,_xlpm.hours,Base!$D78:$BD78,_xlpm.comp,_xlpm.rates*_xlpm.hours,_xlpm.Customer,_xlfn.ANCHORARRAY($E$1),
_xlpm.Customer_comp,_xlfn.XLOOKUP(_xlpm.site,_xlpm.locations,_xlpm.comp,0,0),_xlpm.ann_incr,_xlfn.XLOOKUP(YEAR(_xlfn.ANCHORARRAY($E$25)),Base!$BJ$4:$BL$4,Base!$BJ78:$BL78,0,0),
_xlpm.bad_debt,_xlfn.XLOOKUP(_xlpm.site,_xlpm.locations,Base!$D$28:$BD$28,0,0),_xlpm.Customer_comp*_xlpm.Customer*_xlpm.bad_debt*_xlpm.ann_incr*(52/12))</f>
        <v>15297.277248</v>
      </c>
      <c r="F30" s="12">
        <v>15760.831103999999</v>
      </c>
      <c r="G30" s="12">
        <v>16069.867008000001</v>
      </c>
      <c r="H30" s="12">
        <v>16533.420864</v>
      </c>
      <c r="I30" s="12">
        <v>16996.974720000002</v>
      </c>
      <c r="J30" s="12">
        <v>17460.528576000001</v>
      </c>
      <c r="K30" s="12">
        <v>17769.564480000001</v>
      </c>
      <c r="L30" s="12">
        <v>18233.118336</v>
      </c>
      <c r="M30" s="12">
        <v>18696.672191999998</v>
      </c>
      <c r="N30" s="12">
        <v>19160.226048</v>
      </c>
      <c r="O30" s="12">
        <v>19469.261951999997</v>
      </c>
      <c r="P30" s="12">
        <v>19932.815808000003</v>
      </c>
      <c r="Q30" s="12">
        <v>21008.26075392</v>
      </c>
      <c r="R30" s="12">
        <v>21485.721225600002</v>
      </c>
      <c r="S30" s="12">
        <v>21804.028206719999</v>
      </c>
      <c r="T30" s="12">
        <v>22281.488678400005</v>
      </c>
      <c r="U30" s="12">
        <v>22758.949150080003</v>
      </c>
      <c r="V30" s="12">
        <v>23236.409621759998</v>
      </c>
      <c r="W30" s="12">
        <v>23554.716602879998</v>
      </c>
      <c r="X30" s="12">
        <v>24032.177074560001</v>
      </c>
      <c r="Y30" s="12">
        <v>24509.637546240003</v>
      </c>
      <c r="Z30" s="12">
        <v>24987.098017920001</v>
      </c>
      <c r="AA30" s="12">
        <v>25464.5584896</v>
      </c>
      <c r="AB30" s="12">
        <v>25782.86547072</v>
      </c>
      <c r="AC30" s="12">
        <v>26260.325942399999</v>
      </c>
      <c r="AD30" s="12">
        <v>26737.786414080001</v>
      </c>
      <c r="AE30" s="12">
        <v>27215.24688576</v>
      </c>
      <c r="AF30" s="12">
        <v>27533.553866880004</v>
      </c>
      <c r="AG30" s="12">
        <v>28011.014338559999</v>
      </c>
      <c r="AH30" s="12">
        <v>28488.474810240001</v>
      </c>
      <c r="AI30" s="12">
        <v>28965.935281919999</v>
      </c>
      <c r="AJ30" s="12">
        <v>29284.242263040003</v>
      </c>
      <c r="AK30" s="12">
        <v>29761.702734719998</v>
      </c>
      <c r="AL30" s="12">
        <v>30239.163206399997</v>
      </c>
      <c r="AM30" s="12">
        <v>30716.623678079999</v>
      </c>
      <c r="AN30" s="12">
        <v>31034.930659199999</v>
      </c>
    </row>
    <row r="31" spans="2:50" x14ac:dyDescent="0.25">
      <c r="B31" s="39" t="str">
        <f>Base!B36</f>
        <v>Tertiary Direct Staff - Service A</v>
      </c>
      <c r="C31" s="4"/>
      <c r="E31" s="183" cm="1">
        <f t="array" ref="E31:AN31">_xlfn.LET(_xlpm.site,$B$1&amp;"-"&amp;$C$1,_xlpm.locations,Base!$D$4:$BD$4,_xlpm.rates,Base!$D36:$BD36,_xlpm.hours,Base!$D79:$BD79,_xlpm.comp,_xlpm.rates*_xlpm.hours,_xlpm.Customer,_xlfn.ANCHORARRAY($E$1)*0,
_xlpm.Customer_comp,_xlfn.XLOOKUP(_xlpm.site,_xlpm.locations,_xlpm.comp,0,0),_xlpm.ann_incr,_xlfn.XLOOKUP(YEAR(_xlfn.ANCHORARRAY($E$25)),Base!$BJ$4:$BL$4,Base!$BJ79:$BL79,0,0),
_xlpm.bad_debt,_xlfn.XLOOKUP(_xlpm.site,_xlpm.locations,Base!$D$28:$BD$28,0,0),_xlpm.Customer_comp*_xlpm.Customer*_xlpm.bad_debt*_xlpm.ann_incr*(52/12))</f>
        <v>0</v>
      </c>
      <c r="F31" s="183">
        <v>0</v>
      </c>
      <c r="G31" s="183">
        <v>0</v>
      </c>
      <c r="H31" s="183">
        <v>0</v>
      </c>
      <c r="I31" s="183">
        <v>0</v>
      </c>
      <c r="J31" s="183">
        <v>0</v>
      </c>
      <c r="K31" s="183">
        <v>0</v>
      </c>
      <c r="L31" s="183">
        <v>0</v>
      </c>
      <c r="M31" s="183">
        <v>0</v>
      </c>
      <c r="N31" s="183">
        <v>0</v>
      </c>
      <c r="O31" s="183">
        <v>0</v>
      </c>
      <c r="P31" s="183">
        <v>0</v>
      </c>
      <c r="Q31" s="183">
        <v>0</v>
      </c>
      <c r="R31" s="183">
        <v>0</v>
      </c>
      <c r="S31" s="183">
        <v>0</v>
      </c>
      <c r="T31" s="183">
        <v>0</v>
      </c>
      <c r="U31" s="183">
        <v>0</v>
      </c>
      <c r="V31" s="183">
        <v>0</v>
      </c>
      <c r="W31" s="183">
        <v>0</v>
      </c>
      <c r="X31" s="183">
        <v>0</v>
      </c>
      <c r="Y31" s="183">
        <v>0</v>
      </c>
      <c r="Z31" s="183">
        <v>0</v>
      </c>
      <c r="AA31" s="183">
        <v>0</v>
      </c>
      <c r="AB31" s="183">
        <v>0</v>
      </c>
      <c r="AC31" s="183">
        <v>0</v>
      </c>
      <c r="AD31" s="183">
        <v>0</v>
      </c>
      <c r="AE31" s="183">
        <v>0</v>
      </c>
      <c r="AF31" s="183">
        <v>0</v>
      </c>
      <c r="AG31" s="183">
        <v>0</v>
      </c>
      <c r="AH31" s="183">
        <v>0</v>
      </c>
      <c r="AI31" s="183">
        <v>0</v>
      </c>
      <c r="AJ31" s="183">
        <v>0</v>
      </c>
      <c r="AK31" s="183">
        <v>0</v>
      </c>
      <c r="AL31" s="183">
        <v>0</v>
      </c>
      <c r="AM31" s="183">
        <v>0</v>
      </c>
      <c r="AN31" s="183">
        <v>0</v>
      </c>
    </row>
    <row r="32" spans="2:50" x14ac:dyDescent="0.25">
      <c r="B32" s="39" t="str">
        <f>Base!B37</f>
        <v>Tertiary Direct Staff - Service B</v>
      </c>
      <c r="C32" s="4"/>
      <c r="E32" s="183" cm="1">
        <f t="array" ref="E32:AN32">_xlfn.LET(_xlpm.site,$B$1&amp;"-"&amp;$C$1,_xlpm.locations,Base!$D$4:$BD$4,_xlpm.rates,Base!$D37:$BD37,_xlpm.hours,Base!$D80:$BD80,_xlpm.comp,_xlpm.rates*_xlpm.hours,_xlpm.Customer,_xlfn.ANCHORARRAY($E$1)*0,
_xlpm.Customer_comp,_xlfn.XLOOKUP(_xlpm.site,_xlpm.locations,_xlpm.comp,0,0),_xlpm.ann_incr,_xlfn.XLOOKUP(YEAR(_xlfn.ANCHORARRAY($E$25)),Base!$BJ$4:$BL$4,Base!$BJ80:$BL80,0,0),
_xlpm.bad_debt,_xlfn.XLOOKUP(_xlpm.site,_xlpm.locations,Base!$D$28:$BD$28,0,0),_xlpm.Customer_comp*_xlpm.Customer*_xlpm.bad_debt*_xlpm.ann_incr*(52/12))</f>
        <v>0</v>
      </c>
      <c r="F32" s="183">
        <v>0</v>
      </c>
      <c r="G32" s="183">
        <v>0</v>
      </c>
      <c r="H32" s="183">
        <v>0</v>
      </c>
      <c r="I32" s="183">
        <v>0</v>
      </c>
      <c r="J32" s="183">
        <v>0</v>
      </c>
      <c r="K32" s="183">
        <v>0</v>
      </c>
      <c r="L32" s="183">
        <v>0</v>
      </c>
      <c r="M32" s="183">
        <v>0</v>
      </c>
      <c r="N32" s="183">
        <v>0</v>
      </c>
      <c r="O32" s="183">
        <v>0</v>
      </c>
      <c r="P32" s="183">
        <v>0</v>
      </c>
      <c r="Q32" s="183">
        <v>0</v>
      </c>
      <c r="R32" s="183">
        <v>0</v>
      </c>
      <c r="S32" s="183">
        <v>0</v>
      </c>
      <c r="T32" s="183">
        <v>0</v>
      </c>
      <c r="U32" s="183">
        <v>0</v>
      </c>
      <c r="V32" s="183">
        <v>0</v>
      </c>
      <c r="W32" s="183">
        <v>0</v>
      </c>
      <c r="X32" s="183">
        <v>0</v>
      </c>
      <c r="Y32" s="183">
        <v>0</v>
      </c>
      <c r="Z32" s="183">
        <v>0</v>
      </c>
      <c r="AA32" s="183">
        <v>0</v>
      </c>
      <c r="AB32" s="183">
        <v>0</v>
      </c>
      <c r="AC32" s="183">
        <v>0</v>
      </c>
      <c r="AD32" s="183">
        <v>0</v>
      </c>
      <c r="AE32" s="183">
        <v>0</v>
      </c>
      <c r="AF32" s="183">
        <v>0</v>
      </c>
      <c r="AG32" s="183">
        <v>0</v>
      </c>
      <c r="AH32" s="183">
        <v>0</v>
      </c>
      <c r="AI32" s="183">
        <v>0</v>
      </c>
      <c r="AJ32" s="183">
        <v>0</v>
      </c>
      <c r="AK32" s="183">
        <v>0</v>
      </c>
      <c r="AL32" s="183">
        <v>0</v>
      </c>
      <c r="AM32" s="183">
        <v>0</v>
      </c>
      <c r="AN32" s="183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_xlpm.Customer,_xlfn.ANCHORARRAY($E$2),_xlpm.ann_incr,_xlfn.XLOOKUP(YEAR(_xlfn.ANCHORARRAY($E$25)),Base!$BJ$4:$BL$4,Base!$BJ$81:$BL$81,0,0),
_xlpm.bad_debt,_xlfn.XLOOKUP(_xlpm.site,_xlpm.locations,Base!$D$28:$BD$28,0,0),
_xlpm.comp*_xlpm.bad_debt*_xlpm.ann_incr*(52/12))</f>
        <v>0</v>
      </c>
      <c r="F33" s="12">
        <v>0</v>
      </c>
      <c r="G33" s="12">
        <v>0</v>
      </c>
      <c r="H33" s="12">
        <v>0</v>
      </c>
      <c r="I33" s="12">
        <v>0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2">
        <v>0</v>
      </c>
      <c r="Y33" s="12">
        <v>0</v>
      </c>
      <c r="Z33" s="12">
        <v>0</v>
      </c>
      <c r="AA33" s="12">
        <v>0</v>
      </c>
      <c r="AB33" s="12">
        <v>0</v>
      </c>
      <c r="AC33" s="12">
        <v>0</v>
      </c>
      <c r="AD33" s="12">
        <v>0</v>
      </c>
      <c r="AE33" s="12">
        <v>0</v>
      </c>
      <c r="AF33" s="12">
        <v>0</v>
      </c>
      <c r="AG33" s="12">
        <v>0</v>
      </c>
      <c r="AH33" s="12">
        <v>0</v>
      </c>
      <c r="AI33" s="12">
        <v>0</v>
      </c>
      <c r="AJ33" s="12">
        <v>0</v>
      </c>
      <c r="AK33" s="12">
        <v>0</v>
      </c>
      <c r="AL33" s="12">
        <v>0</v>
      </c>
      <c r="AM33" s="12">
        <v>0</v>
      </c>
      <c r="AN33" s="12">
        <v>0</v>
      </c>
    </row>
    <row r="34" spans="2:40" x14ac:dyDescent="0.25">
      <c r="B34" s="39" t="str">
        <f>Base!B39</f>
        <v>Quinary Direct Staff - Service A</v>
      </c>
      <c r="C34" s="4"/>
      <c r="E34" s="183" cm="1">
        <f t="array" ref="E34:AN34">_xlfn.LET(_xlpm.site,$B$1&amp;"-"&amp;$C$1,_xlpm.locations,Base!$D$4:$BD$4,_xlpm.rates,Base!$D39:$BD39,_xlpm.hours,Base!$D82:$BD82,_xlpm.comp,_xlpm.rates*_xlpm.hours,_xlpm.Customer,_xlfn.ANCHORARRAY($E$1)*0,
_xlpm.Customer_comp,_xlfn.XLOOKUP(_xlpm.site,_xlpm.locations,_xlpm.comp,0,0),_xlpm.ann_incr,_xlfn.XLOOKUP(YEAR(_xlfn.ANCHORARRAY($E$25)),Base!$BJ$4:$BL$4,Base!$BJ82:$BL82,0,0),
_xlpm.bad_debt,_xlfn.XLOOKUP(_xlpm.site,_xlpm.locations,Base!$D$28:$BD$28,0,0),_xlpm.Customer_comp*_xlpm.Customer*_xlpm.bad_debt*_xlpm.ann_incr*(52/12))</f>
        <v>0</v>
      </c>
      <c r="F34" s="183">
        <v>0</v>
      </c>
      <c r="G34" s="183">
        <v>0</v>
      </c>
      <c r="H34" s="183">
        <v>0</v>
      </c>
      <c r="I34" s="183">
        <v>0</v>
      </c>
      <c r="J34" s="183">
        <v>0</v>
      </c>
      <c r="K34" s="183">
        <v>0</v>
      </c>
      <c r="L34" s="183">
        <v>0</v>
      </c>
      <c r="M34" s="183">
        <v>0</v>
      </c>
      <c r="N34" s="183">
        <v>0</v>
      </c>
      <c r="O34" s="183">
        <v>0</v>
      </c>
      <c r="P34" s="183">
        <v>0</v>
      </c>
      <c r="Q34" s="183">
        <v>0</v>
      </c>
      <c r="R34" s="183">
        <v>0</v>
      </c>
      <c r="S34" s="183">
        <v>0</v>
      </c>
      <c r="T34" s="183">
        <v>0</v>
      </c>
      <c r="U34" s="183">
        <v>0</v>
      </c>
      <c r="V34" s="183">
        <v>0</v>
      </c>
      <c r="W34" s="183">
        <v>0</v>
      </c>
      <c r="X34" s="183">
        <v>0</v>
      </c>
      <c r="Y34" s="183">
        <v>0</v>
      </c>
      <c r="Z34" s="183">
        <v>0</v>
      </c>
      <c r="AA34" s="183">
        <v>0</v>
      </c>
      <c r="AB34" s="183">
        <v>0</v>
      </c>
      <c r="AC34" s="183">
        <v>0</v>
      </c>
      <c r="AD34" s="183">
        <v>0</v>
      </c>
      <c r="AE34" s="183">
        <v>0</v>
      </c>
      <c r="AF34" s="183">
        <v>0</v>
      </c>
      <c r="AG34" s="183">
        <v>0</v>
      </c>
      <c r="AH34" s="183">
        <v>0</v>
      </c>
      <c r="AI34" s="183">
        <v>0</v>
      </c>
      <c r="AJ34" s="183">
        <v>0</v>
      </c>
      <c r="AK34" s="183">
        <v>0</v>
      </c>
      <c r="AL34" s="183">
        <v>0</v>
      </c>
      <c r="AM34" s="183">
        <v>0</v>
      </c>
      <c r="AN34" s="183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-56473.016619887996</v>
      </c>
      <c r="F35" s="12">
        <v>-58184.320153823988</v>
      </c>
      <c r="G35" s="12">
        <v>-59325.18917644801</v>
      </c>
      <c r="H35" s="12">
        <v>-61036.492710383995</v>
      </c>
      <c r="I35" s="12">
        <v>-62747.796244320001</v>
      </c>
      <c r="J35" s="12">
        <v>-64459.099778255993</v>
      </c>
      <c r="K35" s="12">
        <v>-65599.96880088</v>
      </c>
      <c r="L35" s="12">
        <v>-67311.272334816007</v>
      </c>
      <c r="M35" s="12">
        <v>-69022.575868751999</v>
      </c>
      <c r="N35" s="12">
        <v>-70733.879402687991</v>
      </c>
      <c r="O35" s="12">
        <v>-71874.748425311991</v>
      </c>
      <c r="P35" s="12">
        <v>-73586.051959247998</v>
      </c>
      <c r="Q35" s="12">
        <v>-77556.276157979519</v>
      </c>
      <c r="R35" s="12">
        <v>-79318.918797933598</v>
      </c>
      <c r="S35" s="12">
        <v>-80494.013891236318</v>
      </c>
      <c r="T35" s="12">
        <v>-82256.656531190412</v>
      </c>
      <c r="U35" s="12">
        <v>-84019.299171144477</v>
      </c>
      <c r="V35" s="12">
        <v>-85781.941811098557</v>
      </c>
      <c r="W35" s="12">
        <v>-86957.036904401277</v>
      </c>
      <c r="X35" s="12">
        <v>-88719.679544355342</v>
      </c>
      <c r="Y35" s="12">
        <v>-90482.322184309436</v>
      </c>
      <c r="Z35" s="12">
        <v>-92244.96482426353</v>
      </c>
      <c r="AA35" s="12">
        <v>-94007.607464217581</v>
      </c>
      <c r="AB35" s="12">
        <v>-95182.702557520301</v>
      </c>
      <c r="AC35" s="12">
        <v>-96945.345197474424</v>
      </c>
      <c r="AD35" s="12">
        <v>-98707.987837428489</v>
      </c>
      <c r="AE35" s="12">
        <v>-100470.63047738255</v>
      </c>
      <c r="AF35" s="12">
        <v>-101645.72557068529</v>
      </c>
      <c r="AG35" s="12">
        <v>-103408.36821063937</v>
      </c>
      <c r="AH35" s="12">
        <v>-105171.01085059343</v>
      </c>
      <c r="AI35" s="12">
        <v>-106933.65349054754</v>
      </c>
      <c r="AJ35" s="12">
        <v>-108108.74858385023</v>
      </c>
      <c r="AK35" s="12">
        <v>-109871.39122380431</v>
      </c>
      <c r="AL35" s="12">
        <v>-111634.03386375839</v>
      </c>
      <c r="AM35" s="12">
        <v>-113396.67650371249</v>
      </c>
      <c r="AN35" s="12">
        <v>-114571.77159701519</v>
      </c>
    </row>
    <row r="36" spans="2:40" x14ac:dyDescent="0.25">
      <c r="B36" s="39" t="s">
        <v>261</v>
      </c>
      <c r="C36" s="15"/>
      <c r="E36" s="183" cm="1">
        <f t="array" ref="E36:AN36">_xlfn.BYCOL(_xlfn.ANCHORARRAY($E$25),_xlfn.LAMBDA(_xlpm.a,0))</f>
        <v>0</v>
      </c>
      <c r="F36" s="183">
        <v>0</v>
      </c>
      <c r="G36" s="183">
        <v>0</v>
      </c>
      <c r="H36" s="183">
        <v>0</v>
      </c>
      <c r="I36" s="183">
        <v>0</v>
      </c>
      <c r="J36" s="183">
        <v>0</v>
      </c>
      <c r="K36" s="183">
        <v>0</v>
      </c>
      <c r="L36" s="183">
        <v>0</v>
      </c>
      <c r="M36" s="183">
        <v>0</v>
      </c>
      <c r="N36" s="183">
        <v>0</v>
      </c>
      <c r="O36" s="183">
        <v>0</v>
      </c>
      <c r="P36" s="183">
        <v>0</v>
      </c>
      <c r="Q36" s="183">
        <v>0</v>
      </c>
      <c r="R36" s="183">
        <v>0</v>
      </c>
      <c r="S36" s="183">
        <v>0</v>
      </c>
      <c r="T36" s="183">
        <v>0</v>
      </c>
      <c r="U36" s="183">
        <v>0</v>
      </c>
      <c r="V36" s="183">
        <v>0</v>
      </c>
      <c r="W36" s="183">
        <v>0</v>
      </c>
      <c r="X36" s="183">
        <v>0</v>
      </c>
      <c r="Y36" s="183">
        <v>0</v>
      </c>
      <c r="Z36" s="183">
        <v>0</v>
      </c>
      <c r="AA36" s="183">
        <v>0</v>
      </c>
      <c r="AB36" s="183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271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414135.455212512</v>
      </c>
      <c r="F37" s="13">
        <v>426685.01446137595</v>
      </c>
      <c r="G37" s="13">
        <v>435051.38729395205</v>
      </c>
      <c r="H37" s="13">
        <v>447600.94654281595</v>
      </c>
      <c r="I37" s="13">
        <v>460150.50579168001</v>
      </c>
      <c r="J37" s="13">
        <v>472700.06504054397</v>
      </c>
      <c r="K37" s="13">
        <v>481066.43787311995</v>
      </c>
      <c r="L37" s="13">
        <v>493615.99712198408</v>
      </c>
      <c r="M37" s="13">
        <v>506165.55637084809</v>
      </c>
      <c r="N37" s="13">
        <v>518715.11561971193</v>
      </c>
      <c r="O37" s="13">
        <v>527081.48845228797</v>
      </c>
      <c r="P37" s="13">
        <v>539631.04770115193</v>
      </c>
      <c r="Q37" s="13">
        <v>568746.02515851648</v>
      </c>
      <c r="R37" s="13">
        <v>581672.07118484634</v>
      </c>
      <c r="S37" s="13">
        <v>590289.43520239973</v>
      </c>
      <c r="T37" s="13">
        <v>603215.48122872971</v>
      </c>
      <c r="U37" s="13">
        <v>616141.52725505945</v>
      </c>
      <c r="V37" s="13">
        <v>629067.57328138943</v>
      </c>
      <c r="W37" s="13">
        <v>637684.93729894271</v>
      </c>
      <c r="X37" s="13">
        <v>650610.98332527257</v>
      </c>
      <c r="Y37" s="13">
        <v>663537.02935160254</v>
      </c>
      <c r="Z37" s="13">
        <v>676463.07537793252</v>
      </c>
      <c r="AA37" s="13">
        <v>689389.12140426226</v>
      </c>
      <c r="AB37" s="13">
        <v>698006.48542181565</v>
      </c>
      <c r="AC37" s="13">
        <v>710932.53144814575</v>
      </c>
      <c r="AD37" s="13">
        <v>723858.57747447561</v>
      </c>
      <c r="AE37" s="13">
        <v>736784.62350080546</v>
      </c>
      <c r="AF37" s="13">
        <v>745401.98751835874</v>
      </c>
      <c r="AG37" s="13">
        <v>758328.03354468872</v>
      </c>
      <c r="AH37" s="13">
        <v>771254.07957101858</v>
      </c>
      <c r="AI37" s="13">
        <v>784180.12559734867</v>
      </c>
      <c r="AJ37" s="13">
        <v>792797.48961490171</v>
      </c>
      <c r="AK37" s="13">
        <v>805723.53564123169</v>
      </c>
      <c r="AL37" s="13">
        <v>818649.58166756155</v>
      </c>
      <c r="AM37" s="13">
        <v>831575.62769389153</v>
      </c>
      <c r="AN37" s="13">
        <v>840192.9917114448</v>
      </c>
    </row>
    <row r="38" spans="2:40" x14ac:dyDescent="0.25">
      <c r="E38" s="67"/>
      <c r="F38" s="67"/>
    </row>
    <row r="39" spans="2:40" x14ac:dyDescent="0.25">
      <c r="B39" s="1" t="s">
        <v>118</v>
      </c>
    </row>
    <row r="40" spans="2:40" x14ac:dyDescent="0.25">
      <c r="B40" s="39" t="s">
        <v>23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180399.9798717605</v>
      </c>
      <c r="F40" s="12">
        <v>185063.77534329536</v>
      </c>
      <c r="G40" s="12">
        <v>188215.82787987409</v>
      </c>
      <c r="H40" s="12">
        <v>192902.82335140897</v>
      </c>
      <c r="I40" s="12">
        <v>197589.81882294378</v>
      </c>
      <c r="J40" s="12">
        <v>202458.70962503416</v>
      </c>
      <c r="K40" s="12">
        <v>205475.4288282796</v>
      </c>
      <c r="L40" s="12">
        <v>210297.75763314779</v>
      </c>
      <c r="M40" s="12">
        <v>214984.75310468263</v>
      </c>
      <c r="N40" s="12">
        <v>219648.54857621744</v>
      </c>
      <c r="O40" s="12">
        <v>222853.76777946285</v>
      </c>
      <c r="P40" s="12">
        <v>227504.19191488661</v>
      </c>
      <c r="Q40" s="12">
        <v>255410.30612506359</v>
      </c>
      <c r="R40" s="12">
        <v>260598.9644770853</v>
      </c>
      <c r="S40" s="12">
        <v>264066.22226732189</v>
      </c>
      <c r="T40" s="12">
        <v>269163.43395267689</v>
      </c>
      <c r="U40" s="12">
        <v>274544.73383497633</v>
      </c>
      <c r="V40" s="12">
        <v>279733.39218699798</v>
      </c>
      <c r="W40" s="12">
        <v>283200.6499772346</v>
      </c>
      <c r="X40" s="12">
        <v>288297.86166258954</v>
      </c>
      <c r="Y40" s="12">
        <v>293453.55668127793</v>
      </c>
      <c r="Z40" s="12">
        <v>298660.46989691071</v>
      </c>
      <c r="AA40" s="12">
        <v>303757.68158226565</v>
      </c>
      <c r="AB40" s="12">
        <v>307224.93937250233</v>
      </c>
      <c r="AC40" s="12">
        <v>343618.69783030968</v>
      </c>
      <c r="AD40" s="12">
        <v>349554.30701753352</v>
      </c>
      <c r="AE40" s="12">
        <v>355181.32022139622</v>
      </c>
      <c r="AF40" s="12">
        <v>358995.30379065656</v>
      </c>
      <c r="AG40" s="12">
        <v>364666.56831121369</v>
      </c>
      <c r="AH40" s="12">
        <v>370438.42416510417</v>
      </c>
      <c r="AI40" s="12">
        <v>375981.02535232797</v>
      </c>
      <c r="AJ40" s="12">
        <v>379815.08927156054</v>
      </c>
      <c r="AK40" s="12">
        <v>385486.35379211768</v>
      </c>
      <c r="AL40" s="12">
        <v>391258.20964600809</v>
      </c>
      <c r="AM40" s="12">
        <v>397028.89583323197</v>
      </c>
      <c r="AN40" s="12">
        <v>400679.12606915901</v>
      </c>
    </row>
    <row r="41" spans="2:40" x14ac:dyDescent="0.25">
      <c r="B41" s="39" t="s">
        <v>388</v>
      </c>
      <c r="C41" s="142">
        <f>_xlfn.XLOOKUP($B$1&amp;"-"&amp;$C$1,Base!$D$4:$BD$4,Base!$D$12:$BD$12,0,0)</f>
        <v>0</v>
      </c>
      <c r="E41" s="183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28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0</v>
      </c>
      <c r="AJ42" s="12">
        <v>0</v>
      </c>
      <c r="AK42" s="12">
        <v>0</v>
      </c>
      <c r="AL42" s="12">
        <v>0</v>
      </c>
      <c r="AM42" s="12">
        <v>0</v>
      </c>
      <c r="AN42" s="12">
        <v>0</v>
      </c>
    </row>
    <row r="43" spans="2:40" x14ac:dyDescent="0.25">
      <c r="B43" s="39" t="s">
        <v>31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0</v>
      </c>
      <c r="X43" s="12">
        <v>0</v>
      </c>
      <c r="Y43" s="12">
        <v>0</v>
      </c>
      <c r="Z43" s="12">
        <v>0</v>
      </c>
      <c r="AA43" s="12">
        <v>0</v>
      </c>
      <c r="AB43" s="12">
        <v>0</v>
      </c>
      <c r="AC43" s="12">
        <v>0</v>
      </c>
      <c r="AD43" s="12">
        <v>0</v>
      </c>
      <c r="AE43" s="12">
        <v>0</v>
      </c>
      <c r="AF43" s="12">
        <v>0</v>
      </c>
      <c r="AG43" s="12">
        <v>0</v>
      </c>
      <c r="AH43" s="12">
        <v>0</v>
      </c>
      <c r="AI43" s="12">
        <v>0</v>
      </c>
      <c r="AJ43" s="12">
        <v>0</v>
      </c>
      <c r="AK43" s="12">
        <v>0</v>
      </c>
      <c r="AL43" s="12">
        <v>0</v>
      </c>
      <c r="AM43" s="12">
        <v>0</v>
      </c>
      <c r="AN43" s="12">
        <v>0</v>
      </c>
    </row>
    <row r="44" spans="2:40" x14ac:dyDescent="0.25">
      <c r="B44" s="39" t="s">
        <v>34</v>
      </c>
      <c r="C44" s="96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1832.9536000000001</v>
      </c>
      <c r="F44" s="12">
        <v>1846.4312000000002</v>
      </c>
      <c r="G44" s="12">
        <v>1859.9087999999999</v>
      </c>
      <c r="H44" s="12">
        <v>1880.1251999999997</v>
      </c>
      <c r="I44" s="12">
        <v>1900.3416000000002</v>
      </c>
      <c r="J44" s="12">
        <v>1920.558</v>
      </c>
      <c r="K44" s="12">
        <v>1930.6662000000001</v>
      </c>
      <c r="L44" s="12">
        <v>1954.2520000000002</v>
      </c>
      <c r="M44" s="12">
        <v>1974.4684000000002</v>
      </c>
      <c r="N44" s="12">
        <v>1987.9460000000001</v>
      </c>
      <c r="O44" s="12">
        <v>2004.7929999999997</v>
      </c>
      <c r="P44" s="12">
        <v>2021.6399999999999</v>
      </c>
      <c r="Q44" s="12">
        <v>2123.5306559999999</v>
      </c>
      <c r="R44" s="12">
        <v>2141.0515359999999</v>
      </c>
      <c r="S44" s="12">
        <v>2155.0682400000001</v>
      </c>
      <c r="T44" s="12">
        <v>2172.5891200000005</v>
      </c>
      <c r="U44" s="12">
        <v>2200.6225279999999</v>
      </c>
      <c r="V44" s="12">
        <v>2218.1434079999999</v>
      </c>
      <c r="W44" s="12">
        <v>2232.1601119999996</v>
      </c>
      <c r="X44" s="12">
        <v>2249.6809920000001</v>
      </c>
      <c r="Y44" s="12">
        <v>2270.706048</v>
      </c>
      <c r="Z44" s="12">
        <v>2288.226928</v>
      </c>
      <c r="AA44" s="12">
        <v>2305.7478079999996</v>
      </c>
      <c r="AB44" s="12">
        <v>2319.7645120000002</v>
      </c>
      <c r="AC44" s="12">
        <v>2434.4211507200007</v>
      </c>
      <c r="AD44" s="12">
        <v>2459.9315520000005</v>
      </c>
      <c r="AE44" s="12">
        <v>2478.1532672000008</v>
      </c>
      <c r="AF44" s="12">
        <v>2492.7306393600006</v>
      </c>
      <c r="AG44" s="12">
        <v>2514.5966976000004</v>
      </c>
      <c r="AH44" s="12">
        <v>2536.4627558400002</v>
      </c>
      <c r="AI44" s="12">
        <v>2551.0401280000005</v>
      </c>
      <c r="AJ44" s="12">
        <v>2565.6175001600009</v>
      </c>
      <c r="AK44" s="12">
        <v>2587.4835584000007</v>
      </c>
      <c r="AL44" s="12">
        <v>2609.34961664</v>
      </c>
      <c r="AM44" s="12">
        <v>2631.2156748800007</v>
      </c>
      <c r="AN44" s="12">
        <v>2642.1487040000002</v>
      </c>
    </row>
    <row r="45" spans="2:40" x14ac:dyDescent="0.25">
      <c r="B45" s="39" t="s">
        <v>36</v>
      </c>
      <c r="C45" s="96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0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12">
        <v>0</v>
      </c>
      <c r="R45" s="12">
        <v>0</v>
      </c>
      <c r="S45" s="12">
        <v>0</v>
      </c>
      <c r="T45" s="12">
        <v>0</v>
      </c>
      <c r="U45" s="12">
        <v>0</v>
      </c>
      <c r="V45" s="12">
        <v>0</v>
      </c>
      <c r="W45" s="12">
        <v>0</v>
      </c>
      <c r="X45" s="12">
        <v>0</v>
      </c>
      <c r="Y45" s="12">
        <v>0</v>
      </c>
      <c r="Z45" s="12">
        <v>0</v>
      </c>
      <c r="AA45" s="12">
        <v>0</v>
      </c>
      <c r="AB45" s="12">
        <v>0</v>
      </c>
      <c r="AC45" s="12">
        <v>0</v>
      </c>
      <c r="AD45" s="12">
        <v>0</v>
      </c>
      <c r="AE45" s="12">
        <v>0</v>
      </c>
      <c r="AF45" s="12">
        <v>0</v>
      </c>
      <c r="AG45" s="12">
        <v>0</v>
      </c>
      <c r="AH45" s="12">
        <v>0</v>
      </c>
      <c r="AI45" s="12">
        <v>0</v>
      </c>
      <c r="AJ45" s="12">
        <v>0</v>
      </c>
      <c r="AK45" s="12">
        <v>0</v>
      </c>
      <c r="AL45" s="12">
        <v>0</v>
      </c>
      <c r="AM45" s="12">
        <v>0</v>
      </c>
      <c r="AN45" s="12">
        <v>0</v>
      </c>
    </row>
    <row r="46" spans="2:40" x14ac:dyDescent="0.25">
      <c r="B46" s="39" t="s">
        <v>38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28914.999999999996</v>
      </c>
      <c r="F46" s="12">
        <v>29690</v>
      </c>
      <c r="G46" s="12">
        <v>30210</v>
      </c>
      <c r="H46" s="12">
        <v>30990</v>
      </c>
      <c r="I46" s="12">
        <v>31770</v>
      </c>
      <c r="J46" s="12">
        <v>32560</v>
      </c>
      <c r="K46" s="12">
        <v>33075</v>
      </c>
      <c r="L46" s="12">
        <v>33860.000000000007</v>
      </c>
      <c r="M46" s="12">
        <v>34639.999999999993</v>
      </c>
      <c r="N46" s="12">
        <v>35415</v>
      </c>
      <c r="O46" s="12">
        <v>35940.000000000015</v>
      </c>
      <c r="P46" s="12">
        <v>36719.999999999993</v>
      </c>
      <c r="Q46" s="12">
        <v>38249.999999999993</v>
      </c>
      <c r="R46" s="12">
        <v>39045.599999999999</v>
      </c>
      <c r="S46" s="12">
        <v>39575.999999999985</v>
      </c>
      <c r="T46" s="12">
        <v>40366.5</v>
      </c>
      <c r="U46" s="12">
        <v>41177.399999999987</v>
      </c>
      <c r="V46" s="12">
        <v>41973</v>
      </c>
      <c r="W46" s="12">
        <v>42503.399999999987</v>
      </c>
      <c r="X46" s="12">
        <v>43293.9</v>
      </c>
      <c r="Y46" s="12">
        <v>44089.5</v>
      </c>
      <c r="Z46" s="12">
        <v>44890.2</v>
      </c>
      <c r="AA46" s="12">
        <v>45680.7</v>
      </c>
      <c r="AB46" s="12">
        <v>46211.100000000006</v>
      </c>
      <c r="AC46" s="12">
        <v>47946.83400000001</v>
      </c>
      <c r="AD46" s="12">
        <v>48768.750000000007</v>
      </c>
      <c r="AE46" s="12">
        <v>49580.26200000001</v>
      </c>
      <c r="AF46" s="12">
        <v>50121.270000000011</v>
      </c>
      <c r="AG46" s="12">
        <v>50932.782000000007</v>
      </c>
      <c r="AH46" s="12">
        <v>51749.496000000014</v>
      </c>
      <c r="AI46" s="12">
        <v>52550.604000000014</v>
      </c>
      <c r="AJ46" s="12">
        <v>53096.813999999998</v>
      </c>
      <c r="AK46" s="12">
        <v>53908.326000000008</v>
      </c>
      <c r="AL46" s="12">
        <v>54725.040000000015</v>
      </c>
      <c r="AM46" s="12">
        <v>55536.552000000011</v>
      </c>
      <c r="AN46" s="12">
        <v>56072.358000000015</v>
      </c>
    </row>
    <row r="47" spans="2:40" x14ac:dyDescent="0.25">
      <c r="B47" s="39" t="s">
        <v>40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  <c r="O47" s="12">
        <v>0</v>
      </c>
      <c r="P47" s="12">
        <v>0</v>
      </c>
      <c r="Q47" s="12">
        <v>0</v>
      </c>
      <c r="R47" s="12">
        <v>0</v>
      </c>
      <c r="S47" s="12">
        <v>0</v>
      </c>
      <c r="T47" s="12">
        <v>0</v>
      </c>
      <c r="U47" s="12">
        <v>0</v>
      </c>
      <c r="V47" s="12">
        <v>0</v>
      </c>
      <c r="W47" s="12">
        <v>0</v>
      </c>
      <c r="X47" s="12">
        <v>0</v>
      </c>
      <c r="Y47" s="12">
        <v>0</v>
      </c>
      <c r="Z47" s="12">
        <v>0</v>
      </c>
      <c r="AA47" s="12">
        <v>0</v>
      </c>
      <c r="AB47" s="12">
        <v>0</v>
      </c>
      <c r="AC47" s="12">
        <v>0</v>
      </c>
      <c r="AD47" s="12">
        <v>0</v>
      </c>
      <c r="AE47" s="12">
        <v>0</v>
      </c>
      <c r="AF47" s="12">
        <v>0</v>
      </c>
      <c r="AG47" s="12">
        <v>0</v>
      </c>
      <c r="AH47" s="12">
        <v>0</v>
      </c>
      <c r="AI47" s="12">
        <v>0</v>
      </c>
      <c r="AJ47" s="12">
        <v>0</v>
      </c>
      <c r="AK47" s="12">
        <v>0</v>
      </c>
      <c r="AL47" s="12">
        <v>0</v>
      </c>
      <c r="AM47" s="12">
        <v>0</v>
      </c>
      <c r="AN47" s="12">
        <v>0</v>
      </c>
    </row>
    <row r="48" spans="2:40" x14ac:dyDescent="0.25">
      <c r="B48" s="39" t="s">
        <v>41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42</v>
      </c>
      <c r="E49" s="12">
        <f>'Corp.'!E$50*(E$37-(E31-E32-E34)*$C$35)/(SUM('MDA1:NCA9'!E$37)-SUM('MDA1:NCA9'!E$31)-SUM('MDA1:NCA9'!E$32)-SUM('MDA1:NCA9'!E$34))</f>
        <v>137272.06989954429</v>
      </c>
      <c r="F49" s="12">
        <f>'Corp.'!F$50*(F$37-(F31-F32-F34)*$C$35)/(SUM('MDA1:NCA9'!F$37)-SUM('MDA1:NCA9'!F$31)-SUM('MDA1:NCA9'!F$32)-SUM('MDA1:NCA9'!F$34))</f>
        <v>132755.48419587297</v>
      </c>
      <c r="G49" s="12">
        <f>'Corp.'!G$50*(G$37-(G31-G32-G34)*$C$35)/(SUM('MDA1:NCA9'!G$37)-SUM('MDA1:NCA9'!G$31)-SUM('MDA1:NCA9'!G$32)-SUM('MDA1:NCA9'!G$34))</f>
        <v>123192.29906221885</v>
      </c>
      <c r="H49" s="12">
        <f>'Corp.'!H$50*(H$37-(H31-H32-H34)*$C$35)/(SUM('MDA1:NCA9'!H$37)-SUM('MDA1:NCA9'!H$31)-SUM('MDA1:NCA9'!H$32)-SUM('MDA1:NCA9'!H$34))</f>
        <v>115881.55128285161</v>
      </c>
      <c r="I49" s="12">
        <f>'Corp.'!I$50*(I$37-(I31-I32-I34)*$C$35)/(SUM('MDA1:NCA9'!I$37)-SUM('MDA1:NCA9'!I$31)-SUM('MDA1:NCA9'!I$32)-SUM('MDA1:NCA9'!I$34))</f>
        <v>112102.61706100396</v>
      </c>
      <c r="J49" s="12">
        <f>'Corp.'!J$50*(J$37-(J31-J32-J34)*$C$35)/(SUM('MDA1:NCA9'!J$37)-SUM('MDA1:NCA9'!J$31)-SUM('MDA1:NCA9'!J$32)-SUM('MDA1:NCA9'!J$34))</f>
        <v>107636.21154656319</v>
      </c>
      <c r="K49" s="12">
        <f>'Corp.'!K$50*(K$37-(K31-K32-K34)*$C$35)/(SUM('MDA1:NCA9'!K$37)-SUM('MDA1:NCA9'!K$31)-SUM('MDA1:NCA9'!K$32)-SUM('MDA1:NCA9'!K$34))</f>
        <v>100612.37889984586</v>
      </c>
      <c r="L49" s="12">
        <f>'Corp.'!L$50*(L$37-(L31-L32-L34)*$C$35)/(SUM('MDA1:NCA9'!L$37)-SUM('MDA1:NCA9'!L$31)-SUM('MDA1:NCA9'!L$32)-SUM('MDA1:NCA9'!L$34))</f>
        <v>97558.789428899385</v>
      </c>
      <c r="M49" s="12">
        <f>'Corp.'!M$50*(M$37-(M31-M32-M34)*$C$35)/(SUM('MDA1:NCA9'!M$37)-SUM('MDA1:NCA9'!M$31)-SUM('MDA1:NCA9'!M$32)-SUM('MDA1:NCA9'!M$34))</f>
        <v>93751.862250620441</v>
      </c>
      <c r="N49" s="12">
        <f>'Corp.'!N$50*(N$37-(N31-N32-N34)*$C$35)/(SUM('MDA1:NCA9'!N$37)-SUM('MDA1:NCA9'!N$31)-SUM('MDA1:NCA9'!N$32)-SUM('MDA1:NCA9'!N$34))</f>
        <v>90530.866891797123</v>
      </c>
      <c r="O49" s="12">
        <f>'Corp.'!O$50*(O$37-(O31-O32-O34)*$C$35)/(SUM('MDA1:NCA9'!O$37)-SUM('MDA1:NCA9'!O$31)-SUM('MDA1:NCA9'!O$32)-SUM('MDA1:NCA9'!O$34))</f>
        <v>86094.329224595902</v>
      </c>
      <c r="P49" s="12">
        <f>'Corp.'!P$50*(P$37-(P31-P32-P34)*$C$35)/(SUM('MDA1:NCA9'!P$37)-SUM('MDA1:NCA9'!P$31)-SUM('MDA1:NCA9'!P$32)-SUM('MDA1:NCA9'!P$34))</f>
        <v>83177.035632286585</v>
      </c>
      <c r="Q49" s="12">
        <f>'Corp.'!Q$50*(Q$37-(Q31-Q32-Q34)*$C$35)/(SUM('MDA1:NCA9'!Q$37)-SUM('MDA1:NCA9'!Q$31)-SUM('MDA1:NCA9'!Q$32)-SUM('MDA1:NCA9'!Q$34))</f>
        <v>87986.271475817703</v>
      </c>
      <c r="R49" s="12">
        <f>'Corp.'!R$50*(R$37-(R31-R32-R34)*$C$35)/(SUM('MDA1:NCA9'!R$37)-SUM('MDA1:NCA9'!R$31)-SUM('MDA1:NCA9'!R$32)-SUM('MDA1:NCA9'!R$34))</f>
        <v>86577.586978391526</v>
      </c>
      <c r="S49" s="12">
        <f>'Corp.'!S$50*(S$37-(S31-S32-S34)*$C$35)/(SUM('MDA1:NCA9'!S$37)-SUM('MDA1:NCA9'!S$31)-SUM('MDA1:NCA9'!S$32)-SUM('MDA1:NCA9'!S$34))</f>
        <v>84058.222535143781</v>
      </c>
      <c r="T49" s="12">
        <f>'Corp.'!T$50*(T$37-(T31-T32-T34)*$C$35)/(SUM('MDA1:NCA9'!T$37)-SUM('MDA1:NCA9'!T$31)-SUM('MDA1:NCA9'!T$32)-SUM('MDA1:NCA9'!T$34))</f>
        <v>82610.203610047771</v>
      </c>
      <c r="U49" s="12">
        <f>'Corp.'!U$50*(U$37-(U31-U32-U34)*$C$35)/(SUM('MDA1:NCA9'!U$37)-SUM('MDA1:NCA9'!U$31)-SUM('MDA1:NCA9'!U$32)-SUM('MDA1:NCA9'!U$34))</f>
        <v>82077.322081897306</v>
      </c>
      <c r="V49" s="12">
        <f>'Corp.'!V$50*(V$37-(V31-V32-V34)*$C$35)/(SUM('MDA1:NCA9'!V$37)-SUM('MDA1:NCA9'!V$31)-SUM('MDA1:NCA9'!V$32)-SUM('MDA1:NCA9'!V$34))</f>
        <v>81882.119243461362</v>
      </c>
      <c r="W49" s="12">
        <f>'Corp.'!W$50*(W$37-(W31-W32-W34)*$C$35)/(SUM('MDA1:NCA9'!W$37)-SUM('MDA1:NCA9'!W$31)-SUM('MDA1:NCA9'!W$32)-SUM('MDA1:NCA9'!W$34))</f>
        <v>80481.098855056494</v>
      </c>
      <c r="X49" s="12">
        <f>'Corp.'!X$50*(X$37-(X31-X32-X34)*$C$35)/(SUM('MDA1:NCA9'!X$37)-SUM('MDA1:NCA9'!X$31)-SUM('MDA1:NCA9'!X$32)-SUM('MDA1:NCA9'!X$34))</f>
        <v>79540.409481689843</v>
      </c>
      <c r="Y49" s="12">
        <f>'Corp.'!Y$50*(Y$37-(Y31-Y32-Y34)*$C$35)/(SUM('MDA1:NCA9'!Y$37)-SUM('MDA1:NCA9'!Y$31)-SUM('MDA1:NCA9'!Y$32)-SUM('MDA1:NCA9'!Y$34))</f>
        <v>79402.025820827912</v>
      </c>
      <c r="Z49" s="12">
        <f>'Corp.'!Z$50*(Z$37-(Z31-Z32-Z34)*$C$35)/(SUM('MDA1:NCA9'!Z$37)-SUM('MDA1:NCA9'!Z$31)-SUM('MDA1:NCA9'!Z$32)-SUM('MDA1:NCA9'!Z$34))</f>
        <v>79190.804464055662</v>
      </c>
      <c r="AA49" s="12">
        <f>'Corp.'!AA$50*(AA$37-(AA31-AA32-AA34)*$C$35)/(SUM('MDA1:NCA9'!AA$37)-SUM('MDA1:NCA9'!AA$31)-SUM('MDA1:NCA9'!AA$32)-SUM('MDA1:NCA9'!AA$34))</f>
        <v>78858.841723151607</v>
      </c>
      <c r="AB49" s="12">
        <f>'Corp.'!AB$50*(AB$37-(AB31-AB32-AB34)*$C$35)/(SUM('MDA1:NCA9'!AB$37)-SUM('MDA1:NCA9'!AB$31)-SUM('MDA1:NCA9'!AB$32)-SUM('MDA1:NCA9'!AB$34))</f>
        <v>78032.585204841991</v>
      </c>
      <c r="AC49" s="12">
        <f>'Corp.'!AC$50*(AC$37-(AC31-AC32-AC34)*$C$35)/(SUM('MDA1:NCA9'!AC$37)-SUM('MDA1:NCA9'!AC$31)-SUM('MDA1:NCA9'!AC$32)-SUM('MDA1:NCA9'!AC$34))</f>
        <v>85299.15353066937</v>
      </c>
      <c r="AD49" s="12">
        <f>'Corp.'!AD$50*(AD$37-(AD31-AD32-AD34)*$C$35)/(SUM('MDA1:NCA9'!AD$37)-SUM('MDA1:NCA9'!AD$31)-SUM('MDA1:NCA9'!AD$32)-SUM('MDA1:NCA9'!AD$34))</f>
        <v>85423.267886568254</v>
      </c>
      <c r="AE49" s="12">
        <f>'Corp.'!AE$50*(AE$37-(AE31-AE32-AE34)*$C$35)/(SUM('MDA1:NCA9'!AE$37)-SUM('MDA1:NCA9'!AE$31)-SUM('MDA1:NCA9'!AE$32)-SUM('MDA1:NCA9'!AE$34))</f>
        <v>85579.34198018958</v>
      </c>
      <c r="AF49" s="12">
        <f>'Corp.'!AF$50*(AF$37-(AF31-AF32-AF34)*$C$35)/(SUM('MDA1:NCA9'!AF$37)-SUM('MDA1:NCA9'!AF$31)-SUM('MDA1:NCA9'!AF$32)-SUM('MDA1:NCA9'!AF$34))</f>
        <v>85282.144941540086</v>
      </c>
      <c r="AG49" s="12">
        <f>'Corp.'!AG$50*(AG$37-(AG31-AG32-AG34)*$C$35)/(SUM('MDA1:NCA9'!AG$37)-SUM('MDA1:NCA9'!AG$31)-SUM('MDA1:NCA9'!AG$32)-SUM('MDA1:NCA9'!AG$34))</f>
        <v>85701.937550825663</v>
      </c>
      <c r="AH49" s="12">
        <f>'Corp.'!AH$50*(AH$37-(AH31-AH32-AH34)*$C$35)/(SUM('MDA1:NCA9'!AH$37)-SUM('MDA1:NCA9'!AH$31)-SUM('MDA1:NCA9'!AH$32)-SUM('MDA1:NCA9'!AH$34))</f>
        <v>85745.92324062367</v>
      </c>
      <c r="AI49" s="12">
        <f>'Corp.'!AI$50*(AI$37-(AI31-AI32-AI34)*$C$35)/(SUM('MDA1:NCA9'!AI$37)-SUM('MDA1:NCA9'!AI$31)-SUM('MDA1:NCA9'!AI$32)-SUM('MDA1:NCA9'!AI$34))</f>
        <v>85681.743740923412</v>
      </c>
      <c r="AJ49" s="12">
        <f>'Corp.'!AJ$50*(AJ$37-(AJ31-AJ32-AJ34)*$C$35)/(SUM('MDA1:NCA9'!AJ$37)-SUM('MDA1:NCA9'!AJ$31)-SUM('MDA1:NCA9'!AJ$32)-SUM('MDA1:NCA9'!AJ$34))</f>
        <v>85068.259481697853</v>
      </c>
      <c r="AK49" s="12">
        <f>'Corp.'!AK$50*(AK$37-(AK31-AK32-AK34)*$C$35)/(SUM('MDA1:NCA9'!AK$37)-SUM('MDA1:NCA9'!AK$31)-SUM('MDA1:NCA9'!AK$32)-SUM('MDA1:NCA9'!AK$34))</f>
        <v>84995.942887583995</v>
      </c>
      <c r="AL49" s="12">
        <f>'Corp.'!AL$50*(AL$37-(AL31-AL32-AL34)*$C$35)/(SUM('MDA1:NCA9'!AL$37)-SUM('MDA1:NCA9'!AL$31)-SUM('MDA1:NCA9'!AL$32)-SUM('MDA1:NCA9'!AL$34))</f>
        <v>84998.889146539499</v>
      </c>
      <c r="AM49" s="12">
        <f>'Corp.'!AM$50*(AM$37-(AM31-AM32-AM34)*$C$35)/(SUM('MDA1:NCA9'!AM$37)-SUM('MDA1:NCA9'!AM$31)-SUM('MDA1:NCA9'!AM$32)-SUM('MDA1:NCA9'!AM$34))</f>
        <v>84852.514846442209</v>
      </c>
      <c r="AN49" s="12">
        <f>'Corp.'!AN$50*(AN$37-(AN31-AN32-AN34)*$C$35)/(SUM('MDA1:NCA9'!AN$37)-SUM('MDA1:NCA9'!AN$31)-SUM('MDA1:NCA9'!AN$32)-SUM('MDA1:NCA9'!AN$34))</f>
        <v>84449.875140639808</v>
      </c>
    </row>
    <row r="50" spans="2:40" x14ac:dyDescent="0.25">
      <c r="B50" s="1" t="s">
        <v>272</v>
      </c>
      <c r="E50" s="13" cm="1">
        <f t="array" ref="E50:AN50">_xlfn.BYCOL(_xlfn.VSTACK(_xlfn.ANCHORARRAY(E40),_xlfn.ANCHORARRAY(E42),_xlfn.ANCHORARRAY(E43),_xlfn.ANCHORARRAY(E45),_xlfn.ANCHORARRAY(E46),_xlfn.ANCHORARRAY(E47),_xlfn.ANCHORARRAY(E48),_xlfn.HSTACK(E49:AN49)),_xlfn.LAMBDA(_xlpm.a,SUM(_xlpm.a)))</f>
        <v>346587.04977130482</v>
      </c>
      <c r="F50" s="13">
        <v>347509.25953916833</v>
      </c>
      <c r="G50" s="13">
        <v>341618.12694209296</v>
      </c>
      <c r="H50" s="13">
        <v>339774.37463426054</v>
      </c>
      <c r="I50" s="13">
        <v>341462.43588394776</v>
      </c>
      <c r="J50" s="13">
        <v>342654.92117159732</v>
      </c>
      <c r="K50" s="13">
        <v>339162.80772812548</v>
      </c>
      <c r="L50" s="13">
        <v>341716.54706204718</v>
      </c>
      <c r="M50" s="13">
        <v>343376.61535530305</v>
      </c>
      <c r="N50" s="13">
        <v>345594.41546801454</v>
      </c>
      <c r="O50" s="13">
        <v>344888.09700405877</v>
      </c>
      <c r="P50" s="13">
        <v>347401.22754717316</v>
      </c>
      <c r="Q50" s="13">
        <v>381646.57760088128</v>
      </c>
      <c r="R50" s="13">
        <v>386222.15145547682</v>
      </c>
      <c r="S50" s="13">
        <v>387700.44480246567</v>
      </c>
      <c r="T50" s="13">
        <v>392140.13756272465</v>
      </c>
      <c r="U50" s="13">
        <v>397799.45591687359</v>
      </c>
      <c r="V50" s="13">
        <v>403588.51143045933</v>
      </c>
      <c r="W50" s="13">
        <v>406185.14883229107</v>
      </c>
      <c r="X50" s="13">
        <v>411132.17114427942</v>
      </c>
      <c r="Y50" s="13">
        <v>416945.08250210586</v>
      </c>
      <c r="Z50" s="13">
        <v>422741.47436096636</v>
      </c>
      <c r="AA50" s="13">
        <v>428297.22330541728</v>
      </c>
      <c r="AB50" s="13">
        <v>431468.62457734434</v>
      </c>
      <c r="AC50" s="13">
        <v>476864.68536097906</v>
      </c>
      <c r="AD50" s="13">
        <v>483746.32490410178</v>
      </c>
      <c r="AE50" s="13">
        <v>490340.92420158582</v>
      </c>
      <c r="AF50" s="13">
        <v>494398.71873219666</v>
      </c>
      <c r="AG50" s="13">
        <v>501301.28786203935</v>
      </c>
      <c r="AH50" s="13">
        <v>507933.84340572788</v>
      </c>
      <c r="AI50" s="13">
        <v>514213.37309325137</v>
      </c>
      <c r="AJ50" s="13">
        <v>517980.16275325842</v>
      </c>
      <c r="AK50" s="13">
        <v>524390.62267970166</v>
      </c>
      <c r="AL50" s="13">
        <v>530982.13879254763</v>
      </c>
      <c r="AM50" s="13">
        <v>537417.96267967415</v>
      </c>
      <c r="AN50" s="13">
        <v>541201.35920979886</v>
      </c>
    </row>
    <row r="52" spans="2:40" x14ac:dyDescent="0.25">
      <c r="B52" s="1" t="s">
        <v>48</v>
      </c>
      <c r="E52" s="74">
        <f>E37-E50</f>
        <v>67548.405441207171</v>
      </c>
      <c r="F52" s="74">
        <f t="shared" ref="F52:AN52" si="0">F37-F50</f>
        <v>79175.75492220762</v>
      </c>
      <c r="G52" s="74">
        <f t="shared" si="0"/>
        <v>93433.260351859091</v>
      </c>
      <c r="H52" s="74">
        <f t="shared" si="0"/>
        <v>107826.5719085554</v>
      </c>
      <c r="I52" s="74">
        <f t="shared" si="0"/>
        <v>118688.06990773225</v>
      </c>
      <c r="J52" s="74">
        <f t="shared" si="0"/>
        <v>130045.14386894664</v>
      </c>
      <c r="K52" s="74">
        <f t="shared" si="0"/>
        <v>141903.63014499447</v>
      </c>
      <c r="L52" s="74">
        <f t="shared" si="0"/>
        <v>151899.45005993691</v>
      </c>
      <c r="M52" s="74">
        <f t="shared" si="0"/>
        <v>162788.94101554505</v>
      </c>
      <c r="N52" s="74">
        <f t="shared" si="0"/>
        <v>173120.70015169738</v>
      </c>
      <c r="O52" s="74">
        <f t="shared" si="0"/>
        <v>182193.3914482292</v>
      </c>
      <c r="P52" s="74">
        <f t="shared" si="0"/>
        <v>192229.82015397877</v>
      </c>
      <c r="Q52" s="74">
        <f t="shared" si="0"/>
        <v>187099.4475576352</v>
      </c>
      <c r="R52" s="74">
        <f t="shared" si="0"/>
        <v>195449.91972936952</v>
      </c>
      <c r="S52" s="74">
        <f t="shared" si="0"/>
        <v>202588.99039993406</v>
      </c>
      <c r="T52" s="74">
        <f t="shared" si="0"/>
        <v>211075.34366600506</v>
      </c>
      <c r="U52" s="74">
        <f t="shared" si="0"/>
        <v>218342.07133818587</v>
      </c>
      <c r="V52" s="74">
        <f t="shared" si="0"/>
        <v>225479.0618509301</v>
      </c>
      <c r="W52" s="74">
        <f t="shared" si="0"/>
        <v>231499.78846665163</v>
      </c>
      <c r="X52" s="74">
        <f t="shared" si="0"/>
        <v>239478.81218099315</v>
      </c>
      <c r="Y52" s="74">
        <f t="shared" si="0"/>
        <v>246591.94684949669</v>
      </c>
      <c r="Z52" s="74">
        <f t="shared" si="0"/>
        <v>253721.60101696616</v>
      </c>
      <c r="AA52" s="74">
        <f t="shared" si="0"/>
        <v>261091.89809884498</v>
      </c>
      <c r="AB52" s="74">
        <f t="shared" si="0"/>
        <v>266537.86084447132</v>
      </c>
      <c r="AC52" s="74">
        <f t="shared" si="0"/>
        <v>234067.84608716669</v>
      </c>
      <c r="AD52" s="74">
        <f t="shared" si="0"/>
        <v>240112.25257037382</v>
      </c>
      <c r="AE52" s="74">
        <f t="shared" si="0"/>
        <v>246443.69929921965</v>
      </c>
      <c r="AF52" s="74">
        <f t="shared" si="0"/>
        <v>251003.26878616208</v>
      </c>
      <c r="AG52" s="74">
        <f t="shared" si="0"/>
        <v>257026.74568264937</v>
      </c>
      <c r="AH52" s="74">
        <f t="shared" si="0"/>
        <v>263320.2361652907</v>
      </c>
      <c r="AI52" s="74">
        <f t="shared" si="0"/>
        <v>269966.7525040973</v>
      </c>
      <c r="AJ52" s="74">
        <f t="shared" si="0"/>
        <v>274817.32686164329</v>
      </c>
      <c r="AK52" s="74">
        <f t="shared" si="0"/>
        <v>281332.91296153003</v>
      </c>
      <c r="AL52" s="74">
        <f t="shared" si="0"/>
        <v>287667.44287501392</v>
      </c>
      <c r="AM52" s="74">
        <f t="shared" si="0"/>
        <v>294157.66501421737</v>
      </c>
      <c r="AN52" s="74">
        <f t="shared" si="0"/>
        <v>298991.63250164595</v>
      </c>
    </row>
    <row r="53" spans="2:40" x14ac:dyDescent="0.25">
      <c r="E53" s="105">
        <f>IFERROR(E52/E37,"")</f>
        <v>0.1631070331965298</v>
      </c>
      <c r="F53" s="105">
        <f t="shared" ref="F53:AN53" si="1">IFERROR(F52/F37,"")</f>
        <v>0.18556019601990195</v>
      </c>
      <c r="G53" s="105">
        <f t="shared" si="1"/>
        <v>0.21476373384997127</v>
      </c>
      <c r="H53" s="105">
        <f t="shared" si="1"/>
        <v>0.2408988916162649</v>
      </c>
      <c r="I53" s="105">
        <f t="shared" si="1"/>
        <v>0.25793315103181669</v>
      </c>
      <c r="J53" s="105">
        <f t="shared" si="1"/>
        <v>0.27511133060198023</v>
      </c>
      <c r="K53" s="105">
        <f t="shared" si="1"/>
        <v>0.29497719851830778</v>
      </c>
      <c r="L53" s="105">
        <f t="shared" si="1"/>
        <v>0.30772797264590879</v>
      </c>
      <c r="M53" s="105">
        <f t="shared" si="1"/>
        <v>0.32161204761288781</v>
      </c>
      <c r="N53" s="105">
        <f t="shared" si="1"/>
        <v>0.33374909451957863</v>
      </c>
      <c r="O53" s="105">
        <f t="shared" si="1"/>
        <v>0.34566456124880879</v>
      </c>
      <c r="P53" s="105">
        <f t="shared" si="1"/>
        <v>0.35622453706636203</v>
      </c>
      <c r="Q53" s="105">
        <f t="shared" si="1"/>
        <v>0.32896836071159935</v>
      </c>
      <c r="R53" s="105">
        <f t="shared" si="1"/>
        <v>0.33601393192429652</v>
      </c>
      <c r="S53" s="105">
        <f t="shared" si="1"/>
        <v>0.34320280580740853</v>
      </c>
      <c r="T53" s="105">
        <f t="shared" si="1"/>
        <v>0.34991698693815299</v>
      </c>
      <c r="U53" s="105">
        <f t="shared" si="1"/>
        <v>0.35436999728116109</v>
      </c>
      <c r="V53" s="105">
        <f t="shared" si="1"/>
        <v>0.35843376996014803</v>
      </c>
      <c r="W53" s="105">
        <f t="shared" si="1"/>
        <v>0.36303160844165583</v>
      </c>
      <c r="X53" s="105">
        <f t="shared" si="1"/>
        <v>0.36808295328341523</v>
      </c>
      <c r="Y53" s="105">
        <f t="shared" si="1"/>
        <v>0.3716325328376357</v>
      </c>
      <c r="Z53" s="105">
        <f t="shared" si="1"/>
        <v>0.3750708800701571</v>
      </c>
      <c r="AA53" s="105">
        <f t="shared" si="1"/>
        <v>0.37872935616826914</v>
      </c>
      <c r="AB53" s="105">
        <f t="shared" si="1"/>
        <v>0.38185585150172141</v>
      </c>
      <c r="AC53" s="105">
        <f t="shared" si="1"/>
        <v>0.32924058997606753</v>
      </c>
      <c r="AD53" s="105">
        <f t="shared" si="1"/>
        <v>0.33171155256337426</v>
      </c>
      <c r="AE53" s="105">
        <f t="shared" si="1"/>
        <v>0.33448539972000413</v>
      </c>
      <c r="AF53" s="105">
        <f t="shared" si="1"/>
        <v>0.33673544341063355</v>
      </c>
      <c r="AG53" s="105">
        <f t="shared" si="1"/>
        <v>0.33893873668525354</v>
      </c>
      <c r="AH53" s="105">
        <f t="shared" si="1"/>
        <v>0.34141827335519936</v>
      </c>
      <c r="AI53" s="105">
        <f t="shared" si="1"/>
        <v>0.34426625170900665</v>
      </c>
      <c r="AJ53" s="105">
        <f t="shared" si="1"/>
        <v>0.34664252909672399</v>
      </c>
      <c r="AK53" s="105">
        <f t="shared" si="1"/>
        <v>0.34916804650323691</v>
      </c>
      <c r="AL53" s="105">
        <f t="shared" si="1"/>
        <v>0.35139264627613326</v>
      </c>
      <c r="AM53" s="105">
        <f t="shared" si="1"/>
        <v>0.35373531308267098</v>
      </c>
      <c r="AN53" s="105">
        <f t="shared" si="1"/>
        <v>0.35586065993315424</v>
      </c>
    </row>
    <row r="55" spans="2:40" x14ac:dyDescent="0.25">
      <c r="B55" t="s">
        <v>57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0</v>
      </c>
      <c r="D55" s="12">
        <f>C55-SUM(_xlfn.ANCHORARRAY(E55))</f>
        <v>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</row>
    <row r="56" spans="2:40" x14ac:dyDescent="0.25">
      <c r="B56" t="s">
        <v>285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-62120.318281876796</v>
      </c>
      <c r="F56" s="90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-62120.318281876796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-62120.318281876796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-62120.318281876796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-62120.318281876796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-62120.318281876796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-64002.752169206389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-65257.708094092806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-67140.141981422392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-69022.575868751999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-70905.009756081592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-72159.965680967987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-74042.399568297609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-75924.833455627217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-77807.26734295678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-79062.22326784319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-80944.657155172783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-85311.903773777463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-87250.810677726942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-88543.415280359957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-90482.322184309451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-92421.229088258915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-94360.135992208408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-95652.740594841409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-97591.647498790888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-99530.554402740381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-101469.46130668987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-103408.36821063934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-104700.97281327234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-106639.87971722186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-108578.78662117134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-110517.69352512082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-111810.29812775381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-113749.2050317033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-115688.11193565278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-117627.0188396023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276</v>
      </c>
      <c r="E58" s="13">
        <f>E37-E50-E55+E56</f>
        <v>5428.0871593303746</v>
      </c>
      <c r="F58" s="13">
        <f t="shared" ref="F58:AN58" si="2">F37-F50-F55+F56</f>
        <v>17055.436640330823</v>
      </c>
      <c r="G58" s="13">
        <f t="shared" si="2"/>
        <v>31312.942069982295</v>
      </c>
      <c r="H58" s="13">
        <f t="shared" si="2"/>
        <v>45706.253626678605</v>
      </c>
      <c r="I58" s="13">
        <f t="shared" si="2"/>
        <v>56567.751625855453</v>
      </c>
      <c r="J58" s="13">
        <f t="shared" si="2"/>
        <v>67924.825587069849</v>
      </c>
      <c r="K58" s="13">
        <f t="shared" si="2"/>
        <v>77900.877975788084</v>
      </c>
      <c r="L58" s="13">
        <f t="shared" si="2"/>
        <v>86641.741965844092</v>
      </c>
      <c r="M58" s="13">
        <f t="shared" si="2"/>
        <v>95648.799034122654</v>
      </c>
      <c r="N58" s="13">
        <f t="shared" si="2"/>
        <v>104098.12428294538</v>
      </c>
      <c r="O58" s="13">
        <f t="shared" si="2"/>
        <v>111288.38169214761</v>
      </c>
      <c r="P58" s="13">
        <f t="shared" si="2"/>
        <v>120069.85447301078</v>
      </c>
      <c r="Q58" s="13">
        <f t="shared" si="2"/>
        <v>113057.04798933759</v>
      </c>
      <c r="R58" s="13">
        <f t="shared" si="2"/>
        <v>119525.0862737423</v>
      </c>
      <c r="S58" s="13">
        <f t="shared" si="2"/>
        <v>124781.72305697728</v>
      </c>
      <c r="T58" s="13">
        <f t="shared" si="2"/>
        <v>132013.12039816187</v>
      </c>
      <c r="U58" s="13">
        <f t="shared" si="2"/>
        <v>137397.41418301308</v>
      </c>
      <c r="V58" s="13">
        <f t="shared" si="2"/>
        <v>140167.15807715262</v>
      </c>
      <c r="W58" s="13">
        <f t="shared" si="2"/>
        <v>144248.97778892471</v>
      </c>
      <c r="X58" s="13">
        <f t="shared" si="2"/>
        <v>150935.39690063318</v>
      </c>
      <c r="Y58" s="13">
        <f t="shared" si="2"/>
        <v>156109.62466518724</v>
      </c>
      <c r="Z58" s="13">
        <f t="shared" si="2"/>
        <v>161300.37192870723</v>
      </c>
      <c r="AA58" s="13">
        <f t="shared" si="2"/>
        <v>166731.76210663657</v>
      </c>
      <c r="AB58" s="13">
        <f t="shared" si="2"/>
        <v>170885.12024962989</v>
      </c>
      <c r="AC58" s="13">
        <f t="shared" si="2"/>
        <v>136476.19858837582</v>
      </c>
      <c r="AD58" s="13">
        <f t="shared" si="2"/>
        <v>140581.69816763344</v>
      </c>
      <c r="AE58" s="13">
        <f t="shared" si="2"/>
        <v>144974.23799252976</v>
      </c>
      <c r="AF58" s="13">
        <f t="shared" si="2"/>
        <v>147594.90057552274</v>
      </c>
      <c r="AG58" s="13">
        <f t="shared" si="2"/>
        <v>152325.77286937705</v>
      </c>
      <c r="AH58" s="13">
        <f t="shared" si="2"/>
        <v>156680.35644806884</v>
      </c>
      <c r="AI58" s="13">
        <f t="shared" si="2"/>
        <v>161387.96588292596</v>
      </c>
      <c r="AJ58" s="13">
        <f t="shared" si="2"/>
        <v>164299.63333652247</v>
      </c>
      <c r="AK58" s="13">
        <f t="shared" si="2"/>
        <v>169522.61483377623</v>
      </c>
      <c r="AL58" s="13">
        <f t="shared" si="2"/>
        <v>173918.23784331064</v>
      </c>
      <c r="AM58" s="13">
        <f t="shared" si="2"/>
        <v>178469.55307856458</v>
      </c>
      <c r="AN58" s="13">
        <f t="shared" si="2"/>
        <v>181364.61366204364</v>
      </c>
    </row>
    <row r="59" spans="2:40" x14ac:dyDescent="0.25">
      <c r="B59" t="s">
        <v>277</v>
      </c>
      <c r="E59" s="12" cm="1">
        <f t="array" ref="E59:AN59">_xlfn.SCAN(-D55,E58:AN58,_xlfn.LAMBDA(_xlpm.capex,_xlpm.fcf,_xlpm.capex+_xlpm.fcf))</f>
        <v>5428.0871593303746</v>
      </c>
      <c r="F59" s="12">
        <v>22483.523799661198</v>
      </c>
      <c r="G59" s="12">
        <v>53796.465869643493</v>
      </c>
      <c r="H59" s="12">
        <v>99502.719496322097</v>
      </c>
      <c r="I59" s="12">
        <v>156070.47112217755</v>
      </c>
      <c r="J59" s="12">
        <v>223995.2967092474</v>
      </c>
      <c r="K59" s="12">
        <v>301896.17468503548</v>
      </c>
      <c r="L59" s="12">
        <v>388537.91665087955</v>
      </c>
      <c r="M59" s="12">
        <v>484186.71568500221</v>
      </c>
      <c r="N59" s="12">
        <v>588284.83996794757</v>
      </c>
      <c r="O59" s="12">
        <v>699573.22166009515</v>
      </c>
      <c r="P59" s="12">
        <v>819643.0761331059</v>
      </c>
      <c r="Q59" s="12">
        <v>932700.12412244349</v>
      </c>
      <c r="R59" s="12">
        <v>1052225.2103961858</v>
      </c>
      <c r="S59" s="12">
        <v>1177006.9334531631</v>
      </c>
      <c r="T59" s="12">
        <v>1309020.0538513251</v>
      </c>
      <c r="U59" s="12">
        <v>1446417.4680343382</v>
      </c>
      <c r="V59" s="12">
        <v>1586584.6261114909</v>
      </c>
      <c r="W59" s="12">
        <v>1730833.6039004156</v>
      </c>
      <c r="X59" s="12">
        <v>1881769.0008010487</v>
      </c>
      <c r="Y59" s="12">
        <v>2037878.6254662359</v>
      </c>
      <c r="Z59" s="12">
        <v>2199178.9973949431</v>
      </c>
      <c r="AA59" s="12">
        <v>2365910.7595015797</v>
      </c>
      <c r="AB59" s="12">
        <v>2536795.8797512096</v>
      </c>
      <c r="AC59" s="12">
        <v>2673272.0783395856</v>
      </c>
      <c r="AD59" s="12">
        <v>2813853.7765072188</v>
      </c>
      <c r="AE59" s="12">
        <v>2958828.0144997486</v>
      </c>
      <c r="AF59" s="12">
        <v>3106422.9150752714</v>
      </c>
      <c r="AG59" s="12">
        <v>3258748.6879446483</v>
      </c>
      <c r="AH59" s="12">
        <v>3415429.0443927171</v>
      </c>
      <c r="AI59" s="12">
        <v>3576817.0102756429</v>
      </c>
      <c r="AJ59" s="12">
        <v>3741116.6436121655</v>
      </c>
      <c r="AK59" s="12">
        <v>3910639.2584459418</v>
      </c>
      <c r="AL59" s="12">
        <v>4084557.4962892523</v>
      </c>
      <c r="AM59" s="12">
        <v>4263027.0493678171</v>
      </c>
      <c r="AN59" s="12">
        <v>4444391.6630298607</v>
      </c>
    </row>
    <row r="61" spans="2:40" x14ac:dyDescent="0.25">
      <c r="B61" s="1" t="s">
        <v>302</v>
      </c>
    </row>
    <row r="63" spans="2:40" x14ac:dyDescent="0.25">
      <c r="B63" s="39" t="s">
        <v>103</v>
      </c>
      <c r="E63" s="12" cm="1">
        <f t="array" ref="E63:AN63">_xlfn.LET(_xlpm.site,$B$1&amp;"-"&amp;$C$1,_xlpm.locations,Base!$D$4:$BD$4,_xlpm.rates,Base!$D$36:$BD$36,_xlpm.hours,Base!$D$79:$BD$79,_xlpm.comp,_xlpm.rates*_xlpm.hours,_xlpm.Customer,_xlfn.ANCHORARRAY($E$1),
_xlpm.Customer_comp,_xlfn.XLOOKUP(_xlpm.site,_xlpm.locations,_xlpm.comp,0,0),_xlpm.ann_incr,_xlfn.XLOOKUP(YEAR(_xlfn.ANCHORARRAY($E$25)),Base!$BJ$4:$BL$4,Base!$BJ$79:$BL$79,0,0),
_xlpm.bad_debt,_xlfn.XLOOKUP(_xlpm.site,_xlpm.locations,Base!$D$28:$BD$28,0,0),_xlpm.Customer_comp*_xlpm.Customer*_xlpm.bad_debt*_xlpm.ann_incr*(52/12)*(1-$C$35))</f>
        <v>0</v>
      </c>
      <c r="F63" s="12">
        <v>0</v>
      </c>
      <c r="G63" s="12">
        <v>0</v>
      </c>
      <c r="H63" s="12">
        <v>0</v>
      </c>
      <c r="I63" s="12">
        <v>0</v>
      </c>
      <c r="J63" s="12">
        <v>0</v>
      </c>
      <c r="K63" s="12">
        <v>0</v>
      </c>
      <c r="L63" s="12">
        <v>0</v>
      </c>
      <c r="M63" s="12">
        <v>0</v>
      </c>
      <c r="N63" s="12">
        <v>0</v>
      </c>
      <c r="O63" s="12">
        <v>0</v>
      </c>
      <c r="P63" s="12">
        <v>0</v>
      </c>
      <c r="Q63" s="12">
        <v>0</v>
      </c>
      <c r="R63" s="12">
        <v>0</v>
      </c>
      <c r="S63" s="12">
        <v>0</v>
      </c>
      <c r="T63" s="12">
        <v>0</v>
      </c>
      <c r="U63" s="12">
        <v>0</v>
      </c>
      <c r="V63" s="12">
        <v>0</v>
      </c>
      <c r="W63" s="12">
        <v>0</v>
      </c>
      <c r="X63" s="12">
        <v>0</v>
      </c>
      <c r="Y63" s="12">
        <v>0</v>
      </c>
      <c r="Z63" s="12">
        <v>0</v>
      </c>
      <c r="AA63" s="12">
        <v>0</v>
      </c>
      <c r="AB63" s="12">
        <v>0</v>
      </c>
      <c r="AC63" s="12">
        <v>0</v>
      </c>
      <c r="AD63" s="12">
        <v>0</v>
      </c>
      <c r="AE63" s="12">
        <v>0</v>
      </c>
      <c r="AF63" s="12">
        <v>0</v>
      </c>
      <c r="AG63" s="12">
        <v>0</v>
      </c>
      <c r="AH63" s="12">
        <v>0</v>
      </c>
      <c r="AI63" s="12">
        <v>0</v>
      </c>
      <c r="AJ63" s="12">
        <v>0</v>
      </c>
      <c r="AK63" s="12">
        <v>0</v>
      </c>
      <c r="AL63" s="12">
        <v>0</v>
      </c>
      <c r="AM63" s="12">
        <v>0</v>
      </c>
      <c r="AN63" s="12">
        <v>0</v>
      </c>
    </row>
    <row r="64" spans="2:40" x14ac:dyDescent="0.25">
      <c r="B64" s="39" t="s">
        <v>104</v>
      </c>
      <c r="E64" s="12" cm="1">
        <f t="array" ref="E64:AN64">_xlfn.LET(_xlpm.site,$B$1&amp;"-"&amp;$C$1,_xlpm.locations,Base!$D$4:$BD$4,_xlpm.rates,Base!$D$37:$BD$37,_xlpm.hours,Base!$D$80:$BD$80,_xlpm.comp,_xlpm.rates*_xlpm.hours,_xlpm.Customer,_xlfn.ANCHORARRAY($E$1),
_xlpm.Customer_comp,_xlfn.XLOOKUP(_xlpm.site,_xlpm.locations,_xlpm.comp,0,0),_xlpm.ann_incr,_xlfn.XLOOKUP(YEAR(_xlfn.ANCHORARRAY($E$25)),Base!$BJ$4:$BL$4,Base!$BJ$80:$BL$80,0,0),
_xlpm.bad_debt,_xlfn.XLOOKUP(_xlpm.site,_xlpm.locations,Base!$D$28:$BD$28,0,0),_xlpm.Customer_comp*_xlpm.Customer*_xlpm.bad_debt*_xlpm.ann_incr*(52/12)*(1-$C$35))</f>
        <v>0</v>
      </c>
      <c r="F64" s="12">
        <v>0</v>
      </c>
      <c r="G64" s="12">
        <v>0</v>
      </c>
      <c r="H64" s="12">
        <v>0</v>
      </c>
      <c r="I64" s="12">
        <v>0</v>
      </c>
      <c r="J64" s="12">
        <v>0</v>
      </c>
      <c r="K64" s="12">
        <v>0</v>
      </c>
      <c r="L64" s="12">
        <v>0</v>
      </c>
      <c r="M64" s="12">
        <v>0</v>
      </c>
      <c r="N64" s="12">
        <v>0</v>
      </c>
      <c r="O64" s="12">
        <v>0</v>
      </c>
      <c r="P64" s="12">
        <v>0</v>
      </c>
      <c r="Q64" s="12">
        <v>0</v>
      </c>
      <c r="R64" s="12">
        <v>0</v>
      </c>
      <c r="S64" s="12">
        <v>0</v>
      </c>
      <c r="T64" s="12">
        <v>0</v>
      </c>
      <c r="U64" s="12">
        <v>0</v>
      </c>
      <c r="V64" s="12">
        <v>0</v>
      </c>
      <c r="W64" s="12">
        <v>0</v>
      </c>
      <c r="X64" s="12">
        <v>0</v>
      </c>
      <c r="Y64" s="12">
        <v>0</v>
      </c>
      <c r="Z64" s="12">
        <v>0</v>
      </c>
      <c r="AA64" s="12">
        <v>0</v>
      </c>
      <c r="AB64" s="12">
        <v>0</v>
      </c>
      <c r="AC64" s="12">
        <v>0</v>
      </c>
      <c r="AD64" s="12">
        <v>0</v>
      </c>
      <c r="AE64" s="12">
        <v>0</v>
      </c>
      <c r="AF64" s="12">
        <v>0</v>
      </c>
      <c r="AG64" s="12">
        <v>0</v>
      </c>
      <c r="AH64" s="12">
        <v>0</v>
      </c>
      <c r="AI64" s="12">
        <v>0</v>
      </c>
      <c r="AJ64" s="12">
        <v>0</v>
      </c>
      <c r="AK64" s="12">
        <v>0</v>
      </c>
      <c r="AL64" s="12">
        <v>0</v>
      </c>
      <c r="AM64" s="12">
        <v>0</v>
      </c>
      <c r="AN64" s="12">
        <v>0</v>
      </c>
    </row>
    <row r="65" spans="2:40" x14ac:dyDescent="0.25">
      <c r="B65" s="39" t="s">
        <v>56</v>
      </c>
      <c r="E65" s="12" cm="1">
        <f t="array" ref="E65:AN65">_xlfn.LET(_xlpm.site,$B$1&amp;"-"&amp;$C$1,_xlpm.locations,Base!$D$4:$BD$4,_xlpm.rates,Base!$D$39:$BD$39,_xlpm.hours,Base!$D$82:$BD$82,_xlpm.comp,_xlpm.rates*_xlpm.hours,_xlpm.Customer,_xlfn.ANCHORARRAY($E$1),
_xlpm.Customer_comp,_xlfn.XLOOKUP(_xlpm.site,_xlpm.locations,_xlpm.comp,0,0),_xlpm.ann_incr,_xlfn.XLOOKUP(YEAR(_xlfn.ANCHORARRAY($E$25)),Base!$BJ$4:$BL$4,Base!$BJ$82:$BL$82,0,0),
_xlpm.bad_debt,_xlfn.XLOOKUP(_xlpm.site,_xlpm.locations,Base!$D$28:$BD$28,0,0),_xlpm.Customer_comp*_xlpm.Customer*_xlpm.bad_debt*_xlpm.ann_incr*(52/12)*(1-$C$35))</f>
        <v>0</v>
      </c>
      <c r="F65" s="12">
        <v>0</v>
      </c>
      <c r="G65" s="12">
        <v>0</v>
      </c>
      <c r="H65" s="12">
        <v>0</v>
      </c>
      <c r="I65" s="12">
        <v>0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  <c r="O65" s="12">
        <v>0</v>
      </c>
      <c r="P65" s="12">
        <v>0</v>
      </c>
      <c r="Q65" s="12">
        <v>0</v>
      </c>
      <c r="R65" s="12">
        <v>0</v>
      </c>
      <c r="S65" s="12">
        <v>0</v>
      </c>
      <c r="T65" s="12">
        <v>0</v>
      </c>
      <c r="U65" s="12">
        <v>0</v>
      </c>
      <c r="V65" s="12">
        <v>0</v>
      </c>
      <c r="W65" s="12">
        <v>0</v>
      </c>
      <c r="X65" s="12">
        <v>0</v>
      </c>
      <c r="Y65" s="12">
        <v>0</v>
      </c>
      <c r="Z65" s="12">
        <v>0</v>
      </c>
      <c r="AA65" s="12">
        <v>0</v>
      </c>
      <c r="AB65" s="12">
        <v>0</v>
      </c>
      <c r="AC65" s="12">
        <v>0</v>
      </c>
      <c r="AD65" s="12">
        <v>0</v>
      </c>
      <c r="AE65" s="12">
        <v>0</v>
      </c>
      <c r="AF65" s="12">
        <v>0</v>
      </c>
      <c r="AG65" s="12">
        <v>0</v>
      </c>
      <c r="AH65" s="12">
        <v>0</v>
      </c>
      <c r="AI65" s="12">
        <v>0</v>
      </c>
      <c r="AJ65" s="12">
        <v>0</v>
      </c>
      <c r="AK65" s="12">
        <v>0</v>
      </c>
      <c r="AL65" s="12">
        <v>0</v>
      </c>
      <c r="AM65" s="12">
        <v>0</v>
      </c>
      <c r="AN65" s="12">
        <v>0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303</v>
      </c>
      <c r="C67" s="12"/>
      <c r="E67" s="13" cm="1">
        <f t="array" ref="E67:AN67">_xlfn.BYCOL(_xlfn.VSTACK(_xlfn.ANCHORARRAY($E$63),_xlfn.ANCHORARRAY($E$64),_xlfn.ANCHORARRAY($E$65)),_xlfn.LAMBDA(_xlpm.a,SUM(_xlpm.a)))</f>
        <v>0</v>
      </c>
      <c r="F67" s="13">
        <v>0</v>
      </c>
      <c r="G67" s="13">
        <v>0</v>
      </c>
      <c r="H67" s="13">
        <v>0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  <c r="W67" s="13">
        <v>0</v>
      </c>
      <c r="X67" s="13">
        <v>0</v>
      </c>
      <c r="Y67" s="13">
        <v>0</v>
      </c>
      <c r="Z67" s="13">
        <v>0</v>
      </c>
      <c r="AA67" s="13">
        <v>0</v>
      </c>
      <c r="AB67" s="13">
        <v>0</v>
      </c>
      <c r="AC67" s="13">
        <v>0</v>
      </c>
      <c r="AD67" s="13">
        <v>0</v>
      </c>
      <c r="AE67" s="13">
        <v>0</v>
      </c>
      <c r="AF67" s="13">
        <v>0</v>
      </c>
      <c r="AG67" s="13">
        <v>0</v>
      </c>
      <c r="AH67" s="13">
        <v>0</v>
      </c>
      <c r="AI67" s="13">
        <v>0</v>
      </c>
      <c r="AJ67" s="13">
        <v>0</v>
      </c>
      <c r="AK67" s="13">
        <v>0</v>
      </c>
      <c r="AL67" s="13">
        <v>0</v>
      </c>
      <c r="AM67" s="13">
        <v>0</v>
      </c>
      <c r="AN67" s="13">
        <v>0</v>
      </c>
    </row>
    <row r="68" spans="2:40" x14ac:dyDescent="0.25">
      <c r="B68" s="39"/>
      <c r="C68" s="12"/>
    </row>
    <row r="69" spans="2:40" x14ac:dyDescent="0.25">
      <c r="B69" s="39" t="s">
        <v>304</v>
      </c>
      <c r="C69" s="12"/>
      <c r="E69" s="106" cm="1">
        <f t="array" ref="E69:AN70">_xlfn.LET(_xlpm.Customer_staff,_xlfn._xlws.FILTER(Base!$D$96:$BD$97,ISNUMBER(SEARCH($B$1&amp;"-"&amp;$C$1,Base!$D$4:$BD$4))),_xlpm.Customer,_xlfn.ANCHORARRAY($E$1),_xlpm.headcount,_xlpm.Customer/_xlpm.Customer_staff,
_xlpm.rounding,_xlfn.VSTACK(0,0),IFERROR(ROUND(_xlpm.headcount,_xlpm.rounding),0))</f>
        <v>0</v>
      </c>
      <c r="F69" s="106">
        <v>0</v>
      </c>
      <c r="G69" s="106">
        <v>0</v>
      </c>
      <c r="H69" s="106">
        <v>0</v>
      </c>
      <c r="I69" s="106">
        <v>0</v>
      </c>
      <c r="J69" s="106">
        <v>0</v>
      </c>
      <c r="K69" s="106">
        <v>0</v>
      </c>
      <c r="L69" s="106">
        <v>0</v>
      </c>
      <c r="M69" s="106">
        <v>0</v>
      </c>
      <c r="N69" s="106">
        <v>0</v>
      </c>
      <c r="O69" s="106">
        <v>0</v>
      </c>
      <c r="P69" s="106">
        <v>0</v>
      </c>
      <c r="Q69" s="106">
        <v>0</v>
      </c>
      <c r="R69" s="106">
        <v>0</v>
      </c>
      <c r="S69" s="106">
        <v>0</v>
      </c>
      <c r="T69" s="106">
        <v>0</v>
      </c>
      <c r="U69" s="106">
        <v>0</v>
      </c>
      <c r="V69" s="106">
        <v>0</v>
      </c>
      <c r="W69" s="106">
        <v>0</v>
      </c>
      <c r="X69" s="106">
        <v>0</v>
      </c>
      <c r="Y69" s="106">
        <v>0</v>
      </c>
      <c r="Z69" s="106">
        <v>0</v>
      </c>
      <c r="AA69" s="106">
        <v>0</v>
      </c>
      <c r="AB69" s="106">
        <v>0</v>
      </c>
      <c r="AC69" s="106">
        <v>0</v>
      </c>
      <c r="AD69" s="106">
        <v>0</v>
      </c>
      <c r="AE69" s="106">
        <v>0</v>
      </c>
      <c r="AF69" s="106">
        <v>0</v>
      </c>
      <c r="AG69" s="106">
        <v>0</v>
      </c>
      <c r="AH69" s="106">
        <v>0</v>
      </c>
      <c r="AI69" s="106">
        <v>0</v>
      </c>
      <c r="AJ69" s="106">
        <v>0</v>
      </c>
      <c r="AK69" s="106">
        <v>0</v>
      </c>
      <c r="AL69" s="106">
        <v>0</v>
      </c>
      <c r="AM69" s="106">
        <v>0</v>
      </c>
      <c r="AN69" s="106">
        <v>0</v>
      </c>
    </row>
    <row r="70" spans="2:40" x14ac:dyDescent="0.25">
      <c r="B70" s="39" t="s">
        <v>305</v>
      </c>
      <c r="C70" s="12"/>
      <c r="E70" s="106">
        <v>0</v>
      </c>
      <c r="F70" s="106">
        <v>0</v>
      </c>
      <c r="G70" s="106">
        <v>0</v>
      </c>
      <c r="H70" s="106">
        <v>0</v>
      </c>
      <c r="I70" s="106">
        <v>0</v>
      </c>
      <c r="J70" s="106">
        <v>0</v>
      </c>
      <c r="K70" s="106">
        <v>0</v>
      </c>
      <c r="L70" s="106">
        <v>0</v>
      </c>
      <c r="M70" s="106">
        <v>0</v>
      </c>
      <c r="N70" s="106">
        <v>0</v>
      </c>
      <c r="O70" s="106">
        <v>0</v>
      </c>
      <c r="P70" s="106">
        <v>0</v>
      </c>
      <c r="Q70" s="106">
        <v>0</v>
      </c>
      <c r="R70" s="106">
        <v>0</v>
      </c>
      <c r="S70" s="106">
        <v>0</v>
      </c>
      <c r="T70" s="106">
        <v>0</v>
      </c>
      <c r="U70" s="106">
        <v>0</v>
      </c>
      <c r="V70" s="106">
        <v>0</v>
      </c>
      <c r="W70" s="106">
        <v>0</v>
      </c>
      <c r="X70" s="106">
        <v>0</v>
      </c>
      <c r="Y70" s="106">
        <v>0</v>
      </c>
      <c r="Z70" s="106">
        <v>0</v>
      </c>
      <c r="AA70" s="106">
        <v>0</v>
      </c>
      <c r="AB70" s="106">
        <v>0</v>
      </c>
      <c r="AC70" s="106">
        <v>0</v>
      </c>
      <c r="AD70" s="106">
        <v>0</v>
      </c>
      <c r="AE70" s="106">
        <v>0</v>
      </c>
      <c r="AF70" s="106">
        <v>0</v>
      </c>
      <c r="AG70" s="106">
        <v>0</v>
      </c>
      <c r="AH70" s="106">
        <v>0</v>
      </c>
      <c r="AI70" s="106">
        <v>0</v>
      </c>
      <c r="AJ70" s="106">
        <v>0</v>
      </c>
      <c r="AK70" s="106">
        <v>0</v>
      </c>
      <c r="AL70" s="106">
        <v>0</v>
      </c>
      <c r="AM70" s="106">
        <v>0</v>
      </c>
      <c r="AN70" s="106">
        <v>0</v>
      </c>
    </row>
    <row r="71" spans="2:40" x14ac:dyDescent="0.25">
      <c r="B71" s="39"/>
      <c r="C71" s="12"/>
    </row>
    <row r="72" spans="2:40" x14ac:dyDescent="0.25">
      <c r="B72" s="39" t="s">
        <v>23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0.10383564943835649</v>
      </c>
      <c r="F72" s="12">
        <v>0.10698218426982184</v>
      </c>
      <c r="G72" s="12">
        <v>0.10907987415746538</v>
      </c>
      <c r="H72" s="12">
        <v>0.11222640898893073</v>
      </c>
      <c r="I72" s="12">
        <v>0.11537294382039608</v>
      </c>
      <c r="J72" s="12">
        <v>0.11851947865186142</v>
      </c>
      <c r="K72" s="12">
        <v>0.12061716853950501</v>
      </c>
      <c r="L72" s="12">
        <v>0.12376370337097037</v>
      </c>
      <c r="M72" s="12">
        <v>0.12691023820243572</v>
      </c>
      <c r="N72" s="12">
        <v>0.13005677303390106</v>
      </c>
      <c r="O72" s="12">
        <v>0.13215446292154462</v>
      </c>
      <c r="P72" s="12">
        <v>0.13530099775300997</v>
      </c>
      <c r="Q72" s="12">
        <v>0.15229228584292284</v>
      </c>
      <c r="R72" s="12">
        <v>0.15575347415753474</v>
      </c>
      <c r="S72" s="12">
        <v>0.1580609330339427</v>
      </c>
      <c r="T72" s="12">
        <v>0.16152212134855456</v>
      </c>
      <c r="U72" s="12">
        <v>0.16498330966316646</v>
      </c>
      <c r="V72" s="12">
        <v>0.16844449797777827</v>
      </c>
      <c r="W72" s="12">
        <v>0.17075195685418626</v>
      </c>
      <c r="X72" s="12">
        <v>0.17421314516879813</v>
      </c>
      <c r="Y72" s="12">
        <v>0.17767433348341</v>
      </c>
      <c r="Z72" s="12">
        <v>0.18113552179802192</v>
      </c>
      <c r="AA72" s="12">
        <v>0.18459671011263376</v>
      </c>
      <c r="AB72" s="12">
        <v>0.18690416898904169</v>
      </c>
      <c r="AC72" s="12">
        <v>0.20940189303401896</v>
      </c>
      <c r="AD72" s="12">
        <v>0.21320920018009204</v>
      </c>
      <c r="AE72" s="12">
        <v>0.21701650732616512</v>
      </c>
      <c r="AF72" s="12">
        <v>0.21955471209021377</v>
      </c>
      <c r="AG72" s="12">
        <v>0.2233620192362869</v>
      </c>
      <c r="AH72" s="12">
        <v>0.22716932638236001</v>
      </c>
      <c r="AI72" s="12">
        <v>0.23097663352843298</v>
      </c>
      <c r="AJ72" s="12">
        <v>0.23351483829248174</v>
      </c>
      <c r="AK72" s="12">
        <v>0.23732214543855484</v>
      </c>
      <c r="AL72" s="12">
        <v>0.24112945258462787</v>
      </c>
      <c r="AM72" s="12">
        <v>0.24493675973070095</v>
      </c>
      <c r="AN72" s="12">
        <v>0.24747496449474971</v>
      </c>
    </row>
    <row r="73" spans="2:40" x14ac:dyDescent="0.25">
      <c r="B73" s="39" t="s">
        <v>24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306</v>
      </c>
      <c r="E75" s="74" cm="1">
        <f t="array" ref="E75:AN75">_xlfn.ANCHORARRAY(E67)-_xlfn.ANCHORARRAY(E72)-_xlfn.ANCHORARRAY(E73)</f>
        <v>-0.10383564943835649</v>
      </c>
      <c r="F75" s="74">
        <v>-0.10698218426982184</v>
      </c>
      <c r="G75" s="74">
        <v>-0.10907987415746538</v>
      </c>
      <c r="H75" s="74">
        <v>-0.11222640898893073</v>
      </c>
      <c r="I75" s="74">
        <v>-0.11537294382039608</v>
      </c>
      <c r="J75" s="74">
        <v>-0.11851947865186142</v>
      </c>
      <c r="K75" s="74">
        <v>-0.12061716853950501</v>
      </c>
      <c r="L75" s="74">
        <v>-0.12376370337097037</v>
      </c>
      <c r="M75" s="74">
        <v>-0.12691023820243572</v>
      </c>
      <c r="N75" s="74">
        <v>-0.13005677303390106</v>
      </c>
      <c r="O75" s="74">
        <v>-0.13215446292154462</v>
      </c>
      <c r="P75" s="74">
        <v>-0.13530099775300997</v>
      </c>
      <c r="Q75" s="74">
        <v>-0.15229228584292284</v>
      </c>
      <c r="R75" s="74">
        <v>-0.15575347415753474</v>
      </c>
      <c r="S75" s="74">
        <v>-0.1580609330339427</v>
      </c>
      <c r="T75" s="74">
        <v>-0.16152212134855456</v>
      </c>
      <c r="U75" s="74">
        <v>-0.16498330966316646</v>
      </c>
      <c r="V75" s="74">
        <v>-0.16844449797777827</v>
      </c>
      <c r="W75" s="74">
        <v>-0.17075195685418626</v>
      </c>
      <c r="X75" s="74">
        <v>-0.17421314516879813</v>
      </c>
      <c r="Y75" s="74">
        <v>-0.17767433348341</v>
      </c>
      <c r="Z75" s="74">
        <v>-0.18113552179802192</v>
      </c>
      <c r="AA75" s="74">
        <v>-0.18459671011263376</v>
      </c>
      <c r="AB75" s="74">
        <v>-0.18690416898904169</v>
      </c>
      <c r="AC75" s="74">
        <v>-0.20940189303401896</v>
      </c>
      <c r="AD75" s="74">
        <v>-0.21320920018009204</v>
      </c>
      <c r="AE75" s="74">
        <v>-0.21701650732616512</v>
      </c>
      <c r="AF75" s="74">
        <v>-0.21955471209021377</v>
      </c>
      <c r="AG75" s="74">
        <v>-0.2233620192362869</v>
      </c>
      <c r="AH75" s="74">
        <v>-0.22716932638236001</v>
      </c>
      <c r="AI75" s="74">
        <v>-0.23097663352843298</v>
      </c>
      <c r="AJ75" s="74">
        <v>-0.23351483829248174</v>
      </c>
      <c r="AK75" s="74">
        <v>-0.23732214543855484</v>
      </c>
      <c r="AL75" s="74">
        <v>-0.24112945258462787</v>
      </c>
      <c r="AM75" s="74">
        <v>-0.24493675973070095</v>
      </c>
      <c r="AN75" s="74">
        <v>-0.24747496449474971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336B0-88CD-4094-A13D-6A2C92163A52}">
  <dimension ref="A1:AX75"/>
  <sheetViews>
    <sheetView workbookViewId="0">
      <pane xSplit="4" ySplit="25" topLeftCell="E26" activePane="bottomRight" state="frozen"/>
      <selection activeCell="E63" sqref="E63:E65"/>
      <selection pane="topRight" activeCell="E63" sqref="E63:E65"/>
      <selection pane="bottomLeft" activeCell="E63" sqref="E63:E65"/>
      <selection pane="bottomRight" activeCell="E63" sqref="E63:E65"/>
    </sheetView>
  </sheetViews>
  <sheetFormatPr defaultRowHeight="15" outlineLevelRow="1" x14ac:dyDescent="0.25"/>
  <cols>
    <col min="2" max="2" width="24.5703125" bestFit="1" customWidth="1"/>
    <col min="3" max="3" width="10.7109375" bestFit="1" customWidth="1"/>
    <col min="4" max="4" width="10" bestFit="1" customWidth="1"/>
    <col min="5" max="5" width="10.7109375" bestFit="1" customWidth="1"/>
    <col min="6" max="6" width="11.5703125" bestFit="1" customWidth="1"/>
    <col min="7" max="13" width="12.28515625" bestFit="1" customWidth="1"/>
    <col min="14" max="18" width="11.5703125" bestFit="1" customWidth="1"/>
    <col min="19" max="40" width="12.5703125" bestFit="1" customWidth="1"/>
  </cols>
  <sheetData>
    <row r="1" spans="1:40" x14ac:dyDescent="0.25">
      <c r="A1" s="96" t="str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/>
      </c>
      <c r="B1" s="10" t="s">
        <v>434</v>
      </c>
      <c r="C1" s="16" t="s">
        <v>344</v>
      </c>
      <c r="D1" s="3" t="s">
        <v>307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IFERROR(_xlpm.kiddos,0))</f>
        <v>36</v>
      </c>
      <c r="F1" s="69">
        <v>36</v>
      </c>
      <c r="G1" s="69">
        <v>36</v>
      </c>
      <c r="H1" s="69">
        <v>36</v>
      </c>
      <c r="I1" s="69">
        <v>36</v>
      </c>
      <c r="J1" s="69">
        <v>36</v>
      </c>
      <c r="K1" s="69">
        <v>36</v>
      </c>
      <c r="L1" s="69">
        <v>36</v>
      </c>
      <c r="M1" s="69">
        <v>36</v>
      </c>
      <c r="N1" s="69">
        <v>36</v>
      </c>
      <c r="O1" s="69">
        <v>36</v>
      </c>
      <c r="P1" s="69">
        <v>36</v>
      </c>
      <c r="Q1" s="69">
        <v>36</v>
      </c>
      <c r="R1" s="69">
        <v>36</v>
      </c>
      <c r="S1" s="69">
        <v>36</v>
      </c>
      <c r="T1" s="69">
        <v>36</v>
      </c>
      <c r="U1" s="69">
        <v>36</v>
      </c>
      <c r="V1" s="69">
        <v>36</v>
      </c>
      <c r="W1" s="69">
        <v>36</v>
      </c>
      <c r="X1" s="69">
        <v>36</v>
      </c>
      <c r="Y1" s="69">
        <v>36</v>
      </c>
      <c r="Z1" s="69">
        <v>36</v>
      </c>
      <c r="AA1" s="69">
        <v>36</v>
      </c>
      <c r="AB1" s="69">
        <v>36</v>
      </c>
      <c r="AC1" s="69">
        <v>36</v>
      </c>
      <c r="AD1" s="69">
        <v>36</v>
      </c>
      <c r="AE1" s="69">
        <v>36</v>
      </c>
      <c r="AF1" s="69">
        <v>36</v>
      </c>
      <c r="AG1" s="69">
        <v>36</v>
      </c>
      <c r="AH1" s="69">
        <v>36</v>
      </c>
      <c r="AI1" s="69">
        <v>36</v>
      </c>
      <c r="AJ1" s="69">
        <v>36</v>
      </c>
      <c r="AK1" s="69">
        <v>36</v>
      </c>
      <c r="AL1" s="69">
        <v>36</v>
      </c>
      <c r="AM1" s="69">
        <v>36</v>
      </c>
      <c r="AN1" s="69">
        <v>36</v>
      </c>
    </row>
    <row r="2" spans="1:40" x14ac:dyDescent="0.25">
      <c r="A2" s="65"/>
      <c r="B2" s="3" t="str">
        <f>_xlfn.XLOOKUP($B$1&amp;"-"&amp;$C$1,Base!$D$4:$BD$4,Base!$D$2:$BD$2,"",0)</f>
        <v>Arizona</v>
      </c>
      <c r="C2" s="55"/>
      <c r="D2" s="55" t="s">
        <v>259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2</v>
      </c>
      <c r="F2" s="69">
        <v>2</v>
      </c>
      <c r="G2" s="69">
        <v>2</v>
      </c>
      <c r="H2" s="69">
        <v>2</v>
      </c>
      <c r="I2" s="69">
        <v>2</v>
      </c>
      <c r="J2" s="69">
        <v>2</v>
      </c>
      <c r="K2" s="69">
        <v>2</v>
      </c>
      <c r="L2" s="69">
        <v>2</v>
      </c>
      <c r="M2" s="69">
        <v>2</v>
      </c>
      <c r="N2" s="69">
        <v>2</v>
      </c>
      <c r="O2" s="69">
        <v>2</v>
      </c>
      <c r="P2" s="69">
        <v>2</v>
      </c>
      <c r="Q2" s="69">
        <v>2</v>
      </c>
      <c r="R2" s="69">
        <v>2</v>
      </c>
      <c r="S2" s="69">
        <v>2</v>
      </c>
      <c r="T2" s="69">
        <v>2</v>
      </c>
      <c r="U2" s="69">
        <v>2</v>
      </c>
      <c r="V2" s="69">
        <v>2</v>
      </c>
      <c r="W2" s="69">
        <v>2</v>
      </c>
      <c r="X2" s="69">
        <v>2</v>
      </c>
      <c r="Y2" s="69">
        <v>2</v>
      </c>
      <c r="Z2" s="69">
        <v>2</v>
      </c>
      <c r="AA2" s="69">
        <v>2</v>
      </c>
      <c r="AB2" s="69">
        <v>2</v>
      </c>
      <c r="AC2" s="69">
        <v>2</v>
      </c>
      <c r="AD2" s="69">
        <v>2</v>
      </c>
      <c r="AE2" s="69">
        <v>2</v>
      </c>
      <c r="AF2" s="69">
        <v>2</v>
      </c>
      <c r="AG2" s="69">
        <v>2</v>
      </c>
      <c r="AH2" s="69">
        <v>2</v>
      </c>
      <c r="AI2" s="69">
        <v>2</v>
      </c>
      <c r="AJ2" s="69">
        <v>2</v>
      </c>
      <c r="AK2" s="69">
        <v>2</v>
      </c>
      <c r="AL2" s="69">
        <v>2</v>
      </c>
      <c r="AM2" s="69">
        <v>2</v>
      </c>
      <c r="AN2" s="69">
        <v>2</v>
      </c>
    </row>
    <row r="3" spans="1:40" x14ac:dyDescent="0.25">
      <c r="A3" s="65"/>
      <c r="B3" s="55"/>
      <c r="C3" s="55"/>
      <c r="D3" s="55" t="s">
        <v>62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_xlpm.months_since,DATEDIF(_xlpm.launchdate,_xlfn.ANCHORARRAY($E$25),"m"),_xlfn.BYCOL(_xlpm.months_since,_xlfn.LAMBDA(_xlpm.a,IFERROR(MIN(_xlpm.a/6,_xlpm.max_kiddos),0))))</f>
        <v>2</v>
      </c>
      <c r="F3" s="69">
        <v>2</v>
      </c>
      <c r="G3" s="69">
        <v>2</v>
      </c>
      <c r="H3" s="69">
        <v>2</v>
      </c>
      <c r="I3" s="69">
        <v>2</v>
      </c>
      <c r="J3" s="69">
        <v>2</v>
      </c>
      <c r="K3" s="69">
        <v>2</v>
      </c>
      <c r="L3" s="69">
        <v>2</v>
      </c>
      <c r="M3" s="69">
        <v>2</v>
      </c>
      <c r="N3" s="69">
        <v>2</v>
      </c>
      <c r="O3" s="69">
        <v>2</v>
      </c>
      <c r="P3" s="69">
        <v>2</v>
      </c>
      <c r="Q3" s="69">
        <v>2</v>
      </c>
      <c r="R3" s="69">
        <v>2</v>
      </c>
      <c r="S3" s="69">
        <v>2</v>
      </c>
      <c r="T3" s="69">
        <v>2</v>
      </c>
      <c r="U3" s="69">
        <v>2</v>
      </c>
      <c r="V3" s="69">
        <v>2</v>
      </c>
      <c r="W3" s="69">
        <v>2</v>
      </c>
      <c r="X3" s="69">
        <v>2</v>
      </c>
      <c r="Y3" s="69">
        <v>2</v>
      </c>
      <c r="Z3" s="69">
        <v>2</v>
      </c>
      <c r="AA3" s="69">
        <v>2</v>
      </c>
      <c r="AB3" s="69">
        <v>2</v>
      </c>
      <c r="AC3" s="69">
        <v>2</v>
      </c>
      <c r="AD3" s="69">
        <v>2</v>
      </c>
      <c r="AE3" s="69">
        <v>2</v>
      </c>
      <c r="AF3" s="69">
        <v>2</v>
      </c>
      <c r="AG3" s="69">
        <v>2</v>
      </c>
      <c r="AH3" s="69">
        <v>2</v>
      </c>
      <c r="AI3" s="69">
        <v>2</v>
      </c>
      <c r="AJ3" s="69">
        <v>2</v>
      </c>
      <c r="AK3" s="69">
        <v>2</v>
      </c>
      <c r="AL3" s="69">
        <v>2</v>
      </c>
      <c r="AM3" s="69">
        <v>2</v>
      </c>
      <c r="AN3" s="69">
        <v>2</v>
      </c>
    </row>
    <row r="4" spans="1:40" x14ac:dyDescent="0.25">
      <c r="A4" s="65"/>
      <c r="B4" s="55"/>
      <c r="C4" s="55"/>
      <c r="D4" s="55" t="s">
        <v>260</v>
      </c>
      <c r="E4" s="69" cm="1">
        <f t="array" ref="E4:AN4">_xlfn.BYCOL(_xlfn.VSTACK(_xlfn.ANCHORARRAY($E$1),_xlfn.ANCHORARRAY($E$2)),_xlfn.LAMBDA(_xlpm.a,SUM(_xlpm.a)))</f>
        <v>38</v>
      </c>
      <c r="F4" s="69">
        <v>38</v>
      </c>
      <c r="G4" s="69">
        <v>38</v>
      </c>
      <c r="H4" s="69">
        <v>38</v>
      </c>
      <c r="I4" s="69">
        <v>38</v>
      </c>
      <c r="J4" s="69">
        <v>38</v>
      </c>
      <c r="K4" s="69">
        <v>38</v>
      </c>
      <c r="L4" s="69">
        <v>38</v>
      </c>
      <c r="M4" s="69">
        <v>38</v>
      </c>
      <c r="N4" s="69">
        <v>38</v>
      </c>
      <c r="O4" s="69">
        <v>38</v>
      </c>
      <c r="P4" s="69">
        <v>38</v>
      </c>
      <c r="Q4" s="69">
        <v>38</v>
      </c>
      <c r="R4" s="69">
        <v>38</v>
      </c>
      <c r="S4" s="69">
        <v>38</v>
      </c>
      <c r="T4" s="69">
        <v>38</v>
      </c>
      <c r="U4" s="69">
        <v>38</v>
      </c>
      <c r="V4" s="69">
        <v>38</v>
      </c>
      <c r="W4" s="69">
        <v>38</v>
      </c>
      <c r="X4" s="69">
        <v>38</v>
      </c>
      <c r="Y4" s="69">
        <v>38</v>
      </c>
      <c r="Z4" s="69">
        <v>38</v>
      </c>
      <c r="AA4" s="69">
        <v>38</v>
      </c>
      <c r="AB4" s="69">
        <v>38</v>
      </c>
      <c r="AC4" s="69">
        <v>38</v>
      </c>
      <c r="AD4" s="69">
        <v>38</v>
      </c>
      <c r="AE4" s="69">
        <v>38</v>
      </c>
      <c r="AF4" s="69">
        <v>38</v>
      </c>
      <c r="AG4" s="69">
        <v>38</v>
      </c>
      <c r="AH4" s="69">
        <v>38</v>
      </c>
      <c r="AI4" s="69">
        <v>38</v>
      </c>
      <c r="AJ4" s="69">
        <v>38</v>
      </c>
      <c r="AK4" s="69">
        <v>38</v>
      </c>
      <c r="AL4" s="69">
        <v>38</v>
      </c>
      <c r="AM4" s="69">
        <v>38</v>
      </c>
      <c r="AN4" s="69">
        <v>38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107</v>
      </c>
      <c r="C6" s="3"/>
      <c r="D6" s="3"/>
      <c r="E6" s="66" cm="1">
        <f t="array" ref="E6:AN6">ROUND(_xlfn.BYCOL(_xlfn.ANCHORARRAY(E7),_xlfn.LAMBDA(_xlpm.a,SUM(_xlpm.a))),0)</f>
        <v>21</v>
      </c>
      <c r="F6" s="66">
        <v>21</v>
      </c>
      <c r="G6" s="66">
        <v>21</v>
      </c>
      <c r="H6" s="66">
        <v>21</v>
      </c>
      <c r="I6" s="66">
        <v>21</v>
      </c>
      <c r="J6" s="66">
        <v>21</v>
      </c>
      <c r="K6" s="66">
        <v>21</v>
      </c>
      <c r="L6" s="66">
        <v>21</v>
      </c>
      <c r="M6" s="66">
        <v>21</v>
      </c>
      <c r="N6" s="66">
        <v>21</v>
      </c>
      <c r="O6" s="66">
        <v>21</v>
      </c>
      <c r="P6" s="66">
        <v>21</v>
      </c>
      <c r="Q6" s="66">
        <v>21</v>
      </c>
      <c r="R6" s="66">
        <v>21</v>
      </c>
      <c r="S6" s="66">
        <v>21</v>
      </c>
      <c r="T6" s="66">
        <v>21</v>
      </c>
      <c r="U6" s="66">
        <v>21</v>
      </c>
      <c r="V6" s="66">
        <v>21</v>
      </c>
      <c r="W6" s="66">
        <v>21</v>
      </c>
      <c r="X6" s="66">
        <v>21</v>
      </c>
      <c r="Y6" s="66">
        <v>21</v>
      </c>
      <c r="Z6" s="66">
        <v>21</v>
      </c>
      <c r="AA6" s="66">
        <v>21</v>
      </c>
      <c r="AB6" s="66">
        <v>21</v>
      </c>
      <c r="AC6" s="66">
        <v>21</v>
      </c>
      <c r="AD6" s="66">
        <v>21</v>
      </c>
      <c r="AE6" s="66">
        <v>21</v>
      </c>
      <c r="AF6" s="66">
        <v>21</v>
      </c>
      <c r="AG6" s="66">
        <v>21</v>
      </c>
      <c r="AH6" s="66">
        <v>21</v>
      </c>
      <c r="AI6" s="66">
        <v>21</v>
      </c>
      <c r="AJ6" s="66">
        <v>21</v>
      </c>
      <c r="AK6" s="66">
        <v>21</v>
      </c>
      <c r="AL6" s="66">
        <v>21</v>
      </c>
      <c r="AM6" s="66">
        <v>21</v>
      </c>
      <c r="AN6" s="66">
        <v>21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1"/>
      <c r="E7" s="106" cm="1">
        <f t="array" ref="E7:AN20">_xlfn.LET(_xlpm.Customer_staff,_xlfn._xlws.FILTER(Base!$D$85:$BD$98,ISNUMBER(SEARCH($B$1&amp;"-"&amp;$C$1,Base!$D$4:$BD$4))),_xlpm.Customer,_xlfn.ANCHORARRAY($E$1),_xlpm.headcount,_xlpm.Customer/_xlpm.Customer_staff,
_xlpm.patient_staff,_xlfn.ANCHORARRAY($E$2)/_xlpm.Customer_staff,_xlpm.prim_staff_tr_rec,_xlfn.ANCHORARRAY($E$2)/_xlfn.CHOOSEROWS(_xlpm.Customer_staff,{7,8})+(_xlfn.ANCHORARRAY($E$1)*0.0055),_xlpm.rounding,_xlfn.VSTACK(2,2,0,0,2,2,2,2,2,2,2,0,0,0),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prim_staff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14.79</v>
      </c>
      <c r="F7" s="106">
        <v>14.79</v>
      </c>
      <c r="G7" s="106">
        <v>14.79</v>
      </c>
      <c r="H7" s="106">
        <v>14.79</v>
      </c>
      <c r="I7" s="106">
        <v>14.79</v>
      </c>
      <c r="J7" s="106">
        <v>14.79</v>
      </c>
      <c r="K7" s="106">
        <v>14.79</v>
      </c>
      <c r="L7" s="106">
        <v>14.79</v>
      </c>
      <c r="M7" s="106">
        <v>14.79</v>
      </c>
      <c r="N7" s="106">
        <v>14.79</v>
      </c>
      <c r="O7" s="106">
        <v>14.79</v>
      </c>
      <c r="P7" s="106">
        <v>14.79</v>
      </c>
      <c r="Q7" s="106">
        <v>14.79</v>
      </c>
      <c r="R7" s="106">
        <v>14.79</v>
      </c>
      <c r="S7" s="106">
        <v>14.79</v>
      </c>
      <c r="T7" s="106">
        <v>14.79</v>
      </c>
      <c r="U7" s="106">
        <v>14.79</v>
      </c>
      <c r="V7" s="106">
        <v>14.79</v>
      </c>
      <c r="W7" s="106">
        <v>14.79</v>
      </c>
      <c r="X7" s="106">
        <v>14.79</v>
      </c>
      <c r="Y7" s="106">
        <v>14.79</v>
      </c>
      <c r="Z7" s="106">
        <v>14.79</v>
      </c>
      <c r="AA7" s="106">
        <v>14.79</v>
      </c>
      <c r="AB7" s="106">
        <v>14.79</v>
      </c>
      <c r="AC7" s="106">
        <v>14.79</v>
      </c>
      <c r="AD7" s="106">
        <v>14.79</v>
      </c>
      <c r="AE7" s="106">
        <v>14.79</v>
      </c>
      <c r="AF7" s="106">
        <v>14.79</v>
      </c>
      <c r="AG7" s="106">
        <v>14.79</v>
      </c>
      <c r="AH7" s="106">
        <v>14.79</v>
      </c>
      <c r="AI7" s="106">
        <v>14.79</v>
      </c>
      <c r="AJ7" s="106">
        <v>14.79</v>
      </c>
      <c r="AK7" s="106">
        <v>14.79</v>
      </c>
      <c r="AL7" s="106">
        <v>14.79</v>
      </c>
      <c r="AM7" s="106">
        <v>14.79</v>
      </c>
      <c r="AN7" s="106">
        <v>14.79</v>
      </c>
    </row>
    <row r="8" spans="1:40" hidden="1" outlineLevel="1" x14ac:dyDescent="0.25">
      <c r="B8" s="39" t="str">
        <v>Secondary Direct Staff</v>
      </c>
      <c r="C8" s="3"/>
      <c r="D8" s="3"/>
      <c r="E8" s="106">
        <v>3.28</v>
      </c>
      <c r="F8" s="106">
        <v>3.28</v>
      </c>
      <c r="G8" s="106">
        <v>3.28</v>
      </c>
      <c r="H8" s="106">
        <v>3.28</v>
      </c>
      <c r="I8" s="106">
        <v>3.28</v>
      </c>
      <c r="J8" s="106">
        <v>3.28</v>
      </c>
      <c r="K8" s="106">
        <v>3.28</v>
      </c>
      <c r="L8" s="106">
        <v>3.28</v>
      </c>
      <c r="M8" s="106">
        <v>3.28</v>
      </c>
      <c r="N8" s="106">
        <v>3.28</v>
      </c>
      <c r="O8" s="106">
        <v>3.28</v>
      </c>
      <c r="P8" s="106">
        <v>3.28</v>
      </c>
      <c r="Q8" s="106">
        <v>3.28</v>
      </c>
      <c r="R8" s="106">
        <v>3.28</v>
      </c>
      <c r="S8" s="106">
        <v>3.28</v>
      </c>
      <c r="T8" s="106">
        <v>3.28</v>
      </c>
      <c r="U8" s="106">
        <v>3.28</v>
      </c>
      <c r="V8" s="106">
        <v>3.28</v>
      </c>
      <c r="W8" s="106">
        <v>3.28</v>
      </c>
      <c r="X8" s="106">
        <v>3.28</v>
      </c>
      <c r="Y8" s="106">
        <v>3.28</v>
      </c>
      <c r="Z8" s="106">
        <v>3.28</v>
      </c>
      <c r="AA8" s="106">
        <v>3.28</v>
      </c>
      <c r="AB8" s="106">
        <v>3.28</v>
      </c>
      <c r="AC8" s="106">
        <v>3.28</v>
      </c>
      <c r="AD8" s="106">
        <v>3.28</v>
      </c>
      <c r="AE8" s="106">
        <v>3.28</v>
      </c>
      <c r="AF8" s="106">
        <v>3.28</v>
      </c>
      <c r="AG8" s="106">
        <v>3.28</v>
      </c>
      <c r="AH8" s="106">
        <v>3.28</v>
      </c>
      <c r="AI8" s="106">
        <v>3.28</v>
      </c>
      <c r="AJ8" s="106">
        <v>3.28</v>
      </c>
      <c r="AK8" s="106">
        <v>3.28</v>
      </c>
      <c r="AL8" s="106">
        <v>3.28</v>
      </c>
      <c r="AM8" s="106">
        <v>3.28</v>
      </c>
      <c r="AN8" s="106">
        <v>3.28</v>
      </c>
    </row>
    <row r="9" spans="1:40" hidden="1" outlineLevel="1" x14ac:dyDescent="0.25">
      <c r="B9" s="39" t="str">
        <v>Center Manager</v>
      </c>
      <c r="C9" s="3"/>
      <c r="D9" s="3"/>
      <c r="E9" s="106">
        <v>1</v>
      </c>
      <c r="F9" s="106">
        <v>1</v>
      </c>
      <c r="G9" s="106">
        <v>1</v>
      </c>
      <c r="H9" s="106">
        <v>1</v>
      </c>
      <c r="I9" s="106">
        <v>1</v>
      </c>
      <c r="J9" s="106">
        <v>1</v>
      </c>
      <c r="K9" s="106">
        <v>1</v>
      </c>
      <c r="L9" s="106">
        <v>1</v>
      </c>
      <c r="M9" s="106">
        <v>1</v>
      </c>
      <c r="N9" s="106">
        <v>1</v>
      </c>
      <c r="O9" s="106">
        <v>1</v>
      </c>
      <c r="P9" s="106">
        <v>1</v>
      </c>
      <c r="Q9" s="106">
        <v>1</v>
      </c>
      <c r="R9" s="106">
        <v>1</v>
      </c>
      <c r="S9" s="106">
        <v>1</v>
      </c>
      <c r="T9" s="106">
        <v>1</v>
      </c>
      <c r="U9" s="106">
        <v>1</v>
      </c>
      <c r="V9" s="106">
        <v>1</v>
      </c>
      <c r="W9" s="106">
        <v>1</v>
      </c>
      <c r="X9" s="106">
        <v>1</v>
      </c>
      <c r="Y9" s="106">
        <v>1</v>
      </c>
      <c r="Z9" s="106">
        <v>1</v>
      </c>
      <c r="AA9" s="106">
        <v>1</v>
      </c>
      <c r="AB9" s="106">
        <v>1</v>
      </c>
      <c r="AC9" s="106">
        <v>1</v>
      </c>
      <c r="AD9" s="106">
        <v>1</v>
      </c>
      <c r="AE9" s="106">
        <v>1</v>
      </c>
      <c r="AF9" s="106">
        <v>1</v>
      </c>
      <c r="AG9" s="106">
        <v>1</v>
      </c>
      <c r="AH9" s="106">
        <v>1</v>
      </c>
      <c r="AI9" s="106">
        <v>1</v>
      </c>
      <c r="AJ9" s="106">
        <v>1</v>
      </c>
      <c r="AK9" s="106">
        <v>1</v>
      </c>
      <c r="AL9" s="106">
        <v>1</v>
      </c>
      <c r="AM9" s="106">
        <v>1</v>
      </c>
      <c r="AN9" s="106">
        <v>1</v>
      </c>
    </row>
    <row r="10" spans="1:40" hidden="1" outlineLevel="1" x14ac:dyDescent="0.25">
      <c r="B10" s="39" t="str">
        <v>Intake</v>
      </c>
      <c r="C10" s="3"/>
      <c r="D10" s="3"/>
      <c r="E10" s="106">
        <v>1</v>
      </c>
      <c r="F10" s="106">
        <v>1</v>
      </c>
      <c r="G10" s="106">
        <v>1</v>
      </c>
      <c r="H10" s="106">
        <v>1</v>
      </c>
      <c r="I10" s="106">
        <v>1</v>
      </c>
      <c r="J10" s="106">
        <v>1</v>
      </c>
      <c r="K10" s="106">
        <v>1</v>
      </c>
      <c r="L10" s="106">
        <v>1</v>
      </c>
      <c r="M10" s="106">
        <v>1</v>
      </c>
      <c r="N10" s="106">
        <v>1</v>
      </c>
      <c r="O10" s="106">
        <v>1</v>
      </c>
      <c r="P10" s="106">
        <v>1</v>
      </c>
      <c r="Q10" s="106">
        <v>1</v>
      </c>
      <c r="R10" s="106">
        <v>1</v>
      </c>
      <c r="S10" s="106">
        <v>1</v>
      </c>
      <c r="T10" s="106">
        <v>1</v>
      </c>
      <c r="U10" s="106">
        <v>1</v>
      </c>
      <c r="V10" s="106">
        <v>1</v>
      </c>
      <c r="W10" s="106">
        <v>1</v>
      </c>
      <c r="X10" s="106">
        <v>1</v>
      </c>
      <c r="Y10" s="106">
        <v>1</v>
      </c>
      <c r="Z10" s="106">
        <v>1</v>
      </c>
      <c r="AA10" s="106">
        <v>1</v>
      </c>
      <c r="AB10" s="106">
        <v>1</v>
      </c>
      <c r="AC10" s="106">
        <v>1</v>
      </c>
      <c r="AD10" s="106">
        <v>1</v>
      </c>
      <c r="AE10" s="106">
        <v>1</v>
      </c>
      <c r="AF10" s="106">
        <v>1</v>
      </c>
      <c r="AG10" s="106">
        <v>1</v>
      </c>
      <c r="AH10" s="106">
        <v>1</v>
      </c>
      <c r="AI10" s="106">
        <v>1</v>
      </c>
      <c r="AJ10" s="106">
        <v>1</v>
      </c>
      <c r="AK10" s="106">
        <v>1</v>
      </c>
      <c r="AL10" s="106">
        <v>1</v>
      </c>
      <c r="AM10" s="106">
        <v>1</v>
      </c>
      <c r="AN10" s="106">
        <v>1</v>
      </c>
    </row>
    <row r="11" spans="1:40" hidden="1" outlineLevel="1" x14ac:dyDescent="0.25">
      <c r="B11" s="39" t="str">
        <v>Scheduler</v>
      </c>
      <c r="C11" s="3"/>
      <c r="D11" s="3"/>
      <c r="E11" s="106">
        <v>0</v>
      </c>
      <c r="F11" s="106">
        <v>0</v>
      </c>
      <c r="G11" s="106">
        <v>0</v>
      </c>
      <c r="H11" s="106">
        <v>0</v>
      </c>
      <c r="I11" s="106">
        <v>0</v>
      </c>
      <c r="J11" s="106">
        <v>0</v>
      </c>
      <c r="K11" s="106">
        <v>0</v>
      </c>
      <c r="L11" s="106">
        <v>0</v>
      </c>
      <c r="M11" s="106">
        <v>0</v>
      </c>
      <c r="N11" s="106">
        <v>0</v>
      </c>
      <c r="O11" s="106">
        <v>0</v>
      </c>
      <c r="P11" s="106">
        <v>0</v>
      </c>
      <c r="Q11" s="106">
        <v>0</v>
      </c>
      <c r="R11" s="106">
        <v>0</v>
      </c>
      <c r="S11" s="106">
        <v>0</v>
      </c>
      <c r="T11" s="106">
        <v>0</v>
      </c>
      <c r="U11" s="106">
        <v>0</v>
      </c>
      <c r="V11" s="106">
        <v>0</v>
      </c>
      <c r="W11" s="106">
        <v>0</v>
      </c>
      <c r="X11" s="106">
        <v>0</v>
      </c>
      <c r="Y11" s="106">
        <v>0</v>
      </c>
      <c r="Z11" s="106">
        <v>0</v>
      </c>
      <c r="AA11" s="106">
        <v>0</v>
      </c>
      <c r="AB11" s="106">
        <v>0</v>
      </c>
      <c r="AC11" s="106">
        <v>0</v>
      </c>
      <c r="AD11" s="106">
        <v>0</v>
      </c>
      <c r="AE11" s="106">
        <v>0</v>
      </c>
      <c r="AF11" s="106">
        <v>0</v>
      </c>
      <c r="AG11" s="106">
        <v>0</v>
      </c>
      <c r="AH11" s="106">
        <v>0</v>
      </c>
      <c r="AI11" s="106">
        <v>0</v>
      </c>
      <c r="AJ11" s="106">
        <v>0</v>
      </c>
      <c r="AK11" s="106">
        <v>0</v>
      </c>
      <c r="AL11" s="106">
        <v>0</v>
      </c>
      <c r="AM11" s="106">
        <v>0</v>
      </c>
      <c r="AN11" s="106">
        <v>0</v>
      </c>
    </row>
    <row r="12" spans="1:40" hidden="1" outlineLevel="1" x14ac:dyDescent="0.25">
      <c r="B12" s="39" t="str">
        <v>Initial Consultation Expert</v>
      </c>
      <c r="C12" s="3"/>
      <c r="D12" s="3"/>
      <c r="E12" s="106">
        <v>0.16</v>
      </c>
      <c r="F12" s="106">
        <v>0.16</v>
      </c>
      <c r="G12" s="106">
        <v>0.16</v>
      </c>
      <c r="H12" s="106">
        <v>0.16</v>
      </c>
      <c r="I12" s="106">
        <v>0.16</v>
      </c>
      <c r="J12" s="106">
        <v>0.16</v>
      </c>
      <c r="K12" s="106">
        <v>0.16</v>
      </c>
      <c r="L12" s="106">
        <v>0.16</v>
      </c>
      <c r="M12" s="106">
        <v>0.16</v>
      </c>
      <c r="N12" s="106">
        <v>0.16</v>
      </c>
      <c r="O12" s="106">
        <v>0.16</v>
      </c>
      <c r="P12" s="106">
        <v>0.16</v>
      </c>
      <c r="Q12" s="106">
        <v>0.16</v>
      </c>
      <c r="R12" s="106">
        <v>0.16</v>
      </c>
      <c r="S12" s="106">
        <v>0.16</v>
      </c>
      <c r="T12" s="106">
        <v>0.16</v>
      </c>
      <c r="U12" s="106">
        <v>0.16</v>
      </c>
      <c r="V12" s="106">
        <v>0.16</v>
      </c>
      <c r="W12" s="106">
        <v>0.16</v>
      </c>
      <c r="X12" s="106">
        <v>0.16</v>
      </c>
      <c r="Y12" s="106">
        <v>0.16</v>
      </c>
      <c r="Z12" s="106">
        <v>0.16</v>
      </c>
      <c r="AA12" s="106">
        <v>0.16</v>
      </c>
      <c r="AB12" s="106">
        <v>0.16</v>
      </c>
      <c r="AC12" s="106">
        <v>0.16</v>
      </c>
      <c r="AD12" s="106">
        <v>0.16</v>
      </c>
      <c r="AE12" s="106">
        <v>0.16</v>
      </c>
      <c r="AF12" s="106">
        <v>0.16</v>
      </c>
      <c r="AG12" s="106">
        <v>0.16</v>
      </c>
      <c r="AH12" s="106">
        <v>0.16</v>
      </c>
      <c r="AI12" s="106">
        <v>0.16</v>
      </c>
      <c r="AJ12" s="106">
        <v>0.16</v>
      </c>
      <c r="AK12" s="106">
        <v>0.16</v>
      </c>
      <c r="AL12" s="106">
        <v>0.16</v>
      </c>
      <c r="AM12" s="106">
        <v>0.16</v>
      </c>
      <c r="AN12" s="106">
        <v>0.16</v>
      </c>
    </row>
    <row r="13" spans="1:40" hidden="1" outlineLevel="1" x14ac:dyDescent="0.25">
      <c r="B13" s="39" t="str">
        <v>Trainer</v>
      </c>
      <c r="C13" s="3"/>
      <c r="D13" s="3"/>
      <c r="E13" s="106">
        <v>0.4</v>
      </c>
      <c r="F13" s="106">
        <v>0.4</v>
      </c>
      <c r="G13" s="106">
        <v>0.4</v>
      </c>
      <c r="H13" s="106">
        <v>0.4</v>
      </c>
      <c r="I13" s="106">
        <v>0.4</v>
      </c>
      <c r="J13" s="106">
        <v>0.4</v>
      </c>
      <c r="K13" s="106">
        <v>0.4</v>
      </c>
      <c r="L13" s="106">
        <v>0.4</v>
      </c>
      <c r="M13" s="106">
        <v>0.4</v>
      </c>
      <c r="N13" s="106">
        <v>0.4</v>
      </c>
      <c r="O13" s="106">
        <v>0.4</v>
      </c>
      <c r="P13" s="106">
        <v>0.4</v>
      </c>
      <c r="Q13" s="106">
        <v>0.4</v>
      </c>
      <c r="R13" s="106">
        <v>0.4</v>
      </c>
      <c r="S13" s="106">
        <v>0.4</v>
      </c>
      <c r="T13" s="106">
        <v>0.4</v>
      </c>
      <c r="U13" s="106">
        <v>0.4</v>
      </c>
      <c r="V13" s="106">
        <v>0.4</v>
      </c>
      <c r="W13" s="106">
        <v>0.4</v>
      </c>
      <c r="X13" s="106">
        <v>0.4</v>
      </c>
      <c r="Y13" s="106">
        <v>0.4</v>
      </c>
      <c r="Z13" s="106">
        <v>0.4</v>
      </c>
      <c r="AA13" s="106">
        <v>0.4</v>
      </c>
      <c r="AB13" s="106">
        <v>0.4</v>
      </c>
      <c r="AC13" s="106">
        <v>0.4</v>
      </c>
      <c r="AD13" s="106">
        <v>0.4</v>
      </c>
      <c r="AE13" s="106">
        <v>0.4</v>
      </c>
      <c r="AF13" s="106">
        <v>0.4</v>
      </c>
      <c r="AG13" s="106">
        <v>0.4</v>
      </c>
      <c r="AH13" s="106">
        <v>0.4</v>
      </c>
      <c r="AI13" s="106">
        <v>0.4</v>
      </c>
      <c r="AJ13" s="106">
        <v>0.4</v>
      </c>
      <c r="AK13" s="106">
        <v>0.4</v>
      </c>
      <c r="AL13" s="106">
        <v>0.4</v>
      </c>
      <c r="AM13" s="106">
        <v>0.4</v>
      </c>
      <c r="AN13" s="106">
        <v>0.4</v>
      </c>
    </row>
    <row r="14" spans="1:40" hidden="1" outlineLevel="1" x14ac:dyDescent="0.25">
      <c r="B14" s="39" t="str">
        <v>Recruiter</v>
      </c>
      <c r="C14" s="3"/>
      <c r="D14" s="3"/>
      <c r="E14" s="106">
        <v>0.3</v>
      </c>
      <c r="F14" s="106">
        <v>0.3</v>
      </c>
      <c r="G14" s="106">
        <v>0.3</v>
      </c>
      <c r="H14" s="106">
        <v>0.3</v>
      </c>
      <c r="I14" s="106">
        <v>0.3</v>
      </c>
      <c r="J14" s="106">
        <v>0.3</v>
      </c>
      <c r="K14" s="106">
        <v>0.3</v>
      </c>
      <c r="L14" s="106">
        <v>0.3</v>
      </c>
      <c r="M14" s="106">
        <v>0.3</v>
      </c>
      <c r="N14" s="106">
        <v>0.3</v>
      </c>
      <c r="O14" s="106">
        <v>0.3</v>
      </c>
      <c r="P14" s="106">
        <v>0.3</v>
      </c>
      <c r="Q14" s="106">
        <v>0.3</v>
      </c>
      <c r="R14" s="106">
        <v>0.3</v>
      </c>
      <c r="S14" s="106">
        <v>0.3</v>
      </c>
      <c r="T14" s="106">
        <v>0.3</v>
      </c>
      <c r="U14" s="106">
        <v>0.3</v>
      </c>
      <c r="V14" s="106">
        <v>0.3</v>
      </c>
      <c r="W14" s="106">
        <v>0.3</v>
      </c>
      <c r="X14" s="106">
        <v>0.3</v>
      </c>
      <c r="Y14" s="106">
        <v>0.3</v>
      </c>
      <c r="Z14" s="106">
        <v>0.3</v>
      </c>
      <c r="AA14" s="106">
        <v>0.3</v>
      </c>
      <c r="AB14" s="106">
        <v>0.3</v>
      </c>
      <c r="AC14" s="106">
        <v>0.3</v>
      </c>
      <c r="AD14" s="106">
        <v>0.3</v>
      </c>
      <c r="AE14" s="106">
        <v>0.3</v>
      </c>
      <c r="AF14" s="106">
        <v>0.3</v>
      </c>
      <c r="AG14" s="106">
        <v>0.3</v>
      </c>
      <c r="AH14" s="106">
        <v>0.3</v>
      </c>
      <c r="AI14" s="106">
        <v>0.3</v>
      </c>
      <c r="AJ14" s="106">
        <v>0.3</v>
      </c>
      <c r="AK14" s="106">
        <v>0.3</v>
      </c>
      <c r="AL14" s="106">
        <v>0.3</v>
      </c>
      <c r="AM14" s="106">
        <v>0.3</v>
      </c>
      <c r="AN14" s="106">
        <v>0.3</v>
      </c>
    </row>
    <row r="15" spans="1:40" hidden="1" outlineLevel="1" x14ac:dyDescent="0.25">
      <c r="B15" s="39" t="str">
        <v>Center Director / Remote Site Director</v>
      </c>
      <c r="C15" s="3"/>
      <c r="D15" s="3"/>
      <c r="E15" s="106">
        <v>0.15000000000000002</v>
      </c>
      <c r="F15" s="106">
        <v>0.15000000000000002</v>
      </c>
      <c r="G15" s="106">
        <v>0.15000000000000002</v>
      </c>
      <c r="H15" s="106">
        <v>0.15000000000000002</v>
      </c>
      <c r="I15" s="106">
        <v>0.15000000000000002</v>
      </c>
      <c r="J15" s="106">
        <v>0.15000000000000002</v>
      </c>
      <c r="K15" s="106">
        <v>0.15000000000000002</v>
      </c>
      <c r="L15" s="106">
        <v>0.15000000000000002</v>
      </c>
      <c r="M15" s="106">
        <v>0.15000000000000002</v>
      </c>
      <c r="N15" s="106">
        <v>0.15000000000000002</v>
      </c>
      <c r="O15" s="106">
        <v>0.15000000000000002</v>
      </c>
      <c r="P15" s="106">
        <v>0.15000000000000002</v>
      </c>
      <c r="Q15" s="106">
        <v>0.15000000000000002</v>
      </c>
      <c r="R15" s="106">
        <v>0.15000000000000002</v>
      </c>
      <c r="S15" s="106">
        <v>0.15000000000000002</v>
      </c>
      <c r="T15" s="106">
        <v>0.15000000000000002</v>
      </c>
      <c r="U15" s="106">
        <v>0.15000000000000002</v>
      </c>
      <c r="V15" s="106">
        <v>0.15000000000000002</v>
      </c>
      <c r="W15" s="106">
        <v>0.15000000000000002</v>
      </c>
      <c r="X15" s="106">
        <v>0.15000000000000002</v>
      </c>
      <c r="Y15" s="106">
        <v>0.15000000000000002</v>
      </c>
      <c r="Z15" s="106">
        <v>0.15000000000000002</v>
      </c>
      <c r="AA15" s="106">
        <v>0.15000000000000002</v>
      </c>
      <c r="AB15" s="106">
        <v>0.15000000000000002</v>
      </c>
      <c r="AC15" s="106">
        <v>0.15000000000000002</v>
      </c>
      <c r="AD15" s="106">
        <v>0.15000000000000002</v>
      </c>
      <c r="AE15" s="106">
        <v>0.15000000000000002</v>
      </c>
      <c r="AF15" s="106">
        <v>0.15000000000000002</v>
      </c>
      <c r="AG15" s="106">
        <v>0.15000000000000002</v>
      </c>
      <c r="AH15" s="106">
        <v>0.15000000000000002</v>
      </c>
      <c r="AI15" s="106">
        <v>0.15000000000000002</v>
      </c>
      <c r="AJ15" s="106">
        <v>0.15000000000000002</v>
      </c>
      <c r="AK15" s="106">
        <v>0.15000000000000002</v>
      </c>
      <c r="AL15" s="106">
        <v>0.15000000000000002</v>
      </c>
      <c r="AM15" s="106">
        <v>0.15000000000000002</v>
      </c>
      <c r="AN15" s="106">
        <v>0.15000000000000002</v>
      </c>
    </row>
    <row r="16" spans="1:40" hidden="1" outlineLevel="1" x14ac:dyDescent="0.25">
      <c r="B16" s="39" t="str">
        <v>Center Marketing Outreach</v>
      </c>
      <c r="C16" s="3"/>
      <c r="D16" s="3"/>
      <c r="E16" s="106">
        <v>0.15000000000000002</v>
      </c>
      <c r="F16" s="106">
        <v>0.15000000000000002</v>
      </c>
      <c r="G16" s="106">
        <v>0.15000000000000002</v>
      </c>
      <c r="H16" s="106">
        <v>0.15000000000000002</v>
      </c>
      <c r="I16" s="106">
        <v>0.15000000000000002</v>
      </c>
      <c r="J16" s="106">
        <v>0.15000000000000002</v>
      </c>
      <c r="K16" s="106">
        <v>0.15000000000000002</v>
      </c>
      <c r="L16" s="106">
        <v>0.15000000000000002</v>
      </c>
      <c r="M16" s="106">
        <v>0.15000000000000002</v>
      </c>
      <c r="N16" s="106">
        <v>0.15000000000000002</v>
      </c>
      <c r="O16" s="106">
        <v>0.15000000000000002</v>
      </c>
      <c r="P16" s="106">
        <v>0.15000000000000002</v>
      </c>
      <c r="Q16" s="106">
        <v>0.15000000000000002</v>
      </c>
      <c r="R16" s="106">
        <v>0.15000000000000002</v>
      </c>
      <c r="S16" s="106">
        <v>0.15000000000000002</v>
      </c>
      <c r="T16" s="106">
        <v>0.15000000000000002</v>
      </c>
      <c r="U16" s="106">
        <v>0.15000000000000002</v>
      </c>
      <c r="V16" s="106">
        <v>0.15000000000000002</v>
      </c>
      <c r="W16" s="106">
        <v>0.15000000000000002</v>
      </c>
      <c r="X16" s="106">
        <v>0.15000000000000002</v>
      </c>
      <c r="Y16" s="106">
        <v>0.15000000000000002</v>
      </c>
      <c r="Z16" s="106">
        <v>0.15000000000000002</v>
      </c>
      <c r="AA16" s="106">
        <v>0.15000000000000002</v>
      </c>
      <c r="AB16" s="106">
        <v>0.15000000000000002</v>
      </c>
      <c r="AC16" s="106">
        <v>0.15000000000000002</v>
      </c>
      <c r="AD16" s="106">
        <v>0.15000000000000002</v>
      </c>
      <c r="AE16" s="106">
        <v>0.15000000000000002</v>
      </c>
      <c r="AF16" s="106">
        <v>0.15000000000000002</v>
      </c>
      <c r="AG16" s="106">
        <v>0.15000000000000002</v>
      </c>
      <c r="AH16" s="106">
        <v>0.15000000000000002</v>
      </c>
      <c r="AI16" s="106">
        <v>0.15000000000000002</v>
      </c>
      <c r="AJ16" s="106">
        <v>0.15000000000000002</v>
      </c>
      <c r="AK16" s="106">
        <v>0.15000000000000002</v>
      </c>
      <c r="AL16" s="106">
        <v>0.15000000000000002</v>
      </c>
      <c r="AM16" s="106">
        <v>0.15000000000000002</v>
      </c>
      <c r="AN16" s="106">
        <v>0.15000000000000002</v>
      </c>
    </row>
    <row r="17" spans="2:50" hidden="1" outlineLevel="1" x14ac:dyDescent="0.25">
      <c r="B17" s="39" t="str">
        <v>Primary Direct Staff Lead</v>
      </c>
      <c r="C17" s="3"/>
      <c r="D17" s="3"/>
      <c r="E17" s="106">
        <v>0</v>
      </c>
      <c r="F17" s="106">
        <v>0</v>
      </c>
      <c r="G17" s="106">
        <v>0</v>
      </c>
      <c r="H17" s="106">
        <v>0</v>
      </c>
      <c r="I17" s="106">
        <v>0</v>
      </c>
      <c r="J17" s="106">
        <v>0</v>
      </c>
      <c r="K17" s="106">
        <v>0</v>
      </c>
      <c r="L17" s="106">
        <v>0</v>
      </c>
      <c r="M17" s="106">
        <v>0</v>
      </c>
      <c r="N17" s="106">
        <v>0</v>
      </c>
      <c r="O17" s="106">
        <v>0</v>
      </c>
      <c r="P17" s="106">
        <v>0</v>
      </c>
      <c r="Q17" s="106">
        <v>0</v>
      </c>
      <c r="R17" s="106">
        <v>0</v>
      </c>
      <c r="S17" s="106">
        <v>0</v>
      </c>
      <c r="T17" s="106">
        <v>0</v>
      </c>
      <c r="U17" s="106">
        <v>0</v>
      </c>
      <c r="V17" s="106">
        <v>0</v>
      </c>
      <c r="W17" s="106">
        <v>0</v>
      </c>
      <c r="X17" s="106">
        <v>0</v>
      </c>
      <c r="Y17" s="106">
        <v>0</v>
      </c>
      <c r="Z17" s="106">
        <v>0</v>
      </c>
      <c r="AA17" s="106">
        <v>0</v>
      </c>
      <c r="AB17" s="106">
        <v>0</v>
      </c>
      <c r="AC17" s="106">
        <v>0</v>
      </c>
      <c r="AD17" s="106">
        <v>0</v>
      </c>
      <c r="AE17" s="106">
        <v>0</v>
      </c>
      <c r="AF17" s="106">
        <v>0</v>
      </c>
      <c r="AG17" s="106">
        <v>0</v>
      </c>
      <c r="AH17" s="106">
        <v>0</v>
      </c>
      <c r="AI17" s="106">
        <v>0</v>
      </c>
      <c r="AJ17" s="106">
        <v>0</v>
      </c>
      <c r="AK17" s="106">
        <v>0</v>
      </c>
      <c r="AL17" s="106">
        <v>0</v>
      </c>
      <c r="AM17" s="106">
        <v>0</v>
      </c>
      <c r="AN17" s="106">
        <v>0</v>
      </c>
    </row>
    <row r="18" spans="2:50" hidden="1" outlineLevel="1" x14ac:dyDescent="0.25">
      <c r="B18" s="39" t="str">
        <v>Tertiary Direct Staff</v>
      </c>
      <c r="C18" s="3"/>
      <c r="D18" s="3"/>
      <c r="E18" s="106">
        <v>0</v>
      </c>
      <c r="F18" s="106">
        <v>0</v>
      </c>
      <c r="G18" s="106">
        <v>0</v>
      </c>
      <c r="H18" s="106">
        <v>0</v>
      </c>
      <c r="I18" s="106">
        <v>0</v>
      </c>
      <c r="J18" s="106">
        <v>0</v>
      </c>
      <c r="K18" s="106">
        <v>0</v>
      </c>
      <c r="L18" s="106">
        <v>0</v>
      </c>
      <c r="M18" s="106">
        <v>0</v>
      </c>
      <c r="N18" s="106">
        <v>0</v>
      </c>
      <c r="O18" s="106">
        <v>0</v>
      </c>
      <c r="P18" s="106">
        <v>0</v>
      </c>
      <c r="Q18" s="106">
        <v>0</v>
      </c>
      <c r="R18" s="106">
        <v>0</v>
      </c>
      <c r="S18" s="106">
        <v>0</v>
      </c>
      <c r="T18" s="106">
        <v>0</v>
      </c>
      <c r="U18" s="106">
        <v>0</v>
      </c>
      <c r="V18" s="106">
        <v>0</v>
      </c>
      <c r="W18" s="106">
        <v>0</v>
      </c>
      <c r="X18" s="106">
        <v>0</v>
      </c>
      <c r="Y18" s="106">
        <v>0</v>
      </c>
      <c r="Z18" s="106">
        <v>0</v>
      </c>
      <c r="AA18" s="106">
        <v>0</v>
      </c>
      <c r="AB18" s="106">
        <v>0</v>
      </c>
      <c r="AC18" s="106">
        <v>0</v>
      </c>
      <c r="AD18" s="106">
        <v>0</v>
      </c>
      <c r="AE18" s="106">
        <v>0</v>
      </c>
      <c r="AF18" s="106">
        <v>0</v>
      </c>
      <c r="AG18" s="106">
        <v>0</v>
      </c>
      <c r="AH18" s="106">
        <v>0</v>
      </c>
      <c r="AI18" s="106">
        <v>0</v>
      </c>
      <c r="AJ18" s="106">
        <v>0</v>
      </c>
      <c r="AK18" s="106">
        <v>0</v>
      </c>
      <c r="AL18" s="106">
        <v>0</v>
      </c>
      <c r="AM18" s="106">
        <v>0</v>
      </c>
      <c r="AN18" s="106">
        <v>0</v>
      </c>
    </row>
    <row r="19" spans="2:50" hidden="1" outlineLevel="1" x14ac:dyDescent="0.25">
      <c r="B19" s="39" t="str">
        <v>Quinary Direct Staff</v>
      </c>
      <c r="C19" s="3"/>
      <c r="D19" s="3"/>
      <c r="E19" s="106">
        <v>0</v>
      </c>
      <c r="F19" s="106">
        <v>0</v>
      </c>
      <c r="G19" s="106">
        <v>0</v>
      </c>
      <c r="H19" s="106">
        <v>0</v>
      </c>
      <c r="I19" s="106">
        <v>0</v>
      </c>
      <c r="J19" s="106">
        <v>0</v>
      </c>
      <c r="K19" s="106">
        <v>0</v>
      </c>
      <c r="L19" s="106">
        <v>0</v>
      </c>
      <c r="M19" s="106">
        <v>0</v>
      </c>
      <c r="N19" s="106">
        <v>0</v>
      </c>
      <c r="O19" s="106">
        <v>0</v>
      </c>
      <c r="P19" s="106">
        <v>0</v>
      </c>
      <c r="Q19" s="106">
        <v>0</v>
      </c>
      <c r="R19" s="106">
        <v>0</v>
      </c>
      <c r="S19" s="106">
        <v>0</v>
      </c>
      <c r="T19" s="106">
        <v>0</v>
      </c>
      <c r="U19" s="106">
        <v>0</v>
      </c>
      <c r="V19" s="106">
        <v>0</v>
      </c>
      <c r="W19" s="106">
        <v>0</v>
      </c>
      <c r="X19" s="106">
        <v>0</v>
      </c>
      <c r="Y19" s="106">
        <v>0</v>
      </c>
      <c r="Z19" s="106">
        <v>0</v>
      </c>
      <c r="AA19" s="106">
        <v>0</v>
      </c>
      <c r="AB19" s="106">
        <v>0</v>
      </c>
      <c r="AC19" s="106">
        <v>0</v>
      </c>
      <c r="AD19" s="106">
        <v>0</v>
      </c>
      <c r="AE19" s="106">
        <v>0</v>
      </c>
      <c r="AF19" s="106">
        <v>0</v>
      </c>
      <c r="AG19" s="106">
        <v>0</v>
      </c>
      <c r="AH19" s="106">
        <v>0</v>
      </c>
      <c r="AI19" s="106">
        <v>0</v>
      </c>
      <c r="AJ19" s="106">
        <v>0</v>
      </c>
      <c r="AK19" s="106">
        <v>0</v>
      </c>
      <c r="AL19" s="106">
        <v>0</v>
      </c>
      <c r="AM19" s="106">
        <v>0</v>
      </c>
      <c r="AN19" s="106">
        <v>0</v>
      </c>
    </row>
    <row r="20" spans="2:50" hidden="1" outlineLevel="1" x14ac:dyDescent="0.25">
      <c r="B20" s="39" t="str">
        <v>Quaternary Direct Staff</v>
      </c>
      <c r="C20" s="3"/>
      <c r="D20" s="3"/>
      <c r="E20" s="106">
        <v>0</v>
      </c>
      <c r="F20" s="106">
        <v>0</v>
      </c>
      <c r="G20" s="106">
        <v>0</v>
      </c>
      <c r="H20" s="106">
        <v>0</v>
      </c>
      <c r="I20" s="106">
        <v>0</v>
      </c>
      <c r="J20" s="106">
        <v>0</v>
      </c>
      <c r="K20" s="106">
        <v>0</v>
      </c>
      <c r="L20" s="106">
        <v>0</v>
      </c>
      <c r="M20" s="106">
        <v>0</v>
      </c>
      <c r="N20" s="106">
        <v>0</v>
      </c>
      <c r="O20" s="106">
        <v>0</v>
      </c>
      <c r="P20" s="106">
        <v>0</v>
      </c>
      <c r="Q20" s="106">
        <v>0</v>
      </c>
      <c r="R20" s="106">
        <v>0</v>
      </c>
      <c r="S20" s="106">
        <v>0</v>
      </c>
      <c r="T20" s="106">
        <v>0</v>
      </c>
      <c r="U20" s="106">
        <v>0</v>
      </c>
      <c r="V20" s="106">
        <v>0</v>
      </c>
      <c r="W20" s="106">
        <v>0</v>
      </c>
      <c r="X20" s="106">
        <v>0</v>
      </c>
      <c r="Y20" s="106">
        <v>0</v>
      </c>
      <c r="Z20" s="106">
        <v>0</v>
      </c>
      <c r="AA20" s="106">
        <v>0</v>
      </c>
      <c r="AB20" s="106">
        <v>0</v>
      </c>
      <c r="AC20" s="106">
        <v>0</v>
      </c>
      <c r="AD20" s="106">
        <v>0</v>
      </c>
      <c r="AE20" s="106">
        <v>0</v>
      </c>
      <c r="AF20" s="106">
        <v>0</v>
      </c>
      <c r="AG20" s="106">
        <v>0</v>
      </c>
      <c r="AH20" s="106">
        <v>0</v>
      </c>
      <c r="AI20" s="106">
        <v>0</v>
      </c>
      <c r="AJ20" s="106">
        <v>0</v>
      </c>
      <c r="AK20" s="106">
        <v>0</v>
      </c>
      <c r="AL20" s="106">
        <v>0</v>
      </c>
      <c r="AM20" s="106">
        <v>0</v>
      </c>
      <c r="AN20" s="106">
        <v>0</v>
      </c>
    </row>
    <row r="21" spans="2:50" collapsed="1" x14ac:dyDescent="0.25">
      <c r="B21" s="39" t="s">
        <v>389</v>
      </c>
      <c r="C21" s="3"/>
      <c r="D21" s="5"/>
      <c r="E21" s="117" cm="1">
        <f t="array" ref="E21:AN21">ROUND(_xlfn.BYCOL(_xlfn.CHOOSEROWS(_xlfn.ANCHORARRAY(E7),1,2),_xlfn.LAMBDA(_xlpm.col,SUM(_xlpm.col))),0)</f>
        <v>18</v>
      </c>
      <c r="F21" s="117">
        <v>18</v>
      </c>
      <c r="G21" s="117">
        <v>18</v>
      </c>
      <c r="H21" s="117">
        <v>18</v>
      </c>
      <c r="I21" s="117">
        <v>18</v>
      </c>
      <c r="J21" s="117">
        <v>18</v>
      </c>
      <c r="K21" s="117">
        <v>18</v>
      </c>
      <c r="L21" s="117">
        <v>18</v>
      </c>
      <c r="M21" s="117">
        <v>18</v>
      </c>
      <c r="N21" s="117">
        <v>18</v>
      </c>
      <c r="O21" s="117">
        <v>18</v>
      </c>
      <c r="P21" s="117">
        <v>18</v>
      </c>
      <c r="Q21" s="117">
        <v>18</v>
      </c>
      <c r="R21" s="117">
        <v>18</v>
      </c>
      <c r="S21" s="117">
        <v>18</v>
      </c>
      <c r="T21" s="117">
        <v>18</v>
      </c>
      <c r="U21" s="117">
        <v>18</v>
      </c>
      <c r="V21" s="117">
        <v>18</v>
      </c>
      <c r="W21" s="117">
        <v>18</v>
      </c>
      <c r="X21" s="117">
        <v>18</v>
      </c>
      <c r="Y21" s="117">
        <v>18</v>
      </c>
      <c r="Z21" s="117">
        <v>18</v>
      </c>
      <c r="AA21" s="117">
        <v>18</v>
      </c>
      <c r="AB21" s="117">
        <v>18</v>
      </c>
      <c r="AC21" s="117">
        <v>18</v>
      </c>
      <c r="AD21" s="117">
        <v>18</v>
      </c>
      <c r="AE21" s="117">
        <v>18</v>
      </c>
      <c r="AF21" s="117">
        <v>18</v>
      </c>
      <c r="AG21" s="117">
        <v>18</v>
      </c>
      <c r="AH21" s="117">
        <v>18</v>
      </c>
      <c r="AI21" s="117">
        <v>18</v>
      </c>
      <c r="AJ21" s="117">
        <v>18</v>
      </c>
      <c r="AK21" s="117">
        <v>18</v>
      </c>
      <c r="AL21" s="117">
        <v>18</v>
      </c>
      <c r="AM21" s="117">
        <v>18</v>
      </c>
      <c r="AN21" s="117">
        <v>18</v>
      </c>
    </row>
    <row r="22" spans="2:50" x14ac:dyDescent="0.25">
      <c r="B22" s="2" t="s">
        <v>394</v>
      </c>
      <c r="C22" s="3"/>
      <c r="D22" s="77">
        <f>MAX(_xlfn.ANCHORARRAY(E22))</f>
        <v>100.05246655681817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97.138317045454542</v>
      </c>
      <c r="F22" s="78">
        <v>97.138317045454542</v>
      </c>
      <c r="G22" s="78">
        <v>97.138317045454542</v>
      </c>
      <c r="H22" s="78">
        <v>97.138317045454542</v>
      </c>
      <c r="I22" s="78">
        <v>97.138317045454542</v>
      </c>
      <c r="J22" s="78">
        <v>97.138317045454542</v>
      </c>
      <c r="K22" s="78">
        <v>97.138317045454542</v>
      </c>
      <c r="L22" s="78">
        <v>97.138317045454542</v>
      </c>
      <c r="M22" s="78">
        <v>97.138317045454542</v>
      </c>
      <c r="N22" s="78">
        <v>97.138317045454542</v>
      </c>
      <c r="O22" s="78">
        <v>97.138317045454542</v>
      </c>
      <c r="P22" s="78">
        <v>97.138317045454542</v>
      </c>
      <c r="Q22" s="78">
        <v>100.05246655681817</v>
      </c>
      <c r="R22" s="78">
        <v>100.05246655681817</v>
      </c>
      <c r="S22" s="78">
        <v>100.05246655681817</v>
      </c>
      <c r="T22" s="78">
        <v>100.05246655681817</v>
      </c>
      <c r="U22" s="78">
        <v>100.05246655681817</v>
      </c>
      <c r="V22" s="78">
        <v>100.05246655681817</v>
      </c>
      <c r="W22" s="78">
        <v>100.05246655681817</v>
      </c>
      <c r="X22" s="78">
        <v>100.05246655681817</v>
      </c>
      <c r="Y22" s="78">
        <v>100.05246655681817</v>
      </c>
      <c r="Z22" s="78">
        <v>100.05246655681817</v>
      </c>
      <c r="AA22" s="78">
        <v>100.05246655681817</v>
      </c>
      <c r="AB22" s="78">
        <v>100.05246655681817</v>
      </c>
      <c r="AC22" s="78">
        <v>100.05246655681817</v>
      </c>
      <c r="AD22" s="78">
        <v>100.05246655681817</v>
      </c>
      <c r="AE22" s="78">
        <v>100.05246655681817</v>
      </c>
      <c r="AF22" s="78">
        <v>100.05246655681817</v>
      </c>
      <c r="AG22" s="78">
        <v>100.05246655681817</v>
      </c>
      <c r="AH22" s="78">
        <v>100.05246655681817</v>
      </c>
      <c r="AI22" s="78">
        <v>100.05246655681817</v>
      </c>
      <c r="AJ22" s="78">
        <v>100.05246655681817</v>
      </c>
      <c r="AK22" s="78">
        <v>100.05246655681817</v>
      </c>
      <c r="AL22" s="78">
        <v>100.05246655681817</v>
      </c>
      <c r="AM22" s="78">
        <v>100.05246655681817</v>
      </c>
      <c r="AN22" s="78">
        <v>100.05246655681817</v>
      </c>
    </row>
    <row r="23" spans="2:50" x14ac:dyDescent="0.25">
      <c r="B23" s="2" t="s">
        <v>53</v>
      </c>
      <c r="C23" s="3"/>
      <c r="D23" s="72"/>
      <c r="E23" s="52" cm="1">
        <f t="array" ref="E23:AN23">_xlfn.LET(_xlpm.site,$B$1&amp;"-"&amp;$C$1,_xlpm.locations,Base!$D$4:$BD$4,_xlpm.Customer,_xlfn.ANCHORARRAY(E1),_xlpm.hours,SUM(_xlfn.XLOOKUP(_xlpm.site,_xlpm.locations,Base!$D$74:$BD$78,0,0)),
_xlpm.collection,1-_xlfn.XLOOKUP(_xlpm.site,_xlpm.locations,Base!$D$26:$BD$26,0,0),
_xlpm.Customer*_xlpm.hours*_xlpm.collection*(52/12))</f>
        <v>1858.5599999999997</v>
      </c>
      <c r="F23" s="52">
        <v>1858.5599999999997</v>
      </c>
      <c r="G23" s="52">
        <v>1858.5599999999997</v>
      </c>
      <c r="H23" s="52">
        <v>1858.5599999999997</v>
      </c>
      <c r="I23" s="52">
        <v>1858.5599999999997</v>
      </c>
      <c r="J23" s="52">
        <v>1858.5599999999997</v>
      </c>
      <c r="K23" s="52">
        <v>1858.5599999999997</v>
      </c>
      <c r="L23" s="52">
        <v>1858.5599999999997</v>
      </c>
      <c r="M23" s="52">
        <v>1858.5599999999997</v>
      </c>
      <c r="N23" s="52">
        <v>1858.5599999999997</v>
      </c>
      <c r="O23" s="52">
        <v>1858.5599999999997</v>
      </c>
      <c r="P23" s="52">
        <v>1858.5599999999997</v>
      </c>
      <c r="Q23" s="52">
        <v>1858.5599999999997</v>
      </c>
      <c r="R23" s="52">
        <v>1858.5599999999997</v>
      </c>
      <c r="S23" s="52">
        <v>1858.5599999999997</v>
      </c>
      <c r="T23" s="52">
        <v>1858.5599999999997</v>
      </c>
      <c r="U23" s="52">
        <v>1858.5599999999997</v>
      </c>
      <c r="V23" s="52">
        <v>1858.5599999999997</v>
      </c>
      <c r="W23" s="52">
        <v>1858.5599999999997</v>
      </c>
      <c r="X23" s="52">
        <v>1858.5599999999997</v>
      </c>
      <c r="Y23" s="52">
        <v>1858.5599999999997</v>
      </c>
      <c r="Z23" s="52">
        <v>1858.5599999999997</v>
      </c>
      <c r="AA23" s="52">
        <v>1858.5599999999997</v>
      </c>
      <c r="AB23" s="52">
        <v>1858.5599999999997</v>
      </c>
      <c r="AC23" s="52">
        <v>1858.5599999999997</v>
      </c>
      <c r="AD23" s="52">
        <v>1858.5599999999997</v>
      </c>
      <c r="AE23" s="52">
        <v>1858.5599999999997</v>
      </c>
      <c r="AF23" s="52">
        <v>1858.5599999999997</v>
      </c>
      <c r="AG23" s="52">
        <v>1858.5599999999997</v>
      </c>
      <c r="AH23" s="52">
        <v>1858.5599999999997</v>
      </c>
      <c r="AI23" s="52">
        <v>1858.5599999999997</v>
      </c>
      <c r="AJ23" s="52">
        <v>1858.5599999999997</v>
      </c>
      <c r="AK23" s="52">
        <v>1858.5599999999997</v>
      </c>
      <c r="AL23" s="52">
        <v>1858.5599999999997</v>
      </c>
      <c r="AM23" s="52">
        <v>1858.5599999999997</v>
      </c>
      <c r="AN23" s="52">
        <v>1858.5599999999997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21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_xlfn.LET(_xlpm.site,$B$1&amp;"-"&amp;$C$1,_xlpm.locations,Base!$D$4:$BD$4,_xlpm.rates,Base!$D31:$BD31,_xlpm.hours,Base!$D74:$BD74,_xlpm.comp,_xlpm.rates*_xlpm.hours,_xlpm.Customer,_xlfn.ANCHORARRAY($E$1),
_xlpm.Customer_comp,_xlfn.XLOOKUP(_xlpm.site,_xlpm.locations,_xlpm.comp,0,0),_xlpm.ann_incr,_xlfn.XLOOKUP(YEAR(_xlfn.ANCHORARRAY($E$25)),Base!$BJ$4:$BL$4,Base!$BJ74:$BL74,0,0),
_xlpm.bad_debt,_xlfn.XLOOKUP(_xlpm.site,_xlpm.locations,Base!$D$28:$BD$28,0,0),_xlpm.Customer_comp*_xlpm.Customer*_xlpm.bad_debt*_xlpm.ann_incr*(52/12))</f>
        <v>150937.65179999996</v>
      </c>
      <c r="F26" s="12">
        <v>150937.65179999996</v>
      </c>
      <c r="G26" s="12">
        <v>150937.65179999996</v>
      </c>
      <c r="H26" s="12">
        <v>150937.65179999996</v>
      </c>
      <c r="I26" s="12">
        <v>150937.65179999996</v>
      </c>
      <c r="J26" s="12">
        <v>150937.65179999996</v>
      </c>
      <c r="K26" s="12">
        <v>150937.65179999996</v>
      </c>
      <c r="L26" s="12">
        <v>150937.65179999996</v>
      </c>
      <c r="M26" s="12">
        <v>150937.65179999996</v>
      </c>
      <c r="N26" s="12">
        <v>150937.65179999996</v>
      </c>
      <c r="O26" s="12">
        <v>150937.65179999996</v>
      </c>
      <c r="P26" s="12">
        <v>150937.65179999996</v>
      </c>
      <c r="Q26" s="12">
        <v>155465.78135399995</v>
      </c>
      <c r="R26" s="12">
        <v>155465.78135399995</v>
      </c>
      <c r="S26" s="12">
        <v>155465.78135399995</v>
      </c>
      <c r="T26" s="12">
        <v>155465.78135399995</v>
      </c>
      <c r="U26" s="12">
        <v>155465.78135399995</v>
      </c>
      <c r="V26" s="12">
        <v>155465.78135399995</v>
      </c>
      <c r="W26" s="12">
        <v>155465.78135399995</v>
      </c>
      <c r="X26" s="12">
        <v>155465.78135399995</v>
      </c>
      <c r="Y26" s="12">
        <v>155465.78135399995</v>
      </c>
      <c r="Z26" s="12">
        <v>155465.78135399995</v>
      </c>
      <c r="AA26" s="12">
        <v>155465.78135399995</v>
      </c>
      <c r="AB26" s="12">
        <v>155465.78135399995</v>
      </c>
      <c r="AC26" s="12">
        <v>155465.78135399995</v>
      </c>
      <c r="AD26" s="12">
        <v>155465.78135399995</v>
      </c>
      <c r="AE26" s="12">
        <v>155465.78135399995</v>
      </c>
      <c r="AF26" s="12">
        <v>155465.78135399995</v>
      </c>
      <c r="AG26" s="12">
        <v>155465.78135399995</v>
      </c>
      <c r="AH26" s="12">
        <v>155465.78135399995</v>
      </c>
      <c r="AI26" s="12">
        <v>155465.78135399995</v>
      </c>
      <c r="AJ26" s="12">
        <v>155465.78135399995</v>
      </c>
      <c r="AK26" s="12">
        <v>155465.78135399995</v>
      </c>
      <c r="AL26" s="12">
        <v>155465.78135399995</v>
      </c>
      <c r="AM26" s="12">
        <v>155465.78135399995</v>
      </c>
      <c r="AN26" s="12">
        <v>155465.78135399995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_xlfn.LET(_xlpm.site,$B$1&amp;"-"&amp;$C$1,_xlpm.locations,Base!$D$4:$BD$4,_xlpm.rates,Base!$D32:$BD32,_xlpm.hours,Base!$D75:$BD75,_xlpm.comp,_xlpm.rates*_xlpm.hours,_xlpm.Customer,_xlfn.ANCHORARRAY($E$1),
_xlpm.Customer_comp,_xlfn.XLOOKUP(_xlpm.site,_xlpm.locations,_xlpm.comp,0,0),_xlpm.ann_incr,_xlfn.XLOOKUP(YEAR(_xlfn.ANCHORARRAY($E$25)),Base!$BJ$4:$BL$4,Base!$BJ75:$BL75,0,0),
_xlpm.bad_debt,_xlfn.XLOOKUP(_xlpm.site,_xlpm.locations,Base!$D$28:$BD$28,0,0),_xlpm.Customer_comp*_xlpm.Customer*_xlpm.bad_debt*_xlpm.ann_incr*(52/12))</f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12">
        <v>0</v>
      </c>
      <c r="AA27" s="12">
        <v>0</v>
      </c>
      <c r="AB27" s="12">
        <v>0</v>
      </c>
      <c r="AC27" s="12">
        <v>0</v>
      </c>
      <c r="AD27" s="12">
        <v>0</v>
      </c>
      <c r="AE27" s="12">
        <v>0</v>
      </c>
      <c r="AF27" s="12">
        <v>0</v>
      </c>
      <c r="AG27" s="12">
        <v>0</v>
      </c>
      <c r="AH27" s="12">
        <v>0</v>
      </c>
      <c r="AI27" s="12">
        <v>0</v>
      </c>
      <c r="AJ27" s="12">
        <v>0</v>
      </c>
      <c r="AK27" s="12">
        <v>0</v>
      </c>
      <c r="AL27" s="12">
        <v>0</v>
      </c>
      <c r="AM27" s="12">
        <v>0</v>
      </c>
      <c r="AN27" s="12">
        <v>0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_xlfn.LET(_xlpm.site,$B$1&amp;"-"&amp;$C$1,_xlpm.locations,Base!$D$4:$BD$4,_xlpm.rates,Base!$D33:$BD33,_xlpm.hours,Base!$D76:$BD76,_xlpm.comp,_xlpm.rates*_xlpm.hours,_xlpm.Customer,_xlfn.ANCHORARRAY($E$1),
_xlpm.Customer_comp,_xlfn.XLOOKUP(_xlpm.site,_xlpm.locations,_xlpm.comp,0,0),_xlpm.ann_incr,_xlfn.XLOOKUP(YEAR(_xlfn.ANCHORARRAY($E$25)),Base!$BJ$4:$BL$4,Base!$BJ76:$BL76,0,0),
_xlpm.bad_debt,_xlfn.XLOOKUP(_xlpm.site,_xlpm.locations,Base!$D$28:$BD$28,0,0),_xlpm.Customer_comp*_xlpm.Customer*_xlpm.bad_debt*_xlpm.ann_incr*(52/12))</f>
        <v>30479.197319999999</v>
      </c>
      <c r="F28" s="12">
        <v>30479.197319999999</v>
      </c>
      <c r="G28" s="12">
        <v>30479.197319999999</v>
      </c>
      <c r="H28" s="12">
        <v>30479.197319999999</v>
      </c>
      <c r="I28" s="12">
        <v>30479.197319999999</v>
      </c>
      <c r="J28" s="12">
        <v>30479.197319999999</v>
      </c>
      <c r="K28" s="12">
        <v>30479.197319999999</v>
      </c>
      <c r="L28" s="12">
        <v>30479.197319999999</v>
      </c>
      <c r="M28" s="12">
        <v>30479.197319999999</v>
      </c>
      <c r="N28" s="12">
        <v>30479.197319999999</v>
      </c>
      <c r="O28" s="12">
        <v>30479.197319999999</v>
      </c>
      <c r="P28" s="12">
        <v>30479.197319999999</v>
      </c>
      <c r="Q28" s="12">
        <v>31393.573239599998</v>
      </c>
      <c r="R28" s="12">
        <v>31393.573239599998</v>
      </c>
      <c r="S28" s="12">
        <v>31393.573239599998</v>
      </c>
      <c r="T28" s="12">
        <v>31393.573239599998</v>
      </c>
      <c r="U28" s="12">
        <v>31393.573239599998</v>
      </c>
      <c r="V28" s="12">
        <v>31393.573239599998</v>
      </c>
      <c r="W28" s="12">
        <v>31393.573239599998</v>
      </c>
      <c r="X28" s="12">
        <v>31393.573239599998</v>
      </c>
      <c r="Y28" s="12">
        <v>31393.573239599998</v>
      </c>
      <c r="Z28" s="12">
        <v>31393.573239599998</v>
      </c>
      <c r="AA28" s="12">
        <v>31393.573239599998</v>
      </c>
      <c r="AB28" s="12">
        <v>31393.573239599998</v>
      </c>
      <c r="AC28" s="12">
        <v>31393.573239599998</v>
      </c>
      <c r="AD28" s="12">
        <v>31393.573239599998</v>
      </c>
      <c r="AE28" s="12">
        <v>31393.573239599998</v>
      </c>
      <c r="AF28" s="12">
        <v>31393.573239599998</v>
      </c>
      <c r="AG28" s="12">
        <v>31393.573239599998</v>
      </c>
      <c r="AH28" s="12">
        <v>31393.573239599998</v>
      </c>
      <c r="AI28" s="12">
        <v>31393.573239599998</v>
      </c>
      <c r="AJ28" s="12">
        <v>31393.573239599998</v>
      </c>
      <c r="AK28" s="12">
        <v>31393.573239599998</v>
      </c>
      <c r="AL28" s="12">
        <v>31393.573239599998</v>
      </c>
      <c r="AM28" s="12">
        <v>31393.573239599998</v>
      </c>
      <c r="AN28" s="12">
        <v>31393.573239599998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_xlfn.LET(_xlpm.site,$B$1&amp;"-"&amp;$C$1,_xlpm.locations,Base!$D$4:$BD$4,_xlpm.rates,Base!$D34:$BD34,_xlpm.hours,Base!$D77:$BD77,_xlpm.comp,_xlpm.rates*_xlpm.hours,_xlpm.Customer,_xlfn.ANCHORARRAY($E$1),
_xlpm.Customer_comp,_xlfn.XLOOKUP(_xlpm.site,_xlpm.locations,_xlpm.comp,0,0),_xlpm.ann_incr,_xlfn.XLOOKUP(YEAR(_xlfn.ANCHORARRAY($E$25)),Base!$BJ$4:$BL$4,Base!$BJ77:$BL77,0,0),
_xlpm.bad_debt,_xlfn.XLOOKUP(_xlpm.site,_xlpm.locations,Base!$D$28:$BD$28,0,0),_xlpm.Customer_comp*_xlpm.Customer*_xlpm.bad_debt*_xlpm.ann_incr*(52/12))</f>
        <v>4689.1072799999993</v>
      </c>
      <c r="F29" s="12">
        <v>4689.1072799999993</v>
      </c>
      <c r="G29" s="12">
        <v>4689.1072799999993</v>
      </c>
      <c r="H29" s="12">
        <v>4689.1072799999993</v>
      </c>
      <c r="I29" s="12">
        <v>4689.1072799999993</v>
      </c>
      <c r="J29" s="12">
        <v>4689.1072799999993</v>
      </c>
      <c r="K29" s="12">
        <v>4689.1072799999993</v>
      </c>
      <c r="L29" s="12">
        <v>4689.1072799999993</v>
      </c>
      <c r="M29" s="12">
        <v>4689.1072799999993</v>
      </c>
      <c r="N29" s="12">
        <v>4689.1072799999993</v>
      </c>
      <c r="O29" s="12">
        <v>4689.1072799999993</v>
      </c>
      <c r="P29" s="12">
        <v>4689.1072799999993</v>
      </c>
      <c r="Q29" s="12">
        <v>4829.7804983999995</v>
      </c>
      <c r="R29" s="12">
        <v>4829.7804983999995</v>
      </c>
      <c r="S29" s="12">
        <v>4829.7804983999995</v>
      </c>
      <c r="T29" s="12">
        <v>4829.7804983999995</v>
      </c>
      <c r="U29" s="12">
        <v>4829.7804983999995</v>
      </c>
      <c r="V29" s="12">
        <v>4829.7804983999995</v>
      </c>
      <c r="W29" s="12">
        <v>4829.7804983999995</v>
      </c>
      <c r="X29" s="12">
        <v>4829.7804983999995</v>
      </c>
      <c r="Y29" s="12">
        <v>4829.7804983999995</v>
      </c>
      <c r="Z29" s="12">
        <v>4829.7804983999995</v>
      </c>
      <c r="AA29" s="12">
        <v>4829.7804983999995</v>
      </c>
      <c r="AB29" s="12">
        <v>4829.7804983999995</v>
      </c>
      <c r="AC29" s="12">
        <v>4829.7804983999995</v>
      </c>
      <c r="AD29" s="12">
        <v>4829.7804983999995</v>
      </c>
      <c r="AE29" s="12">
        <v>4829.7804983999995</v>
      </c>
      <c r="AF29" s="12">
        <v>4829.7804983999995</v>
      </c>
      <c r="AG29" s="12">
        <v>4829.7804983999995</v>
      </c>
      <c r="AH29" s="12">
        <v>4829.7804983999995</v>
      </c>
      <c r="AI29" s="12">
        <v>4829.7804983999995</v>
      </c>
      <c r="AJ29" s="12">
        <v>4829.7804983999995</v>
      </c>
      <c r="AK29" s="12">
        <v>4829.7804983999995</v>
      </c>
      <c r="AL29" s="12">
        <v>4829.7804983999995</v>
      </c>
      <c r="AM29" s="12">
        <v>4829.7804983999995</v>
      </c>
      <c r="AN29" s="12">
        <v>4829.7804983999995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_xlfn.LET(_xlpm.site,$B$1&amp;"-"&amp;$C$1,_xlpm.locations,Base!$D$4:$BD$4,_xlpm.rates,Base!$D35:$BD35,_xlpm.hours,Base!$D78:$BD78,_xlpm.comp,_xlpm.rates*_xlpm.hours,_xlpm.Customer,_xlfn.ANCHORARRAY($E$1),
_xlpm.Customer_comp,_xlfn.XLOOKUP(_xlpm.site,_xlpm.locations,_xlpm.comp,0,0),_xlpm.ann_incr,_xlfn.XLOOKUP(YEAR(_xlfn.ANCHORARRAY($E$25)),Base!$BJ$4:$BL$4,Base!$BJ78:$BL78,0,0),
_xlpm.bad_debt,_xlfn.XLOOKUP(_xlpm.site,_xlpm.locations,Base!$D$28:$BD$28,0,0),_xlpm.Customer_comp*_xlpm.Customer*_xlpm.bad_debt*_xlpm.ann_incr*(52/12))</f>
        <v>6740.8016639999987</v>
      </c>
      <c r="F30" s="12">
        <v>6740.8016639999987</v>
      </c>
      <c r="G30" s="12">
        <v>6740.8016639999987</v>
      </c>
      <c r="H30" s="12">
        <v>6740.8016639999987</v>
      </c>
      <c r="I30" s="12">
        <v>6740.8016639999987</v>
      </c>
      <c r="J30" s="12">
        <v>6740.8016639999987</v>
      </c>
      <c r="K30" s="12">
        <v>6740.8016639999987</v>
      </c>
      <c r="L30" s="12">
        <v>6740.8016639999987</v>
      </c>
      <c r="M30" s="12">
        <v>6740.8016639999987</v>
      </c>
      <c r="N30" s="12">
        <v>6740.8016639999987</v>
      </c>
      <c r="O30" s="12">
        <v>6740.8016639999987</v>
      </c>
      <c r="P30" s="12">
        <v>6740.8016639999987</v>
      </c>
      <c r="Q30" s="12">
        <v>6943.0257139199985</v>
      </c>
      <c r="R30" s="12">
        <v>6943.0257139199985</v>
      </c>
      <c r="S30" s="12">
        <v>6943.0257139199985</v>
      </c>
      <c r="T30" s="12">
        <v>6943.0257139199985</v>
      </c>
      <c r="U30" s="12">
        <v>6943.0257139199985</v>
      </c>
      <c r="V30" s="12">
        <v>6943.0257139199985</v>
      </c>
      <c r="W30" s="12">
        <v>6943.0257139199985</v>
      </c>
      <c r="X30" s="12">
        <v>6943.0257139199985</v>
      </c>
      <c r="Y30" s="12">
        <v>6943.0257139199985</v>
      </c>
      <c r="Z30" s="12">
        <v>6943.0257139199985</v>
      </c>
      <c r="AA30" s="12">
        <v>6943.0257139199985</v>
      </c>
      <c r="AB30" s="12">
        <v>6943.0257139199985</v>
      </c>
      <c r="AC30" s="12">
        <v>6943.0257139199985</v>
      </c>
      <c r="AD30" s="12">
        <v>6943.0257139199985</v>
      </c>
      <c r="AE30" s="12">
        <v>6943.0257139199985</v>
      </c>
      <c r="AF30" s="12">
        <v>6943.0257139199985</v>
      </c>
      <c r="AG30" s="12">
        <v>6943.0257139199985</v>
      </c>
      <c r="AH30" s="12">
        <v>6943.0257139199985</v>
      </c>
      <c r="AI30" s="12">
        <v>6943.0257139199985</v>
      </c>
      <c r="AJ30" s="12">
        <v>6943.0257139199985</v>
      </c>
      <c r="AK30" s="12">
        <v>6943.0257139199985</v>
      </c>
      <c r="AL30" s="12">
        <v>6943.0257139199985</v>
      </c>
      <c r="AM30" s="12">
        <v>6943.0257139199985</v>
      </c>
      <c r="AN30" s="12">
        <v>6943.0257139199985</v>
      </c>
    </row>
    <row r="31" spans="2:50" x14ac:dyDescent="0.25">
      <c r="B31" s="39" t="str">
        <f>Base!B36</f>
        <v>Tertiary Direct Staff - Service A</v>
      </c>
      <c r="C31" s="4"/>
      <c r="E31" s="183" cm="1">
        <f t="array" ref="E31:AN31">_xlfn.LET(_xlpm.site,$B$1&amp;"-"&amp;$C$1,_xlpm.locations,Base!$D$4:$BD$4,_xlpm.rates,Base!$D36:$BD36,_xlpm.hours,Base!$D79:$BD79,_xlpm.comp,_xlpm.rates*_xlpm.hours,_xlpm.Customer,_xlfn.ANCHORARRAY($E$1)*0,
_xlpm.Customer_comp,_xlfn.XLOOKUP(_xlpm.site,_xlpm.locations,_xlpm.comp,0,0),_xlpm.ann_incr,_xlfn.XLOOKUP(YEAR(_xlfn.ANCHORARRAY($E$25)),Base!$BJ$4:$BL$4,Base!$BJ79:$BL79,0,0),
_xlpm.bad_debt,_xlfn.XLOOKUP(_xlpm.site,_xlpm.locations,Base!$D$28:$BD$28,0,0),_xlpm.Customer_comp*_xlpm.Customer*_xlpm.bad_debt*_xlpm.ann_incr*(52/12))</f>
        <v>0</v>
      </c>
      <c r="F31" s="183">
        <v>0</v>
      </c>
      <c r="G31" s="183">
        <v>0</v>
      </c>
      <c r="H31" s="183">
        <v>0</v>
      </c>
      <c r="I31" s="183">
        <v>0</v>
      </c>
      <c r="J31" s="183">
        <v>0</v>
      </c>
      <c r="K31" s="183">
        <v>0</v>
      </c>
      <c r="L31" s="183">
        <v>0</v>
      </c>
      <c r="M31" s="183">
        <v>0</v>
      </c>
      <c r="N31" s="183">
        <v>0</v>
      </c>
      <c r="O31" s="183">
        <v>0</v>
      </c>
      <c r="P31" s="183">
        <v>0</v>
      </c>
      <c r="Q31" s="183">
        <v>0</v>
      </c>
      <c r="R31" s="183">
        <v>0</v>
      </c>
      <c r="S31" s="183">
        <v>0</v>
      </c>
      <c r="T31" s="183">
        <v>0</v>
      </c>
      <c r="U31" s="183">
        <v>0</v>
      </c>
      <c r="V31" s="183">
        <v>0</v>
      </c>
      <c r="W31" s="183">
        <v>0</v>
      </c>
      <c r="X31" s="183">
        <v>0</v>
      </c>
      <c r="Y31" s="183">
        <v>0</v>
      </c>
      <c r="Z31" s="183">
        <v>0</v>
      </c>
      <c r="AA31" s="183">
        <v>0</v>
      </c>
      <c r="AB31" s="183">
        <v>0</v>
      </c>
      <c r="AC31" s="183">
        <v>0</v>
      </c>
      <c r="AD31" s="183">
        <v>0</v>
      </c>
      <c r="AE31" s="183">
        <v>0</v>
      </c>
      <c r="AF31" s="183">
        <v>0</v>
      </c>
      <c r="AG31" s="183">
        <v>0</v>
      </c>
      <c r="AH31" s="183">
        <v>0</v>
      </c>
      <c r="AI31" s="183">
        <v>0</v>
      </c>
      <c r="AJ31" s="183">
        <v>0</v>
      </c>
      <c r="AK31" s="183">
        <v>0</v>
      </c>
      <c r="AL31" s="183">
        <v>0</v>
      </c>
      <c r="AM31" s="183">
        <v>0</v>
      </c>
      <c r="AN31" s="183">
        <v>0</v>
      </c>
    </row>
    <row r="32" spans="2:50" x14ac:dyDescent="0.25">
      <c r="B32" s="39" t="str">
        <f>Base!B37</f>
        <v>Tertiary Direct Staff - Service B</v>
      </c>
      <c r="C32" s="4"/>
      <c r="E32" s="183" cm="1">
        <f t="array" ref="E32:AN32">_xlfn.LET(_xlpm.site,$B$1&amp;"-"&amp;$C$1,_xlpm.locations,Base!$D$4:$BD$4,_xlpm.rates,Base!$D37:$BD37,_xlpm.hours,Base!$D80:$BD80,_xlpm.comp,_xlpm.rates*_xlpm.hours,_xlpm.Customer,_xlfn.ANCHORARRAY($E$1)*0,
_xlpm.Customer_comp,_xlfn.XLOOKUP(_xlpm.site,_xlpm.locations,_xlpm.comp,0,0),_xlpm.ann_incr,_xlfn.XLOOKUP(YEAR(_xlfn.ANCHORARRAY($E$25)),Base!$BJ$4:$BL$4,Base!$BJ80:$BL80,0,0),
_xlpm.bad_debt,_xlfn.XLOOKUP(_xlpm.site,_xlpm.locations,Base!$D$28:$BD$28,0,0),_xlpm.Customer_comp*_xlpm.Customer*_xlpm.bad_debt*_xlpm.ann_incr*(52/12))</f>
        <v>0</v>
      </c>
      <c r="F32" s="183">
        <v>0</v>
      </c>
      <c r="G32" s="183">
        <v>0</v>
      </c>
      <c r="H32" s="183">
        <v>0</v>
      </c>
      <c r="I32" s="183">
        <v>0</v>
      </c>
      <c r="J32" s="183">
        <v>0</v>
      </c>
      <c r="K32" s="183">
        <v>0</v>
      </c>
      <c r="L32" s="183">
        <v>0</v>
      </c>
      <c r="M32" s="183">
        <v>0</v>
      </c>
      <c r="N32" s="183">
        <v>0</v>
      </c>
      <c r="O32" s="183">
        <v>0</v>
      </c>
      <c r="P32" s="183">
        <v>0</v>
      </c>
      <c r="Q32" s="183">
        <v>0</v>
      </c>
      <c r="R32" s="183">
        <v>0</v>
      </c>
      <c r="S32" s="183">
        <v>0</v>
      </c>
      <c r="T32" s="183">
        <v>0</v>
      </c>
      <c r="U32" s="183">
        <v>0</v>
      </c>
      <c r="V32" s="183">
        <v>0</v>
      </c>
      <c r="W32" s="183">
        <v>0</v>
      </c>
      <c r="X32" s="183">
        <v>0</v>
      </c>
      <c r="Y32" s="183">
        <v>0</v>
      </c>
      <c r="Z32" s="183">
        <v>0</v>
      </c>
      <c r="AA32" s="183">
        <v>0</v>
      </c>
      <c r="AB32" s="183">
        <v>0</v>
      </c>
      <c r="AC32" s="183">
        <v>0</v>
      </c>
      <c r="AD32" s="183">
        <v>0</v>
      </c>
      <c r="AE32" s="183">
        <v>0</v>
      </c>
      <c r="AF32" s="183">
        <v>0</v>
      </c>
      <c r="AG32" s="183">
        <v>0</v>
      </c>
      <c r="AH32" s="183">
        <v>0</v>
      </c>
      <c r="AI32" s="183">
        <v>0</v>
      </c>
      <c r="AJ32" s="183">
        <v>0</v>
      </c>
      <c r="AK32" s="183">
        <v>0</v>
      </c>
      <c r="AL32" s="183">
        <v>0</v>
      </c>
      <c r="AM32" s="183">
        <v>0</v>
      </c>
      <c r="AN32" s="183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_xlpm.Customer,_xlfn.ANCHORARRAY($E$2),_xlpm.ann_incr,_xlfn.XLOOKUP(YEAR(_xlfn.ANCHORARRAY($E$25)),Base!$BJ$4:$BL$4,Base!$BJ$81:$BL$81,0,0),
_xlpm.bad_debt,_xlfn.XLOOKUP(_xlpm.site,_xlpm.locations,Base!$D$28:$BD$28,0,0),
_xlpm.comp*_xlpm.bad_debt*_xlpm.ann_incr*(52/12))</f>
        <v>0</v>
      </c>
      <c r="F33" s="12">
        <v>0</v>
      </c>
      <c r="G33" s="12">
        <v>0</v>
      </c>
      <c r="H33" s="12">
        <v>0</v>
      </c>
      <c r="I33" s="12">
        <v>0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2">
        <v>0</v>
      </c>
      <c r="Y33" s="12">
        <v>0</v>
      </c>
      <c r="Z33" s="12">
        <v>0</v>
      </c>
      <c r="AA33" s="12">
        <v>0</v>
      </c>
      <c r="AB33" s="12">
        <v>0</v>
      </c>
      <c r="AC33" s="12">
        <v>0</v>
      </c>
      <c r="AD33" s="12">
        <v>0</v>
      </c>
      <c r="AE33" s="12">
        <v>0</v>
      </c>
      <c r="AF33" s="12">
        <v>0</v>
      </c>
      <c r="AG33" s="12">
        <v>0</v>
      </c>
      <c r="AH33" s="12">
        <v>0</v>
      </c>
      <c r="AI33" s="12">
        <v>0</v>
      </c>
      <c r="AJ33" s="12">
        <v>0</v>
      </c>
      <c r="AK33" s="12">
        <v>0</v>
      </c>
      <c r="AL33" s="12">
        <v>0</v>
      </c>
      <c r="AM33" s="12">
        <v>0</v>
      </c>
      <c r="AN33" s="12">
        <v>0</v>
      </c>
    </row>
    <row r="34" spans="2:40" x14ac:dyDescent="0.25">
      <c r="B34" s="39" t="str">
        <f>Base!B39</f>
        <v>Quinary Direct Staff - Service A</v>
      </c>
      <c r="C34" s="4"/>
      <c r="E34" s="183" cm="1">
        <f t="array" ref="E34:AN34">_xlfn.LET(_xlpm.site,$B$1&amp;"-"&amp;$C$1,_xlpm.locations,Base!$D$4:$BD$4,_xlpm.rates,Base!$D39:$BD39,_xlpm.hours,Base!$D82:$BD82,_xlpm.comp,_xlpm.rates*_xlpm.hours,_xlpm.Customer,_xlfn.ANCHORARRAY($E$1)*0,
_xlpm.Customer_comp,_xlfn.XLOOKUP(_xlpm.site,_xlpm.locations,_xlpm.comp,0,0),_xlpm.ann_incr,_xlfn.XLOOKUP(YEAR(_xlfn.ANCHORARRAY($E$25)),Base!$BJ$4:$BL$4,Base!$BJ82:$BL82,0,0),
_xlpm.bad_debt,_xlfn.XLOOKUP(_xlpm.site,_xlpm.locations,Base!$D$28:$BD$28,0,0),_xlpm.Customer_comp*_xlpm.Customer*_xlpm.bad_debt*_xlpm.ann_incr*(52/12))</f>
        <v>0</v>
      </c>
      <c r="F34" s="183">
        <v>0</v>
      </c>
      <c r="G34" s="183">
        <v>0</v>
      </c>
      <c r="H34" s="183">
        <v>0</v>
      </c>
      <c r="I34" s="183">
        <v>0</v>
      </c>
      <c r="J34" s="183">
        <v>0</v>
      </c>
      <c r="K34" s="183">
        <v>0</v>
      </c>
      <c r="L34" s="183">
        <v>0</v>
      </c>
      <c r="M34" s="183">
        <v>0</v>
      </c>
      <c r="N34" s="183">
        <v>0</v>
      </c>
      <c r="O34" s="183">
        <v>0</v>
      </c>
      <c r="P34" s="183">
        <v>0</v>
      </c>
      <c r="Q34" s="183">
        <v>0</v>
      </c>
      <c r="R34" s="183">
        <v>0</v>
      </c>
      <c r="S34" s="183">
        <v>0</v>
      </c>
      <c r="T34" s="183">
        <v>0</v>
      </c>
      <c r="U34" s="183">
        <v>0</v>
      </c>
      <c r="V34" s="183">
        <v>0</v>
      </c>
      <c r="W34" s="183">
        <v>0</v>
      </c>
      <c r="X34" s="183">
        <v>0</v>
      </c>
      <c r="Y34" s="183">
        <v>0</v>
      </c>
      <c r="Z34" s="183">
        <v>0</v>
      </c>
      <c r="AA34" s="183">
        <v>0</v>
      </c>
      <c r="AB34" s="183">
        <v>0</v>
      </c>
      <c r="AC34" s="183">
        <v>0</v>
      </c>
      <c r="AD34" s="183">
        <v>0</v>
      </c>
      <c r="AE34" s="183">
        <v>0</v>
      </c>
      <c r="AF34" s="183">
        <v>0</v>
      </c>
      <c r="AG34" s="183">
        <v>0</v>
      </c>
      <c r="AH34" s="183">
        <v>0</v>
      </c>
      <c r="AI34" s="183">
        <v>0</v>
      </c>
      <c r="AJ34" s="183">
        <v>0</v>
      </c>
      <c r="AK34" s="183">
        <v>0</v>
      </c>
      <c r="AL34" s="183">
        <v>0</v>
      </c>
      <c r="AM34" s="183">
        <v>0</v>
      </c>
      <c r="AN34" s="183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-23141.610967679993</v>
      </c>
      <c r="F35" s="12">
        <v>-23141.610967679993</v>
      </c>
      <c r="G35" s="12">
        <v>-23141.610967679993</v>
      </c>
      <c r="H35" s="12">
        <v>-23141.610967679993</v>
      </c>
      <c r="I35" s="12">
        <v>-23141.610967679993</v>
      </c>
      <c r="J35" s="12">
        <v>-23141.610967679993</v>
      </c>
      <c r="K35" s="12">
        <v>-23141.610967679993</v>
      </c>
      <c r="L35" s="12">
        <v>-23141.610967679993</v>
      </c>
      <c r="M35" s="12">
        <v>-23141.610967679993</v>
      </c>
      <c r="N35" s="12">
        <v>-23141.610967679993</v>
      </c>
      <c r="O35" s="12">
        <v>-23141.610967679993</v>
      </c>
      <c r="P35" s="12">
        <v>-23141.610967679993</v>
      </c>
      <c r="Q35" s="12">
        <v>-23835.859296710394</v>
      </c>
      <c r="R35" s="12">
        <v>-23835.859296710394</v>
      </c>
      <c r="S35" s="12">
        <v>-23835.859296710394</v>
      </c>
      <c r="T35" s="12">
        <v>-23835.859296710394</v>
      </c>
      <c r="U35" s="12">
        <v>-23835.859296710394</v>
      </c>
      <c r="V35" s="12">
        <v>-23835.859296710394</v>
      </c>
      <c r="W35" s="12">
        <v>-23835.859296710394</v>
      </c>
      <c r="X35" s="12">
        <v>-23835.859296710394</v>
      </c>
      <c r="Y35" s="12">
        <v>-23835.859296710394</v>
      </c>
      <c r="Z35" s="12">
        <v>-23835.859296710394</v>
      </c>
      <c r="AA35" s="12">
        <v>-23835.859296710394</v>
      </c>
      <c r="AB35" s="12">
        <v>-23835.859296710394</v>
      </c>
      <c r="AC35" s="12">
        <v>-23835.859296710394</v>
      </c>
      <c r="AD35" s="12">
        <v>-23835.859296710394</v>
      </c>
      <c r="AE35" s="12">
        <v>-23835.859296710394</v>
      </c>
      <c r="AF35" s="12">
        <v>-23835.859296710394</v>
      </c>
      <c r="AG35" s="12">
        <v>-23835.859296710394</v>
      </c>
      <c r="AH35" s="12">
        <v>-23835.859296710394</v>
      </c>
      <c r="AI35" s="12">
        <v>-23835.859296710394</v>
      </c>
      <c r="AJ35" s="12">
        <v>-23835.859296710394</v>
      </c>
      <c r="AK35" s="12">
        <v>-23835.859296710394</v>
      </c>
      <c r="AL35" s="12">
        <v>-23835.859296710394</v>
      </c>
      <c r="AM35" s="12">
        <v>-23835.859296710394</v>
      </c>
      <c r="AN35" s="12">
        <v>-23835.859296710394</v>
      </c>
    </row>
    <row r="36" spans="2:40" x14ac:dyDescent="0.25">
      <c r="B36" s="39" t="s">
        <v>261</v>
      </c>
      <c r="C36" s="15"/>
      <c r="E36" s="183" cm="1">
        <f t="array" ref="E36:AN36">_xlfn.BYCOL(_xlfn.ANCHORARRAY($E$25),_xlfn.LAMBDA(_xlpm.a,0))</f>
        <v>0</v>
      </c>
      <c r="F36" s="183">
        <v>0</v>
      </c>
      <c r="G36" s="183">
        <v>0</v>
      </c>
      <c r="H36" s="183">
        <v>0</v>
      </c>
      <c r="I36" s="183">
        <v>0</v>
      </c>
      <c r="J36" s="183">
        <v>0</v>
      </c>
      <c r="K36" s="183">
        <v>0</v>
      </c>
      <c r="L36" s="183">
        <v>0</v>
      </c>
      <c r="M36" s="183">
        <v>0</v>
      </c>
      <c r="N36" s="183">
        <v>0</v>
      </c>
      <c r="O36" s="183">
        <v>0</v>
      </c>
      <c r="P36" s="183">
        <v>0</v>
      </c>
      <c r="Q36" s="183">
        <v>0</v>
      </c>
      <c r="R36" s="183">
        <v>0</v>
      </c>
      <c r="S36" s="183">
        <v>0</v>
      </c>
      <c r="T36" s="183">
        <v>0</v>
      </c>
      <c r="U36" s="183">
        <v>0</v>
      </c>
      <c r="V36" s="183">
        <v>0</v>
      </c>
      <c r="W36" s="183">
        <v>0</v>
      </c>
      <c r="X36" s="183">
        <v>0</v>
      </c>
      <c r="Y36" s="183">
        <v>0</v>
      </c>
      <c r="Z36" s="183">
        <v>0</v>
      </c>
      <c r="AA36" s="183">
        <v>0</v>
      </c>
      <c r="AB36" s="183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271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169705.14709631997</v>
      </c>
      <c r="F37" s="13">
        <v>169705.14709631997</v>
      </c>
      <c r="G37" s="13">
        <v>169705.14709631997</v>
      </c>
      <c r="H37" s="13">
        <v>169705.14709631997</v>
      </c>
      <c r="I37" s="13">
        <v>169705.14709631997</v>
      </c>
      <c r="J37" s="13">
        <v>169705.14709631997</v>
      </c>
      <c r="K37" s="13">
        <v>169705.14709631997</v>
      </c>
      <c r="L37" s="13">
        <v>169705.14709631997</v>
      </c>
      <c r="M37" s="13">
        <v>169705.14709631997</v>
      </c>
      <c r="N37" s="13">
        <v>169705.14709631997</v>
      </c>
      <c r="O37" s="13">
        <v>169705.14709631997</v>
      </c>
      <c r="P37" s="13">
        <v>169705.14709631997</v>
      </c>
      <c r="Q37" s="13">
        <v>174796.30150920956</v>
      </c>
      <c r="R37" s="13">
        <v>174796.30150920956</v>
      </c>
      <c r="S37" s="13">
        <v>174796.30150920956</v>
      </c>
      <c r="T37" s="13">
        <v>174796.30150920956</v>
      </c>
      <c r="U37" s="13">
        <v>174796.30150920956</v>
      </c>
      <c r="V37" s="13">
        <v>174796.30150920956</v>
      </c>
      <c r="W37" s="13">
        <v>174796.30150920956</v>
      </c>
      <c r="X37" s="13">
        <v>174796.30150920956</v>
      </c>
      <c r="Y37" s="13">
        <v>174796.30150920956</v>
      </c>
      <c r="Z37" s="13">
        <v>174796.30150920956</v>
      </c>
      <c r="AA37" s="13">
        <v>174796.30150920956</v>
      </c>
      <c r="AB37" s="13">
        <v>174796.30150920956</v>
      </c>
      <c r="AC37" s="13">
        <v>174796.30150920956</v>
      </c>
      <c r="AD37" s="13">
        <v>174796.30150920956</v>
      </c>
      <c r="AE37" s="13">
        <v>174796.30150920956</v>
      </c>
      <c r="AF37" s="13">
        <v>174796.30150920956</v>
      </c>
      <c r="AG37" s="13">
        <v>174796.30150920956</v>
      </c>
      <c r="AH37" s="13">
        <v>174796.30150920956</v>
      </c>
      <c r="AI37" s="13">
        <v>174796.30150920956</v>
      </c>
      <c r="AJ37" s="13">
        <v>174796.30150920956</v>
      </c>
      <c r="AK37" s="13">
        <v>174796.30150920956</v>
      </c>
      <c r="AL37" s="13">
        <v>174796.30150920956</v>
      </c>
      <c r="AM37" s="13">
        <v>174796.30150920956</v>
      </c>
      <c r="AN37" s="13">
        <v>174796.30150920956</v>
      </c>
    </row>
    <row r="38" spans="2:40" x14ac:dyDescent="0.25">
      <c r="E38" s="67"/>
      <c r="F38" s="67"/>
    </row>
    <row r="39" spans="2:40" x14ac:dyDescent="0.25">
      <c r="B39" s="1" t="s">
        <v>118</v>
      </c>
    </row>
    <row r="40" spans="2:40" x14ac:dyDescent="0.25">
      <c r="B40" s="39" t="s">
        <v>23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74418.177991751305</v>
      </c>
      <c r="F40" s="12">
        <v>74418.177991751305</v>
      </c>
      <c r="G40" s="12">
        <v>74418.177991751305</v>
      </c>
      <c r="H40" s="12">
        <v>74418.177991751305</v>
      </c>
      <c r="I40" s="12">
        <v>74418.177991751305</v>
      </c>
      <c r="J40" s="12">
        <v>74418.177991751305</v>
      </c>
      <c r="K40" s="12">
        <v>74418.177991751305</v>
      </c>
      <c r="L40" s="12">
        <v>74418.177991751305</v>
      </c>
      <c r="M40" s="12">
        <v>74418.177991751305</v>
      </c>
      <c r="N40" s="12">
        <v>74418.177991751305</v>
      </c>
      <c r="O40" s="12">
        <v>74418.177991751305</v>
      </c>
      <c r="P40" s="12">
        <v>74418.177991751305</v>
      </c>
      <c r="Q40" s="12">
        <v>81859.995790926434</v>
      </c>
      <c r="R40" s="12">
        <v>81859.995790926434</v>
      </c>
      <c r="S40" s="12">
        <v>81859.995790926434</v>
      </c>
      <c r="T40" s="12">
        <v>81859.995790926434</v>
      </c>
      <c r="U40" s="12">
        <v>81859.995790926434</v>
      </c>
      <c r="V40" s="12">
        <v>81859.995790926434</v>
      </c>
      <c r="W40" s="12">
        <v>81859.995790926434</v>
      </c>
      <c r="X40" s="12">
        <v>81859.995790926434</v>
      </c>
      <c r="Y40" s="12">
        <v>81859.995790926434</v>
      </c>
      <c r="Z40" s="12">
        <v>81859.995790926434</v>
      </c>
      <c r="AA40" s="12">
        <v>81859.995790926434</v>
      </c>
      <c r="AB40" s="12">
        <v>81859.995790926434</v>
      </c>
      <c r="AC40" s="12">
        <v>90045.995370019082</v>
      </c>
      <c r="AD40" s="12">
        <v>90045.995370019082</v>
      </c>
      <c r="AE40" s="12">
        <v>90045.995370019082</v>
      </c>
      <c r="AF40" s="12">
        <v>90045.995370019082</v>
      </c>
      <c r="AG40" s="12">
        <v>90045.995370019082</v>
      </c>
      <c r="AH40" s="12">
        <v>90045.995370019082</v>
      </c>
      <c r="AI40" s="12">
        <v>90045.995370019082</v>
      </c>
      <c r="AJ40" s="12">
        <v>90045.995370019082</v>
      </c>
      <c r="AK40" s="12">
        <v>90045.995370019082</v>
      </c>
      <c r="AL40" s="12">
        <v>90045.995370019082</v>
      </c>
      <c r="AM40" s="12">
        <v>90045.995370019082</v>
      </c>
      <c r="AN40" s="12">
        <v>90045.995370019082</v>
      </c>
    </row>
    <row r="41" spans="2:40" x14ac:dyDescent="0.25">
      <c r="B41" s="39" t="s">
        <v>388</v>
      </c>
      <c r="C41" s="142">
        <f>_xlfn.XLOOKUP($B$1&amp;"-"&amp;$C$1,Base!$D$4:$BD$4,Base!$D$12:$BD$12,0,0)</f>
        <v>0</v>
      </c>
      <c r="E41" s="183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28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0</v>
      </c>
      <c r="AJ42" s="12">
        <v>0</v>
      </c>
      <c r="AK42" s="12">
        <v>0</v>
      </c>
      <c r="AL42" s="12">
        <v>0</v>
      </c>
      <c r="AM42" s="12">
        <v>0</v>
      </c>
      <c r="AN42" s="12">
        <v>0</v>
      </c>
    </row>
    <row r="43" spans="2:40" x14ac:dyDescent="0.25">
      <c r="B43" s="39" t="s">
        <v>31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0</v>
      </c>
      <c r="X43" s="12">
        <v>0</v>
      </c>
      <c r="Y43" s="12">
        <v>0</v>
      </c>
      <c r="Z43" s="12">
        <v>0</v>
      </c>
      <c r="AA43" s="12">
        <v>0</v>
      </c>
      <c r="AB43" s="12">
        <v>0</v>
      </c>
      <c r="AC43" s="12">
        <v>0</v>
      </c>
      <c r="AD43" s="12">
        <v>0</v>
      </c>
      <c r="AE43" s="12">
        <v>0</v>
      </c>
      <c r="AF43" s="12">
        <v>0</v>
      </c>
      <c r="AG43" s="12">
        <v>0</v>
      </c>
      <c r="AH43" s="12">
        <v>0</v>
      </c>
      <c r="AI43" s="12">
        <v>0</v>
      </c>
      <c r="AJ43" s="12">
        <v>0</v>
      </c>
      <c r="AK43" s="12">
        <v>0</v>
      </c>
      <c r="AL43" s="12">
        <v>0</v>
      </c>
      <c r="AM43" s="12">
        <v>0</v>
      </c>
      <c r="AN43" s="12">
        <v>0</v>
      </c>
    </row>
    <row r="44" spans="2:40" x14ac:dyDescent="0.25">
      <c r="B44" s="39" t="s">
        <v>34</v>
      </c>
      <c r="C44" s="96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1064.7303999999999</v>
      </c>
      <c r="F44" s="12">
        <v>1064.7303999999999</v>
      </c>
      <c r="G44" s="12">
        <v>1064.7303999999999</v>
      </c>
      <c r="H44" s="12">
        <v>1064.7303999999999</v>
      </c>
      <c r="I44" s="12">
        <v>1064.7303999999999</v>
      </c>
      <c r="J44" s="12">
        <v>1064.7303999999999</v>
      </c>
      <c r="K44" s="12">
        <v>1064.7303999999999</v>
      </c>
      <c r="L44" s="12">
        <v>1064.7303999999999</v>
      </c>
      <c r="M44" s="12">
        <v>1064.7303999999999</v>
      </c>
      <c r="N44" s="12">
        <v>1064.7303999999999</v>
      </c>
      <c r="O44" s="12">
        <v>1064.7303999999999</v>
      </c>
      <c r="P44" s="12">
        <v>1064.7303999999999</v>
      </c>
      <c r="Q44" s="12">
        <v>1107.3196159999998</v>
      </c>
      <c r="R44" s="12">
        <v>1107.3196159999998</v>
      </c>
      <c r="S44" s="12">
        <v>1107.3196159999998</v>
      </c>
      <c r="T44" s="12">
        <v>1107.3196159999998</v>
      </c>
      <c r="U44" s="12">
        <v>1107.3196159999998</v>
      </c>
      <c r="V44" s="12">
        <v>1107.3196159999998</v>
      </c>
      <c r="W44" s="12">
        <v>1107.3196159999998</v>
      </c>
      <c r="X44" s="12">
        <v>1107.3196159999998</v>
      </c>
      <c r="Y44" s="12">
        <v>1107.3196159999998</v>
      </c>
      <c r="Z44" s="12">
        <v>1107.3196159999998</v>
      </c>
      <c r="AA44" s="12">
        <v>1107.3196159999998</v>
      </c>
      <c r="AB44" s="12">
        <v>1107.3196159999998</v>
      </c>
      <c r="AC44" s="12">
        <v>1151.61240064</v>
      </c>
      <c r="AD44" s="12">
        <v>1151.61240064</v>
      </c>
      <c r="AE44" s="12">
        <v>1151.61240064</v>
      </c>
      <c r="AF44" s="12">
        <v>1151.61240064</v>
      </c>
      <c r="AG44" s="12">
        <v>1151.61240064</v>
      </c>
      <c r="AH44" s="12">
        <v>1151.61240064</v>
      </c>
      <c r="AI44" s="12">
        <v>1151.61240064</v>
      </c>
      <c r="AJ44" s="12">
        <v>1151.61240064</v>
      </c>
      <c r="AK44" s="12">
        <v>1151.61240064</v>
      </c>
      <c r="AL44" s="12">
        <v>1151.61240064</v>
      </c>
      <c r="AM44" s="12">
        <v>1151.61240064</v>
      </c>
      <c r="AN44" s="12">
        <v>1151.61240064</v>
      </c>
    </row>
    <row r="45" spans="2:40" x14ac:dyDescent="0.25">
      <c r="B45" s="39" t="s">
        <v>36</v>
      </c>
      <c r="C45" s="96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4500</v>
      </c>
      <c r="F45" s="12">
        <v>4500</v>
      </c>
      <c r="G45" s="12">
        <v>4500</v>
      </c>
      <c r="H45" s="12">
        <v>4500</v>
      </c>
      <c r="I45" s="12">
        <v>4500</v>
      </c>
      <c r="J45" s="12">
        <v>4500</v>
      </c>
      <c r="K45" s="12">
        <v>4500</v>
      </c>
      <c r="L45" s="12">
        <v>4500</v>
      </c>
      <c r="M45" s="12">
        <v>4500</v>
      </c>
      <c r="N45" s="12">
        <v>4500</v>
      </c>
      <c r="O45" s="12">
        <v>4500</v>
      </c>
      <c r="P45" s="12">
        <v>4500</v>
      </c>
      <c r="Q45" s="12">
        <v>4590</v>
      </c>
      <c r="R45" s="12">
        <v>4590</v>
      </c>
      <c r="S45" s="12">
        <v>4590</v>
      </c>
      <c r="T45" s="12">
        <v>4590</v>
      </c>
      <c r="U45" s="12">
        <v>4590</v>
      </c>
      <c r="V45" s="12">
        <v>4590</v>
      </c>
      <c r="W45" s="12">
        <v>4590</v>
      </c>
      <c r="X45" s="12">
        <v>4590</v>
      </c>
      <c r="Y45" s="12">
        <v>4590</v>
      </c>
      <c r="Z45" s="12">
        <v>4590</v>
      </c>
      <c r="AA45" s="12">
        <v>4590</v>
      </c>
      <c r="AB45" s="12">
        <v>4590</v>
      </c>
      <c r="AC45" s="12">
        <v>4681.8</v>
      </c>
      <c r="AD45" s="12">
        <v>4681.8</v>
      </c>
      <c r="AE45" s="12">
        <v>4681.8</v>
      </c>
      <c r="AF45" s="12">
        <v>4681.8</v>
      </c>
      <c r="AG45" s="12">
        <v>4681.8</v>
      </c>
      <c r="AH45" s="12">
        <v>4681.8</v>
      </c>
      <c r="AI45" s="12">
        <v>4681.8</v>
      </c>
      <c r="AJ45" s="12">
        <v>4681.8</v>
      </c>
      <c r="AK45" s="12">
        <v>4681.8</v>
      </c>
      <c r="AL45" s="12">
        <v>4681.8</v>
      </c>
      <c r="AM45" s="12">
        <v>4681.8</v>
      </c>
      <c r="AN45" s="12">
        <v>4681.8</v>
      </c>
    </row>
    <row r="46" spans="2:40" x14ac:dyDescent="0.25">
      <c r="B46" s="39" t="s">
        <v>38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11974.999999999998</v>
      </c>
      <c r="F46" s="12">
        <v>11974.999999999998</v>
      </c>
      <c r="G46" s="12">
        <v>11974.999999999998</v>
      </c>
      <c r="H46" s="12">
        <v>11974.999999999998</v>
      </c>
      <c r="I46" s="12">
        <v>11974.999999999998</v>
      </c>
      <c r="J46" s="12">
        <v>11974.999999999998</v>
      </c>
      <c r="K46" s="12">
        <v>11974.999999999998</v>
      </c>
      <c r="L46" s="12">
        <v>11974.999999999998</v>
      </c>
      <c r="M46" s="12">
        <v>11974.999999999998</v>
      </c>
      <c r="N46" s="12">
        <v>11974.999999999998</v>
      </c>
      <c r="O46" s="12">
        <v>11974.999999999998</v>
      </c>
      <c r="P46" s="12">
        <v>11974.999999999998</v>
      </c>
      <c r="Q46" s="12">
        <v>12214.5</v>
      </c>
      <c r="R46" s="12">
        <v>12214.5</v>
      </c>
      <c r="S46" s="12">
        <v>12214.5</v>
      </c>
      <c r="T46" s="12">
        <v>12214.5</v>
      </c>
      <c r="U46" s="12">
        <v>12214.5</v>
      </c>
      <c r="V46" s="12">
        <v>12214.5</v>
      </c>
      <c r="W46" s="12">
        <v>12214.5</v>
      </c>
      <c r="X46" s="12">
        <v>12214.5</v>
      </c>
      <c r="Y46" s="12">
        <v>12214.5</v>
      </c>
      <c r="Z46" s="12">
        <v>12214.5</v>
      </c>
      <c r="AA46" s="12">
        <v>12214.5</v>
      </c>
      <c r="AB46" s="12">
        <v>12214.5</v>
      </c>
      <c r="AC46" s="12">
        <v>12458.789999999999</v>
      </c>
      <c r="AD46" s="12">
        <v>12458.789999999999</v>
      </c>
      <c r="AE46" s="12">
        <v>12458.789999999999</v>
      </c>
      <c r="AF46" s="12">
        <v>12458.789999999999</v>
      </c>
      <c r="AG46" s="12">
        <v>12458.789999999999</v>
      </c>
      <c r="AH46" s="12">
        <v>12458.789999999999</v>
      </c>
      <c r="AI46" s="12">
        <v>12458.789999999999</v>
      </c>
      <c r="AJ46" s="12">
        <v>12458.789999999999</v>
      </c>
      <c r="AK46" s="12">
        <v>12458.789999999999</v>
      </c>
      <c r="AL46" s="12">
        <v>12458.789999999999</v>
      </c>
      <c r="AM46" s="12">
        <v>12458.789999999999</v>
      </c>
      <c r="AN46" s="12">
        <v>12458.789999999999</v>
      </c>
    </row>
    <row r="47" spans="2:40" x14ac:dyDescent="0.25">
      <c r="B47" s="39" t="s">
        <v>40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1950</v>
      </c>
      <c r="F47" s="12">
        <v>1950</v>
      </c>
      <c r="G47" s="12">
        <v>1950</v>
      </c>
      <c r="H47" s="12">
        <v>1950</v>
      </c>
      <c r="I47" s="12">
        <v>1950</v>
      </c>
      <c r="J47" s="12">
        <v>1950</v>
      </c>
      <c r="K47" s="12">
        <v>1950</v>
      </c>
      <c r="L47" s="12">
        <v>1950</v>
      </c>
      <c r="M47" s="12">
        <v>1950</v>
      </c>
      <c r="N47" s="12">
        <v>1950</v>
      </c>
      <c r="O47" s="12">
        <v>1950</v>
      </c>
      <c r="P47" s="12">
        <v>1950</v>
      </c>
      <c r="Q47" s="12">
        <v>2047.5</v>
      </c>
      <c r="R47" s="12">
        <v>2047.5</v>
      </c>
      <c r="S47" s="12">
        <v>2047.5</v>
      </c>
      <c r="T47" s="12">
        <v>2047.5</v>
      </c>
      <c r="U47" s="12">
        <v>2047.5</v>
      </c>
      <c r="V47" s="12">
        <v>2047.5</v>
      </c>
      <c r="W47" s="12">
        <v>2047.5</v>
      </c>
      <c r="X47" s="12">
        <v>2047.5</v>
      </c>
      <c r="Y47" s="12">
        <v>2047.5</v>
      </c>
      <c r="Z47" s="12">
        <v>2047.5</v>
      </c>
      <c r="AA47" s="12">
        <v>2047.5</v>
      </c>
      <c r="AB47" s="12">
        <v>2047.5</v>
      </c>
      <c r="AC47" s="12">
        <v>2149.875</v>
      </c>
      <c r="AD47" s="12">
        <v>2149.875</v>
      </c>
      <c r="AE47" s="12">
        <v>2149.875</v>
      </c>
      <c r="AF47" s="12">
        <v>2149.875</v>
      </c>
      <c r="AG47" s="12">
        <v>2149.875</v>
      </c>
      <c r="AH47" s="12">
        <v>2149.875</v>
      </c>
      <c r="AI47" s="12">
        <v>2149.875</v>
      </c>
      <c r="AJ47" s="12">
        <v>2149.875</v>
      </c>
      <c r="AK47" s="12">
        <v>2149.875</v>
      </c>
      <c r="AL47" s="12">
        <v>2149.875</v>
      </c>
      <c r="AM47" s="12">
        <v>2149.875</v>
      </c>
      <c r="AN47" s="12">
        <v>2149.875</v>
      </c>
    </row>
    <row r="48" spans="2:40" x14ac:dyDescent="0.25">
      <c r="B48" s="39" t="s">
        <v>41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42</v>
      </c>
      <c r="E49" s="12">
        <f>'Corp.'!E$50*(E$37-(E31-E32-E34)*$C$35)/(SUM('MDA1:NCA9'!E$37)-SUM('MDA1:NCA9'!E$31)-SUM('MDA1:NCA9'!E$32)-SUM('MDA1:NCA9'!E$34))</f>
        <v>56251.587545346352</v>
      </c>
      <c r="F49" s="12">
        <f>'Corp.'!F$50*(F$37-(F31-F32-F34)*$C$35)/(SUM('MDA1:NCA9'!F$37)-SUM('MDA1:NCA9'!F$31)-SUM('MDA1:NCA9'!F$32)-SUM('MDA1:NCA9'!F$34))</f>
        <v>52800.750459313778</v>
      </c>
      <c r="G49" s="12">
        <f>'Corp.'!G$50*(G$37-(G31-G32-G34)*$C$35)/(SUM('MDA1:NCA9'!G$37)-SUM('MDA1:NCA9'!G$31)-SUM('MDA1:NCA9'!G$32)-SUM('MDA1:NCA9'!G$34))</f>
        <v>48054.937517902552</v>
      </c>
      <c r="H49" s="12">
        <f>'Corp.'!H$50*(H$37-(H31-H32-H34)*$C$35)/(SUM('MDA1:NCA9'!H$37)-SUM('MDA1:NCA9'!H$31)-SUM('MDA1:NCA9'!H$32)-SUM('MDA1:NCA9'!H$34))</f>
        <v>43935.777746003769</v>
      </c>
      <c r="I49" s="12">
        <f>'Corp.'!I$50*(I$37-(I31-I32-I34)*$C$35)/(SUM('MDA1:NCA9'!I$37)-SUM('MDA1:NCA9'!I$31)-SUM('MDA1:NCA9'!I$32)-SUM('MDA1:NCA9'!I$34))</f>
        <v>41343.844848087276</v>
      </c>
      <c r="J49" s="12">
        <f>'Corp.'!J$50*(J$37-(J31-J32-J34)*$C$35)/(SUM('MDA1:NCA9'!J$37)-SUM('MDA1:NCA9'!J$31)-SUM('MDA1:NCA9'!J$32)-SUM('MDA1:NCA9'!J$34))</f>
        <v>38642.726042005925</v>
      </c>
      <c r="K49" s="12">
        <f>'Corp.'!K$50*(K$37-(K31-K32-K34)*$C$35)/(SUM('MDA1:NCA9'!K$37)-SUM('MDA1:NCA9'!K$31)-SUM('MDA1:NCA9'!K$32)-SUM('MDA1:NCA9'!K$34))</f>
        <v>35492.890828963551</v>
      </c>
      <c r="L49" s="12">
        <f>'Corp.'!L$50*(L$37-(L31-L32-L34)*$C$35)/(SUM('MDA1:NCA9'!L$37)-SUM('MDA1:NCA9'!L$31)-SUM('MDA1:NCA9'!L$32)-SUM('MDA1:NCA9'!L$34))</f>
        <v>33540.705339982815</v>
      </c>
      <c r="M49" s="12">
        <f>'Corp.'!M$50*(M$37-(M31-M32-M34)*$C$35)/(SUM('MDA1:NCA9'!M$37)-SUM('MDA1:NCA9'!M$31)-SUM('MDA1:NCA9'!M$32)-SUM('MDA1:NCA9'!M$34))</f>
        <v>31432.746407854538</v>
      </c>
      <c r="N49" s="12">
        <f>'Corp.'!N$50*(N$37-(N31-N32-N34)*$C$35)/(SUM('MDA1:NCA9'!N$37)-SUM('MDA1:NCA9'!N$31)-SUM('MDA1:NCA9'!N$32)-SUM('MDA1:NCA9'!N$34))</f>
        <v>29618.481551814555</v>
      </c>
      <c r="O49" s="12">
        <f>'Corp.'!O$50*(O$37-(O31-O32-O34)*$C$35)/(SUM('MDA1:NCA9'!O$37)-SUM('MDA1:NCA9'!O$31)-SUM('MDA1:NCA9'!O$32)-SUM('MDA1:NCA9'!O$34))</f>
        <v>27719.90882874958</v>
      </c>
      <c r="P49" s="12">
        <f>'Corp.'!P$50*(P$37-(P31-P32-P34)*$C$35)/(SUM('MDA1:NCA9'!P$37)-SUM('MDA1:NCA9'!P$31)-SUM('MDA1:NCA9'!P$32)-SUM('MDA1:NCA9'!P$34))</f>
        <v>26157.818619121146</v>
      </c>
      <c r="Q49" s="12">
        <f>'Corp.'!Q$50*(Q$37-(Q31-Q32-Q34)*$C$35)/(SUM('MDA1:NCA9'!Q$37)-SUM('MDA1:NCA9'!Q$31)-SUM('MDA1:NCA9'!Q$32)-SUM('MDA1:NCA9'!Q$34))</f>
        <v>27041.375512508759</v>
      </c>
      <c r="R49" s="12">
        <f>'Corp.'!R$50*(R$37-(R31-R32-R34)*$C$35)/(SUM('MDA1:NCA9'!R$37)-SUM('MDA1:NCA9'!R$31)-SUM('MDA1:NCA9'!R$32)-SUM('MDA1:NCA9'!R$34))</f>
        <v>26017.137055572279</v>
      </c>
      <c r="S49" s="12">
        <f>'Corp.'!S$50*(S$37-(S31-S32-S34)*$C$35)/(SUM('MDA1:NCA9'!S$37)-SUM('MDA1:NCA9'!S$31)-SUM('MDA1:NCA9'!S$32)-SUM('MDA1:NCA9'!S$34))</f>
        <v>24891.291516242763</v>
      </c>
      <c r="T49" s="12">
        <f>'Corp.'!T$50*(T$37-(T31-T32-T34)*$C$35)/(SUM('MDA1:NCA9'!T$37)-SUM('MDA1:NCA9'!T$31)-SUM('MDA1:NCA9'!T$32)-SUM('MDA1:NCA9'!T$34))</f>
        <v>23938.308129203499</v>
      </c>
      <c r="U49" s="12">
        <f>'Corp.'!U$50*(U$37-(U31-U32-U34)*$C$35)/(SUM('MDA1:NCA9'!U$37)-SUM('MDA1:NCA9'!U$31)-SUM('MDA1:NCA9'!U$32)-SUM('MDA1:NCA9'!U$34))</f>
        <v>23284.930008875679</v>
      </c>
      <c r="V49" s="12">
        <f>'Corp.'!V$50*(V$37-(V31-V32-V34)*$C$35)/(SUM('MDA1:NCA9'!V$37)-SUM('MDA1:NCA9'!V$31)-SUM('MDA1:NCA9'!V$32)-SUM('MDA1:NCA9'!V$34))</f>
        <v>22752.232369623165</v>
      </c>
      <c r="W49" s="12">
        <f>'Corp.'!W$50*(W$37-(W31-W32-W34)*$C$35)/(SUM('MDA1:NCA9'!W$37)-SUM('MDA1:NCA9'!W$31)-SUM('MDA1:NCA9'!W$32)-SUM('MDA1:NCA9'!W$34))</f>
        <v>22060.735009436263</v>
      </c>
      <c r="X49" s="12">
        <f>'Corp.'!X$50*(X$37-(X31-X32-X34)*$C$35)/(SUM('MDA1:NCA9'!X$37)-SUM('MDA1:NCA9'!X$31)-SUM('MDA1:NCA9'!X$32)-SUM('MDA1:NCA9'!X$34))</f>
        <v>21369.712092573864</v>
      </c>
      <c r="Y49" s="12">
        <f>'Corp.'!Y$50*(Y$37-(Y31-Y32-Y34)*$C$35)/(SUM('MDA1:NCA9'!Y$37)-SUM('MDA1:NCA9'!Y$31)-SUM('MDA1:NCA9'!Y$32)-SUM('MDA1:NCA9'!Y$34))</f>
        <v>20916.96443736077</v>
      </c>
      <c r="Z49" s="12">
        <f>'Corp.'!Z$50*(Z$37-(Z31-Z32-Z34)*$C$35)/(SUM('MDA1:NCA9'!Z$37)-SUM('MDA1:NCA9'!Z$31)-SUM('MDA1:NCA9'!Z$32)-SUM('MDA1:NCA9'!Z$34))</f>
        <v>20462.698168887357</v>
      </c>
      <c r="AA49" s="12">
        <f>'Corp.'!AA$50*(AA$37-(AA31-AA32-AA34)*$C$35)/(SUM('MDA1:NCA9'!AA$37)-SUM('MDA1:NCA9'!AA$31)-SUM('MDA1:NCA9'!AA$32)-SUM('MDA1:NCA9'!AA$34))</f>
        <v>19994.852611583174</v>
      </c>
      <c r="AB49" s="12">
        <f>'Corp.'!AB$50*(AB$37-(AB31-AB32-AB34)*$C$35)/(SUM('MDA1:NCA9'!AB$37)-SUM('MDA1:NCA9'!AB$31)-SUM('MDA1:NCA9'!AB$32)-SUM('MDA1:NCA9'!AB$34))</f>
        <v>19541.089625787517</v>
      </c>
      <c r="AC49" s="12">
        <f>'Corp.'!AC$50*(AC$37-(AC31-AC32-AC34)*$C$35)/(SUM('MDA1:NCA9'!AC$37)-SUM('MDA1:NCA9'!AC$31)-SUM('MDA1:NCA9'!AC$32)-SUM('MDA1:NCA9'!AC$34))</f>
        <v>20972.421291027596</v>
      </c>
      <c r="AD49" s="12">
        <f>'Corp.'!AD$50*(AD$37-(AD31-AD32-AD34)*$C$35)/(SUM('MDA1:NCA9'!AD$37)-SUM('MDA1:NCA9'!AD$31)-SUM('MDA1:NCA9'!AD$32)-SUM('MDA1:NCA9'!AD$34))</f>
        <v>20627.88471955225</v>
      </c>
      <c r="AE49" s="12">
        <f>'Corp.'!AE$50*(AE$37-(AE31-AE32-AE34)*$C$35)/(SUM('MDA1:NCA9'!AE$37)-SUM('MDA1:NCA9'!AE$31)-SUM('MDA1:NCA9'!AE$32)-SUM('MDA1:NCA9'!AE$34))</f>
        <v>20303.019344584111</v>
      </c>
      <c r="AF49" s="12">
        <f>'Corp.'!AF$50*(AF$37-(AF31-AF32-AF34)*$C$35)/(SUM('MDA1:NCA9'!AF$37)-SUM('MDA1:NCA9'!AF$31)-SUM('MDA1:NCA9'!AF$32)-SUM('MDA1:NCA9'!AF$34))</f>
        <v>19998.609837603093</v>
      </c>
      <c r="AG49" s="12">
        <f>'Corp.'!AG$50*(AG$37-(AG31-AG32-AG34)*$C$35)/(SUM('MDA1:NCA9'!AG$37)-SUM('MDA1:NCA9'!AG$31)-SUM('MDA1:NCA9'!AG$32)-SUM('MDA1:NCA9'!AG$34))</f>
        <v>19754.48757450527</v>
      </c>
      <c r="AH49" s="12">
        <f>'Corp.'!AH$50*(AH$37-(AH31-AH32-AH34)*$C$35)/(SUM('MDA1:NCA9'!AH$37)-SUM('MDA1:NCA9'!AH$31)-SUM('MDA1:NCA9'!AH$32)-SUM('MDA1:NCA9'!AH$34))</f>
        <v>19433.37565266449</v>
      </c>
      <c r="AI49" s="12">
        <f>'Corp.'!AI$50*(AI$37-(AI31-AI32-AI34)*$C$35)/(SUM('MDA1:NCA9'!AI$37)-SUM('MDA1:NCA9'!AI$31)-SUM('MDA1:NCA9'!AI$32)-SUM('MDA1:NCA9'!AI$34))</f>
        <v>19098.739465457213</v>
      </c>
      <c r="AJ49" s="12">
        <f>'Corp.'!AJ$50*(AJ$37-(AJ31-AJ32-AJ34)*$C$35)/(SUM('MDA1:NCA9'!AJ$37)-SUM('MDA1:NCA9'!AJ$31)-SUM('MDA1:NCA9'!AJ$32)-SUM('MDA1:NCA9'!AJ$34))</f>
        <v>18755.883221135566</v>
      </c>
      <c r="AK49" s="12">
        <f>'Corp.'!AK$50*(AK$37-(AK31-AK32-AK34)*$C$35)/(SUM('MDA1:NCA9'!AK$37)-SUM('MDA1:NCA9'!AK$31)-SUM('MDA1:NCA9'!AK$32)-SUM('MDA1:NCA9'!AK$34))</f>
        <v>18439.298100202355</v>
      </c>
      <c r="AL49" s="12">
        <f>'Corp.'!AL$50*(AL$37-(AL31-AL32-AL34)*$C$35)/(SUM('MDA1:NCA9'!AL$37)-SUM('MDA1:NCA9'!AL$31)-SUM('MDA1:NCA9'!AL$32)-SUM('MDA1:NCA9'!AL$34))</f>
        <v>18148.780366982155</v>
      </c>
      <c r="AM49" s="12">
        <f>'Corp.'!AM$50*(AM$37-(AM31-AM32-AM34)*$C$35)/(SUM('MDA1:NCA9'!AM$37)-SUM('MDA1:NCA9'!AM$31)-SUM('MDA1:NCA9'!AM$32)-SUM('MDA1:NCA9'!AM$34))</f>
        <v>17835.90725241062</v>
      </c>
      <c r="AN49" s="12">
        <f>'Corp.'!AN$50*(AN$37-(AN31-AN32-AN34)*$C$35)/(SUM('MDA1:NCA9'!AN$37)-SUM('MDA1:NCA9'!AN$31)-SUM('MDA1:NCA9'!AN$32)-SUM('MDA1:NCA9'!AN$34))</f>
        <v>17569.208483195798</v>
      </c>
    </row>
    <row r="50" spans="2:40" x14ac:dyDescent="0.25">
      <c r="B50" s="1" t="s">
        <v>272</v>
      </c>
      <c r="E50" s="13" cm="1">
        <f t="array" ref="E50:AN50">_xlfn.BYCOL(_xlfn.VSTACK(_xlfn.ANCHORARRAY(E40),_xlfn.ANCHORARRAY(E42),_xlfn.ANCHORARRAY(E43),_xlfn.ANCHORARRAY(E45),_xlfn.ANCHORARRAY(E46),_xlfn.ANCHORARRAY(E47),_xlfn.ANCHORARRAY(E48),_xlfn.HSTACK(E49:AN49)),_xlfn.LAMBDA(_xlpm.a,SUM(_xlpm.a)))</f>
        <v>149094.76553709764</v>
      </c>
      <c r="F50" s="13">
        <v>145643.92845106509</v>
      </c>
      <c r="G50" s="13">
        <v>140898.11550965387</v>
      </c>
      <c r="H50" s="13">
        <v>136778.95573775508</v>
      </c>
      <c r="I50" s="13">
        <v>134187.02283983858</v>
      </c>
      <c r="J50" s="13">
        <v>131485.90403375722</v>
      </c>
      <c r="K50" s="13">
        <v>128336.06882071486</v>
      </c>
      <c r="L50" s="13">
        <v>126383.88333173412</v>
      </c>
      <c r="M50" s="13">
        <v>124275.92439960584</v>
      </c>
      <c r="N50" s="13">
        <v>122461.65954356585</v>
      </c>
      <c r="O50" s="13">
        <v>120563.08682050089</v>
      </c>
      <c r="P50" s="13">
        <v>119000.99661087245</v>
      </c>
      <c r="Q50" s="13">
        <v>127753.3713034352</v>
      </c>
      <c r="R50" s="13">
        <v>126729.13284649872</v>
      </c>
      <c r="S50" s="13">
        <v>125603.2873071692</v>
      </c>
      <c r="T50" s="13">
        <v>124650.30392012993</v>
      </c>
      <c r="U50" s="13">
        <v>123996.92579980212</v>
      </c>
      <c r="V50" s="13">
        <v>123464.2281605496</v>
      </c>
      <c r="W50" s="13">
        <v>122772.7308003627</v>
      </c>
      <c r="X50" s="13">
        <v>122081.70788350029</v>
      </c>
      <c r="Y50" s="13">
        <v>121628.96022828721</v>
      </c>
      <c r="Z50" s="13">
        <v>121174.6939598138</v>
      </c>
      <c r="AA50" s="13">
        <v>120706.84840250961</v>
      </c>
      <c r="AB50" s="13">
        <v>120253.08541671395</v>
      </c>
      <c r="AC50" s="13">
        <v>130308.88166104667</v>
      </c>
      <c r="AD50" s="13">
        <v>129964.34508957133</v>
      </c>
      <c r="AE50" s="13">
        <v>129639.47971460319</v>
      </c>
      <c r="AF50" s="13">
        <v>129335.07020762216</v>
      </c>
      <c r="AG50" s="13">
        <v>129090.94794452435</v>
      </c>
      <c r="AH50" s="13">
        <v>128769.83602268356</v>
      </c>
      <c r="AI50" s="13">
        <v>128435.19983547629</v>
      </c>
      <c r="AJ50" s="13">
        <v>128092.34359115464</v>
      </c>
      <c r="AK50" s="13">
        <v>127775.75847022144</v>
      </c>
      <c r="AL50" s="13">
        <v>127485.24073700124</v>
      </c>
      <c r="AM50" s="13">
        <v>127172.36762242969</v>
      </c>
      <c r="AN50" s="13">
        <v>126905.66885321488</v>
      </c>
    </row>
    <row r="52" spans="2:40" x14ac:dyDescent="0.25">
      <c r="B52" s="1" t="s">
        <v>48</v>
      </c>
      <c r="E52" s="74">
        <f>E37-E50</f>
        <v>20610.381559222325</v>
      </c>
      <c r="F52" s="74">
        <f t="shared" ref="F52:AN52" si="0">F37-F50</f>
        <v>24061.218645254878</v>
      </c>
      <c r="G52" s="74">
        <f t="shared" si="0"/>
        <v>28807.031586666097</v>
      </c>
      <c r="H52" s="74">
        <f t="shared" si="0"/>
        <v>32926.191358564887</v>
      </c>
      <c r="I52" s="74">
        <f t="shared" si="0"/>
        <v>35518.124256481387</v>
      </c>
      <c r="J52" s="74">
        <f t="shared" si="0"/>
        <v>38219.243062562746</v>
      </c>
      <c r="K52" s="74">
        <f t="shared" si="0"/>
        <v>41369.078275605105</v>
      </c>
      <c r="L52" s="74">
        <f t="shared" si="0"/>
        <v>43321.263764585849</v>
      </c>
      <c r="M52" s="74">
        <f t="shared" si="0"/>
        <v>45429.222696714132</v>
      </c>
      <c r="N52" s="74">
        <f t="shared" si="0"/>
        <v>47243.487552754115</v>
      </c>
      <c r="O52" s="74">
        <f t="shared" si="0"/>
        <v>49142.06027581908</v>
      </c>
      <c r="P52" s="74">
        <f t="shared" si="0"/>
        <v>50704.150485447521</v>
      </c>
      <c r="Q52" s="74">
        <f t="shared" si="0"/>
        <v>47042.930205774363</v>
      </c>
      <c r="R52" s="74">
        <f t="shared" si="0"/>
        <v>48067.168662710843</v>
      </c>
      <c r="S52" s="74">
        <f t="shared" si="0"/>
        <v>49193.014202040358</v>
      </c>
      <c r="T52" s="74">
        <f t="shared" si="0"/>
        <v>50145.997589079634</v>
      </c>
      <c r="U52" s="74">
        <f t="shared" si="0"/>
        <v>50799.375709407439</v>
      </c>
      <c r="V52" s="74">
        <f t="shared" si="0"/>
        <v>51332.073348659964</v>
      </c>
      <c r="W52" s="74">
        <f t="shared" si="0"/>
        <v>52023.570708846863</v>
      </c>
      <c r="X52" s="74">
        <f t="shared" si="0"/>
        <v>52714.593625709269</v>
      </c>
      <c r="Y52" s="74">
        <f t="shared" si="0"/>
        <v>53167.341280922352</v>
      </c>
      <c r="Z52" s="74">
        <f t="shared" si="0"/>
        <v>53621.607549395761</v>
      </c>
      <c r="AA52" s="74">
        <f t="shared" si="0"/>
        <v>54089.453106699948</v>
      </c>
      <c r="AB52" s="74">
        <f t="shared" si="0"/>
        <v>54543.216092495612</v>
      </c>
      <c r="AC52" s="74">
        <f t="shared" si="0"/>
        <v>44487.419848162885</v>
      </c>
      <c r="AD52" s="74">
        <f t="shared" si="0"/>
        <v>44831.956419638227</v>
      </c>
      <c r="AE52" s="74">
        <f t="shared" si="0"/>
        <v>45156.821794606367</v>
      </c>
      <c r="AF52" s="74">
        <f t="shared" si="0"/>
        <v>45461.231301587395</v>
      </c>
      <c r="AG52" s="74">
        <f t="shared" si="0"/>
        <v>45705.353564685211</v>
      </c>
      <c r="AH52" s="74">
        <f t="shared" si="0"/>
        <v>46026.465486525994</v>
      </c>
      <c r="AI52" s="74">
        <f t="shared" si="0"/>
        <v>46361.101673733268</v>
      </c>
      <c r="AJ52" s="74">
        <f t="shared" si="0"/>
        <v>46703.957918054919</v>
      </c>
      <c r="AK52" s="74">
        <f t="shared" si="0"/>
        <v>47020.543038988122</v>
      </c>
      <c r="AL52" s="74">
        <f t="shared" si="0"/>
        <v>47311.060772208322</v>
      </c>
      <c r="AM52" s="74">
        <f t="shared" si="0"/>
        <v>47623.933886779865</v>
      </c>
      <c r="AN52" s="74">
        <f t="shared" si="0"/>
        <v>47890.632655994676</v>
      </c>
    </row>
    <row r="53" spans="2:40" x14ac:dyDescent="0.25">
      <c r="E53" s="105">
        <f>IFERROR(E52/E37,"")</f>
        <v>0.12144818181339215</v>
      </c>
      <c r="F53" s="105">
        <f t="shared" ref="F53:AN53" si="1">IFERROR(F52/F37,"")</f>
        <v>0.14178249190991474</v>
      </c>
      <c r="G53" s="105">
        <f t="shared" si="1"/>
        <v>0.16974754201365513</v>
      </c>
      <c r="H53" s="105">
        <f t="shared" si="1"/>
        <v>0.19401999245124185</v>
      </c>
      <c r="I53" s="105">
        <f t="shared" si="1"/>
        <v>0.20929314675601607</v>
      </c>
      <c r="J53" s="105">
        <f t="shared" si="1"/>
        <v>0.2252096870159781</v>
      </c>
      <c r="K53" s="105">
        <f t="shared" si="1"/>
        <v>0.24377032154555192</v>
      </c>
      <c r="L53" s="105">
        <f t="shared" si="1"/>
        <v>0.25527371742000193</v>
      </c>
      <c r="M53" s="105">
        <f t="shared" si="1"/>
        <v>0.26769501970927112</v>
      </c>
      <c r="N53" s="105">
        <f t="shared" si="1"/>
        <v>0.27838570815969427</v>
      </c>
      <c r="O53" s="105">
        <f t="shared" si="1"/>
        <v>0.28957318688706241</v>
      </c>
      <c r="P53" s="105">
        <f t="shared" si="1"/>
        <v>0.29877791777682056</v>
      </c>
      <c r="Q53" s="105">
        <f t="shared" si="1"/>
        <v>0.26913000904252998</v>
      </c>
      <c r="R53" s="105">
        <f t="shared" si="1"/>
        <v>0.27498962076253258</v>
      </c>
      <c r="S53" s="105">
        <f t="shared" si="1"/>
        <v>0.28143052099674148</v>
      </c>
      <c r="T53" s="105">
        <f t="shared" si="1"/>
        <v>0.28688248639195363</v>
      </c>
      <c r="U53" s="105">
        <f t="shared" si="1"/>
        <v>0.29062042658111364</v>
      </c>
      <c r="V53" s="105">
        <f t="shared" si="1"/>
        <v>0.2936679603942044</v>
      </c>
      <c r="W53" s="105">
        <f t="shared" si="1"/>
        <v>0.29762397865212198</v>
      </c>
      <c r="X53" s="105">
        <f t="shared" si="1"/>
        <v>0.30157728264594819</v>
      </c>
      <c r="Y53" s="105">
        <f t="shared" si="1"/>
        <v>0.30416742701001087</v>
      </c>
      <c r="Z53" s="105">
        <f t="shared" si="1"/>
        <v>0.30676625927677642</v>
      </c>
      <c r="AA53" s="105">
        <f t="shared" si="1"/>
        <v>0.30944277790597369</v>
      </c>
      <c r="AB53" s="105">
        <f t="shared" si="1"/>
        <v>0.31203873092029855</v>
      </c>
      <c r="AC53" s="105">
        <f t="shared" si="1"/>
        <v>0.25451007523645436</v>
      </c>
      <c r="AD53" s="105">
        <f t="shared" si="1"/>
        <v>0.25648114995886312</v>
      </c>
      <c r="AE53" s="105">
        <f t="shared" si="1"/>
        <v>0.25833968685102399</v>
      </c>
      <c r="AF53" s="105">
        <f t="shared" si="1"/>
        <v>0.26008119685067915</v>
      </c>
      <c r="AG53" s="105">
        <f t="shared" si="1"/>
        <v>0.26147780685323663</v>
      </c>
      <c r="AH53" s="105">
        <f t="shared" si="1"/>
        <v>0.26331487044707852</v>
      </c>
      <c r="AI53" s="105">
        <f t="shared" si="1"/>
        <v>0.26522930561714786</v>
      </c>
      <c r="AJ53" s="105">
        <f t="shared" si="1"/>
        <v>0.26719076728058921</v>
      </c>
      <c r="AK53" s="105">
        <f t="shared" si="1"/>
        <v>0.26900193329611571</v>
      </c>
      <c r="AL53" s="105">
        <f t="shared" si="1"/>
        <v>0.27066396922428948</v>
      </c>
      <c r="AM53" s="105">
        <f t="shared" si="1"/>
        <v>0.27245389905615758</v>
      </c>
      <c r="AN53" s="105">
        <f t="shared" si="1"/>
        <v>0.27397966800499746</v>
      </c>
    </row>
    <row r="55" spans="2:40" x14ac:dyDescent="0.25">
      <c r="B55" t="s">
        <v>57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0</v>
      </c>
      <c r="D55" s="12">
        <f>C55-SUM(_xlfn.ANCHORARRAY(E55))</f>
        <v>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</row>
    <row r="56" spans="2:40" x14ac:dyDescent="0.25">
      <c r="B56" t="s">
        <v>285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-25455.772064447996</v>
      </c>
      <c r="F56" s="90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-25455.772064447996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-25455.772064447996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-25455.772064447996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-25455.772064447996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-25455.772064447996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-25455.772064447996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-25455.772064447996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-25455.772064447996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-25455.772064447996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-25455.772064447996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-25455.772064447996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-25455.772064447996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-25455.772064447996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-25455.772064447996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-25455.772064447996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-25455.772064447996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-26219.445226381435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-26219.445226381435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-26219.445226381435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-26219.445226381435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-26219.445226381435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-26219.445226381435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-26219.445226381435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-26219.445226381435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-26219.445226381435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-26219.445226381435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-26219.445226381435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-26219.445226381435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-26219.445226381435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-26219.445226381435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-26219.445226381435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-26219.445226381435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-26219.445226381435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-26219.445226381435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-26219.445226381435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276</v>
      </c>
      <c r="E58" s="13">
        <f>E37-E50-E55+E56</f>
        <v>-4845.3905052256705</v>
      </c>
      <c r="F58" s="13">
        <f t="shared" ref="F58:AN58" si="2">F37-F50-F55+F56</f>
        <v>-1394.5534191931183</v>
      </c>
      <c r="G58" s="13">
        <f t="shared" si="2"/>
        <v>3351.2595222181008</v>
      </c>
      <c r="H58" s="13">
        <f t="shared" si="2"/>
        <v>7470.4192941168913</v>
      </c>
      <c r="I58" s="13">
        <f t="shared" si="2"/>
        <v>10062.352192033391</v>
      </c>
      <c r="J58" s="13">
        <f t="shared" si="2"/>
        <v>12763.47099811475</v>
      </c>
      <c r="K58" s="13">
        <f t="shared" si="2"/>
        <v>15913.306211157109</v>
      </c>
      <c r="L58" s="13">
        <f t="shared" si="2"/>
        <v>17865.491700137853</v>
      </c>
      <c r="M58" s="13">
        <f t="shared" si="2"/>
        <v>19973.450632266136</v>
      </c>
      <c r="N58" s="13">
        <f t="shared" si="2"/>
        <v>21787.715488306119</v>
      </c>
      <c r="O58" s="13">
        <f t="shared" si="2"/>
        <v>23686.288211371084</v>
      </c>
      <c r="P58" s="13">
        <f t="shared" si="2"/>
        <v>25248.378420999525</v>
      </c>
      <c r="Q58" s="13">
        <f t="shared" si="2"/>
        <v>21587.158141326367</v>
      </c>
      <c r="R58" s="13">
        <f t="shared" si="2"/>
        <v>22611.396598262847</v>
      </c>
      <c r="S58" s="13">
        <f t="shared" si="2"/>
        <v>23737.242137592362</v>
      </c>
      <c r="T58" s="13">
        <f t="shared" si="2"/>
        <v>24690.225524631638</v>
      </c>
      <c r="U58" s="13">
        <f t="shared" si="2"/>
        <v>25343.603644959443</v>
      </c>
      <c r="V58" s="13">
        <f t="shared" si="2"/>
        <v>25112.628122278529</v>
      </c>
      <c r="W58" s="13">
        <f t="shared" si="2"/>
        <v>25804.125482465428</v>
      </c>
      <c r="X58" s="13">
        <f t="shared" si="2"/>
        <v>26495.148399327834</v>
      </c>
      <c r="Y58" s="13">
        <f t="shared" si="2"/>
        <v>26947.896054540917</v>
      </c>
      <c r="Z58" s="13">
        <f t="shared" si="2"/>
        <v>27402.162323014327</v>
      </c>
      <c r="AA58" s="13">
        <f t="shared" si="2"/>
        <v>27870.007880318513</v>
      </c>
      <c r="AB58" s="13">
        <f t="shared" si="2"/>
        <v>28323.770866114177</v>
      </c>
      <c r="AC58" s="13">
        <f t="shared" si="2"/>
        <v>18267.97462178145</v>
      </c>
      <c r="AD58" s="13">
        <f t="shared" si="2"/>
        <v>18612.511193256792</v>
      </c>
      <c r="AE58" s="13">
        <f t="shared" si="2"/>
        <v>18937.376568224932</v>
      </c>
      <c r="AF58" s="13">
        <f t="shared" si="2"/>
        <v>19241.786075205961</v>
      </c>
      <c r="AG58" s="13">
        <f t="shared" si="2"/>
        <v>19485.908338303776</v>
      </c>
      <c r="AH58" s="13">
        <f t="shared" si="2"/>
        <v>19807.02026014456</v>
      </c>
      <c r="AI58" s="13">
        <f t="shared" si="2"/>
        <v>20141.656447351834</v>
      </c>
      <c r="AJ58" s="13">
        <f t="shared" si="2"/>
        <v>20484.512691673484</v>
      </c>
      <c r="AK58" s="13">
        <f t="shared" si="2"/>
        <v>20801.097812606688</v>
      </c>
      <c r="AL58" s="13">
        <f t="shared" si="2"/>
        <v>21091.615545826888</v>
      </c>
      <c r="AM58" s="13">
        <f t="shared" si="2"/>
        <v>21404.488660398431</v>
      </c>
      <c r="AN58" s="13">
        <f t="shared" si="2"/>
        <v>21671.187429613241</v>
      </c>
    </row>
    <row r="59" spans="2:40" x14ac:dyDescent="0.25">
      <c r="B59" t="s">
        <v>277</v>
      </c>
      <c r="E59" s="12" cm="1">
        <f t="array" ref="E59:AN59">_xlfn.SCAN(-D55,E58:AN58,_xlfn.LAMBDA(_xlpm.capex,_xlpm.fcf,_xlpm.capex+_xlpm.fcf))</f>
        <v>-4845.3905052256705</v>
      </c>
      <c r="F59" s="12">
        <v>-6239.9439244187888</v>
      </c>
      <c r="G59" s="12">
        <v>-2888.6844022006881</v>
      </c>
      <c r="H59" s="12">
        <v>4581.7348919162032</v>
      </c>
      <c r="I59" s="12">
        <v>14644.087083949595</v>
      </c>
      <c r="J59" s="12">
        <v>27407.558082064344</v>
      </c>
      <c r="K59" s="12">
        <v>43320.864293221457</v>
      </c>
      <c r="L59" s="12">
        <v>61186.355993359306</v>
      </c>
      <c r="M59" s="12">
        <v>81159.806625625439</v>
      </c>
      <c r="N59" s="12">
        <v>102947.52211393155</v>
      </c>
      <c r="O59" s="12">
        <v>126633.81032530263</v>
      </c>
      <c r="P59" s="12">
        <v>151882.18874630216</v>
      </c>
      <c r="Q59" s="12">
        <v>173469.34688762852</v>
      </c>
      <c r="R59" s="12">
        <v>196080.74348589138</v>
      </c>
      <c r="S59" s="12">
        <v>219817.98562348375</v>
      </c>
      <c r="T59" s="12">
        <v>244508.2111481154</v>
      </c>
      <c r="U59" s="12">
        <v>269851.81479307485</v>
      </c>
      <c r="V59" s="12">
        <v>294964.4429153534</v>
      </c>
      <c r="W59" s="12">
        <v>320768.56839781883</v>
      </c>
      <c r="X59" s="12">
        <v>347263.71679714666</v>
      </c>
      <c r="Y59" s="12">
        <v>374211.61285168759</v>
      </c>
      <c r="Z59" s="12">
        <v>401613.77517470194</v>
      </c>
      <c r="AA59" s="12">
        <v>429483.78305502044</v>
      </c>
      <c r="AB59" s="12">
        <v>457807.55392113462</v>
      </c>
      <c r="AC59" s="12">
        <v>476075.52854291606</v>
      </c>
      <c r="AD59" s="12">
        <v>494688.03973617282</v>
      </c>
      <c r="AE59" s="12">
        <v>513625.41630439775</v>
      </c>
      <c r="AF59" s="12">
        <v>532867.20237960375</v>
      </c>
      <c r="AG59" s="12">
        <v>552353.11071790755</v>
      </c>
      <c r="AH59" s="12">
        <v>572160.13097805216</v>
      </c>
      <c r="AI59" s="12">
        <v>592301.78742540395</v>
      </c>
      <c r="AJ59" s="12">
        <v>612786.30011707742</v>
      </c>
      <c r="AK59" s="12">
        <v>633587.39792968414</v>
      </c>
      <c r="AL59" s="12">
        <v>654679.01347551099</v>
      </c>
      <c r="AM59" s="12">
        <v>676083.5021359094</v>
      </c>
      <c r="AN59" s="12">
        <v>697754.6895655226</v>
      </c>
    </row>
    <row r="61" spans="2:40" x14ac:dyDescent="0.25">
      <c r="B61" s="1" t="s">
        <v>302</v>
      </c>
    </row>
    <row r="63" spans="2:40" x14ac:dyDescent="0.25">
      <c r="B63" s="39" t="s">
        <v>103</v>
      </c>
      <c r="E63" s="12" cm="1">
        <f t="array" ref="E63:AN63">_xlfn.LET(_xlpm.site,$B$1&amp;"-"&amp;$C$1,_xlpm.locations,Base!$D$4:$BD$4,_xlpm.rates,Base!$D$36:$BD$36,_xlpm.hours,Base!$D$79:$BD$79,_xlpm.comp,_xlpm.rates*_xlpm.hours,_xlpm.Customer,_xlfn.ANCHORARRAY($E$1),
_xlpm.Customer_comp,_xlfn.XLOOKUP(_xlpm.site,_xlpm.locations,_xlpm.comp,0,0),_xlpm.ann_incr,_xlfn.XLOOKUP(YEAR(_xlfn.ANCHORARRAY($E$25)),Base!$BJ$4:$BL$4,Base!$BJ$79:$BL$79,0,0),
_xlpm.bad_debt,_xlfn.XLOOKUP(_xlpm.site,_xlpm.locations,Base!$D$28:$BD$28,0,0),_xlpm.Customer_comp*_xlpm.Customer*_xlpm.bad_debt*_xlpm.ann_incr*(52/12)*(1-$C$35))</f>
        <v>0</v>
      </c>
      <c r="F63" s="12">
        <v>0</v>
      </c>
      <c r="G63" s="12">
        <v>0</v>
      </c>
      <c r="H63" s="12">
        <v>0</v>
      </c>
      <c r="I63" s="12">
        <v>0</v>
      </c>
      <c r="J63" s="12">
        <v>0</v>
      </c>
      <c r="K63" s="12">
        <v>0</v>
      </c>
      <c r="L63" s="12">
        <v>0</v>
      </c>
      <c r="M63" s="12">
        <v>0</v>
      </c>
      <c r="N63" s="12">
        <v>0</v>
      </c>
      <c r="O63" s="12">
        <v>0</v>
      </c>
      <c r="P63" s="12">
        <v>0</v>
      </c>
      <c r="Q63" s="12">
        <v>0</v>
      </c>
      <c r="R63" s="12">
        <v>0</v>
      </c>
      <c r="S63" s="12">
        <v>0</v>
      </c>
      <c r="T63" s="12">
        <v>0</v>
      </c>
      <c r="U63" s="12">
        <v>0</v>
      </c>
      <c r="V63" s="12">
        <v>0</v>
      </c>
      <c r="W63" s="12">
        <v>0</v>
      </c>
      <c r="X63" s="12">
        <v>0</v>
      </c>
      <c r="Y63" s="12">
        <v>0</v>
      </c>
      <c r="Z63" s="12">
        <v>0</v>
      </c>
      <c r="AA63" s="12">
        <v>0</v>
      </c>
      <c r="AB63" s="12">
        <v>0</v>
      </c>
      <c r="AC63" s="12">
        <v>0</v>
      </c>
      <c r="AD63" s="12">
        <v>0</v>
      </c>
      <c r="AE63" s="12">
        <v>0</v>
      </c>
      <c r="AF63" s="12">
        <v>0</v>
      </c>
      <c r="AG63" s="12">
        <v>0</v>
      </c>
      <c r="AH63" s="12">
        <v>0</v>
      </c>
      <c r="AI63" s="12">
        <v>0</v>
      </c>
      <c r="AJ63" s="12">
        <v>0</v>
      </c>
      <c r="AK63" s="12">
        <v>0</v>
      </c>
      <c r="AL63" s="12">
        <v>0</v>
      </c>
      <c r="AM63" s="12">
        <v>0</v>
      </c>
      <c r="AN63" s="12">
        <v>0</v>
      </c>
    </row>
    <row r="64" spans="2:40" x14ac:dyDescent="0.25">
      <c r="B64" s="39" t="s">
        <v>104</v>
      </c>
      <c r="E64" s="12" cm="1">
        <f t="array" ref="E64:AN64">_xlfn.LET(_xlpm.site,$B$1&amp;"-"&amp;$C$1,_xlpm.locations,Base!$D$4:$BD$4,_xlpm.rates,Base!$D$37:$BD$37,_xlpm.hours,Base!$D$80:$BD$80,_xlpm.comp,_xlpm.rates*_xlpm.hours,_xlpm.Customer,_xlfn.ANCHORARRAY($E$1),
_xlpm.Customer_comp,_xlfn.XLOOKUP(_xlpm.site,_xlpm.locations,_xlpm.comp,0,0),_xlpm.ann_incr,_xlfn.XLOOKUP(YEAR(_xlfn.ANCHORARRAY($E$25)),Base!$BJ$4:$BL$4,Base!$BJ$80:$BL$80,0,0),
_xlpm.bad_debt,_xlfn.XLOOKUP(_xlpm.site,_xlpm.locations,Base!$D$28:$BD$28,0,0),_xlpm.Customer_comp*_xlpm.Customer*_xlpm.bad_debt*_xlpm.ann_incr*(52/12)*(1-$C$35))</f>
        <v>0</v>
      </c>
      <c r="F64" s="12">
        <v>0</v>
      </c>
      <c r="G64" s="12">
        <v>0</v>
      </c>
      <c r="H64" s="12">
        <v>0</v>
      </c>
      <c r="I64" s="12">
        <v>0</v>
      </c>
      <c r="J64" s="12">
        <v>0</v>
      </c>
      <c r="K64" s="12">
        <v>0</v>
      </c>
      <c r="L64" s="12">
        <v>0</v>
      </c>
      <c r="M64" s="12">
        <v>0</v>
      </c>
      <c r="N64" s="12">
        <v>0</v>
      </c>
      <c r="O64" s="12">
        <v>0</v>
      </c>
      <c r="P64" s="12">
        <v>0</v>
      </c>
      <c r="Q64" s="12">
        <v>0</v>
      </c>
      <c r="R64" s="12">
        <v>0</v>
      </c>
      <c r="S64" s="12">
        <v>0</v>
      </c>
      <c r="T64" s="12">
        <v>0</v>
      </c>
      <c r="U64" s="12">
        <v>0</v>
      </c>
      <c r="V64" s="12">
        <v>0</v>
      </c>
      <c r="W64" s="12">
        <v>0</v>
      </c>
      <c r="X64" s="12">
        <v>0</v>
      </c>
      <c r="Y64" s="12">
        <v>0</v>
      </c>
      <c r="Z64" s="12">
        <v>0</v>
      </c>
      <c r="AA64" s="12">
        <v>0</v>
      </c>
      <c r="AB64" s="12">
        <v>0</v>
      </c>
      <c r="AC64" s="12">
        <v>0</v>
      </c>
      <c r="AD64" s="12">
        <v>0</v>
      </c>
      <c r="AE64" s="12">
        <v>0</v>
      </c>
      <c r="AF64" s="12">
        <v>0</v>
      </c>
      <c r="AG64" s="12">
        <v>0</v>
      </c>
      <c r="AH64" s="12">
        <v>0</v>
      </c>
      <c r="AI64" s="12">
        <v>0</v>
      </c>
      <c r="AJ64" s="12">
        <v>0</v>
      </c>
      <c r="AK64" s="12">
        <v>0</v>
      </c>
      <c r="AL64" s="12">
        <v>0</v>
      </c>
      <c r="AM64" s="12">
        <v>0</v>
      </c>
      <c r="AN64" s="12">
        <v>0</v>
      </c>
    </row>
    <row r="65" spans="2:40" x14ac:dyDescent="0.25">
      <c r="B65" s="39" t="s">
        <v>56</v>
      </c>
      <c r="E65" s="12" cm="1">
        <f t="array" ref="E65:AN65">_xlfn.LET(_xlpm.site,$B$1&amp;"-"&amp;$C$1,_xlpm.locations,Base!$D$4:$BD$4,_xlpm.rates,Base!$D$39:$BD$39,_xlpm.hours,Base!$D$82:$BD$82,_xlpm.comp,_xlpm.rates*_xlpm.hours,_xlpm.Customer,_xlfn.ANCHORARRAY($E$1),
_xlpm.Customer_comp,_xlfn.XLOOKUP(_xlpm.site,_xlpm.locations,_xlpm.comp,0,0),_xlpm.ann_incr,_xlfn.XLOOKUP(YEAR(_xlfn.ANCHORARRAY($E$25)),Base!$BJ$4:$BL$4,Base!$BJ$82:$BL$82,0,0),
_xlpm.bad_debt,_xlfn.XLOOKUP(_xlpm.site,_xlpm.locations,Base!$D$28:$BD$28,0,0),_xlpm.Customer_comp*_xlpm.Customer*_xlpm.bad_debt*_xlpm.ann_incr*(52/12)*(1-$C$35))</f>
        <v>0</v>
      </c>
      <c r="F65" s="12">
        <v>0</v>
      </c>
      <c r="G65" s="12">
        <v>0</v>
      </c>
      <c r="H65" s="12">
        <v>0</v>
      </c>
      <c r="I65" s="12">
        <v>0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  <c r="O65" s="12">
        <v>0</v>
      </c>
      <c r="P65" s="12">
        <v>0</v>
      </c>
      <c r="Q65" s="12">
        <v>0</v>
      </c>
      <c r="R65" s="12">
        <v>0</v>
      </c>
      <c r="S65" s="12">
        <v>0</v>
      </c>
      <c r="T65" s="12">
        <v>0</v>
      </c>
      <c r="U65" s="12">
        <v>0</v>
      </c>
      <c r="V65" s="12">
        <v>0</v>
      </c>
      <c r="W65" s="12">
        <v>0</v>
      </c>
      <c r="X65" s="12">
        <v>0</v>
      </c>
      <c r="Y65" s="12">
        <v>0</v>
      </c>
      <c r="Z65" s="12">
        <v>0</v>
      </c>
      <c r="AA65" s="12">
        <v>0</v>
      </c>
      <c r="AB65" s="12">
        <v>0</v>
      </c>
      <c r="AC65" s="12">
        <v>0</v>
      </c>
      <c r="AD65" s="12">
        <v>0</v>
      </c>
      <c r="AE65" s="12">
        <v>0</v>
      </c>
      <c r="AF65" s="12">
        <v>0</v>
      </c>
      <c r="AG65" s="12">
        <v>0</v>
      </c>
      <c r="AH65" s="12">
        <v>0</v>
      </c>
      <c r="AI65" s="12">
        <v>0</v>
      </c>
      <c r="AJ65" s="12">
        <v>0</v>
      </c>
      <c r="AK65" s="12">
        <v>0</v>
      </c>
      <c r="AL65" s="12">
        <v>0</v>
      </c>
      <c r="AM65" s="12">
        <v>0</v>
      </c>
      <c r="AN65" s="12">
        <v>0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303</v>
      </c>
      <c r="C67" s="12"/>
      <c r="E67" s="13" cm="1">
        <f t="array" ref="E67:AN67">_xlfn.BYCOL(_xlfn.VSTACK(_xlfn.ANCHORARRAY($E$63),_xlfn.ANCHORARRAY($E$64),_xlfn.ANCHORARRAY($E$65)),_xlfn.LAMBDA(_xlpm.a,SUM(_xlpm.a)))</f>
        <v>0</v>
      </c>
      <c r="F67" s="13">
        <v>0</v>
      </c>
      <c r="G67" s="13">
        <v>0</v>
      </c>
      <c r="H67" s="13">
        <v>0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  <c r="W67" s="13">
        <v>0</v>
      </c>
      <c r="X67" s="13">
        <v>0</v>
      </c>
      <c r="Y67" s="13">
        <v>0</v>
      </c>
      <c r="Z67" s="13">
        <v>0</v>
      </c>
      <c r="AA67" s="13">
        <v>0</v>
      </c>
      <c r="AB67" s="13">
        <v>0</v>
      </c>
      <c r="AC67" s="13">
        <v>0</v>
      </c>
      <c r="AD67" s="13">
        <v>0</v>
      </c>
      <c r="AE67" s="13">
        <v>0</v>
      </c>
      <c r="AF67" s="13">
        <v>0</v>
      </c>
      <c r="AG67" s="13">
        <v>0</v>
      </c>
      <c r="AH67" s="13">
        <v>0</v>
      </c>
      <c r="AI67" s="13">
        <v>0</v>
      </c>
      <c r="AJ67" s="13">
        <v>0</v>
      </c>
      <c r="AK67" s="13">
        <v>0</v>
      </c>
      <c r="AL67" s="13">
        <v>0</v>
      </c>
      <c r="AM67" s="13">
        <v>0</v>
      </c>
      <c r="AN67" s="13">
        <v>0</v>
      </c>
    </row>
    <row r="68" spans="2:40" x14ac:dyDescent="0.25">
      <c r="B68" s="39"/>
      <c r="C68" s="12"/>
    </row>
    <row r="69" spans="2:40" x14ac:dyDescent="0.25">
      <c r="B69" s="39" t="s">
        <v>304</v>
      </c>
      <c r="C69" s="12"/>
      <c r="E69" s="106" cm="1">
        <f t="array" ref="E69:AN70">_xlfn.LET(_xlpm.Customer_staff,_xlfn._xlws.FILTER(Base!$D$96:$BD$97,ISNUMBER(SEARCH($B$1&amp;"-"&amp;$C$1,Base!$D$4:$BD$4))),_xlpm.Customer,_xlfn.ANCHORARRAY($E$1),_xlpm.headcount,_xlpm.Customer/_xlpm.Customer_staff,
_xlpm.rounding,_xlfn.VSTACK(0,0),IFERROR(ROUND(_xlpm.headcount,_xlpm.rounding),0))</f>
        <v>0</v>
      </c>
      <c r="F69" s="106">
        <v>0</v>
      </c>
      <c r="G69" s="106">
        <v>0</v>
      </c>
      <c r="H69" s="106">
        <v>0</v>
      </c>
      <c r="I69" s="106">
        <v>0</v>
      </c>
      <c r="J69" s="106">
        <v>0</v>
      </c>
      <c r="K69" s="106">
        <v>0</v>
      </c>
      <c r="L69" s="106">
        <v>0</v>
      </c>
      <c r="M69" s="106">
        <v>0</v>
      </c>
      <c r="N69" s="106">
        <v>0</v>
      </c>
      <c r="O69" s="106">
        <v>0</v>
      </c>
      <c r="P69" s="106">
        <v>0</v>
      </c>
      <c r="Q69" s="106">
        <v>0</v>
      </c>
      <c r="R69" s="106">
        <v>0</v>
      </c>
      <c r="S69" s="106">
        <v>0</v>
      </c>
      <c r="T69" s="106">
        <v>0</v>
      </c>
      <c r="U69" s="106">
        <v>0</v>
      </c>
      <c r="V69" s="106">
        <v>0</v>
      </c>
      <c r="W69" s="106">
        <v>0</v>
      </c>
      <c r="X69" s="106">
        <v>0</v>
      </c>
      <c r="Y69" s="106">
        <v>0</v>
      </c>
      <c r="Z69" s="106">
        <v>0</v>
      </c>
      <c r="AA69" s="106">
        <v>0</v>
      </c>
      <c r="AB69" s="106">
        <v>0</v>
      </c>
      <c r="AC69" s="106">
        <v>0</v>
      </c>
      <c r="AD69" s="106">
        <v>0</v>
      </c>
      <c r="AE69" s="106">
        <v>0</v>
      </c>
      <c r="AF69" s="106">
        <v>0</v>
      </c>
      <c r="AG69" s="106">
        <v>0</v>
      </c>
      <c r="AH69" s="106">
        <v>0</v>
      </c>
      <c r="AI69" s="106">
        <v>0</v>
      </c>
      <c r="AJ69" s="106">
        <v>0</v>
      </c>
      <c r="AK69" s="106">
        <v>0</v>
      </c>
      <c r="AL69" s="106">
        <v>0</v>
      </c>
      <c r="AM69" s="106">
        <v>0</v>
      </c>
      <c r="AN69" s="106">
        <v>0</v>
      </c>
    </row>
    <row r="70" spans="2:40" x14ac:dyDescent="0.25">
      <c r="B70" s="39" t="s">
        <v>305</v>
      </c>
      <c r="C70" s="12"/>
      <c r="E70" s="106">
        <v>0</v>
      </c>
      <c r="F70" s="106">
        <v>0</v>
      </c>
      <c r="G70" s="106">
        <v>0</v>
      </c>
      <c r="H70" s="106">
        <v>0</v>
      </c>
      <c r="I70" s="106">
        <v>0</v>
      </c>
      <c r="J70" s="106">
        <v>0</v>
      </c>
      <c r="K70" s="106">
        <v>0</v>
      </c>
      <c r="L70" s="106">
        <v>0</v>
      </c>
      <c r="M70" s="106">
        <v>0</v>
      </c>
      <c r="N70" s="106">
        <v>0</v>
      </c>
      <c r="O70" s="106">
        <v>0</v>
      </c>
      <c r="P70" s="106">
        <v>0</v>
      </c>
      <c r="Q70" s="106">
        <v>0</v>
      </c>
      <c r="R70" s="106">
        <v>0</v>
      </c>
      <c r="S70" s="106">
        <v>0</v>
      </c>
      <c r="T70" s="106">
        <v>0</v>
      </c>
      <c r="U70" s="106">
        <v>0</v>
      </c>
      <c r="V70" s="106">
        <v>0</v>
      </c>
      <c r="W70" s="106">
        <v>0</v>
      </c>
      <c r="X70" s="106">
        <v>0</v>
      </c>
      <c r="Y70" s="106">
        <v>0</v>
      </c>
      <c r="Z70" s="106">
        <v>0</v>
      </c>
      <c r="AA70" s="106">
        <v>0</v>
      </c>
      <c r="AB70" s="106">
        <v>0</v>
      </c>
      <c r="AC70" s="106">
        <v>0</v>
      </c>
      <c r="AD70" s="106">
        <v>0</v>
      </c>
      <c r="AE70" s="106">
        <v>0</v>
      </c>
      <c r="AF70" s="106">
        <v>0</v>
      </c>
      <c r="AG70" s="106">
        <v>0</v>
      </c>
      <c r="AH70" s="106">
        <v>0</v>
      </c>
      <c r="AI70" s="106">
        <v>0</v>
      </c>
      <c r="AJ70" s="106">
        <v>0</v>
      </c>
      <c r="AK70" s="106">
        <v>0</v>
      </c>
      <c r="AL70" s="106">
        <v>0</v>
      </c>
      <c r="AM70" s="106">
        <v>0</v>
      </c>
      <c r="AN70" s="106">
        <v>0</v>
      </c>
    </row>
    <row r="71" spans="2:40" x14ac:dyDescent="0.25">
      <c r="B71" s="39"/>
      <c r="C71" s="12"/>
    </row>
    <row r="72" spans="2:40" x14ac:dyDescent="0.25">
      <c r="B72" s="39" t="s">
        <v>23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3.7758417977584176E-2</v>
      </c>
      <c r="F72" s="12">
        <v>3.7758417977584176E-2</v>
      </c>
      <c r="G72" s="12">
        <v>3.7758417977584176E-2</v>
      </c>
      <c r="H72" s="12">
        <v>3.7758417977584176E-2</v>
      </c>
      <c r="I72" s="12">
        <v>3.7758417977584176E-2</v>
      </c>
      <c r="J72" s="12">
        <v>3.7758417977584176E-2</v>
      </c>
      <c r="K72" s="12">
        <v>3.7758417977584176E-2</v>
      </c>
      <c r="L72" s="12">
        <v>3.7758417977584176E-2</v>
      </c>
      <c r="M72" s="12">
        <v>3.7758417977584176E-2</v>
      </c>
      <c r="N72" s="12">
        <v>3.7758417977584176E-2</v>
      </c>
      <c r="O72" s="12">
        <v>3.7758417977584176E-2</v>
      </c>
      <c r="P72" s="12">
        <v>3.7758417977584176E-2</v>
      </c>
      <c r="Q72" s="12">
        <v>4.1534259775342607E-2</v>
      </c>
      <c r="R72" s="12">
        <v>4.1534259775342607E-2</v>
      </c>
      <c r="S72" s="12">
        <v>4.1534259775342607E-2</v>
      </c>
      <c r="T72" s="12">
        <v>4.1534259775342607E-2</v>
      </c>
      <c r="U72" s="12">
        <v>4.1534259775342607E-2</v>
      </c>
      <c r="V72" s="12">
        <v>4.1534259775342607E-2</v>
      </c>
      <c r="W72" s="12">
        <v>4.1534259775342607E-2</v>
      </c>
      <c r="X72" s="12">
        <v>4.1534259775342607E-2</v>
      </c>
      <c r="Y72" s="12">
        <v>4.1534259775342607E-2</v>
      </c>
      <c r="Z72" s="12">
        <v>4.1534259775342607E-2</v>
      </c>
      <c r="AA72" s="12">
        <v>4.1534259775342607E-2</v>
      </c>
      <c r="AB72" s="12">
        <v>4.1534259775342607E-2</v>
      </c>
      <c r="AC72" s="12">
        <v>4.5687685752876864E-2</v>
      </c>
      <c r="AD72" s="12">
        <v>4.5687685752876864E-2</v>
      </c>
      <c r="AE72" s="12">
        <v>4.5687685752876864E-2</v>
      </c>
      <c r="AF72" s="12">
        <v>4.5687685752876864E-2</v>
      </c>
      <c r="AG72" s="12">
        <v>4.5687685752876864E-2</v>
      </c>
      <c r="AH72" s="12">
        <v>4.5687685752876864E-2</v>
      </c>
      <c r="AI72" s="12">
        <v>4.5687685752876864E-2</v>
      </c>
      <c r="AJ72" s="12">
        <v>4.5687685752876864E-2</v>
      </c>
      <c r="AK72" s="12">
        <v>4.5687685752876864E-2</v>
      </c>
      <c r="AL72" s="12">
        <v>4.5687685752876864E-2</v>
      </c>
      <c r="AM72" s="12">
        <v>4.5687685752876864E-2</v>
      </c>
      <c r="AN72" s="12">
        <v>4.5687685752876864E-2</v>
      </c>
    </row>
    <row r="73" spans="2:40" x14ac:dyDescent="0.25">
      <c r="B73" s="39" t="s">
        <v>24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306</v>
      </c>
      <c r="E75" s="74" cm="1">
        <f t="array" ref="E75:AN75">_xlfn.ANCHORARRAY(E67)-_xlfn.ANCHORARRAY(E72)-_xlfn.ANCHORARRAY(E73)</f>
        <v>-3.7758417977584176E-2</v>
      </c>
      <c r="F75" s="74">
        <v>-3.7758417977584176E-2</v>
      </c>
      <c r="G75" s="74">
        <v>-3.7758417977584176E-2</v>
      </c>
      <c r="H75" s="74">
        <v>-3.7758417977584176E-2</v>
      </c>
      <c r="I75" s="74">
        <v>-3.7758417977584176E-2</v>
      </c>
      <c r="J75" s="74">
        <v>-3.7758417977584176E-2</v>
      </c>
      <c r="K75" s="74">
        <v>-3.7758417977584176E-2</v>
      </c>
      <c r="L75" s="74">
        <v>-3.7758417977584176E-2</v>
      </c>
      <c r="M75" s="74">
        <v>-3.7758417977584176E-2</v>
      </c>
      <c r="N75" s="74">
        <v>-3.7758417977584176E-2</v>
      </c>
      <c r="O75" s="74">
        <v>-3.7758417977584176E-2</v>
      </c>
      <c r="P75" s="74">
        <v>-3.7758417977584176E-2</v>
      </c>
      <c r="Q75" s="74">
        <v>-4.1534259775342607E-2</v>
      </c>
      <c r="R75" s="74">
        <v>-4.1534259775342607E-2</v>
      </c>
      <c r="S75" s="74">
        <v>-4.1534259775342607E-2</v>
      </c>
      <c r="T75" s="74">
        <v>-4.1534259775342607E-2</v>
      </c>
      <c r="U75" s="74">
        <v>-4.1534259775342607E-2</v>
      </c>
      <c r="V75" s="74">
        <v>-4.1534259775342607E-2</v>
      </c>
      <c r="W75" s="74">
        <v>-4.1534259775342607E-2</v>
      </c>
      <c r="X75" s="74">
        <v>-4.1534259775342607E-2</v>
      </c>
      <c r="Y75" s="74">
        <v>-4.1534259775342607E-2</v>
      </c>
      <c r="Z75" s="74">
        <v>-4.1534259775342607E-2</v>
      </c>
      <c r="AA75" s="74">
        <v>-4.1534259775342607E-2</v>
      </c>
      <c r="AB75" s="74">
        <v>-4.1534259775342607E-2</v>
      </c>
      <c r="AC75" s="74">
        <v>-4.5687685752876864E-2</v>
      </c>
      <c r="AD75" s="74">
        <v>-4.5687685752876864E-2</v>
      </c>
      <c r="AE75" s="74">
        <v>-4.5687685752876864E-2</v>
      </c>
      <c r="AF75" s="74">
        <v>-4.5687685752876864E-2</v>
      </c>
      <c r="AG75" s="74">
        <v>-4.5687685752876864E-2</v>
      </c>
      <c r="AH75" s="74">
        <v>-4.5687685752876864E-2</v>
      </c>
      <c r="AI75" s="74">
        <v>-4.5687685752876864E-2</v>
      </c>
      <c r="AJ75" s="74">
        <v>-4.5687685752876864E-2</v>
      </c>
      <c r="AK75" s="74">
        <v>-4.5687685752876864E-2</v>
      </c>
      <c r="AL75" s="74">
        <v>-4.5687685752876864E-2</v>
      </c>
      <c r="AM75" s="74">
        <v>-4.5687685752876864E-2</v>
      </c>
      <c r="AN75" s="74">
        <v>-4.5687685752876864E-2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6DB511-BF71-423C-9350-523321FB82EA}">
  <dimension ref="A1:AX75"/>
  <sheetViews>
    <sheetView workbookViewId="0">
      <pane xSplit="4" ySplit="25" topLeftCell="E56" activePane="bottomRight" state="frozen"/>
      <selection activeCell="E63" sqref="E63:E65"/>
      <selection pane="topRight" activeCell="E63" sqref="E63:E65"/>
      <selection pane="bottomLeft" activeCell="E63" sqref="E63:E65"/>
      <selection pane="bottomRight" activeCell="E63" sqref="E63:E65"/>
    </sheetView>
  </sheetViews>
  <sheetFormatPr defaultRowHeight="15" outlineLevelRow="1" x14ac:dyDescent="0.25"/>
  <cols>
    <col min="2" max="2" width="24.5703125" bestFit="1" customWidth="1"/>
    <col min="3" max="4" width="11.5703125" bestFit="1" customWidth="1"/>
    <col min="5" max="5" width="12.28515625" bestFit="1" customWidth="1"/>
    <col min="6" max="6" width="11.5703125" bestFit="1" customWidth="1"/>
    <col min="7" max="13" width="12.28515625" bestFit="1" customWidth="1"/>
    <col min="14" max="18" width="11.5703125" bestFit="1" customWidth="1"/>
    <col min="19" max="40" width="12.5703125" bestFit="1" customWidth="1"/>
  </cols>
  <sheetData>
    <row r="1" spans="1:40" x14ac:dyDescent="0.25">
      <c r="A1" s="96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>2025</v>
      </c>
      <c r="B1" s="10" t="s">
        <v>420</v>
      </c>
      <c r="C1" s="16" t="s">
        <v>61</v>
      </c>
      <c r="D1" s="3" t="s">
        <v>307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IFERROR(_xlpm.kiddos,0))</f>
        <v>6</v>
      </c>
      <c r="F1" s="69">
        <v>9</v>
      </c>
      <c r="G1" s="69">
        <v>12</v>
      </c>
      <c r="H1" s="69">
        <v>15</v>
      </c>
      <c r="I1" s="69">
        <v>18</v>
      </c>
      <c r="J1" s="69">
        <v>21</v>
      </c>
      <c r="K1" s="69">
        <v>24</v>
      </c>
      <c r="L1" s="69">
        <v>27</v>
      </c>
      <c r="M1" s="69">
        <v>30</v>
      </c>
      <c r="N1" s="69">
        <v>33</v>
      </c>
      <c r="O1" s="69">
        <v>36</v>
      </c>
      <c r="P1" s="69">
        <v>39</v>
      </c>
      <c r="Q1" s="69">
        <v>42</v>
      </c>
      <c r="R1" s="69">
        <v>42</v>
      </c>
      <c r="S1" s="69">
        <v>42</v>
      </c>
      <c r="T1" s="69">
        <v>42</v>
      </c>
      <c r="U1" s="69">
        <v>42</v>
      </c>
      <c r="V1" s="69">
        <v>42</v>
      </c>
      <c r="W1" s="69">
        <v>42</v>
      </c>
      <c r="X1" s="69">
        <v>42</v>
      </c>
      <c r="Y1" s="69">
        <v>42</v>
      </c>
      <c r="Z1" s="69">
        <v>42</v>
      </c>
      <c r="AA1" s="69">
        <v>42</v>
      </c>
      <c r="AB1" s="69">
        <v>42</v>
      </c>
      <c r="AC1" s="69">
        <v>42</v>
      </c>
      <c r="AD1" s="69">
        <v>42</v>
      </c>
      <c r="AE1" s="69">
        <v>42</v>
      </c>
      <c r="AF1" s="69">
        <v>42</v>
      </c>
      <c r="AG1" s="69">
        <v>42</v>
      </c>
      <c r="AH1" s="69">
        <v>42</v>
      </c>
      <c r="AI1" s="69">
        <v>42</v>
      </c>
      <c r="AJ1" s="69">
        <v>42</v>
      </c>
      <c r="AK1" s="69">
        <v>42</v>
      </c>
      <c r="AL1" s="69">
        <v>42</v>
      </c>
      <c r="AM1" s="69">
        <v>42</v>
      </c>
      <c r="AN1" s="69">
        <v>42</v>
      </c>
    </row>
    <row r="2" spans="1:40" x14ac:dyDescent="0.25">
      <c r="A2" s="65"/>
      <c r="B2" s="3" t="str">
        <f>_xlfn.XLOOKUP($B$1&amp;"-"&amp;$C$1,Base!$D$4:$BD$4,Base!$D$2:$BD$2,"",0)</f>
        <v>New Jersey</v>
      </c>
      <c r="C2" s="55"/>
      <c r="D2" s="55" t="s">
        <v>259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3.1666666666666665</v>
      </c>
      <c r="F2" s="69">
        <v>3.3333333333333335</v>
      </c>
      <c r="G2" s="69">
        <v>3.5</v>
      </c>
      <c r="H2" s="69">
        <v>3.6666666666666665</v>
      </c>
      <c r="I2" s="69">
        <v>3.8333333333333335</v>
      </c>
      <c r="J2" s="69">
        <v>4</v>
      </c>
      <c r="K2" s="69">
        <v>4.166666666666667</v>
      </c>
      <c r="L2" s="69">
        <v>4.333333333333333</v>
      </c>
      <c r="M2" s="69">
        <v>4.5</v>
      </c>
      <c r="N2" s="69">
        <v>4.666666666666667</v>
      </c>
      <c r="O2" s="69">
        <v>4.833333333333333</v>
      </c>
      <c r="P2" s="69">
        <v>5</v>
      </c>
      <c r="Q2" s="69">
        <v>2.1666666666666665</v>
      </c>
      <c r="R2" s="69">
        <v>2.3333333333333335</v>
      </c>
      <c r="S2" s="69">
        <v>2.5</v>
      </c>
      <c r="T2" s="69">
        <v>2.6666666666666665</v>
      </c>
      <c r="U2" s="69">
        <v>2.8333333333333335</v>
      </c>
      <c r="V2" s="69">
        <v>3</v>
      </c>
      <c r="W2" s="69">
        <v>3.1666666666666665</v>
      </c>
      <c r="X2" s="69">
        <v>3.3333333333333335</v>
      </c>
      <c r="Y2" s="69">
        <v>3.5</v>
      </c>
      <c r="Z2" s="69">
        <v>3.6666666666666665</v>
      </c>
      <c r="AA2" s="69">
        <v>3.8333333333333335</v>
      </c>
      <c r="AB2" s="69">
        <v>4</v>
      </c>
      <c r="AC2" s="69">
        <v>4</v>
      </c>
      <c r="AD2" s="69">
        <v>4</v>
      </c>
      <c r="AE2" s="69">
        <v>4</v>
      </c>
      <c r="AF2" s="69">
        <v>4</v>
      </c>
      <c r="AG2" s="69">
        <v>4</v>
      </c>
      <c r="AH2" s="69">
        <v>4</v>
      </c>
      <c r="AI2" s="69">
        <v>4</v>
      </c>
      <c r="AJ2" s="69">
        <v>4</v>
      </c>
      <c r="AK2" s="69">
        <v>4</v>
      </c>
      <c r="AL2" s="69">
        <v>4</v>
      </c>
      <c r="AM2" s="69">
        <v>4</v>
      </c>
      <c r="AN2" s="69">
        <v>4</v>
      </c>
    </row>
    <row r="3" spans="1:40" x14ac:dyDescent="0.25">
      <c r="A3" s="65"/>
      <c r="B3" s="55"/>
      <c r="C3" s="55"/>
      <c r="D3" s="55" t="s">
        <v>62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_xlpm.months_since,DATEDIF(_xlpm.launchdate,_xlfn.ANCHORARRAY($E$25),"m"),_xlfn.BYCOL(_xlpm.months_since,_xlfn.LAMBDA(_xlpm.a,IFERROR(MIN(_xlpm.a/6,_xlpm.max_kiddos),0))))</f>
        <v>0.16666666666666666</v>
      </c>
      <c r="F3" s="69">
        <v>0.33333333333333331</v>
      </c>
      <c r="G3" s="69">
        <v>0.5</v>
      </c>
      <c r="H3" s="69">
        <v>0.66666666666666663</v>
      </c>
      <c r="I3" s="69">
        <v>0.83333333333333337</v>
      </c>
      <c r="J3" s="69">
        <v>1</v>
      </c>
      <c r="K3" s="69">
        <v>1.1666666666666667</v>
      </c>
      <c r="L3" s="69">
        <v>1.3333333333333333</v>
      </c>
      <c r="M3" s="69">
        <v>1.5</v>
      </c>
      <c r="N3" s="69">
        <v>1.6666666666666667</v>
      </c>
      <c r="O3" s="69">
        <v>1.8333333333333333</v>
      </c>
      <c r="P3" s="69">
        <v>2</v>
      </c>
      <c r="Q3" s="69">
        <v>2.1666666666666665</v>
      </c>
      <c r="R3" s="69">
        <v>2.3333333333333335</v>
      </c>
      <c r="S3" s="69">
        <v>2.5</v>
      </c>
      <c r="T3" s="69">
        <v>2.6666666666666665</v>
      </c>
      <c r="U3" s="69">
        <v>2.8333333333333335</v>
      </c>
      <c r="V3" s="69">
        <v>3</v>
      </c>
      <c r="W3" s="69">
        <v>3.1666666666666665</v>
      </c>
      <c r="X3" s="69">
        <v>3.3333333333333335</v>
      </c>
      <c r="Y3" s="69">
        <v>3.5</v>
      </c>
      <c r="Z3" s="69">
        <v>3.6666666666666665</v>
      </c>
      <c r="AA3" s="69">
        <v>3.8333333333333335</v>
      </c>
      <c r="AB3" s="69">
        <v>4</v>
      </c>
      <c r="AC3" s="69">
        <v>4</v>
      </c>
      <c r="AD3" s="69">
        <v>4</v>
      </c>
      <c r="AE3" s="69">
        <v>4</v>
      </c>
      <c r="AF3" s="69">
        <v>4</v>
      </c>
      <c r="AG3" s="69">
        <v>4</v>
      </c>
      <c r="AH3" s="69">
        <v>4</v>
      </c>
      <c r="AI3" s="69">
        <v>4</v>
      </c>
      <c r="AJ3" s="69">
        <v>4</v>
      </c>
      <c r="AK3" s="69">
        <v>4</v>
      </c>
      <c r="AL3" s="69">
        <v>4</v>
      </c>
      <c r="AM3" s="69">
        <v>4</v>
      </c>
      <c r="AN3" s="69">
        <v>4</v>
      </c>
    </row>
    <row r="4" spans="1:40" x14ac:dyDescent="0.25">
      <c r="A4" s="65"/>
      <c r="B4" s="55"/>
      <c r="C4" s="55"/>
      <c r="D4" s="55" t="s">
        <v>260</v>
      </c>
      <c r="E4" s="69" cm="1">
        <f t="array" ref="E4:AN4">_xlfn.BYCOL(_xlfn.VSTACK(_xlfn.ANCHORARRAY($E$1),_xlfn.ANCHORARRAY($E$2)),_xlfn.LAMBDA(_xlpm.a,SUM(_xlpm.a)))</f>
        <v>9.1666666666666661</v>
      </c>
      <c r="F4" s="69">
        <v>12.333333333333334</v>
      </c>
      <c r="G4" s="69">
        <v>15.5</v>
      </c>
      <c r="H4" s="69">
        <v>18.666666666666668</v>
      </c>
      <c r="I4" s="69">
        <v>21.833333333333332</v>
      </c>
      <c r="J4" s="69">
        <v>25</v>
      </c>
      <c r="K4" s="69">
        <v>28.166666666666668</v>
      </c>
      <c r="L4" s="69">
        <v>31.333333333333332</v>
      </c>
      <c r="M4" s="69">
        <v>34.5</v>
      </c>
      <c r="N4" s="69">
        <v>37.666666666666664</v>
      </c>
      <c r="O4" s="69">
        <v>40.833333333333336</v>
      </c>
      <c r="P4" s="69">
        <v>44</v>
      </c>
      <c r="Q4" s="69">
        <v>44.166666666666664</v>
      </c>
      <c r="R4" s="69">
        <v>44.333333333333336</v>
      </c>
      <c r="S4" s="69">
        <v>44.5</v>
      </c>
      <c r="T4" s="69">
        <v>44.666666666666664</v>
      </c>
      <c r="U4" s="69">
        <v>44.833333333333336</v>
      </c>
      <c r="V4" s="69">
        <v>45</v>
      </c>
      <c r="W4" s="69">
        <v>45.166666666666664</v>
      </c>
      <c r="X4" s="69">
        <v>45.333333333333336</v>
      </c>
      <c r="Y4" s="69">
        <v>45.5</v>
      </c>
      <c r="Z4" s="69">
        <v>45.666666666666664</v>
      </c>
      <c r="AA4" s="69">
        <v>45.833333333333336</v>
      </c>
      <c r="AB4" s="69">
        <v>46</v>
      </c>
      <c r="AC4" s="69">
        <v>46</v>
      </c>
      <c r="AD4" s="69">
        <v>46</v>
      </c>
      <c r="AE4" s="69">
        <v>46</v>
      </c>
      <c r="AF4" s="69">
        <v>46</v>
      </c>
      <c r="AG4" s="69">
        <v>46</v>
      </c>
      <c r="AH4" s="69">
        <v>46</v>
      </c>
      <c r="AI4" s="69">
        <v>46</v>
      </c>
      <c r="AJ4" s="69">
        <v>46</v>
      </c>
      <c r="AK4" s="69">
        <v>46</v>
      </c>
      <c r="AL4" s="69">
        <v>46</v>
      </c>
      <c r="AM4" s="69">
        <v>46</v>
      </c>
      <c r="AN4" s="69">
        <v>46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107</v>
      </c>
      <c r="C6" s="3"/>
      <c r="D6" s="3"/>
      <c r="E6" s="66" cm="1">
        <f t="array" ref="E6:AN6">ROUND(_xlfn.BYCOL(_xlfn.ANCHORARRAY(E7),_xlfn.LAMBDA(_xlpm.a,SUM(_xlpm.a))),0)</f>
        <v>11</v>
      </c>
      <c r="F6" s="66">
        <v>15</v>
      </c>
      <c r="G6" s="66">
        <v>18</v>
      </c>
      <c r="H6" s="66">
        <v>22</v>
      </c>
      <c r="I6" s="66">
        <v>26</v>
      </c>
      <c r="J6" s="66">
        <v>29</v>
      </c>
      <c r="K6" s="66">
        <v>33</v>
      </c>
      <c r="L6" s="66">
        <v>37</v>
      </c>
      <c r="M6" s="66">
        <v>40</v>
      </c>
      <c r="N6" s="66">
        <v>44</v>
      </c>
      <c r="O6" s="66">
        <v>47</v>
      </c>
      <c r="P6" s="66">
        <v>51</v>
      </c>
      <c r="Q6" s="66">
        <v>54</v>
      </c>
      <c r="R6" s="66">
        <v>54</v>
      </c>
      <c r="S6" s="66">
        <v>54</v>
      </c>
      <c r="T6" s="66">
        <v>54</v>
      </c>
      <c r="U6" s="66">
        <v>54</v>
      </c>
      <c r="V6" s="66">
        <v>54</v>
      </c>
      <c r="W6" s="66">
        <v>54</v>
      </c>
      <c r="X6" s="66">
        <v>54</v>
      </c>
      <c r="Y6" s="66">
        <v>54</v>
      </c>
      <c r="Z6" s="66">
        <v>54</v>
      </c>
      <c r="AA6" s="66">
        <v>54</v>
      </c>
      <c r="AB6" s="66">
        <v>54</v>
      </c>
      <c r="AC6" s="66">
        <v>54</v>
      </c>
      <c r="AD6" s="66">
        <v>54</v>
      </c>
      <c r="AE6" s="66">
        <v>54</v>
      </c>
      <c r="AF6" s="66">
        <v>54</v>
      </c>
      <c r="AG6" s="66">
        <v>54</v>
      </c>
      <c r="AH6" s="66">
        <v>54</v>
      </c>
      <c r="AI6" s="66">
        <v>54</v>
      </c>
      <c r="AJ6" s="66">
        <v>54</v>
      </c>
      <c r="AK6" s="66">
        <v>54</v>
      </c>
      <c r="AL6" s="66">
        <v>54</v>
      </c>
      <c r="AM6" s="66">
        <v>54</v>
      </c>
      <c r="AN6" s="66">
        <v>54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1"/>
      <c r="E7" s="106" cm="1">
        <f t="array" ref="E7:AN20">_xlfn.LET(_xlpm.Customer_staff,_xlfn._xlws.FILTER(Base!$D$85:$BD$98,ISNUMBER(SEARCH($B$1&amp;"-"&amp;$C$1,Base!$D$4:$BD$4))),_xlpm.Customer,_xlfn.ANCHORARRAY($E$1),_xlpm.headcount,_xlpm.Customer/_xlpm.Customer_staff,
_xlpm.patient_staff,_xlfn.ANCHORARRAY($E$2)/_xlpm.Customer_staff,_xlpm.prim_staff_tr_rec,_xlfn.ANCHORARRAY($E$2)/_xlfn.CHOOSEROWS(_xlpm.Customer_staff,{7,8})+(_xlfn.ANCHORARRAY($E$1)*0.0055),_xlpm.rounding,_xlfn.VSTACK(2,2,0,0,2,2,2,2,2,2,2,0,0,0),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prim_staff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5.6499999999999995</v>
      </c>
      <c r="F7" s="106">
        <v>8.48</v>
      </c>
      <c r="G7" s="106">
        <v>11.299999999999999</v>
      </c>
      <c r="H7" s="106">
        <v>14.12</v>
      </c>
      <c r="I7" s="106">
        <v>16.950000000000003</v>
      </c>
      <c r="J7" s="106">
        <v>19.770000000000003</v>
      </c>
      <c r="K7" s="106">
        <v>22.59</v>
      </c>
      <c r="L7" s="106">
        <v>25.42</v>
      </c>
      <c r="M7" s="106">
        <v>28.240000000000002</v>
      </c>
      <c r="N7" s="106">
        <v>31.060000000000002</v>
      </c>
      <c r="O7" s="106">
        <v>33.89</v>
      </c>
      <c r="P7" s="106">
        <v>36.71</v>
      </c>
      <c r="Q7" s="106">
        <v>39.53</v>
      </c>
      <c r="R7" s="106">
        <v>39.53</v>
      </c>
      <c r="S7" s="106">
        <v>39.53</v>
      </c>
      <c r="T7" s="106">
        <v>39.53</v>
      </c>
      <c r="U7" s="106">
        <v>39.53</v>
      </c>
      <c r="V7" s="106">
        <v>39.53</v>
      </c>
      <c r="W7" s="106">
        <v>39.53</v>
      </c>
      <c r="X7" s="106">
        <v>39.53</v>
      </c>
      <c r="Y7" s="106">
        <v>39.53</v>
      </c>
      <c r="Z7" s="106">
        <v>39.53</v>
      </c>
      <c r="AA7" s="106">
        <v>39.53</v>
      </c>
      <c r="AB7" s="106">
        <v>39.53</v>
      </c>
      <c r="AC7" s="106">
        <v>39.53</v>
      </c>
      <c r="AD7" s="106">
        <v>39.53</v>
      </c>
      <c r="AE7" s="106">
        <v>39.53</v>
      </c>
      <c r="AF7" s="106">
        <v>39.53</v>
      </c>
      <c r="AG7" s="106">
        <v>39.53</v>
      </c>
      <c r="AH7" s="106">
        <v>39.53</v>
      </c>
      <c r="AI7" s="106">
        <v>39.53</v>
      </c>
      <c r="AJ7" s="106">
        <v>39.53</v>
      </c>
      <c r="AK7" s="106">
        <v>39.53</v>
      </c>
      <c r="AL7" s="106">
        <v>39.53</v>
      </c>
      <c r="AM7" s="106">
        <v>39.53</v>
      </c>
      <c r="AN7" s="106">
        <v>39.53</v>
      </c>
    </row>
    <row r="8" spans="1:40" hidden="1" outlineLevel="1" x14ac:dyDescent="0.25">
      <c r="B8" s="39" t="str">
        <v>Secondary Direct Staff</v>
      </c>
      <c r="C8" s="3"/>
      <c r="D8" s="3"/>
      <c r="E8" s="106">
        <v>0.86</v>
      </c>
      <c r="F8" s="106">
        <v>1.29</v>
      </c>
      <c r="G8" s="106">
        <v>1.72</v>
      </c>
      <c r="H8" s="106">
        <v>2.15</v>
      </c>
      <c r="I8" s="106">
        <v>2.5799999999999996</v>
      </c>
      <c r="J8" s="106">
        <v>3</v>
      </c>
      <c r="K8" s="106">
        <v>3.4299999999999997</v>
      </c>
      <c r="L8" s="106">
        <v>3.86</v>
      </c>
      <c r="M8" s="106">
        <v>4.29</v>
      </c>
      <c r="N8" s="106">
        <v>4.72</v>
      </c>
      <c r="O8" s="106">
        <v>5.1499999999999995</v>
      </c>
      <c r="P8" s="106">
        <v>5.58</v>
      </c>
      <c r="Q8" s="106">
        <v>6</v>
      </c>
      <c r="R8" s="106">
        <v>6</v>
      </c>
      <c r="S8" s="106">
        <v>6</v>
      </c>
      <c r="T8" s="106">
        <v>6</v>
      </c>
      <c r="U8" s="106">
        <v>6</v>
      </c>
      <c r="V8" s="106">
        <v>6</v>
      </c>
      <c r="W8" s="106">
        <v>6</v>
      </c>
      <c r="X8" s="106">
        <v>6</v>
      </c>
      <c r="Y8" s="106">
        <v>6</v>
      </c>
      <c r="Z8" s="106">
        <v>6</v>
      </c>
      <c r="AA8" s="106">
        <v>6</v>
      </c>
      <c r="AB8" s="106">
        <v>6</v>
      </c>
      <c r="AC8" s="106">
        <v>6</v>
      </c>
      <c r="AD8" s="106">
        <v>6</v>
      </c>
      <c r="AE8" s="106">
        <v>6</v>
      </c>
      <c r="AF8" s="106">
        <v>6</v>
      </c>
      <c r="AG8" s="106">
        <v>6</v>
      </c>
      <c r="AH8" s="106">
        <v>6</v>
      </c>
      <c r="AI8" s="106">
        <v>6</v>
      </c>
      <c r="AJ8" s="106">
        <v>6</v>
      </c>
      <c r="AK8" s="106">
        <v>6</v>
      </c>
      <c r="AL8" s="106">
        <v>6</v>
      </c>
      <c r="AM8" s="106">
        <v>6</v>
      </c>
      <c r="AN8" s="106">
        <v>6</v>
      </c>
    </row>
    <row r="9" spans="1:40" hidden="1" outlineLevel="1" x14ac:dyDescent="0.25">
      <c r="B9" s="39" t="str">
        <v>Center Manager</v>
      </c>
      <c r="C9" s="3"/>
      <c r="D9" s="3"/>
      <c r="E9" s="106">
        <v>1</v>
      </c>
      <c r="F9" s="106">
        <v>1</v>
      </c>
      <c r="G9" s="106">
        <v>1</v>
      </c>
      <c r="H9" s="106">
        <v>1</v>
      </c>
      <c r="I9" s="106">
        <v>1</v>
      </c>
      <c r="J9" s="106">
        <v>1</v>
      </c>
      <c r="K9" s="106">
        <v>1</v>
      </c>
      <c r="L9" s="106">
        <v>1</v>
      </c>
      <c r="M9" s="106">
        <v>1</v>
      </c>
      <c r="N9" s="106">
        <v>1</v>
      </c>
      <c r="O9" s="106">
        <v>1</v>
      </c>
      <c r="P9" s="106">
        <v>1</v>
      </c>
      <c r="Q9" s="106">
        <v>1</v>
      </c>
      <c r="R9" s="106">
        <v>1</v>
      </c>
      <c r="S9" s="106">
        <v>1</v>
      </c>
      <c r="T9" s="106">
        <v>1</v>
      </c>
      <c r="U9" s="106">
        <v>1</v>
      </c>
      <c r="V9" s="106">
        <v>1</v>
      </c>
      <c r="W9" s="106">
        <v>1</v>
      </c>
      <c r="X9" s="106">
        <v>1</v>
      </c>
      <c r="Y9" s="106">
        <v>1</v>
      </c>
      <c r="Z9" s="106">
        <v>1</v>
      </c>
      <c r="AA9" s="106">
        <v>1</v>
      </c>
      <c r="AB9" s="106">
        <v>1</v>
      </c>
      <c r="AC9" s="106">
        <v>1</v>
      </c>
      <c r="AD9" s="106">
        <v>1</v>
      </c>
      <c r="AE9" s="106">
        <v>1</v>
      </c>
      <c r="AF9" s="106">
        <v>1</v>
      </c>
      <c r="AG9" s="106">
        <v>1</v>
      </c>
      <c r="AH9" s="106">
        <v>1</v>
      </c>
      <c r="AI9" s="106">
        <v>1</v>
      </c>
      <c r="AJ9" s="106">
        <v>1</v>
      </c>
      <c r="AK9" s="106">
        <v>1</v>
      </c>
      <c r="AL9" s="106">
        <v>1</v>
      </c>
      <c r="AM9" s="106">
        <v>1</v>
      </c>
      <c r="AN9" s="106">
        <v>1</v>
      </c>
    </row>
    <row r="10" spans="1:40" hidden="1" outlineLevel="1" x14ac:dyDescent="0.25">
      <c r="B10" s="39" t="str">
        <v>Intake</v>
      </c>
      <c r="C10" s="3"/>
      <c r="D10" s="3"/>
      <c r="E10" s="106">
        <v>1</v>
      </c>
      <c r="F10" s="106">
        <v>1</v>
      </c>
      <c r="G10" s="106">
        <v>1</v>
      </c>
      <c r="H10" s="106">
        <v>1</v>
      </c>
      <c r="I10" s="106">
        <v>1</v>
      </c>
      <c r="J10" s="106">
        <v>1</v>
      </c>
      <c r="K10" s="106">
        <v>1</v>
      </c>
      <c r="L10" s="106">
        <v>1</v>
      </c>
      <c r="M10" s="106">
        <v>1</v>
      </c>
      <c r="N10" s="106">
        <v>1</v>
      </c>
      <c r="O10" s="106">
        <v>1</v>
      </c>
      <c r="P10" s="106">
        <v>1</v>
      </c>
      <c r="Q10" s="106">
        <v>1</v>
      </c>
      <c r="R10" s="106">
        <v>1</v>
      </c>
      <c r="S10" s="106">
        <v>1</v>
      </c>
      <c r="T10" s="106">
        <v>1</v>
      </c>
      <c r="U10" s="106">
        <v>1</v>
      </c>
      <c r="V10" s="106">
        <v>1</v>
      </c>
      <c r="W10" s="106">
        <v>1</v>
      </c>
      <c r="X10" s="106">
        <v>1</v>
      </c>
      <c r="Y10" s="106">
        <v>1</v>
      </c>
      <c r="Z10" s="106">
        <v>1</v>
      </c>
      <c r="AA10" s="106">
        <v>1</v>
      </c>
      <c r="AB10" s="106">
        <v>1</v>
      </c>
      <c r="AC10" s="106">
        <v>1</v>
      </c>
      <c r="AD10" s="106">
        <v>1</v>
      </c>
      <c r="AE10" s="106">
        <v>1</v>
      </c>
      <c r="AF10" s="106">
        <v>1</v>
      </c>
      <c r="AG10" s="106">
        <v>1</v>
      </c>
      <c r="AH10" s="106">
        <v>1</v>
      </c>
      <c r="AI10" s="106">
        <v>1</v>
      </c>
      <c r="AJ10" s="106">
        <v>1</v>
      </c>
      <c r="AK10" s="106">
        <v>1</v>
      </c>
      <c r="AL10" s="106">
        <v>1</v>
      </c>
      <c r="AM10" s="106">
        <v>1</v>
      </c>
      <c r="AN10" s="106">
        <v>1</v>
      </c>
    </row>
    <row r="11" spans="1:40" hidden="1" outlineLevel="1" x14ac:dyDescent="0.25">
      <c r="B11" s="39" t="str">
        <v>Scheduler</v>
      </c>
      <c r="C11" s="3"/>
      <c r="D11" s="3"/>
      <c r="E11" s="106">
        <v>0</v>
      </c>
      <c r="F11" s="106">
        <v>0</v>
      </c>
      <c r="G11" s="106">
        <v>0</v>
      </c>
      <c r="H11" s="106">
        <v>0</v>
      </c>
      <c r="I11" s="106">
        <v>0</v>
      </c>
      <c r="J11" s="106">
        <v>0</v>
      </c>
      <c r="K11" s="106">
        <v>0</v>
      </c>
      <c r="L11" s="106">
        <v>0</v>
      </c>
      <c r="M11" s="106">
        <v>0</v>
      </c>
      <c r="N11" s="106">
        <v>0</v>
      </c>
      <c r="O11" s="106">
        <v>0</v>
      </c>
      <c r="P11" s="106">
        <v>0</v>
      </c>
      <c r="Q11" s="106">
        <v>0</v>
      </c>
      <c r="R11" s="106">
        <v>0</v>
      </c>
      <c r="S11" s="106">
        <v>0</v>
      </c>
      <c r="T11" s="106">
        <v>0</v>
      </c>
      <c r="U11" s="106">
        <v>0</v>
      </c>
      <c r="V11" s="106">
        <v>0</v>
      </c>
      <c r="W11" s="106">
        <v>0</v>
      </c>
      <c r="X11" s="106">
        <v>0</v>
      </c>
      <c r="Y11" s="106">
        <v>0</v>
      </c>
      <c r="Z11" s="106">
        <v>0</v>
      </c>
      <c r="AA11" s="106">
        <v>0</v>
      </c>
      <c r="AB11" s="106">
        <v>0</v>
      </c>
      <c r="AC11" s="106">
        <v>0</v>
      </c>
      <c r="AD11" s="106">
        <v>0</v>
      </c>
      <c r="AE11" s="106">
        <v>0</v>
      </c>
      <c r="AF11" s="106">
        <v>0</v>
      </c>
      <c r="AG11" s="106">
        <v>0</v>
      </c>
      <c r="AH11" s="106">
        <v>0</v>
      </c>
      <c r="AI11" s="106">
        <v>0</v>
      </c>
      <c r="AJ11" s="106">
        <v>0</v>
      </c>
      <c r="AK11" s="106">
        <v>0</v>
      </c>
      <c r="AL11" s="106">
        <v>0</v>
      </c>
      <c r="AM11" s="106">
        <v>0</v>
      </c>
      <c r="AN11" s="106">
        <v>0</v>
      </c>
    </row>
    <row r="12" spans="1:40" hidden="1" outlineLevel="1" x14ac:dyDescent="0.25">
      <c r="B12" s="39" t="str">
        <v>Initial Consultation Expert</v>
      </c>
      <c r="C12" s="3"/>
      <c r="D12" s="3"/>
      <c r="E12" s="106">
        <v>0.25</v>
      </c>
      <c r="F12" s="106">
        <v>0.26</v>
      </c>
      <c r="G12" s="106">
        <v>0.27</v>
      </c>
      <c r="H12" s="106">
        <v>0.29000000000000004</v>
      </c>
      <c r="I12" s="106">
        <v>0.3</v>
      </c>
      <c r="J12" s="106">
        <v>0.31</v>
      </c>
      <c r="K12" s="106">
        <v>0.33</v>
      </c>
      <c r="L12" s="106">
        <v>0.34</v>
      </c>
      <c r="M12" s="106">
        <v>0.35000000000000003</v>
      </c>
      <c r="N12" s="106">
        <v>0.36</v>
      </c>
      <c r="O12" s="106">
        <v>0.38</v>
      </c>
      <c r="P12" s="106">
        <v>0.39</v>
      </c>
      <c r="Q12" s="106">
        <v>0.17</v>
      </c>
      <c r="R12" s="106">
        <v>0.18000000000000002</v>
      </c>
      <c r="S12" s="106">
        <v>0.2</v>
      </c>
      <c r="T12" s="106">
        <v>0.21000000000000002</v>
      </c>
      <c r="U12" s="106">
        <v>0.22</v>
      </c>
      <c r="V12" s="106">
        <v>0.24000000000000002</v>
      </c>
      <c r="W12" s="106">
        <v>0.25</v>
      </c>
      <c r="X12" s="106">
        <v>0.26</v>
      </c>
      <c r="Y12" s="106">
        <v>0.27</v>
      </c>
      <c r="Z12" s="106">
        <v>0.29000000000000004</v>
      </c>
      <c r="AA12" s="106">
        <v>0.3</v>
      </c>
      <c r="AB12" s="106">
        <v>0.31</v>
      </c>
      <c r="AC12" s="106">
        <v>0.31</v>
      </c>
      <c r="AD12" s="106">
        <v>0.31</v>
      </c>
      <c r="AE12" s="106">
        <v>0.31</v>
      </c>
      <c r="AF12" s="106">
        <v>0.31</v>
      </c>
      <c r="AG12" s="106">
        <v>0.31</v>
      </c>
      <c r="AH12" s="106">
        <v>0.31</v>
      </c>
      <c r="AI12" s="106">
        <v>0.31</v>
      </c>
      <c r="AJ12" s="106">
        <v>0.31</v>
      </c>
      <c r="AK12" s="106">
        <v>0.31</v>
      </c>
      <c r="AL12" s="106">
        <v>0.31</v>
      </c>
      <c r="AM12" s="106">
        <v>0.31</v>
      </c>
      <c r="AN12" s="106">
        <v>0.31</v>
      </c>
    </row>
    <row r="13" spans="1:40" hidden="1" outlineLevel="1" x14ac:dyDescent="0.25">
      <c r="B13" s="39" t="str">
        <v>Trainer</v>
      </c>
      <c r="C13" s="3"/>
      <c r="D13" s="3"/>
      <c r="E13" s="106">
        <v>0.35000000000000003</v>
      </c>
      <c r="F13" s="106">
        <v>0.39</v>
      </c>
      <c r="G13" s="106">
        <v>0.42</v>
      </c>
      <c r="H13" s="106">
        <v>0.45</v>
      </c>
      <c r="I13" s="106">
        <v>0.49</v>
      </c>
      <c r="J13" s="106">
        <v>0.52</v>
      </c>
      <c r="K13" s="106">
        <v>0.55000000000000004</v>
      </c>
      <c r="L13" s="106">
        <v>0.59</v>
      </c>
      <c r="M13" s="106">
        <v>0.62</v>
      </c>
      <c r="N13" s="106">
        <v>0.65</v>
      </c>
      <c r="O13" s="106">
        <v>0.69000000000000006</v>
      </c>
      <c r="P13" s="106">
        <v>0.72</v>
      </c>
      <c r="Q13" s="106">
        <v>0.45</v>
      </c>
      <c r="R13" s="106">
        <v>0.47000000000000003</v>
      </c>
      <c r="S13" s="106">
        <v>0.49</v>
      </c>
      <c r="T13" s="106">
        <v>0.5</v>
      </c>
      <c r="U13" s="106">
        <v>0.52</v>
      </c>
      <c r="V13" s="106">
        <v>0.54</v>
      </c>
      <c r="W13" s="106">
        <v>0.55000000000000004</v>
      </c>
      <c r="X13" s="106">
        <v>0.57000000000000006</v>
      </c>
      <c r="Y13" s="106">
        <v>0.59</v>
      </c>
      <c r="Z13" s="106">
        <v>0.6</v>
      </c>
      <c r="AA13" s="106">
        <v>0.62</v>
      </c>
      <c r="AB13" s="106">
        <v>0.64</v>
      </c>
      <c r="AC13" s="106">
        <v>0.64</v>
      </c>
      <c r="AD13" s="106">
        <v>0.64</v>
      </c>
      <c r="AE13" s="106">
        <v>0.64</v>
      </c>
      <c r="AF13" s="106">
        <v>0.64</v>
      </c>
      <c r="AG13" s="106">
        <v>0.64</v>
      </c>
      <c r="AH13" s="106">
        <v>0.64</v>
      </c>
      <c r="AI13" s="106">
        <v>0.64</v>
      </c>
      <c r="AJ13" s="106">
        <v>0.64</v>
      </c>
      <c r="AK13" s="106">
        <v>0.64</v>
      </c>
      <c r="AL13" s="106">
        <v>0.64</v>
      </c>
      <c r="AM13" s="106">
        <v>0.64</v>
      </c>
      <c r="AN13" s="106">
        <v>0.64</v>
      </c>
    </row>
    <row r="14" spans="1:40" hidden="1" outlineLevel="1" x14ac:dyDescent="0.25">
      <c r="B14" s="39" t="str">
        <v>Recruiter</v>
      </c>
      <c r="C14" s="3"/>
      <c r="D14" s="3"/>
      <c r="E14" s="106">
        <v>0.2</v>
      </c>
      <c r="F14" s="106">
        <v>0.22</v>
      </c>
      <c r="G14" s="106">
        <v>0.25</v>
      </c>
      <c r="H14" s="106">
        <v>0.27</v>
      </c>
      <c r="I14" s="106">
        <v>0.3</v>
      </c>
      <c r="J14" s="106">
        <v>0.32</v>
      </c>
      <c r="K14" s="106">
        <v>0.35000000000000003</v>
      </c>
      <c r="L14" s="106">
        <v>0.37</v>
      </c>
      <c r="M14" s="106">
        <v>0.39</v>
      </c>
      <c r="N14" s="106">
        <v>0.42</v>
      </c>
      <c r="O14" s="106">
        <v>0.44</v>
      </c>
      <c r="P14" s="106">
        <v>0.47000000000000003</v>
      </c>
      <c r="Q14" s="106">
        <v>0.34</v>
      </c>
      <c r="R14" s="106">
        <v>0.35000000000000003</v>
      </c>
      <c r="S14" s="106">
        <v>0.36</v>
      </c>
      <c r="T14" s="106">
        <v>0.37</v>
      </c>
      <c r="U14" s="106">
        <v>0.38</v>
      </c>
      <c r="V14" s="106">
        <v>0.39</v>
      </c>
      <c r="W14" s="106">
        <v>0.39</v>
      </c>
      <c r="X14" s="106">
        <v>0.4</v>
      </c>
      <c r="Y14" s="106">
        <v>0.41000000000000003</v>
      </c>
      <c r="Z14" s="106">
        <v>0.42</v>
      </c>
      <c r="AA14" s="106">
        <v>0.43</v>
      </c>
      <c r="AB14" s="106">
        <v>0.44</v>
      </c>
      <c r="AC14" s="106">
        <v>0.44</v>
      </c>
      <c r="AD14" s="106">
        <v>0.44</v>
      </c>
      <c r="AE14" s="106">
        <v>0.44</v>
      </c>
      <c r="AF14" s="106">
        <v>0.44</v>
      </c>
      <c r="AG14" s="106">
        <v>0.44</v>
      </c>
      <c r="AH14" s="106">
        <v>0.44</v>
      </c>
      <c r="AI14" s="106">
        <v>0.44</v>
      </c>
      <c r="AJ14" s="106">
        <v>0.44</v>
      </c>
      <c r="AK14" s="106">
        <v>0.44</v>
      </c>
      <c r="AL14" s="106">
        <v>0.44</v>
      </c>
      <c r="AM14" s="106">
        <v>0.44</v>
      </c>
      <c r="AN14" s="106">
        <v>0.44</v>
      </c>
    </row>
    <row r="15" spans="1:40" hidden="1" outlineLevel="1" x14ac:dyDescent="0.25">
      <c r="B15" s="39" t="str">
        <v>Center Director / Remote Site Director</v>
      </c>
      <c r="C15" s="3"/>
      <c r="D15" s="3"/>
      <c r="E15" s="106">
        <v>0.03</v>
      </c>
      <c r="F15" s="106">
        <v>0.04</v>
      </c>
      <c r="G15" s="106">
        <v>0.05</v>
      </c>
      <c r="H15" s="106">
        <v>0.06</v>
      </c>
      <c r="I15" s="106">
        <v>0.08</v>
      </c>
      <c r="J15" s="106">
        <v>0.09</v>
      </c>
      <c r="K15" s="106">
        <v>9.9999999999999992E-2</v>
      </c>
      <c r="L15" s="106">
        <v>0.11</v>
      </c>
      <c r="M15" s="106">
        <v>0.12</v>
      </c>
      <c r="N15" s="106">
        <v>0.14000000000000001</v>
      </c>
      <c r="O15" s="106">
        <v>0.15000000000000002</v>
      </c>
      <c r="P15" s="106">
        <v>0.16</v>
      </c>
      <c r="Q15" s="106">
        <v>0.17</v>
      </c>
      <c r="R15" s="106">
        <v>0.17</v>
      </c>
      <c r="S15" s="106">
        <v>0.17</v>
      </c>
      <c r="T15" s="106">
        <v>0.17</v>
      </c>
      <c r="U15" s="106">
        <v>0.17</v>
      </c>
      <c r="V15" s="106">
        <v>0.17</v>
      </c>
      <c r="W15" s="106">
        <v>0.17</v>
      </c>
      <c r="X15" s="106">
        <v>0.17</v>
      </c>
      <c r="Y15" s="106">
        <v>0.17</v>
      </c>
      <c r="Z15" s="106">
        <v>0.17</v>
      </c>
      <c r="AA15" s="106">
        <v>0.17</v>
      </c>
      <c r="AB15" s="106">
        <v>0.17</v>
      </c>
      <c r="AC15" s="106">
        <v>0.17</v>
      </c>
      <c r="AD15" s="106">
        <v>0.17</v>
      </c>
      <c r="AE15" s="106">
        <v>0.17</v>
      </c>
      <c r="AF15" s="106">
        <v>0.17</v>
      </c>
      <c r="AG15" s="106">
        <v>0.17</v>
      </c>
      <c r="AH15" s="106">
        <v>0.17</v>
      </c>
      <c r="AI15" s="106">
        <v>0.17</v>
      </c>
      <c r="AJ15" s="106">
        <v>0.17</v>
      </c>
      <c r="AK15" s="106">
        <v>0.17</v>
      </c>
      <c r="AL15" s="106">
        <v>0.17</v>
      </c>
      <c r="AM15" s="106">
        <v>0.17</v>
      </c>
      <c r="AN15" s="106">
        <v>0.17</v>
      </c>
    </row>
    <row r="16" spans="1:40" hidden="1" outlineLevel="1" x14ac:dyDescent="0.25">
      <c r="B16" s="39" t="str">
        <v>Center Marketing Outreach</v>
      </c>
      <c r="C16" s="3"/>
      <c r="D16" s="3"/>
      <c r="E16" s="106">
        <v>0.03</v>
      </c>
      <c r="F16" s="106">
        <v>0.04</v>
      </c>
      <c r="G16" s="106">
        <v>0.05</v>
      </c>
      <c r="H16" s="106">
        <v>0.06</v>
      </c>
      <c r="I16" s="106">
        <v>0.08</v>
      </c>
      <c r="J16" s="106">
        <v>0.09</v>
      </c>
      <c r="K16" s="106">
        <v>9.9999999999999992E-2</v>
      </c>
      <c r="L16" s="106">
        <v>0.11</v>
      </c>
      <c r="M16" s="106">
        <v>0.12</v>
      </c>
      <c r="N16" s="106">
        <v>0.14000000000000001</v>
      </c>
      <c r="O16" s="106">
        <v>0.15000000000000002</v>
      </c>
      <c r="P16" s="106">
        <v>0.16</v>
      </c>
      <c r="Q16" s="106">
        <v>0.17</v>
      </c>
      <c r="R16" s="106">
        <v>0.17</v>
      </c>
      <c r="S16" s="106">
        <v>0.17</v>
      </c>
      <c r="T16" s="106">
        <v>0.17</v>
      </c>
      <c r="U16" s="106">
        <v>0.17</v>
      </c>
      <c r="V16" s="106">
        <v>0.17</v>
      </c>
      <c r="W16" s="106">
        <v>0.17</v>
      </c>
      <c r="X16" s="106">
        <v>0.17</v>
      </c>
      <c r="Y16" s="106">
        <v>0.17</v>
      </c>
      <c r="Z16" s="106">
        <v>0.17</v>
      </c>
      <c r="AA16" s="106">
        <v>0.17</v>
      </c>
      <c r="AB16" s="106">
        <v>0.17</v>
      </c>
      <c r="AC16" s="106">
        <v>0.17</v>
      </c>
      <c r="AD16" s="106">
        <v>0.17</v>
      </c>
      <c r="AE16" s="106">
        <v>0.17</v>
      </c>
      <c r="AF16" s="106">
        <v>0.17</v>
      </c>
      <c r="AG16" s="106">
        <v>0.17</v>
      </c>
      <c r="AH16" s="106">
        <v>0.17</v>
      </c>
      <c r="AI16" s="106">
        <v>0.17</v>
      </c>
      <c r="AJ16" s="106">
        <v>0.17</v>
      </c>
      <c r="AK16" s="106">
        <v>0.17</v>
      </c>
      <c r="AL16" s="106">
        <v>0.17</v>
      </c>
      <c r="AM16" s="106">
        <v>0.17</v>
      </c>
      <c r="AN16" s="106">
        <v>0.17</v>
      </c>
    </row>
    <row r="17" spans="2:50" hidden="1" outlineLevel="1" x14ac:dyDescent="0.25">
      <c r="B17" s="39" t="str">
        <v>Primary Direct Staff Lead</v>
      </c>
      <c r="C17" s="3"/>
      <c r="D17" s="3"/>
      <c r="E17" s="106">
        <v>0.6</v>
      </c>
      <c r="F17" s="106">
        <v>0.9</v>
      </c>
      <c r="G17" s="106">
        <v>1.2</v>
      </c>
      <c r="H17" s="106">
        <v>1.5</v>
      </c>
      <c r="I17" s="106">
        <v>1.8</v>
      </c>
      <c r="J17" s="106">
        <v>2.1</v>
      </c>
      <c r="K17" s="106">
        <v>2.4</v>
      </c>
      <c r="L17" s="106">
        <v>2.7</v>
      </c>
      <c r="M17" s="106">
        <v>3</v>
      </c>
      <c r="N17" s="106">
        <v>3.3</v>
      </c>
      <c r="O17" s="106">
        <v>3.6</v>
      </c>
      <c r="P17" s="106">
        <v>3.9</v>
      </c>
      <c r="Q17" s="106">
        <v>4.2</v>
      </c>
      <c r="R17" s="106">
        <v>4.2</v>
      </c>
      <c r="S17" s="106">
        <v>4.2</v>
      </c>
      <c r="T17" s="106">
        <v>4.2</v>
      </c>
      <c r="U17" s="106">
        <v>4.2</v>
      </c>
      <c r="V17" s="106">
        <v>4.2</v>
      </c>
      <c r="W17" s="106">
        <v>4.2</v>
      </c>
      <c r="X17" s="106">
        <v>4.2</v>
      </c>
      <c r="Y17" s="106">
        <v>4.2</v>
      </c>
      <c r="Z17" s="106">
        <v>4.2</v>
      </c>
      <c r="AA17" s="106">
        <v>4.2</v>
      </c>
      <c r="AB17" s="106">
        <v>4.2</v>
      </c>
      <c r="AC17" s="106">
        <v>4.2</v>
      </c>
      <c r="AD17" s="106">
        <v>4.2</v>
      </c>
      <c r="AE17" s="106">
        <v>4.2</v>
      </c>
      <c r="AF17" s="106">
        <v>4.2</v>
      </c>
      <c r="AG17" s="106">
        <v>4.2</v>
      </c>
      <c r="AH17" s="106">
        <v>4.2</v>
      </c>
      <c r="AI17" s="106">
        <v>4.2</v>
      </c>
      <c r="AJ17" s="106">
        <v>4.2</v>
      </c>
      <c r="AK17" s="106">
        <v>4.2</v>
      </c>
      <c r="AL17" s="106">
        <v>4.2</v>
      </c>
      <c r="AM17" s="106">
        <v>4.2</v>
      </c>
      <c r="AN17" s="106">
        <v>4.2</v>
      </c>
    </row>
    <row r="18" spans="2:50" hidden="1" outlineLevel="1" x14ac:dyDescent="0.25">
      <c r="B18" s="39" t="str">
        <v>Tertiary Direct Staff</v>
      </c>
      <c r="C18" s="3"/>
      <c r="D18" s="3"/>
      <c r="E18" s="106">
        <v>0</v>
      </c>
      <c r="F18" s="106">
        <v>0</v>
      </c>
      <c r="G18" s="106">
        <v>0</v>
      </c>
      <c r="H18" s="106">
        <v>0</v>
      </c>
      <c r="I18" s="106">
        <v>0</v>
      </c>
      <c r="J18" s="106">
        <v>0</v>
      </c>
      <c r="K18" s="106">
        <v>0</v>
      </c>
      <c r="L18" s="106">
        <v>0</v>
      </c>
      <c r="M18" s="106">
        <v>0</v>
      </c>
      <c r="N18" s="106">
        <v>0</v>
      </c>
      <c r="O18" s="106">
        <v>0</v>
      </c>
      <c r="P18" s="106">
        <v>0</v>
      </c>
      <c r="Q18" s="106">
        <v>0</v>
      </c>
      <c r="R18" s="106">
        <v>0</v>
      </c>
      <c r="S18" s="106">
        <v>0</v>
      </c>
      <c r="T18" s="106">
        <v>0</v>
      </c>
      <c r="U18" s="106">
        <v>0</v>
      </c>
      <c r="V18" s="106">
        <v>0</v>
      </c>
      <c r="W18" s="106">
        <v>0</v>
      </c>
      <c r="X18" s="106">
        <v>0</v>
      </c>
      <c r="Y18" s="106">
        <v>0</v>
      </c>
      <c r="Z18" s="106">
        <v>0</v>
      </c>
      <c r="AA18" s="106">
        <v>0</v>
      </c>
      <c r="AB18" s="106">
        <v>0</v>
      </c>
      <c r="AC18" s="106">
        <v>0</v>
      </c>
      <c r="AD18" s="106">
        <v>0</v>
      </c>
      <c r="AE18" s="106">
        <v>0</v>
      </c>
      <c r="AF18" s="106">
        <v>0</v>
      </c>
      <c r="AG18" s="106">
        <v>0</v>
      </c>
      <c r="AH18" s="106">
        <v>0</v>
      </c>
      <c r="AI18" s="106">
        <v>0</v>
      </c>
      <c r="AJ18" s="106">
        <v>0</v>
      </c>
      <c r="AK18" s="106">
        <v>0</v>
      </c>
      <c r="AL18" s="106">
        <v>0</v>
      </c>
      <c r="AM18" s="106">
        <v>0</v>
      </c>
      <c r="AN18" s="106">
        <v>0</v>
      </c>
    </row>
    <row r="19" spans="2:50" hidden="1" outlineLevel="1" x14ac:dyDescent="0.25">
      <c r="B19" s="39" t="str">
        <v>Quinary Direct Staff</v>
      </c>
      <c r="C19" s="3"/>
      <c r="D19" s="3"/>
      <c r="E19" s="106">
        <v>0</v>
      </c>
      <c r="F19" s="106">
        <v>0</v>
      </c>
      <c r="G19" s="106">
        <v>0</v>
      </c>
      <c r="H19" s="106">
        <v>0</v>
      </c>
      <c r="I19" s="106">
        <v>0</v>
      </c>
      <c r="J19" s="106">
        <v>0</v>
      </c>
      <c r="K19" s="106">
        <v>0</v>
      </c>
      <c r="L19" s="106">
        <v>0</v>
      </c>
      <c r="M19" s="106">
        <v>0</v>
      </c>
      <c r="N19" s="106">
        <v>0</v>
      </c>
      <c r="O19" s="106">
        <v>0</v>
      </c>
      <c r="P19" s="106">
        <v>0</v>
      </c>
      <c r="Q19" s="106">
        <v>0</v>
      </c>
      <c r="R19" s="106">
        <v>0</v>
      </c>
      <c r="S19" s="106">
        <v>0</v>
      </c>
      <c r="T19" s="106">
        <v>0</v>
      </c>
      <c r="U19" s="106">
        <v>0</v>
      </c>
      <c r="V19" s="106">
        <v>0</v>
      </c>
      <c r="W19" s="106">
        <v>0</v>
      </c>
      <c r="X19" s="106">
        <v>0</v>
      </c>
      <c r="Y19" s="106">
        <v>0</v>
      </c>
      <c r="Z19" s="106">
        <v>0</v>
      </c>
      <c r="AA19" s="106">
        <v>0</v>
      </c>
      <c r="AB19" s="106">
        <v>0</v>
      </c>
      <c r="AC19" s="106">
        <v>0</v>
      </c>
      <c r="AD19" s="106">
        <v>0</v>
      </c>
      <c r="AE19" s="106">
        <v>0</v>
      </c>
      <c r="AF19" s="106">
        <v>0</v>
      </c>
      <c r="AG19" s="106">
        <v>0</v>
      </c>
      <c r="AH19" s="106">
        <v>0</v>
      </c>
      <c r="AI19" s="106">
        <v>0</v>
      </c>
      <c r="AJ19" s="106">
        <v>0</v>
      </c>
      <c r="AK19" s="106">
        <v>0</v>
      </c>
      <c r="AL19" s="106">
        <v>0</v>
      </c>
      <c r="AM19" s="106">
        <v>0</v>
      </c>
      <c r="AN19" s="106">
        <v>0</v>
      </c>
    </row>
    <row r="20" spans="2:50" hidden="1" outlineLevel="1" x14ac:dyDescent="0.25">
      <c r="B20" s="39" t="str">
        <v>Quaternary Direct Staff</v>
      </c>
      <c r="C20" s="3"/>
      <c r="D20" s="3"/>
      <c r="E20" s="106">
        <v>1</v>
      </c>
      <c r="F20" s="106">
        <v>1</v>
      </c>
      <c r="G20" s="106">
        <v>1</v>
      </c>
      <c r="H20" s="106">
        <v>1</v>
      </c>
      <c r="I20" s="106">
        <v>1</v>
      </c>
      <c r="J20" s="106">
        <v>1</v>
      </c>
      <c r="K20" s="106">
        <v>1</v>
      </c>
      <c r="L20" s="106">
        <v>1</v>
      </c>
      <c r="M20" s="106">
        <v>1</v>
      </c>
      <c r="N20" s="106">
        <v>1</v>
      </c>
      <c r="O20" s="106">
        <v>1</v>
      </c>
      <c r="P20" s="106">
        <v>1</v>
      </c>
      <c r="Q20" s="106">
        <v>1</v>
      </c>
      <c r="R20" s="106">
        <v>1</v>
      </c>
      <c r="S20" s="106">
        <v>1</v>
      </c>
      <c r="T20" s="106">
        <v>1</v>
      </c>
      <c r="U20" s="106">
        <v>1</v>
      </c>
      <c r="V20" s="106">
        <v>1</v>
      </c>
      <c r="W20" s="106">
        <v>1</v>
      </c>
      <c r="X20" s="106">
        <v>1</v>
      </c>
      <c r="Y20" s="106">
        <v>1</v>
      </c>
      <c r="Z20" s="106">
        <v>1</v>
      </c>
      <c r="AA20" s="106">
        <v>1</v>
      </c>
      <c r="AB20" s="106">
        <v>1</v>
      </c>
      <c r="AC20" s="106">
        <v>1</v>
      </c>
      <c r="AD20" s="106">
        <v>1</v>
      </c>
      <c r="AE20" s="106">
        <v>1</v>
      </c>
      <c r="AF20" s="106">
        <v>1</v>
      </c>
      <c r="AG20" s="106">
        <v>1</v>
      </c>
      <c r="AH20" s="106">
        <v>1</v>
      </c>
      <c r="AI20" s="106">
        <v>1</v>
      </c>
      <c r="AJ20" s="106">
        <v>1</v>
      </c>
      <c r="AK20" s="106">
        <v>1</v>
      </c>
      <c r="AL20" s="106">
        <v>1</v>
      </c>
      <c r="AM20" s="106">
        <v>1</v>
      </c>
      <c r="AN20" s="106">
        <v>1</v>
      </c>
    </row>
    <row r="21" spans="2:50" collapsed="1" x14ac:dyDescent="0.25">
      <c r="B21" s="39" t="s">
        <v>389</v>
      </c>
      <c r="C21" s="3"/>
      <c r="D21" s="5"/>
      <c r="E21" s="117" cm="1">
        <f t="array" ref="E21:AN21">ROUND(_xlfn.BYCOL(_xlfn.CHOOSEROWS(_xlfn.ANCHORARRAY(E7),1,2),_xlfn.LAMBDA(_xlpm.col,SUM(_xlpm.col))),0)</f>
        <v>7</v>
      </c>
      <c r="F21" s="117">
        <v>10</v>
      </c>
      <c r="G21" s="117">
        <v>13</v>
      </c>
      <c r="H21" s="117">
        <v>16</v>
      </c>
      <c r="I21" s="117">
        <v>20</v>
      </c>
      <c r="J21" s="117">
        <v>23</v>
      </c>
      <c r="K21" s="117">
        <v>26</v>
      </c>
      <c r="L21" s="117">
        <v>29</v>
      </c>
      <c r="M21" s="117">
        <v>33</v>
      </c>
      <c r="N21" s="117">
        <v>36</v>
      </c>
      <c r="O21" s="117">
        <v>39</v>
      </c>
      <c r="P21" s="117">
        <v>42</v>
      </c>
      <c r="Q21" s="117">
        <v>46</v>
      </c>
      <c r="R21" s="117">
        <v>46</v>
      </c>
      <c r="S21" s="117">
        <v>46</v>
      </c>
      <c r="T21" s="117">
        <v>46</v>
      </c>
      <c r="U21" s="117">
        <v>46</v>
      </c>
      <c r="V21" s="117">
        <v>46</v>
      </c>
      <c r="W21" s="117">
        <v>46</v>
      </c>
      <c r="X21" s="117">
        <v>46</v>
      </c>
      <c r="Y21" s="117">
        <v>46</v>
      </c>
      <c r="Z21" s="117">
        <v>46</v>
      </c>
      <c r="AA21" s="117">
        <v>46</v>
      </c>
      <c r="AB21" s="117">
        <v>46</v>
      </c>
      <c r="AC21" s="117">
        <v>46</v>
      </c>
      <c r="AD21" s="117">
        <v>46</v>
      </c>
      <c r="AE21" s="117">
        <v>46</v>
      </c>
      <c r="AF21" s="117">
        <v>46</v>
      </c>
      <c r="AG21" s="117">
        <v>46</v>
      </c>
      <c r="AH21" s="117">
        <v>46</v>
      </c>
      <c r="AI21" s="117">
        <v>46</v>
      </c>
      <c r="AJ21" s="117">
        <v>46</v>
      </c>
      <c r="AK21" s="117">
        <v>46</v>
      </c>
      <c r="AL21" s="117">
        <v>46</v>
      </c>
      <c r="AM21" s="117">
        <v>46</v>
      </c>
      <c r="AN21" s="117">
        <v>46</v>
      </c>
    </row>
    <row r="22" spans="2:50" x14ac:dyDescent="0.25">
      <c r="B22" s="2" t="s">
        <v>394</v>
      </c>
      <c r="C22" s="3"/>
      <c r="D22" s="77">
        <f>MAX(_xlfn.ANCHORARRAY(E22))</f>
        <v>170.02883240223463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165.07653631284921</v>
      </c>
      <c r="F22" s="78">
        <v>165.07653631284916</v>
      </c>
      <c r="G22" s="78">
        <v>165.07653631284921</v>
      </c>
      <c r="H22" s="78">
        <v>165.07653631284919</v>
      </c>
      <c r="I22" s="78">
        <v>165.07653631284916</v>
      </c>
      <c r="J22" s="78">
        <v>165.07653631284916</v>
      </c>
      <c r="K22" s="78">
        <v>165.07653631284921</v>
      </c>
      <c r="L22" s="78">
        <v>165.07653631284921</v>
      </c>
      <c r="M22" s="78">
        <v>165.07653631284919</v>
      </c>
      <c r="N22" s="78">
        <v>165.07653631284916</v>
      </c>
      <c r="O22" s="78">
        <v>165.07653631284916</v>
      </c>
      <c r="P22" s="78">
        <v>165.07653631284919</v>
      </c>
      <c r="Q22" s="78">
        <v>170.02883240223463</v>
      </c>
      <c r="R22" s="78">
        <v>170.02883240223463</v>
      </c>
      <c r="S22" s="78">
        <v>170.02883240223463</v>
      </c>
      <c r="T22" s="78">
        <v>170.02883240223463</v>
      </c>
      <c r="U22" s="78">
        <v>170.02883240223463</v>
      </c>
      <c r="V22" s="78">
        <v>170.02883240223463</v>
      </c>
      <c r="W22" s="78">
        <v>170.02883240223463</v>
      </c>
      <c r="X22" s="78">
        <v>170.02883240223463</v>
      </c>
      <c r="Y22" s="78">
        <v>170.02883240223463</v>
      </c>
      <c r="Z22" s="78">
        <v>170.02883240223463</v>
      </c>
      <c r="AA22" s="78">
        <v>170.02883240223463</v>
      </c>
      <c r="AB22" s="78">
        <v>170.02883240223463</v>
      </c>
      <c r="AC22" s="78">
        <v>170.02883240223463</v>
      </c>
      <c r="AD22" s="78">
        <v>170.02883240223463</v>
      </c>
      <c r="AE22" s="78">
        <v>170.02883240223463</v>
      </c>
      <c r="AF22" s="78">
        <v>170.02883240223463</v>
      </c>
      <c r="AG22" s="78">
        <v>170.02883240223463</v>
      </c>
      <c r="AH22" s="78">
        <v>170.02883240223463</v>
      </c>
      <c r="AI22" s="78">
        <v>170.02883240223463</v>
      </c>
      <c r="AJ22" s="78">
        <v>170.02883240223463</v>
      </c>
      <c r="AK22" s="78">
        <v>170.02883240223463</v>
      </c>
      <c r="AL22" s="78">
        <v>170.02883240223463</v>
      </c>
      <c r="AM22" s="78">
        <v>170.02883240223463</v>
      </c>
      <c r="AN22" s="78">
        <v>170.02883240223463</v>
      </c>
    </row>
    <row r="23" spans="2:50" x14ac:dyDescent="0.25">
      <c r="B23" s="2" t="s">
        <v>53</v>
      </c>
      <c r="C23" s="3"/>
      <c r="D23" s="72"/>
      <c r="E23" s="52" cm="1">
        <f t="array" ref="E23:AN23">_xlfn.LET(_xlpm.site,$B$1&amp;"-"&amp;$C$1,_xlpm.locations,Base!$D$4:$BD$4,_xlpm.Customer,_xlfn.ANCHORARRAY(E1),_xlpm.hours,SUM(_xlfn.XLOOKUP(_xlpm.site,_xlpm.locations,Base!$D$74:$BD$78,0,0)),
_xlpm.collection,1-_xlfn.XLOOKUP(_xlpm.site,_xlpm.locations,Base!$D$26:$BD$26,0,0),
_xlpm.Customer*_xlpm.hours*_xlpm.collection*(52/12))</f>
        <v>630.07999999999993</v>
      </c>
      <c r="F23" s="52">
        <v>945.11999999999989</v>
      </c>
      <c r="G23" s="52">
        <v>1260.1599999999999</v>
      </c>
      <c r="H23" s="52">
        <v>1575.1999999999996</v>
      </c>
      <c r="I23" s="52">
        <v>1890.2399999999998</v>
      </c>
      <c r="J23" s="52">
        <v>2205.2799999999997</v>
      </c>
      <c r="K23" s="52">
        <v>2520.3199999999997</v>
      </c>
      <c r="L23" s="52">
        <v>2835.3599999999992</v>
      </c>
      <c r="M23" s="52">
        <v>3150.3999999999992</v>
      </c>
      <c r="N23" s="52">
        <v>3465.4399999999996</v>
      </c>
      <c r="O23" s="52">
        <v>3780.4799999999996</v>
      </c>
      <c r="P23" s="52">
        <v>4095.5199999999995</v>
      </c>
      <c r="Q23" s="52">
        <v>4410.5599999999995</v>
      </c>
      <c r="R23" s="52">
        <v>4410.5599999999995</v>
      </c>
      <c r="S23" s="52">
        <v>4410.5599999999995</v>
      </c>
      <c r="T23" s="52">
        <v>4410.5599999999995</v>
      </c>
      <c r="U23" s="52">
        <v>4410.5599999999995</v>
      </c>
      <c r="V23" s="52">
        <v>4410.5599999999995</v>
      </c>
      <c r="W23" s="52">
        <v>4410.5599999999995</v>
      </c>
      <c r="X23" s="52">
        <v>4410.5599999999995</v>
      </c>
      <c r="Y23" s="52">
        <v>4410.5599999999995</v>
      </c>
      <c r="Z23" s="52">
        <v>4410.5599999999995</v>
      </c>
      <c r="AA23" s="52">
        <v>4410.5599999999995</v>
      </c>
      <c r="AB23" s="52">
        <v>4410.5599999999995</v>
      </c>
      <c r="AC23" s="52">
        <v>4410.5599999999995</v>
      </c>
      <c r="AD23" s="52">
        <v>4410.5599999999995</v>
      </c>
      <c r="AE23" s="52">
        <v>4410.5599999999995</v>
      </c>
      <c r="AF23" s="52">
        <v>4410.5599999999995</v>
      </c>
      <c r="AG23" s="52">
        <v>4410.5599999999995</v>
      </c>
      <c r="AH23" s="52">
        <v>4410.5599999999995</v>
      </c>
      <c r="AI23" s="52">
        <v>4410.5599999999995</v>
      </c>
      <c r="AJ23" s="52">
        <v>4410.5599999999995</v>
      </c>
      <c r="AK23" s="52">
        <v>4410.5599999999995</v>
      </c>
      <c r="AL23" s="52">
        <v>4410.5599999999995</v>
      </c>
      <c r="AM23" s="52">
        <v>4410.5599999999995</v>
      </c>
      <c r="AN23" s="52">
        <v>4410.5599999999995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21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_xlfn.LET(_xlpm.site,$B$1&amp;"-"&amp;$C$1,_xlpm.locations,Base!$D$4:$BD$4,_xlpm.rates,Base!$D31:$BD31,_xlpm.hours,Base!$D74:$BD74,_xlpm.comp,_xlpm.rates*_xlpm.hours,_xlpm.Customer,_xlfn.ANCHORARRAY($E$1),
_xlpm.Customer_comp,_xlfn.XLOOKUP(_xlpm.site,_xlpm.locations,_xlpm.comp,0,0),_xlpm.ann_incr,_xlfn.XLOOKUP(YEAR(_xlfn.ANCHORARRAY($E$25)),Base!$BJ$4:$BL$4,Base!$BJ74:$BL74,0,0),
_xlpm.bad_debt,_xlfn.XLOOKUP(_xlpm.site,_xlpm.locations,Base!$D$28:$BD$28,0,0),_xlpm.Customer_comp*_xlpm.Customer*_xlpm.bad_debt*_xlpm.ann_incr*(52/12))</f>
        <v>90867.92</v>
      </c>
      <c r="F26" s="12">
        <v>136301.87999999998</v>
      </c>
      <c r="G26" s="12">
        <v>181735.84</v>
      </c>
      <c r="H26" s="12">
        <v>227169.79999999996</v>
      </c>
      <c r="I26" s="12">
        <v>272603.75999999995</v>
      </c>
      <c r="J26" s="12">
        <v>318037.71999999997</v>
      </c>
      <c r="K26" s="12">
        <v>363471.68</v>
      </c>
      <c r="L26" s="12">
        <v>408905.63999999996</v>
      </c>
      <c r="M26" s="12">
        <v>454339.59999999992</v>
      </c>
      <c r="N26" s="12">
        <v>499773.55999999994</v>
      </c>
      <c r="O26" s="12">
        <v>545207.5199999999</v>
      </c>
      <c r="P26" s="12">
        <v>590641.48</v>
      </c>
      <c r="Q26" s="12">
        <v>655157.70319999987</v>
      </c>
      <c r="R26" s="12">
        <v>655157.70319999987</v>
      </c>
      <c r="S26" s="12">
        <v>655157.70319999987</v>
      </c>
      <c r="T26" s="12">
        <v>655157.70319999987</v>
      </c>
      <c r="U26" s="12">
        <v>655157.70319999987</v>
      </c>
      <c r="V26" s="12">
        <v>655157.70319999987</v>
      </c>
      <c r="W26" s="12">
        <v>655157.70319999987</v>
      </c>
      <c r="X26" s="12">
        <v>655157.70319999987</v>
      </c>
      <c r="Y26" s="12">
        <v>655157.70319999987</v>
      </c>
      <c r="Z26" s="12">
        <v>655157.70319999987</v>
      </c>
      <c r="AA26" s="12">
        <v>655157.70319999987</v>
      </c>
      <c r="AB26" s="12">
        <v>655157.70319999987</v>
      </c>
      <c r="AC26" s="12">
        <v>655157.70319999987</v>
      </c>
      <c r="AD26" s="12">
        <v>655157.70319999987</v>
      </c>
      <c r="AE26" s="12">
        <v>655157.70319999987</v>
      </c>
      <c r="AF26" s="12">
        <v>655157.70319999987</v>
      </c>
      <c r="AG26" s="12">
        <v>655157.70319999987</v>
      </c>
      <c r="AH26" s="12">
        <v>655157.70319999987</v>
      </c>
      <c r="AI26" s="12">
        <v>655157.70319999987</v>
      </c>
      <c r="AJ26" s="12">
        <v>655157.70319999987</v>
      </c>
      <c r="AK26" s="12">
        <v>655157.70319999987</v>
      </c>
      <c r="AL26" s="12">
        <v>655157.70319999987</v>
      </c>
      <c r="AM26" s="12">
        <v>655157.70319999987</v>
      </c>
      <c r="AN26" s="12">
        <v>655157.70319999987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_xlfn.LET(_xlpm.site,$B$1&amp;"-"&amp;$C$1,_xlpm.locations,Base!$D$4:$BD$4,_xlpm.rates,Base!$D32:$BD32,_xlpm.hours,Base!$D75:$BD75,_xlpm.comp,_xlpm.rates*_xlpm.hours,_xlpm.Customer,_xlfn.ANCHORARRAY($E$1),
_xlpm.Customer_comp,_xlfn.XLOOKUP(_xlpm.site,_xlpm.locations,_xlpm.comp,0,0),_xlpm.ann_incr,_xlfn.XLOOKUP(YEAR(_xlfn.ANCHORARRAY($E$25)),Base!$BJ$4:$BL$4,Base!$BJ75:$BL75,0,0),
_xlpm.bad_debt,_xlfn.XLOOKUP(_xlpm.site,_xlpm.locations,Base!$D$28:$BD$28,0,0),_xlpm.Customer_comp*_xlpm.Customer*_xlpm.bad_debt*_xlpm.ann_incr*(52/12))</f>
        <v>5327.9199999999992</v>
      </c>
      <c r="F27" s="12">
        <v>7991.8799999999992</v>
      </c>
      <c r="G27" s="12">
        <v>10655.839999999998</v>
      </c>
      <c r="H27" s="12">
        <v>13319.799999999997</v>
      </c>
      <c r="I27" s="12">
        <v>15983.759999999998</v>
      </c>
      <c r="J27" s="12">
        <v>18647.719999999998</v>
      </c>
      <c r="K27" s="12">
        <v>21311.679999999997</v>
      </c>
      <c r="L27" s="12">
        <v>23975.639999999996</v>
      </c>
      <c r="M27" s="12">
        <v>26639.599999999995</v>
      </c>
      <c r="N27" s="12">
        <v>29303.559999999998</v>
      </c>
      <c r="O27" s="12">
        <v>31967.519999999997</v>
      </c>
      <c r="P27" s="12">
        <v>34631.479999999996</v>
      </c>
      <c r="Q27" s="12">
        <v>38414.303200000002</v>
      </c>
      <c r="R27" s="12">
        <v>38414.303200000002</v>
      </c>
      <c r="S27" s="12">
        <v>38414.303200000002</v>
      </c>
      <c r="T27" s="12">
        <v>38414.303200000002</v>
      </c>
      <c r="U27" s="12">
        <v>38414.303200000002</v>
      </c>
      <c r="V27" s="12">
        <v>38414.303200000002</v>
      </c>
      <c r="W27" s="12">
        <v>38414.303200000002</v>
      </c>
      <c r="X27" s="12">
        <v>38414.303200000002</v>
      </c>
      <c r="Y27" s="12">
        <v>38414.303200000002</v>
      </c>
      <c r="Z27" s="12">
        <v>38414.303200000002</v>
      </c>
      <c r="AA27" s="12">
        <v>38414.303200000002</v>
      </c>
      <c r="AB27" s="12">
        <v>38414.303200000002</v>
      </c>
      <c r="AC27" s="12">
        <v>38414.303200000002</v>
      </c>
      <c r="AD27" s="12">
        <v>38414.303200000002</v>
      </c>
      <c r="AE27" s="12">
        <v>38414.303200000002</v>
      </c>
      <c r="AF27" s="12">
        <v>38414.303200000002</v>
      </c>
      <c r="AG27" s="12">
        <v>38414.303200000002</v>
      </c>
      <c r="AH27" s="12">
        <v>38414.303200000002</v>
      </c>
      <c r="AI27" s="12">
        <v>38414.303200000002</v>
      </c>
      <c r="AJ27" s="12">
        <v>38414.303200000002</v>
      </c>
      <c r="AK27" s="12">
        <v>38414.303200000002</v>
      </c>
      <c r="AL27" s="12">
        <v>38414.303200000002</v>
      </c>
      <c r="AM27" s="12">
        <v>38414.303200000002</v>
      </c>
      <c r="AN27" s="12">
        <v>38414.303200000002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_xlfn.LET(_xlpm.site,$B$1&amp;"-"&amp;$C$1,_xlpm.locations,Base!$D$4:$BD$4,_xlpm.rates,Base!$D33:$BD33,_xlpm.hours,Base!$D76:$BD76,_xlpm.comp,_xlpm.rates*_xlpm.hours,_xlpm.Customer,_xlfn.ANCHORARRAY($E$1),
_xlpm.Customer_comp,_xlfn.XLOOKUP(_xlpm.site,_xlpm.locations,_xlpm.comp,0,0),_xlpm.ann_incr,_xlfn.XLOOKUP(YEAR(_xlfn.ANCHORARRAY($E$25)),Base!$BJ$4:$BL$4,Base!$BJ76:$BL76,0,0),
_xlpm.bad_debt,_xlfn.XLOOKUP(_xlpm.site,_xlpm.locations,Base!$D$28:$BD$28,0,0),_xlpm.Customer_comp*_xlpm.Customer*_xlpm.bad_debt*_xlpm.ann_incr*(52/12))</f>
        <v>12662.363999999996</v>
      </c>
      <c r="F28" s="12">
        <v>18993.545999999995</v>
      </c>
      <c r="G28" s="12">
        <v>25324.727999999992</v>
      </c>
      <c r="H28" s="12">
        <v>31655.909999999989</v>
      </c>
      <c r="I28" s="12">
        <v>37987.09199999999</v>
      </c>
      <c r="J28" s="12">
        <v>44318.27399999999</v>
      </c>
      <c r="K28" s="12">
        <v>50649.455999999984</v>
      </c>
      <c r="L28" s="12">
        <v>56980.637999999984</v>
      </c>
      <c r="M28" s="12">
        <v>63311.819999999978</v>
      </c>
      <c r="N28" s="12">
        <v>69643.001999999964</v>
      </c>
      <c r="O28" s="12">
        <v>75974.183999999979</v>
      </c>
      <c r="P28" s="12">
        <v>82305.365999999995</v>
      </c>
      <c r="Q28" s="12">
        <v>91295.644439999975</v>
      </c>
      <c r="R28" s="12">
        <v>91295.644439999975</v>
      </c>
      <c r="S28" s="12">
        <v>91295.644439999975</v>
      </c>
      <c r="T28" s="12">
        <v>91295.644439999975</v>
      </c>
      <c r="U28" s="12">
        <v>91295.644439999975</v>
      </c>
      <c r="V28" s="12">
        <v>91295.644439999975</v>
      </c>
      <c r="W28" s="12">
        <v>91295.644439999975</v>
      </c>
      <c r="X28" s="12">
        <v>91295.644439999975</v>
      </c>
      <c r="Y28" s="12">
        <v>91295.644439999975</v>
      </c>
      <c r="Z28" s="12">
        <v>91295.644439999975</v>
      </c>
      <c r="AA28" s="12">
        <v>91295.644439999975</v>
      </c>
      <c r="AB28" s="12">
        <v>91295.644439999975</v>
      </c>
      <c r="AC28" s="12">
        <v>91295.644439999975</v>
      </c>
      <c r="AD28" s="12">
        <v>91295.644439999975</v>
      </c>
      <c r="AE28" s="12">
        <v>91295.644439999975</v>
      </c>
      <c r="AF28" s="12">
        <v>91295.644439999975</v>
      </c>
      <c r="AG28" s="12">
        <v>91295.644439999975</v>
      </c>
      <c r="AH28" s="12">
        <v>91295.644439999975</v>
      </c>
      <c r="AI28" s="12">
        <v>91295.644439999975</v>
      </c>
      <c r="AJ28" s="12">
        <v>91295.644439999975</v>
      </c>
      <c r="AK28" s="12">
        <v>91295.644439999975</v>
      </c>
      <c r="AL28" s="12">
        <v>91295.644439999975</v>
      </c>
      <c r="AM28" s="12">
        <v>91295.644439999975</v>
      </c>
      <c r="AN28" s="12">
        <v>91295.644439999975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_xlfn.LET(_xlpm.site,$B$1&amp;"-"&amp;$C$1,_xlpm.locations,Base!$D$4:$BD$4,_xlpm.rates,Base!$D34:$BD34,_xlpm.hours,Base!$D77:$BD77,_xlpm.comp,_xlpm.rates*_xlpm.hours,_xlpm.Customer,_xlfn.ANCHORARRAY($E$1),
_xlpm.Customer_comp,_xlfn.XLOOKUP(_xlpm.site,_xlpm.locations,_xlpm.comp,0,0),_xlpm.ann_incr,_xlfn.XLOOKUP(YEAR(_xlfn.ANCHORARRAY($E$25)),Base!$BJ$4:$BL$4,Base!$BJ77:$BL77,0,0),
_xlpm.bad_debt,_xlfn.XLOOKUP(_xlpm.site,_xlpm.locations,Base!$D$28:$BD$28,0,0),_xlpm.Customer_comp*_xlpm.Customer*_xlpm.bad_debt*_xlpm.ann_incr*(52/12))</f>
        <v>974.02799999999991</v>
      </c>
      <c r="F29" s="12">
        <v>1461.0420000000001</v>
      </c>
      <c r="G29" s="12">
        <v>1948.0559999999998</v>
      </c>
      <c r="H29" s="12">
        <v>2435.0699999999997</v>
      </c>
      <c r="I29" s="12">
        <v>2922.0840000000003</v>
      </c>
      <c r="J29" s="12">
        <v>3409.098</v>
      </c>
      <c r="K29" s="12">
        <v>3896.1119999999996</v>
      </c>
      <c r="L29" s="12">
        <v>4383.1260000000002</v>
      </c>
      <c r="M29" s="12">
        <v>4870.1399999999994</v>
      </c>
      <c r="N29" s="12">
        <v>5357.1539999999995</v>
      </c>
      <c r="O29" s="12">
        <v>5844.1680000000006</v>
      </c>
      <c r="P29" s="12">
        <v>6331.1819999999998</v>
      </c>
      <c r="Q29" s="12">
        <v>7022.7418800000005</v>
      </c>
      <c r="R29" s="12">
        <v>7022.7418800000005</v>
      </c>
      <c r="S29" s="12">
        <v>7022.7418800000005</v>
      </c>
      <c r="T29" s="12">
        <v>7022.7418800000005</v>
      </c>
      <c r="U29" s="12">
        <v>7022.7418800000005</v>
      </c>
      <c r="V29" s="12">
        <v>7022.7418800000005</v>
      </c>
      <c r="W29" s="12">
        <v>7022.7418800000005</v>
      </c>
      <c r="X29" s="12">
        <v>7022.7418800000005</v>
      </c>
      <c r="Y29" s="12">
        <v>7022.7418800000005</v>
      </c>
      <c r="Z29" s="12">
        <v>7022.7418800000005</v>
      </c>
      <c r="AA29" s="12">
        <v>7022.7418800000005</v>
      </c>
      <c r="AB29" s="12">
        <v>7022.7418800000005</v>
      </c>
      <c r="AC29" s="12">
        <v>7022.7418800000005</v>
      </c>
      <c r="AD29" s="12">
        <v>7022.7418800000005</v>
      </c>
      <c r="AE29" s="12">
        <v>7022.7418800000005</v>
      </c>
      <c r="AF29" s="12">
        <v>7022.7418800000005</v>
      </c>
      <c r="AG29" s="12">
        <v>7022.7418800000005</v>
      </c>
      <c r="AH29" s="12">
        <v>7022.7418800000005</v>
      </c>
      <c r="AI29" s="12">
        <v>7022.7418800000005</v>
      </c>
      <c r="AJ29" s="12">
        <v>7022.7418800000005</v>
      </c>
      <c r="AK29" s="12">
        <v>7022.7418800000005</v>
      </c>
      <c r="AL29" s="12">
        <v>7022.7418800000005</v>
      </c>
      <c r="AM29" s="12">
        <v>7022.7418800000005</v>
      </c>
      <c r="AN29" s="12">
        <v>7022.7418800000005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_xlfn.LET(_xlpm.site,$B$1&amp;"-"&amp;$C$1,_xlpm.locations,Base!$D$4:$BD$4,_xlpm.rates,Base!$D35:$BD35,_xlpm.hours,Base!$D78:$BD78,_xlpm.comp,_xlpm.rates*_xlpm.hours,_xlpm.Customer,_xlfn.ANCHORARRAY($E$1),
_xlpm.Customer_comp,_xlfn.XLOOKUP(_xlpm.site,_xlpm.locations,_xlpm.comp,0,0),_xlpm.ann_incr,_xlfn.XLOOKUP(YEAR(_xlfn.ANCHORARRAY($E$25)),Base!$BJ$4:$BL$4,Base!$BJ78:$BL78,0,0),
_xlpm.bad_debt,_xlfn.XLOOKUP(_xlpm.site,_xlpm.locations,Base!$D$28:$BD$28,0,0),_xlpm.Customer_comp*_xlpm.Customer*_xlpm.bad_debt*_xlpm.ann_incr*(52/12))</f>
        <v>1270.8799999999999</v>
      </c>
      <c r="F30" s="12">
        <v>1906.3199999999997</v>
      </c>
      <c r="G30" s="12">
        <v>2541.7599999999998</v>
      </c>
      <c r="H30" s="12">
        <v>3177.1999999999994</v>
      </c>
      <c r="I30" s="12">
        <v>3812.6399999999994</v>
      </c>
      <c r="J30" s="12">
        <v>4448.08</v>
      </c>
      <c r="K30" s="12">
        <v>5083.5199999999995</v>
      </c>
      <c r="L30" s="12">
        <v>5718.9599999999991</v>
      </c>
      <c r="M30" s="12">
        <v>6354.3999999999987</v>
      </c>
      <c r="N30" s="12">
        <v>6989.8399999999992</v>
      </c>
      <c r="O30" s="12">
        <v>7625.2799999999988</v>
      </c>
      <c r="P30" s="12">
        <v>8260.7199999999993</v>
      </c>
      <c r="Q30" s="12">
        <v>9163.0447999999997</v>
      </c>
      <c r="R30" s="12">
        <v>9163.0447999999997</v>
      </c>
      <c r="S30" s="12">
        <v>9163.0447999999997</v>
      </c>
      <c r="T30" s="12">
        <v>9163.0447999999997</v>
      </c>
      <c r="U30" s="12">
        <v>9163.0447999999997</v>
      </c>
      <c r="V30" s="12">
        <v>9163.0447999999997</v>
      </c>
      <c r="W30" s="12">
        <v>9163.0447999999997</v>
      </c>
      <c r="X30" s="12">
        <v>9163.0447999999997</v>
      </c>
      <c r="Y30" s="12">
        <v>9163.0447999999997</v>
      </c>
      <c r="Z30" s="12">
        <v>9163.0447999999997</v>
      </c>
      <c r="AA30" s="12">
        <v>9163.0447999999997</v>
      </c>
      <c r="AB30" s="12">
        <v>9163.0447999999997</v>
      </c>
      <c r="AC30" s="12">
        <v>9163.0447999999997</v>
      </c>
      <c r="AD30" s="12">
        <v>9163.0447999999997</v>
      </c>
      <c r="AE30" s="12">
        <v>9163.0447999999997</v>
      </c>
      <c r="AF30" s="12">
        <v>9163.0447999999997</v>
      </c>
      <c r="AG30" s="12">
        <v>9163.0447999999997</v>
      </c>
      <c r="AH30" s="12">
        <v>9163.0447999999997</v>
      </c>
      <c r="AI30" s="12">
        <v>9163.0447999999997</v>
      </c>
      <c r="AJ30" s="12">
        <v>9163.0447999999997</v>
      </c>
      <c r="AK30" s="12">
        <v>9163.0447999999997</v>
      </c>
      <c r="AL30" s="12">
        <v>9163.0447999999997</v>
      </c>
      <c r="AM30" s="12">
        <v>9163.0447999999997</v>
      </c>
      <c r="AN30" s="12">
        <v>9163.0447999999997</v>
      </c>
    </row>
    <row r="31" spans="2:50" x14ac:dyDescent="0.25">
      <c r="B31" s="39" t="str">
        <f>Base!B36</f>
        <v>Tertiary Direct Staff - Service A</v>
      </c>
      <c r="C31" s="4"/>
      <c r="E31" s="183" cm="1">
        <f t="array" ref="E31:AN31">_xlfn.LET(_xlpm.site,$B$1&amp;"-"&amp;$C$1,_xlpm.locations,Base!$D$4:$BD$4,_xlpm.rates,Base!$D36:$BD36,_xlpm.hours,Base!$D79:$BD79,_xlpm.comp,_xlpm.rates*_xlpm.hours,_xlpm.Customer,_xlfn.ANCHORARRAY($E$1)*0,
_xlpm.Customer_comp,_xlfn.XLOOKUP(_xlpm.site,_xlpm.locations,_xlpm.comp,0,0),_xlpm.ann_incr,_xlfn.XLOOKUP(YEAR(_xlfn.ANCHORARRAY($E$25)),Base!$BJ$4:$BL$4,Base!$BJ79:$BL79,0,0),
_xlpm.bad_debt,_xlfn.XLOOKUP(_xlpm.site,_xlpm.locations,Base!$D$28:$BD$28,0,0),_xlpm.Customer_comp*_xlpm.Customer*_xlpm.bad_debt*_xlpm.ann_incr*(52/12))</f>
        <v>0</v>
      </c>
      <c r="F31" s="183">
        <v>0</v>
      </c>
      <c r="G31" s="183">
        <v>0</v>
      </c>
      <c r="H31" s="183">
        <v>0</v>
      </c>
      <c r="I31" s="183">
        <v>0</v>
      </c>
      <c r="J31" s="183">
        <v>0</v>
      </c>
      <c r="K31" s="183">
        <v>0</v>
      </c>
      <c r="L31" s="183">
        <v>0</v>
      </c>
      <c r="M31" s="183">
        <v>0</v>
      </c>
      <c r="N31" s="183">
        <v>0</v>
      </c>
      <c r="O31" s="183">
        <v>0</v>
      </c>
      <c r="P31" s="183">
        <v>0</v>
      </c>
      <c r="Q31" s="183">
        <v>0</v>
      </c>
      <c r="R31" s="183">
        <v>0</v>
      </c>
      <c r="S31" s="183">
        <v>0</v>
      </c>
      <c r="T31" s="183">
        <v>0</v>
      </c>
      <c r="U31" s="183">
        <v>0</v>
      </c>
      <c r="V31" s="183">
        <v>0</v>
      </c>
      <c r="W31" s="183">
        <v>0</v>
      </c>
      <c r="X31" s="183">
        <v>0</v>
      </c>
      <c r="Y31" s="183">
        <v>0</v>
      </c>
      <c r="Z31" s="183">
        <v>0</v>
      </c>
      <c r="AA31" s="183">
        <v>0</v>
      </c>
      <c r="AB31" s="183">
        <v>0</v>
      </c>
      <c r="AC31" s="183">
        <v>0</v>
      </c>
      <c r="AD31" s="183">
        <v>0</v>
      </c>
      <c r="AE31" s="183">
        <v>0</v>
      </c>
      <c r="AF31" s="183">
        <v>0</v>
      </c>
      <c r="AG31" s="183">
        <v>0</v>
      </c>
      <c r="AH31" s="183">
        <v>0</v>
      </c>
      <c r="AI31" s="183">
        <v>0</v>
      </c>
      <c r="AJ31" s="183">
        <v>0</v>
      </c>
      <c r="AK31" s="183">
        <v>0</v>
      </c>
      <c r="AL31" s="183">
        <v>0</v>
      </c>
      <c r="AM31" s="183">
        <v>0</v>
      </c>
      <c r="AN31" s="183">
        <v>0</v>
      </c>
    </row>
    <row r="32" spans="2:50" x14ac:dyDescent="0.25">
      <c r="B32" s="39" t="str">
        <f>Base!B37</f>
        <v>Tertiary Direct Staff - Service B</v>
      </c>
      <c r="C32" s="4"/>
      <c r="E32" s="183" cm="1">
        <f t="array" ref="E32:AN32">_xlfn.LET(_xlpm.site,$B$1&amp;"-"&amp;$C$1,_xlpm.locations,Base!$D$4:$BD$4,_xlpm.rates,Base!$D37:$BD37,_xlpm.hours,Base!$D80:$BD80,_xlpm.comp,_xlpm.rates*_xlpm.hours,_xlpm.Customer,_xlfn.ANCHORARRAY($E$1)*0,
_xlpm.Customer_comp,_xlfn.XLOOKUP(_xlpm.site,_xlpm.locations,_xlpm.comp,0,0),_xlpm.ann_incr,_xlfn.XLOOKUP(YEAR(_xlfn.ANCHORARRAY($E$25)),Base!$BJ$4:$BL$4,Base!$BJ80:$BL80,0,0),
_xlpm.bad_debt,_xlfn.XLOOKUP(_xlpm.site,_xlpm.locations,Base!$D$28:$BD$28,0,0),_xlpm.Customer_comp*_xlpm.Customer*_xlpm.bad_debt*_xlpm.ann_incr*(52/12))</f>
        <v>0</v>
      </c>
      <c r="F32" s="183">
        <v>0</v>
      </c>
      <c r="G32" s="183">
        <v>0</v>
      </c>
      <c r="H32" s="183">
        <v>0</v>
      </c>
      <c r="I32" s="183">
        <v>0</v>
      </c>
      <c r="J32" s="183">
        <v>0</v>
      </c>
      <c r="K32" s="183">
        <v>0</v>
      </c>
      <c r="L32" s="183">
        <v>0</v>
      </c>
      <c r="M32" s="183">
        <v>0</v>
      </c>
      <c r="N32" s="183">
        <v>0</v>
      </c>
      <c r="O32" s="183">
        <v>0</v>
      </c>
      <c r="P32" s="183">
        <v>0</v>
      </c>
      <c r="Q32" s="183">
        <v>0</v>
      </c>
      <c r="R32" s="183">
        <v>0</v>
      </c>
      <c r="S32" s="183">
        <v>0</v>
      </c>
      <c r="T32" s="183">
        <v>0</v>
      </c>
      <c r="U32" s="183">
        <v>0</v>
      </c>
      <c r="V32" s="183">
        <v>0</v>
      </c>
      <c r="W32" s="183">
        <v>0</v>
      </c>
      <c r="X32" s="183">
        <v>0</v>
      </c>
      <c r="Y32" s="183">
        <v>0</v>
      </c>
      <c r="Z32" s="183">
        <v>0</v>
      </c>
      <c r="AA32" s="183">
        <v>0</v>
      </c>
      <c r="AB32" s="183">
        <v>0</v>
      </c>
      <c r="AC32" s="183">
        <v>0</v>
      </c>
      <c r="AD32" s="183">
        <v>0</v>
      </c>
      <c r="AE32" s="183">
        <v>0</v>
      </c>
      <c r="AF32" s="183">
        <v>0</v>
      </c>
      <c r="AG32" s="183">
        <v>0</v>
      </c>
      <c r="AH32" s="183">
        <v>0</v>
      </c>
      <c r="AI32" s="183">
        <v>0</v>
      </c>
      <c r="AJ32" s="183">
        <v>0</v>
      </c>
      <c r="AK32" s="183">
        <v>0</v>
      </c>
      <c r="AL32" s="183">
        <v>0</v>
      </c>
      <c r="AM32" s="183">
        <v>0</v>
      </c>
      <c r="AN32" s="183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_xlpm.Customer,_xlfn.ANCHORARRAY($E$2),_xlpm.ann_incr,_xlfn.XLOOKUP(YEAR(_xlfn.ANCHORARRAY($E$25)),Base!$BJ$4:$BL$4,Base!$BJ$81:$BL$81,0,0),
_xlpm.bad_debt,_xlfn.XLOOKUP(_xlpm.site,_xlpm.locations,Base!$D$28:$BD$28,0,0),
_xlpm.comp*_xlpm.bad_debt*_xlpm.ann_incr*(52/12))</f>
        <v>25911.491666666665</v>
      </c>
      <c r="F33" s="12">
        <v>25911.491666666665</v>
      </c>
      <c r="G33" s="12">
        <v>25911.491666666665</v>
      </c>
      <c r="H33" s="12">
        <v>25911.491666666665</v>
      </c>
      <c r="I33" s="12">
        <v>25911.491666666665</v>
      </c>
      <c r="J33" s="12">
        <v>25911.491666666665</v>
      </c>
      <c r="K33" s="12">
        <v>25911.491666666665</v>
      </c>
      <c r="L33" s="12">
        <v>25911.491666666665</v>
      </c>
      <c r="M33" s="12">
        <v>25911.491666666665</v>
      </c>
      <c r="N33" s="12">
        <v>25911.491666666665</v>
      </c>
      <c r="O33" s="12">
        <v>25911.491666666665</v>
      </c>
      <c r="P33" s="12">
        <v>25911.491666666665</v>
      </c>
      <c r="Q33" s="12">
        <v>26688.836416666662</v>
      </c>
      <c r="R33" s="12">
        <v>26688.836416666662</v>
      </c>
      <c r="S33" s="12">
        <v>26688.836416666662</v>
      </c>
      <c r="T33" s="12">
        <v>26688.836416666662</v>
      </c>
      <c r="U33" s="12">
        <v>26688.836416666662</v>
      </c>
      <c r="V33" s="12">
        <v>26688.836416666662</v>
      </c>
      <c r="W33" s="12">
        <v>26688.836416666662</v>
      </c>
      <c r="X33" s="12">
        <v>26688.836416666662</v>
      </c>
      <c r="Y33" s="12">
        <v>26688.836416666662</v>
      </c>
      <c r="Z33" s="12">
        <v>26688.836416666662</v>
      </c>
      <c r="AA33" s="12">
        <v>26688.836416666662</v>
      </c>
      <c r="AB33" s="12">
        <v>26688.836416666662</v>
      </c>
      <c r="AC33" s="12">
        <v>26688.836416666662</v>
      </c>
      <c r="AD33" s="12">
        <v>26688.836416666662</v>
      </c>
      <c r="AE33" s="12">
        <v>26688.836416666662</v>
      </c>
      <c r="AF33" s="12">
        <v>26688.836416666662</v>
      </c>
      <c r="AG33" s="12">
        <v>26688.836416666662</v>
      </c>
      <c r="AH33" s="12">
        <v>26688.836416666662</v>
      </c>
      <c r="AI33" s="12">
        <v>26688.836416666662</v>
      </c>
      <c r="AJ33" s="12">
        <v>26688.836416666662</v>
      </c>
      <c r="AK33" s="12">
        <v>26688.836416666662</v>
      </c>
      <c r="AL33" s="12">
        <v>26688.836416666662</v>
      </c>
      <c r="AM33" s="12">
        <v>26688.836416666662</v>
      </c>
      <c r="AN33" s="12">
        <v>26688.836416666662</v>
      </c>
    </row>
    <row r="34" spans="2:40" x14ac:dyDescent="0.25">
      <c r="B34" s="39" t="str">
        <f>Base!B39</f>
        <v>Quinary Direct Staff - Service A</v>
      </c>
      <c r="C34" s="4"/>
      <c r="E34" s="183" cm="1">
        <f t="array" ref="E34:AN34">_xlfn.LET(_xlpm.site,$B$1&amp;"-"&amp;$C$1,_xlpm.locations,Base!$D$4:$BD$4,_xlpm.rates,Base!$D39:$BD39,_xlpm.hours,Base!$D82:$BD82,_xlpm.comp,_xlpm.rates*_xlpm.hours,_xlpm.Customer,_xlfn.ANCHORARRAY($E$1)*0,
_xlpm.Customer_comp,_xlfn.XLOOKUP(_xlpm.site,_xlpm.locations,_xlpm.comp,0,0),_xlpm.ann_incr,_xlfn.XLOOKUP(YEAR(_xlfn.ANCHORARRAY($E$25)),Base!$BJ$4:$BL$4,Base!$BJ82:$BL82,0,0),
_xlpm.bad_debt,_xlfn.XLOOKUP(_xlpm.site,_xlpm.locations,Base!$D$28:$BD$28,0,0),_xlpm.Customer_comp*_xlpm.Customer*_xlpm.bad_debt*_xlpm.ann_incr*(52/12))</f>
        <v>0</v>
      </c>
      <c r="F34" s="183">
        <v>0</v>
      </c>
      <c r="G34" s="183">
        <v>0</v>
      </c>
      <c r="H34" s="183">
        <v>0</v>
      </c>
      <c r="I34" s="183">
        <v>0</v>
      </c>
      <c r="J34" s="183">
        <v>0</v>
      </c>
      <c r="K34" s="183">
        <v>0</v>
      </c>
      <c r="L34" s="183">
        <v>0</v>
      </c>
      <c r="M34" s="183">
        <v>0</v>
      </c>
      <c r="N34" s="183">
        <v>0</v>
      </c>
      <c r="O34" s="183">
        <v>0</v>
      </c>
      <c r="P34" s="183">
        <v>0</v>
      </c>
      <c r="Q34" s="183">
        <v>0</v>
      </c>
      <c r="R34" s="183">
        <v>0</v>
      </c>
      <c r="S34" s="183">
        <v>0</v>
      </c>
      <c r="T34" s="183">
        <v>0</v>
      </c>
      <c r="U34" s="183">
        <v>0</v>
      </c>
      <c r="V34" s="183">
        <v>0</v>
      </c>
      <c r="W34" s="183">
        <v>0</v>
      </c>
      <c r="X34" s="183">
        <v>0</v>
      </c>
      <c r="Y34" s="183">
        <v>0</v>
      </c>
      <c r="Z34" s="183">
        <v>0</v>
      </c>
      <c r="AA34" s="183">
        <v>0</v>
      </c>
      <c r="AB34" s="183">
        <v>0</v>
      </c>
      <c r="AC34" s="183">
        <v>0</v>
      </c>
      <c r="AD34" s="183">
        <v>0</v>
      </c>
      <c r="AE34" s="183">
        <v>0</v>
      </c>
      <c r="AF34" s="183">
        <v>0</v>
      </c>
      <c r="AG34" s="183">
        <v>0</v>
      </c>
      <c r="AH34" s="183">
        <v>0</v>
      </c>
      <c r="AI34" s="183">
        <v>0</v>
      </c>
      <c r="AJ34" s="183">
        <v>0</v>
      </c>
      <c r="AK34" s="183">
        <v>0</v>
      </c>
      <c r="AL34" s="183">
        <v>0</v>
      </c>
      <c r="AM34" s="183">
        <v>0</v>
      </c>
      <c r="AN34" s="183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-16441.75244</v>
      </c>
      <c r="F35" s="12">
        <v>-23107.939159999998</v>
      </c>
      <c r="G35" s="12">
        <v>-29774.12588</v>
      </c>
      <c r="H35" s="12">
        <v>-36440.31259999999</v>
      </c>
      <c r="I35" s="12">
        <v>-43106.499319999988</v>
      </c>
      <c r="J35" s="12">
        <v>-49772.686039999986</v>
      </c>
      <c r="K35" s="12">
        <v>-56438.872759999998</v>
      </c>
      <c r="L35" s="12">
        <v>-63105.059479999996</v>
      </c>
      <c r="M35" s="12">
        <v>-69771.246199999994</v>
      </c>
      <c r="N35" s="12">
        <v>-76437.432919999977</v>
      </c>
      <c r="O35" s="12">
        <v>-83103.61963999999</v>
      </c>
      <c r="P35" s="12">
        <v>-89769.806360000002</v>
      </c>
      <c r="Q35" s="12">
        <v>-99329.072872399964</v>
      </c>
      <c r="R35" s="12">
        <v>-99329.072872399964</v>
      </c>
      <c r="S35" s="12">
        <v>-99329.072872399964</v>
      </c>
      <c r="T35" s="12">
        <v>-99329.072872399964</v>
      </c>
      <c r="U35" s="12">
        <v>-99329.072872399964</v>
      </c>
      <c r="V35" s="12">
        <v>-99329.072872399964</v>
      </c>
      <c r="W35" s="12">
        <v>-99329.072872399964</v>
      </c>
      <c r="X35" s="12">
        <v>-99329.072872399964</v>
      </c>
      <c r="Y35" s="12">
        <v>-99329.072872399964</v>
      </c>
      <c r="Z35" s="12">
        <v>-99329.072872399964</v>
      </c>
      <c r="AA35" s="12">
        <v>-99329.072872399964</v>
      </c>
      <c r="AB35" s="12">
        <v>-99329.072872399964</v>
      </c>
      <c r="AC35" s="12">
        <v>-99329.072872399964</v>
      </c>
      <c r="AD35" s="12">
        <v>-99329.072872399964</v>
      </c>
      <c r="AE35" s="12">
        <v>-99329.072872399964</v>
      </c>
      <c r="AF35" s="12">
        <v>-99329.072872399964</v>
      </c>
      <c r="AG35" s="12">
        <v>-99329.072872399964</v>
      </c>
      <c r="AH35" s="12">
        <v>-99329.072872399964</v>
      </c>
      <c r="AI35" s="12">
        <v>-99329.072872399964</v>
      </c>
      <c r="AJ35" s="12">
        <v>-99329.072872399964</v>
      </c>
      <c r="AK35" s="12">
        <v>-99329.072872399964</v>
      </c>
      <c r="AL35" s="12">
        <v>-99329.072872399964</v>
      </c>
      <c r="AM35" s="12">
        <v>-99329.072872399964</v>
      </c>
      <c r="AN35" s="12">
        <v>-99329.072872399964</v>
      </c>
    </row>
    <row r="36" spans="2:40" x14ac:dyDescent="0.25">
      <c r="B36" s="39" t="s">
        <v>261</v>
      </c>
      <c r="C36" s="15"/>
      <c r="E36" s="183" cm="1">
        <f t="array" ref="E36:AN36">_xlfn.BYCOL(_xlfn.ANCHORARRAY($E$25),_xlfn.LAMBDA(_xlpm.a,0))</f>
        <v>0</v>
      </c>
      <c r="F36" s="183">
        <v>0</v>
      </c>
      <c r="G36" s="183">
        <v>0</v>
      </c>
      <c r="H36" s="183">
        <v>0</v>
      </c>
      <c r="I36" s="183">
        <v>0</v>
      </c>
      <c r="J36" s="183">
        <v>0</v>
      </c>
      <c r="K36" s="183">
        <v>0</v>
      </c>
      <c r="L36" s="183">
        <v>0</v>
      </c>
      <c r="M36" s="183">
        <v>0</v>
      </c>
      <c r="N36" s="183">
        <v>0</v>
      </c>
      <c r="O36" s="183">
        <v>0</v>
      </c>
      <c r="P36" s="183">
        <v>0</v>
      </c>
      <c r="Q36" s="183">
        <v>0</v>
      </c>
      <c r="R36" s="183">
        <v>0</v>
      </c>
      <c r="S36" s="183">
        <v>0</v>
      </c>
      <c r="T36" s="183">
        <v>0</v>
      </c>
      <c r="U36" s="183">
        <v>0</v>
      </c>
      <c r="V36" s="183">
        <v>0</v>
      </c>
      <c r="W36" s="183">
        <v>0</v>
      </c>
      <c r="X36" s="183">
        <v>0</v>
      </c>
      <c r="Y36" s="183">
        <v>0</v>
      </c>
      <c r="Z36" s="183">
        <v>0</v>
      </c>
      <c r="AA36" s="183">
        <v>0</v>
      </c>
      <c r="AB36" s="183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271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115244.93122666668</v>
      </c>
      <c r="F37" s="13">
        <v>161466.34050666663</v>
      </c>
      <c r="G37" s="13">
        <v>207687.74978666668</v>
      </c>
      <c r="H37" s="13">
        <v>253909.15906666662</v>
      </c>
      <c r="I37" s="13">
        <v>300130.56834666658</v>
      </c>
      <c r="J37" s="13">
        <v>346351.9776266666</v>
      </c>
      <c r="K37" s="13">
        <v>392573.38690666668</v>
      </c>
      <c r="L37" s="13">
        <v>438794.79618666659</v>
      </c>
      <c r="M37" s="13">
        <v>485016.20546666667</v>
      </c>
      <c r="N37" s="13">
        <v>531237.61474666663</v>
      </c>
      <c r="O37" s="13">
        <v>577459.02402666654</v>
      </c>
      <c r="P37" s="13">
        <v>623680.43330666667</v>
      </c>
      <c r="Q37" s="13">
        <v>689998.89786426653</v>
      </c>
      <c r="R37" s="13">
        <v>689998.89786426653</v>
      </c>
      <c r="S37" s="13">
        <v>689998.89786426653</v>
      </c>
      <c r="T37" s="13">
        <v>689998.89786426653</v>
      </c>
      <c r="U37" s="13">
        <v>689998.89786426653</v>
      </c>
      <c r="V37" s="13">
        <v>689998.89786426653</v>
      </c>
      <c r="W37" s="13">
        <v>689998.89786426653</v>
      </c>
      <c r="X37" s="13">
        <v>689998.89786426653</v>
      </c>
      <c r="Y37" s="13">
        <v>689998.89786426653</v>
      </c>
      <c r="Z37" s="13">
        <v>689998.89786426653</v>
      </c>
      <c r="AA37" s="13">
        <v>689998.89786426653</v>
      </c>
      <c r="AB37" s="13">
        <v>689998.89786426653</v>
      </c>
      <c r="AC37" s="13">
        <v>689998.89786426653</v>
      </c>
      <c r="AD37" s="13">
        <v>689998.89786426653</v>
      </c>
      <c r="AE37" s="13">
        <v>689998.89786426653</v>
      </c>
      <c r="AF37" s="13">
        <v>689998.89786426653</v>
      </c>
      <c r="AG37" s="13">
        <v>689998.89786426653</v>
      </c>
      <c r="AH37" s="13">
        <v>689998.89786426653</v>
      </c>
      <c r="AI37" s="13">
        <v>689998.89786426653</v>
      </c>
      <c r="AJ37" s="13">
        <v>689998.89786426653</v>
      </c>
      <c r="AK37" s="13">
        <v>689998.89786426653</v>
      </c>
      <c r="AL37" s="13">
        <v>689998.89786426653</v>
      </c>
      <c r="AM37" s="13">
        <v>689998.89786426653</v>
      </c>
      <c r="AN37" s="13">
        <v>689998.89786426653</v>
      </c>
    </row>
    <row r="38" spans="2:40" x14ac:dyDescent="0.25">
      <c r="E38" s="67"/>
      <c r="F38" s="67"/>
    </row>
    <row r="39" spans="2:40" x14ac:dyDescent="0.25">
      <c r="B39" s="1" t="s">
        <v>118</v>
      </c>
    </row>
    <row r="40" spans="2:40" x14ac:dyDescent="0.25">
      <c r="B40" s="39" t="s">
        <v>23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74421.884381339914</v>
      </c>
      <c r="F40" s="12">
        <v>93883.674305343186</v>
      </c>
      <c r="G40" s="12">
        <v>113305.23542934647</v>
      </c>
      <c r="H40" s="12">
        <v>132759.66322001643</v>
      </c>
      <c r="I40" s="12">
        <v>152488.25314401975</v>
      </c>
      <c r="J40" s="12">
        <v>171750.79760135635</v>
      </c>
      <c r="K40" s="12">
        <v>191269.02539202629</v>
      </c>
      <c r="L40" s="12">
        <v>210730.81531602962</v>
      </c>
      <c r="M40" s="12">
        <v>230088.57644003286</v>
      </c>
      <c r="N40" s="12">
        <v>249713.13756403618</v>
      </c>
      <c r="O40" s="12">
        <v>269271.59415470611</v>
      </c>
      <c r="P40" s="12">
        <v>288693.15527870943</v>
      </c>
      <c r="Q40" s="12">
        <v>333243.20304298401</v>
      </c>
      <c r="R40" s="12">
        <v>333553.69637631736</v>
      </c>
      <c r="S40" s="12">
        <v>333970.52304298396</v>
      </c>
      <c r="T40" s="12">
        <v>334214.02637631731</v>
      </c>
      <c r="U40" s="12">
        <v>334524.51970965072</v>
      </c>
      <c r="V40" s="12">
        <v>334941.34637631732</v>
      </c>
      <c r="W40" s="12">
        <v>335114.66970965068</v>
      </c>
      <c r="X40" s="12">
        <v>335425.16304298397</v>
      </c>
      <c r="Y40" s="12">
        <v>335735.65637631732</v>
      </c>
      <c r="Z40" s="12">
        <v>336085.49304298399</v>
      </c>
      <c r="AA40" s="12">
        <v>336395.98637631733</v>
      </c>
      <c r="AB40" s="12">
        <v>336706.47970965068</v>
      </c>
      <c r="AC40" s="12">
        <v>370377.12768061581</v>
      </c>
      <c r="AD40" s="12">
        <v>370377.12768061581</v>
      </c>
      <c r="AE40" s="12">
        <v>370377.12768061581</v>
      </c>
      <c r="AF40" s="12">
        <v>370377.12768061581</v>
      </c>
      <c r="AG40" s="12">
        <v>370377.12768061581</v>
      </c>
      <c r="AH40" s="12">
        <v>370377.12768061581</v>
      </c>
      <c r="AI40" s="12">
        <v>370377.12768061581</v>
      </c>
      <c r="AJ40" s="12">
        <v>370377.12768061581</v>
      </c>
      <c r="AK40" s="12">
        <v>370377.12768061581</v>
      </c>
      <c r="AL40" s="12">
        <v>370377.12768061581</v>
      </c>
      <c r="AM40" s="12">
        <v>370377.12768061581</v>
      </c>
      <c r="AN40" s="12">
        <v>370377.12768061581</v>
      </c>
    </row>
    <row r="41" spans="2:40" x14ac:dyDescent="0.25">
      <c r="B41" s="39" t="s">
        <v>388</v>
      </c>
      <c r="C41" s="142">
        <f>_xlfn.XLOOKUP($B$1&amp;"-"&amp;$C$1,Base!$D$4:$BD$4,Base!$D$12:$BD$12,0,0)</f>
        <v>0</v>
      </c>
      <c r="E41" s="183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28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18750</v>
      </c>
      <c r="F42" s="12">
        <v>18750</v>
      </c>
      <c r="G42" s="12">
        <v>18750</v>
      </c>
      <c r="H42" s="12">
        <v>18750</v>
      </c>
      <c r="I42" s="12">
        <v>18750</v>
      </c>
      <c r="J42" s="12">
        <v>18750</v>
      </c>
      <c r="K42" s="12">
        <v>18750</v>
      </c>
      <c r="L42" s="12">
        <v>18750</v>
      </c>
      <c r="M42" s="12">
        <v>18750</v>
      </c>
      <c r="N42" s="12">
        <v>18750</v>
      </c>
      <c r="O42" s="12">
        <v>18750</v>
      </c>
      <c r="P42" s="12">
        <v>18750</v>
      </c>
      <c r="Q42" s="12">
        <v>19312.5</v>
      </c>
      <c r="R42" s="12">
        <v>19312.5</v>
      </c>
      <c r="S42" s="12">
        <v>19312.5</v>
      </c>
      <c r="T42" s="12">
        <v>19312.5</v>
      </c>
      <c r="U42" s="12">
        <v>19312.5</v>
      </c>
      <c r="V42" s="12">
        <v>19312.5</v>
      </c>
      <c r="W42" s="12">
        <v>19312.5</v>
      </c>
      <c r="X42" s="12">
        <v>19312.5</v>
      </c>
      <c r="Y42" s="12">
        <v>19312.5</v>
      </c>
      <c r="Z42" s="12">
        <v>19312.5</v>
      </c>
      <c r="AA42" s="12">
        <v>19312.5</v>
      </c>
      <c r="AB42" s="12">
        <v>19312.5</v>
      </c>
      <c r="AC42" s="12">
        <v>19891.875</v>
      </c>
      <c r="AD42" s="12">
        <v>19891.875</v>
      </c>
      <c r="AE42" s="12">
        <v>19891.875</v>
      </c>
      <c r="AF42" s="12">
        <v>19891.875</v>
      </c>
      <c r="AG42" s="12">
        <v>19891.875</v>
      </c>
      <c r="AH42" s="12">
        <v>19891.875</v>
      </c>
      <c r="AI42" s="12">
        <v>19891.875</v>
      </c>
      <c r="AJ42" s="12">
        <v>19891.875</v>
      </c>
      <c r="AK42" s="12">
        <v>19891.875</v>
      </c>
      <c r="AL42" s="12">
        <v>19891.875</v>
      </c>
      <c r="AM42" s="12">
        <v>19891.875</v>
      </c>
      <c r="AN42" s="12">
        <v>19891.875</v>
      </c>
    </row>
    <row r="43" spans="2:40" x14ac:dyDescent="0.25">
      <c r="B43" s="39" t="s">
        <v>31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6000</v>
      </c>
      <c r="F43" s="12">
        <v>6000</v>
      </c>
      <c r="G43" s="12">
        <v>6000</v>
      </c>
      <c r="H43" s="12">
        <v>6000</v>
      </c>
      <c r="I43" s="12">
        <v>6000</v>
      </c>
      <c r="J43" s="12">
        <v>6000</v>
      </c>
      <c r="K43" s="12">
        <v>6000</v>
      </c>
      <c r="L43" s="12">
        <v>6000</v>
      </c>
      <c r="M43" s="12">
        <v>6000</v>
      </c>
      <c r="N43" s="12">
        <v>6000</v>
      </c>
      <c r="O43" s="12">
        <v>6000</v>
      </c>
      <c r="P43" s="12">
        <v>6000</v>
      </c>
      <c r="Q43" s="12">
        <v>6240</v>
      </c>
      <c r="R43" s="12">
        <v>6240</v>
      </c>
      <c r="S43" s="12">
        <v>6240</v>
      </c>
      <c r="T43" s="12">
        <v>6240</v>
      </c>
      <c r="U43" s="12">
        <v>6240</v>
      </c>
      <c r="V43" s="12">
        <v>6240</v>
      </c>
      <c r="W43" s="12">
        <v>6240</v>
      </c>
      <c r="X43" s="12">
        <v>6240</v>
      </c>
      <c r="Y43" s="12">
        <v>6240</v>
      </c>
      <c r="Z43" s="12">
        <v>6240</v>
      </c>
      <c r="AA43" s="12">
        <v>6240</v>
      </c>
      <c r="AB43" s="12">
        <v>6240</v>
      </c>
      <c r="AC43" s="12">
        <v>6489.6</v>
      </c>
      <c r="AD43" s="12">
        <v>6489.6</v>
      </c>
      <c r="AE43" s="12">
        <v>6489.6</v>
      </c>
      <c r="AF43" s="12">
        <v>6489.6</v>
      </c>
      <c r="AG43" s="12">
        <v>6489.6</v>
      </c>
      <c r="AH43" s="12">
        <v>6489.6</v>
      </c>
      <c r="AI43" s="12">
        <v>6489.6</v>
      </c>
      <c r="AJ43" s="12">
        <v>6489.6</v>
      </c>
      <c r="AK43" s="12">
        <v>6489.6</v>
      </c>
      <c r="AL43" s="12">
        <v>6489.6</v>
      </c>
      <c r="AM43" s="12">
        <v>6489.6</v>
      </c>
      <c r="AN43" s="12">
        <v>6489.6</v>
      </c>
    </row>
    <row r="44" spans="2:40" x14ac:dyDescent="0.25">
      <c r="B44" s="39" t="s">
        <v>34</v>
      </c>
      <c r="C44" s="96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963.64839999999992</v>
      </c>
      <c r="F44" s="12">
        <v>993.97300000000007</v>
      </c>
      <c r="G44" s="12">
        <v>1024.2975999999999</v>
      </c>
      <c r="H44" s="12">
        <v>1054.6222</v>
      </c>
      <c r="I44" s="12">
        <v>1095.0550000000001</v>
      </c>
      <c r="J44" s="12">
        <v>1122.0101999999999</v>
      </c>
      <c r="K44" s="12">
        <v>1155.7042000000001</v>
      </c>
      <c r="L44" s="12">
        <v>1186.0287999999998</v>
      </c>
      <c r="M44" s="12">
        <v>1212.9840000000002</v>
      </c>
      <c r="N44" s="12">
        <v>1250.0473999999999</v>
      </c>
      <c r="O44" s="12">
        <v>1283.7413999999999</v>
      </c>
      <c r="P44" s="12">
        <v>1314.0660000000003</v>
      </c>
      <c r="Q44" s="12">
        <v>1156.37808</v>
      </c>
      <c r="R44" s="12">
        <v>1170.3947840000001</v>
      </c>
      <c r="S44" s="12">
        <v>1187.9156640000001</v>
      </c>
      <c r="T44" s="12">
        <v>1198.4281919999999</v>
      </c>
      <c r="U44" s="12">
        <v>1212.444896</v>
      </c>
      <c r="V44" s="12">
        <v>1229.965776</v>
      </c>
      <c r="W44" s="12">
        <v>1236.9741279999998</v>
      </c>
      <c r="X44" s="12">
        <v>1250.990832</v>
      </c>
      <c r="Y44" s="12">
        <v>1265.0075359999998</v>
      </c>
      <c r="Z44" s="12">
        <v>1279.02424</v>
      </c>
      <c r="AA44" s="12">
        <v>1293.0409439999999</v>
      </c>
      <c r="AB44" s="12">
        <v>1307.057648</v>
      </c>
      <c r="AC44" s="12">
        <v>1359.3399539200002</v>
      </c>
      <c r="AD44" s="12">
        <v>1359.3399539200002</v>
      </c>
      <c r="AE44" s="12">
        <v>1359.3399539200002</v>
      </c>
      <c r="AF44" s="12">
        <v>1359.3399539200002</v>
      </c>
      <c r="AG44" s="12">
        <v>1359.3399539200002</v>
      </c>
      <c r="AH44" s="12">
        <v>1359.3399539200002</v>
      </c>
      <c r="AI44" s="12">
        <v>1359.3399539200002</v>
      </c>
      <c r="AJ44" s="12">
        <v>1359.3399539200002</v>
      </c>
      <c r="AK44" s="12">
        <v>1359.3399539200002</v>
      </c>
      <c r="AL44" s="12">
        <v>1359.3399539200002</v>
      </c>
      <c r="AM44" s="12">
        <v>1359.3399539200002</v>
      </c>
      <c r="AN44" s="12">
        <v>1359.3399539200002</v>
      </c>
    </row>
    <row r="45" spans="2:40" x14ac:dyDescent="0.25">
      <c r="B45" s="39" t="s">
        <v>36</v>
      </c>
      <c r="C45" s="96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7500</v>
      </c>
      <c r="F45" s="12">
        <v>7500</v>
      </c>
      <c r="G45" s="12">
        <v>7500</v>
      </c>
      <c r="H45" s="12">
        <v>7500</v>
      </c>
      <c r="I45" s="12">
        <v>7500</v>
      </c>
      <c r="J45" s="12">
        <v>7500</v>
      </c>
      <c r="K45" s="12">
        <v>7500</v>
      </c>
      <c r="L45" s="12">
        <v>7500</v>
      </c>
      <c r="M45" s="12">
        <v>7500</v>
      </c>
      <c r="N45" s="12">
        <v>7500</v>
      </c>
      <c r="O45" s="12">
        <v>7500</v>
      </c>
      <c r="P45" s="12">
        <v>7500</v>
      </c>
      <c r="Q45" s="12">
        <v>7650</v>
      </c>
      <c r="R45" s="12">
        <v>7650</v>
      </c>
      <c r="S45" s="12">
        <v>7650</v>
      </c>
      <c r="T45" s="12">
        <v>7650</v>
      </c>
      <c r="U45" s="12">
        <v>7650</v>
      </c>
      <c r="V45" s="12">
        <v>7650</v>
      </c>
      <c r="W45" s="12">
        <v>7650</v>
      </c>
      <c r="X45" s="12">
        <v>7650</v>
      </c>
      <c r="Y45" s="12">
        <v>7650</v>
      </c>
      <c r="Z45" s="12">
        <v>7650</v>
      </c>
      <c r="AA45" s="12">
        <v>7650</v>
      </c>
      <c r="AB45" s="12">
        <v>7650</v>
      </c>
      <c r="AC45" s="12">
        <v>7803</v>
      </c>
      <c r="AD45" s="12">
        <v>7803</v>
      </c>
      <c r="AE45" s="12">
        <v>7803</v>
      </c>
      <c r="AF45" s="12">
        <v>7803</v>
      </c>
      <c r="AG45" s="12">
        <v>7803</v>
      </c>
      <c r="AH45" s="12">
        <v>7803</v>
      </c>
      <c r="AI45" s="12">
        <v>7803</v>
      </c>
      <c r="AJ45" s="12">
        <v>7803</v>
      </c>
      <c r="AK45" s="12">
        <v>7803</v>
      </c>
      <c r="AL45" s="12">
        <v>7803</v>
      </c>
      <c r="AM45" s="12">
        <v>7803</v>
      </c>
      <c r="AN45" s="12">
        <v>7803</v>
      </c>
    </row>
    <row r="46" spans="2:40" x14ac:dyDescent="0.25">
      <c r="B46" s="39" t="s">
        <v>38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5399.4999999999991</v>
      </c>
      <c r="F46" s="12">
        <v>6677</v>
      </c>
      <c r="G46" s="12">
        <v>7950.9999999999991</v>
      </c>
      <c r="H46" s="12">
        <v>9224.9999999999982</v>
      </c>
      <c r="I46" s="12">
        <v>10513</v>
      </c>
      <c r="J46" s="12">
        <v>11780.000000000002</v>
      </c>
      <c r="K46" s="12">
        <v>13057.5</v>
      </c>
      <c r="L46" s="12">
        <v>14335</v>
      </c>
      <c r="M46" s="12">
        <v>15605.499999999998</v>
      </c>
      <c r="N46" s="12">
        <v>16886.5</v>
      </c>
      <c r="O46" s="12">
        <v>18167.5</v>
      </c>
      <c r="P46" s="12">
        <v>19441.499999999996</v>
      </c>
      <c r="Q46" s="12">
        <v>20879.910000000007</v>
      </c>
      <c r="R46" s="12">
        <v>20894.190000000002</v>
      </c>
      <c r="S46" s="12">
        <v>20912.040000000005</v>
      </c>
      <c r="T46" s="12">
        <v>20922.750000000004</v>
      </c>
      <c r="U46" s="12">
        <v>20937.030000000006</v>
      </c>
      <c r="V46" s="12">
        <v>20954.880000000005</v>
      </c>
      <c r="W46" s="12">
        <v>20962.020000000004</v>
      </c>
      <c r="X46" s="12">
        <v>20976.300000000003</v>
      </c>
      <c r="Y46" s="12">
        <v>20990.580000000005</v>
      </c>
      <c r="Z46" s="12">
        <v>21004.860000000004</v>
      </c>
      <c r="AA46" s="12">
        <v>21019.140000000003</v>
      </c>
      <c r="AB46" s="12">
        <v>21033.420000000002</v>
      </c>
      <c r="AC46" s="12">
        <v>21454.088400000004</v>
      </c>
      <c r="AD46" s="12">
        <v>21454.088400000004</v>
      </c>
      <c r="AE46" s="12">
        <v>21454.088400000004</v>
      </c>
      <c r="AF46" s="12">
        <v>21454.088400000004</v>
      </c>
      <c r="AG46" s="12">
        <v>21454.088400000004</v>
      </c>
      <c r="AH46" s="12">
        <v>21454.088400000004</v>
      </c>
      <c r="AI46" s="12">
        <v>21454.088400000004</v>
      </c>
      <c r="AJ46" s="12">
        <v>21454.088400000004</v>
      </c>
      <c r="AK46" s="12">
        <v>21454.088400000004</v>
      </c>
      <c r="AL46" s="12">
        <v>21454.088400000004</v>
      </c>
      <c r="AM46" s="12">
        <v>21454.088400000004</v>
      </c>
      <c r="AN46" s="12">
        <v>21454.088400000004</v>
      </c>
    </row>
    <row r="47" spans="2:40" x14ac:dyDescent="0.25">
      <c r="B47" s="39" t="s">
        <v>40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6000</v>
      </c>
      <c r="F47" s="12">
        <v>6000</v>
      </c>
      <c r="G47" s="12">
        <v>6000</v>
      </c>
      <c r="H47" s="12">
        <v>6000</v>
      </c>
      <c r="I47" s="12">
        <v>6000</v>
      </c>
      <c r="J47" s="12">
        <v>6000</v>
      </c>
      <c r="K47" s="12">
        <v>6000</v>
      </c>
      <c r="L47" s="12">
        <v>6000</v>
      </c>
      <c r="M47" s="12">
        <v>6000</v>
      </c>
      <c r="N47" s="12">
        <v>6000</v>
      </c>
      <c r="O47" s="12">
        <v>6000</v>
      </c>
      <c r="P47" s="12">
        <v>6000</v>
      </c>
      <c r="Q47" s="12">
        <v>6300</v>
      </c>
      <c r="R47" s="12">
        <v>6300</v>
      </c>
      <c r="S47" s="12">
        <v>6300</v>
      </c>
      <c r="T47" s="12">
        <v>6300</v>
      </c>
      <c r="U47" s="12">
        <v>6300</v>
      </c>
      <c r="V47" s="12">
        <v>6300</v>
      </c>
      <c r="W47" s="12">
        <v>6300</v>
      </c>
      <c r="X47" s="12">
        <v>6300</v>
      </c>
      <c r="Y47" s="12">
        <v>6300</v>
      </c>
      <c r="Z47" s="12">
        <v>6300</v>
      </c>
      <c r="AA47" s="12">
        <v>6300</v>
      </c>
      <c r="AB47" s="12">
        <v>6300</v>
      </c>
      <c r="AC47" s="12">
        <v>6615</v>
      </c>
      <c r="AD47" s="12">
        <v>6615</v>
      </c>
      <c r="AE47" s="12">
        <v>6615</v>
      </c>
      <c r="AF47" s="12">
        <v>6615</v>
      </c>
      <c r="AG47" s="12">
        <v>6615</v>
      </c>
      <c r="AH47" s="12">
        <v>6615</v>
      </c>
      <c r="AI47" s="12">
        <v>6615</v>
      </c>
      <c r="AJ47" s="12">
        <v>6615</v>
      </c>
      <c r="AK47" s="12">
        <v>6615</v>
      </c>
      <c r="AL47" s="12">
        <v>6615</v>
      </c>
      <c r="AM47" s="12">
        <v>6615</v>
      </c>
      <c r="AN47" s="12">
        <v>6615</v>
      </c>
    </row>
    <row r="48" spans="2:40" x14ac:dyDescent="0.25">
      <c r="B48" s="39" t="s">
        <v>41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42</v>
      </c>
      <c r="E49" s="12">
        <f>'Corp.'!E$50*(E$37-(E31-E32-E34)*$C$35)/(SUM('MDA1:NCA9'!E$37)-SUM('MDA1:NCA9'!E$31)-SUM('MDA1:NCA9'!E$32)-SUM('MDA1:NCA9'!E$34))</f>
        <v>38199.845137135722</v>
      </c>
      <c r="F49" s="12">
        <f>'Corp.'!F$50*(F$37-(F31-F32-F34)*$C$35)/(SUM('MDA1:NCA9'!F$37)-SUM('MDA1:NCA9'!F$31)-SUM('MDA1:NCA9'!F$32)-SUM('MDA1:NCA9'!F$34))</f>
        <v>50237.391726440859</v>
      </c>
      <c r="G49" s="12">
        <f>'Corp.'!G$50*(G$37-(G31-G32-G34)*$C$35)/(SUM('MDA1:NCA9'!G$37)-SUM('MDA1:NCA9'!G$31)-SUM('MDA1:NCA9'!G$32)-SUM('MDA1:NCA9'!G$34))</f>
        <v>58810.36615564426</v>
      </c>
      <c r="H49" s="12">
        <f>'Corp.'!H$50*(H$37-(H31-H32-H34)*$C$35)/(SUM('MDA1:NCA9'!H$37)-SUM('MDA1:NCA9'!H$31)-SUM('MDA1:NCA9'!H$32)-SUM('MDA1:NCA9'!H$34))</f>
        <v>65735.757408089208</v>
      </c>
      <c r="I49" s="12">
        <f>'Corp.'!I$50*(I$37-(I31-I32-I34)*$C$35)/(SUM('MDA1:NCA9'!I$37)-SUM('MDA1:NCA9'!I$31)-SUM('MDA1:NCA9'!I$32)-SUM('MDA1:NCA9'!I$34))</f>
        <v>73118.298791786699</v>
      </c>
      <c r="J49" s="12">
        <f>'Corp.'!J$50*(J$37-(J31-J32-J34)*$C$35)/(SUM('MDA1:NCA9'!J$37)-SUM('MDA1:NCA9'!J$31)-SUM('MDA1:NCA9'!J$32)-SUM('MDA1:NCA9'!J$34))</f>
        <v>78866.108745292571</v>
      </c>
      <c r="K49" s="12">
        <f>'Corp.'!K$50*(K$37-(K31-K32-K34)*$C$35)/(SUM('MDA1:NCA9'!K$37)-SUM('MDA1:NCA9'!K$31)-SUM('MDA1:NCA9'!K$32)-SUM('MDA1:NCA9'!K$34))</f>
        <v>82104.547812721794</v>
      </c>
      <c r="L49" s="12">
        <f>'Corp.'!L$50*(L$37-(L31-L32-L34)*$C$35)/(SUM('MDA1:NCA9'!L$37)-SUM('MDA1:NCA9'!L$31)-SUM('MDA1:NCA9'!L$32)-SUM('MDA1:NCA9'!L$34))</f>
        <v>86723.869107290899</v>
      </c>
      <c r="M49" s="12">
        <f>'Corp.'!M$50*(M$37-(M31-M32-M34)*$C$35)/(SUM('MDA1:NCA9'!M$37)-SUM('MDA1:NCA9'!M$31)-SUM('MDA1:NCA9'!M$32)-SUM('MDA1:NCA9'!M$34))</f>
        <v>89834.584577925285</v>
      </c>
      <c r="N49" s="12">
        <f>'Corp.'!N$50*(N$37-(N31-N32-N34)*$C$35)/(SUM('MDA1:NCA9'!N$37)-SUM('MDA1:NCA9'!N$31)-SUM('MDA1:NCA9'!N$32)-SUM('MDA1:NCA9'!N$34))</f>
        <v>92716.40702254996</v>
      </c>
      <c r="O49" s="12">
        <f>'Corp.'!O$50*(O$37-(O31-O32-O34)*$C$35)/(SUM('MDA1:NCA9'!O$37)-SUM('MDA1:NCA9'!O$31)-SUM('MDA1:NCA9'!O$32)-SUM('MDA1:NCA9'!O$34))</f>
        <v>94323.076066000009</v>
      </c>
      <c r="P49" s="12">
        <f>'Corp.'!P$50*(P$37-(P31-P32-P34)*$C$35)/(SUM('MDA1:NCA9'!P$37)-SUM('MDA1:NCA9'!P$31)-SUM('MDA1:NCA9'!P$32)-SUM('MDA1:NCA9'!P$34))</f>
        <v>96132.144073810705</v>
      </c>
      <c r="Q49" s="12">
        <f>'Corp.'!Q$50*(Q$37-(Q31-Q32-Q34)*$C$35)/(SUM('MDA1:NCA9'!Q$37)-SUM('MDA1:NCA9'!Q$31)-SUM('MDA1:NCA9'!Q$32)-SUM('MDA1:NCA9'!Q$34))</f>
        <v>106744.3598020393</v>
      </c>
      <c r="R49" s="12">
        <f>'Corp.'!R$50*(R$37-(R31-R32-R34)*$C$35)/(SUM('MDA1:NCA9'!R$37)-SUM('MDA1:NCA9'!R$31)-SUM('MDA1:NCA9'!R$32)-SUM('MDA1:NCA9'!R$34))</f>
        <v>102701.23417332493</v>
      </c>
      <c r="S49" s="12">
        <f>'Corp.'!S$50*(S$37-(S31-S32-S34)*$C$35)/(SUM('MDA1:NCA9'!S$37)-SUM('MDA1:NCA9'!S$31)-SUM('MDA1:NCA9'!S$32)-SUM('MDA1:NCA9'!S$34))</f>
        <v>98257.0201104671</v>
      </c>
      <c r="T49" s="12">
        <f>'Corp.'!T$50*(T$37-(T31-T32-T34)*$C$35)/(SUM('MDA1:NCA9'!T$37)-SUM('MDA1:NCA9'!T$31)-SUM('MDA1:NCA9'!T$32)-SUM('MDA1:NCA9'!T$34))</f>
        <v>94495.169996576646</v>
      </c>
      <c r="U49" s="12">
        <f>'Corp.'!U$50*(U$37-(U31-U32-U34)*$C$35)/(SUM('MDA1:NCA9'!U$37)-SUM('MDA1:NCA9'!U$31)-SUM('MDA1:NCA9'!U$32)-SUM('MDA1:NCA9'!U$34))</f>
        <v>91915.99538577364</v>
      </c>
      <c r="V49" s="12">
        <f>'Corp.'!V$50*(V$37-(V31-V32-V34)*$C$35)/(SUM('MDA1:NCA9'!V$37)-SUM('MDA1:NCA9'!V$31)-SUM('MDA1:NCA9'!V$32)-SUM('MDA1:NCA9'!V$34))</f>
        <v>89813.200413536979</v>
      </c>
      <c r="W49" s="12">
        <f>'Corp.'!W$50*(W$37-(W31-W32-W34)*$C$35)/(SUM('MDA1:NCA9'!W$37)-SUM('MDA1:NCA9'!W$31)-SUM('MDA1:NCA9'!W$32)-SUM('MDA1:NCA9'!W$34))</f>
        <v>87083.552175642923</v>
      </c>
      <c r="X49" s="12">
        <f>'Corp.'!X$50*(X$37-(X31-X32-X34)*$C$35)/(SUM('MDA1:NCA9'!X$37)-SUM('MDA1:NCA9'!X$31)-SUM('MDA1:NCA9'!X$32)-SUM('MDA1:NCA9'!X$34))</f>
        <v>84355.776776980463</v>
      </c>
      <c r="Y49" s="12">
        <f>'Corp.'!Y$50*(Y$37-(Y31-Y32-Y34)*$C$35)/(SUM('MDA1:NCA9'!Y$37)-SUM('MDA1:NCA9'!Y$31)-SUM('MDA1:NCA9'!Y$32)-SUM('MDA1:NCA9'!Y$34))</f>
        <v>82568.580020467809</v>
      </c>
      <c r="Z49" s="12">
        <f>'Corp.'!Z$50*(Z$37-(Z31-Z32-Z34)*$C$35)/(SUM('MDA1:NCA9'!Z$37)-SUM('MDA1:NCA9'!Z$31)-SUM('MDA1:NCA9'!Z$32)-SUM('MDA1:NCA9'!Z$34))</f>
        <v>80775.388620665501</v>
      </c>
      <c r="AA49" s="12">
        <f>'Corp.'!AA$50*(AA$37-(AA31-AA32-AA34)*$C$35)/(SUM('MDA1:NCA9'!AA$37)-SUM('MDA1:NCA9'!AA$31)-SUM('MDA1:NCA9'!AA$32)-SUM('MDA1:NCA9'!AA$34))</f>
        <v>78928.593716406205</v>
      </c>
      <c r="AB49" s="12">
        <f>'Corp.'!AB$50*(AB$37-(AB31-AB32-AB34)*$C$35)/(SUM('MDA1:NCA9'!AB$37)-SUM('MDA1:NCA9'!AB$31)-SUM('MDA1:NCA9'!AB$32)-SUM('MDA1:NCA9'!AB$34))</f>
        <v>77137.388997614675</v>
      </c>
      <c r="AC49" s="12">
        <f>'Corp.'!AC$50*(AC$37-(AC31-AC32-AC34)*$C$35)/(SUM('MDA1:NCA9'!AC$37)-SUM('MDA1:NCA9'!AC$31)-SUM('MDA1:NCA9'!AC$32)-SUM('MDA1:NCA9'!AC$34))</f>
        <v>82787.492935550952</v>
      </c>
      <c r="AD49" s="12">
        <f>'Corp.'!AD$50*(AD$37-(AD31-AD32-AD34)*$C$35)/(SUM('MDA1:NCA9'!AD$37)-SUM('MDA1:NCA9'!AD$31)-SUM('MDA1:NCA9'!AD$32)-SUM('MDA1:NCA9'!AD$34))</f>
        <v>81427.453549480764</v>
      </c>
      <c r="AE49" s="12">
        <f>'Corp.'!AE$50*(AE$37-(AE31-AE32-AE34)*$C$35)/(SUM('MDA1:NCA9'!AE$37)-SUM('MDA1:NCA9'!AE$31)-SUM('MDA1:NCA9'!AE$32)-SUM('MDA1:NCA9'!AE$34))</f>
        <v>80145.065142249689</v>
      </c>
      <c r="AF49" s="12">
        <f>'Corp.'!AF$50*(AF$37-(AF31-AF32-AF34)*$C$35)/(SUM('MDA1:NCA9'!AF$37)-SUM('MDA1:NCA9'!AF$31)-SUM('MDA1:NCA9'!AF$32)-SUM('MDA1:NCA9'!AF$34))</f>
        <v>78943.425161868086</v>
      </c>
      <c r="AG49" s="12">
        <f>'Corp.'!AG$50*(AG$37-(AG31-AG32-AG34)*$C$35)/(SUM('MDA1:NCA9'!AG$37)-SUM('MDA1:NCA9'!AG$31)-SUM('MDA1:NCA9'!AG$32)-SUM('MDA1:NCA9'!AG$34))</f>
        <v>77979.765799357177</v>
      </c>
      <c r="AH49" s="12">
        <f>'Corp.'!AH$50*(AH$37-(AH31-AH32-AH34)*$C$35)/(SUM('MDA1:NCA9'!AH$37)-SUM('MDA1:NCA9'!AH$31)-SUM('MDA1:NCA9'!AH$32)-SUM('MDA1:NCA9'!AH$34))</f>
        <v>76712.193944299695</v>
      </c>
      <c r="AI49" s="12">
        <f>'Corp.'!AI$50*(AI$37-(AI31-AI32-AI34)*$C$35)/(SUM('MDA1:NCA9'!AI$37)-SUM('MDA1:NCA9'!AI$31)-SUM('MDA1:NCA9'!AI$32)-SUM('MDA1:NCA9'!AI$34))</f>
        <v>75391.235786919249</v>
      </c>
      <c r="AJ49" s="12">
        <f>'Corp.'!AJ$50*(AJ$37-(AJ31-AJ32-AJ34)*$C$35)/(SUM('MDA1:NCA9'!AJ$37)-SUM('MDA1:NCA9'!AJ$31)-SUM('MDA1:NCA9'!AJ$32)-SUM('MDA1:NCA9'!AJ$34))</f>
        <v>74037.829400941715</v>
      </c>
      <c r="AK49" s="12">
        <f>'Corp.'!AK$50*(AK$37-(AK31-AK32-AK34)*$C$35)/(SUM('MDA1:NCA9'!AK$37)-SUM('MDA1:NCA9'!AK$31)-SUM('MDA1:NCA9'!AK$32)-SUM('MDA1:NCA9'!AK$34))</f>
        <v>72788.126846379178</v>
      </c>
      <c r="AL49" s="12">
        <f>'Corp.'!AL$50*(AL$37-(AL31-AL32-AL34)*$C$35)/(SUM('MDA1:NCA9'!AL$37)-SUM('MDA1:NCA9'!AL$31)-SUM('MDA1:NCA9'!AL$32)-SUM('MDA1:NCA9'!AL$34))</f>
        <v>71641.323887728504</v>
      </c>
      <c r="AM49" s="12">
        <f>'Corp.'!AM$50*(AM$37-(AM31-AM32-AM34)*$C$35)/(SUM('MDA1:NCA9'!AM$37)-SUM('MDA1:NCA9'!AM$31)-SUM('MDA1:NCA9'!AM$32)-SUM('MDA1:NCA9'!AM$34))</f>
        <v>70406.274276485157</v>
      </c>
      <c r="AN49" s="12">
        <f>'Corp.'!AN$50*(AN$37-(AN31-AN32-AN34)*$C$35)/(SUM('MDA1:NCA9'!AN$37)-SUM('MDA1:NCA9'!AN$31)-SUM('MDA1:NCA9'!AN$32)-SUM('MDA1:NCA9'!AN$34))</f>
        <v>69353.495383390065</v>
      </c>
    </row>
    <row r="50" spans="2:40" x14ac:dyDescent="0.25">
      <c r="B50" s="1" t="s">
        <v>272</v>
      </c>
      <c r="E50" s="13" cm="1">
        <f t="array" ref="E50:AN50">_xlfn.BYCOL(_xlfn.VSTACK(_xlfn.ANCHORARRAY(E40),_xlfn.ANCHORARRAY(E42),_xlfn.ANCHORARRAY(E43),_xlfn.ANCHORARRAY(E45),_xlfn.ANCHORARRAY(E46),_xlfn.ANCHORARRAY(E47),_xlfn.ANCHORARRAY(E48),_xlfn.HSTACK(E49:AN49)),_xlfn.LAMBDA(_xlpm.a,SUM(_xlpm.a)))</f>
        <v>156271.22951847565</v>
      </c>
      <c r="F50" s="13">
        <v>189048.06603178405</v>
      </c>
      <c r="G50" s="13">
        <v>218316.60158499074</v>
      </c>
      <c r="H50" s="13">
        <v>245970.42062810564</v>
      </c>
      <c r="I50" s="13">
        <v>274369.55193580646</v>
      </c>
      <c r="J50" s="13">
        <v>300646.90634664893</v>
      </c>
      <c r="K50" s="13">
        <v>324681.0732047481</v>
      </c>
      <c r="L50" s="13">
        <v>350039.68442332046</v>
      </c>
      <c r="M50" s="13">
        <v>373778.66101795813</v>
      </c>
      <c r="N50" s="13">
        <v>397566.04458658613</v>
      </c>
      <c r="O50" s="13">
        <v>420012.17022070615</v>
      </c>
      <c r="P50" s="13">
        <v>442516.79935252015</v>
      </c>
      <c r="Q50" s="13">
        <v>500369.97284502332</v>
      </c>
      <c r="R50" s="13">
        <v>496651.62054964231</v>
      </c>
      <c r="S50" s="13">
        <v>492642.08315345104</v>
      </c>
      <c r="T50" s="13">
        <v>489134.44637289399</v>
      </c>
      <c r="U50" s="13">
        <v>486880.0450954244</v>
      </c>
      <c r="V50" s="13">
        <v>485211.9267898543</v>
      </c>
      <c r="W50" s="13">
        <v>482662.74188529362</v>
      </c>
      <c r="X50" s="13">
        <v>480259.73981996439</v>
      </c>
      <c r="Y50" s="13">
        <v>478797.31639678514</v>
      </c>
      <c r="Z50" s="13">
        <v>477368.24166364945</v>
      </c>
      <c r="AA50" s="13">
        <v>475846.22009272355</v>
      </c>
      <c r="AB50" s="13">
        <v>474379.78870726534</v>
      </c>
      <c r="AC50" s="13">
        <v>515418.18401616672</v>
      </c>
      <c r="AD50" s="13">
        <v>514058.14463009656</v>
      </c>
      <c r="AE50" s="13">
        <v>512775.75622286549</v>
      </c>
      <c r="AF50" s="13">
        <v>511574.1162424839</v>
      </c>
      <c r="AG50" s="13">
        <v>510610.45687997295</v>
      </c>
      <c r="AH50" s="13">
        <v>509342.88502491551</v>
      </c>
      <c r="AI50" s="13">
        <v>508021.92686753505</v>
      </c>
      <c r="AJ50" s="13">
        <v>506668.52048155753</v>
      </c>
      <c r="AK50" s="13">
        <v>505418.81792699499</v>
      </c>
      <c r="AL50" s="13">
        <v>504272.0149683443</v>
      </c>
      <c r="AM50" s="13">
        <v>503036.96535710094</v>
      </c>
      <c r="AN50" s="13">
        <v>501984.18646400585</v>
      </c>
    </row>
    <row r="52" spans="2:40" x14ac:dyDescent="0.25">
      <c r="B52" s="1" t="s">
        <v>48</v>
      </c>
      <c r="E52" s="74">
        <f>E37-E50</f>
        <v>-41026.298291808969</v>
      </c>
      <c r="F52" s="74">
        <f t="shared" ref="F52:AN52" si="0">F37-F50</f>
        <v>-27581.725525117421</v>
      </c>
      <c r="G52" s="74">
        <f t="shared" si="0"/>
        <v>-10628.85179832406</v>
      </c>
      <c r="H52" s="74">
        <f t="shared" si="0"/>
        <v>7938.7384385609766</v>
      </c>
      <c r="I52" s="74">
        <f t="shared" si="0"/>
        <v>25761.016410860117</v>
      </c>
      <c r="J52" s="74">
        <f t="shared" si="0"/>
        <v>45705.07128001767</v>
      </c>
      <c r="K52" s="74">
        <f t="shared" si="0"/>
        <v>67892.313701918582</v>
      </c>
      <c r="L52" s="74">
        <f t="shared" si="0"/>
        <v>88755.111763346125</v>
      </c>
      <c r="M52" s="74">
        <f t="shared" si="0"/>
        <v>111237.54444870853</v>
      </c>
      <c r="N52" s="74">
        <f t="shared" si="0"/>
        <v>133671.5701600805</v>
      </c>
      <c r="O52" s="74">
        <f t="shared" si="0"/>
        <v>157446.85380596039</v>
      </c>
      <c r="P52" s="74">
        <f t="shared" si="0"/>
        <v>181163.63395414653</v>
      </c>
      <c r="Q52" s="74">
        <f t="shared" si="0"/>
        <v>189628.92501924321</v>
      </c>
      <c r="R52" s="74">
        <f t="shared" si="0"/>
        <v>193347.27731462423</v>
      </c>
      <c r="S52" s="74">
        <f t="shared" si="0"/>
        <v>197356.8147108155</v>
      </c>
      <c r="T52" s="74">
        <f t="shared" si="0"/>
        <v>200864.45149137254</v>
      </c>
      <c r="U52" s="74">
        <f t="shared" si="0"/>
        <v>203118.85276884213</v>
      </c>
      <c r="V52" s="74">
        <f t="shared" si="0"/>
        <v>204786.97107441223</v>
      </c>
      <c r="W52" s="74">
        <f t="shared" si="0"/>
        <v>207336.15597897291</v>
      </c>
      <c r="X52" s="74">
        <f t="shared" si="0"/>
        <v>209739.15804430214</v>
      </c>
      <c r="Y52" s="74">
        <f t="shared" si="0"/>
        <v>211201.58146748139</v>
      </c>
      <c r="Z52" s="74">
        <f t="shared" si="0"/>
        <v>212630.65620061709</v>
      </c>
      <c r="AA52" s="74">
        <f t="shared" si="0"/>
        <v>214152.67777154298</v>
      </c>
      <c r="AB52" s="74">
        <f t="shared" si="0"/>
        <v>215619.10915700119</v>
      </c>
      <c r="AC52" s="74">
        <f t="shared" si="0"/>
        <v>174580.71384809981</v>
      </c>
      <c r="AD52" s="74">
        <f t="shared" si="0"/>
        <v>175940.75323416997</v>
      </c>
      <c r="AE52" s="74">
        <f t="shared" si="0"/>
        <v>177223.14164140105</v>
      </c>
      <c r="AF52" s="74">
        <f t="shared" si="0"/>
        <v>178424.78162178263</v>
      </c>
      <c r="AG52" s="74">
        <f t="shared" si="0"/>
        <v>179388.44098429359</v>
      </c>
      <c r="AH52" s="74">
        <f t="shared" si="0"/>
        <v>180656.01283935102</v>
      </c>
      <c r="AI52" s="74">
        <f t="shared" si="0"/>
        <v>181976.97099673148</v>
      </c>
      <c r="AJ52" s="74">
        <f t="shared" si="0"/>
        <v>183330.377382709</v>
      </c>
      <c r="AK52" s="74">
        <f t="shared" si="0"/>
        <v>184580.07993727154</v>
      </c>
      <c r="AL52" s="74">
        <f t="shared" si="0"/>
        <v>185726.88289592223</v>
      </c>
      <c r="AM52" s="74">
        <f t="shared" si="0"/>
        <v>186961.93250716559</v>
      </c>
      <c r="AN52" s="74">
        <f t="shared" si="0"/>
        <v>188014.71140026068</v>
      </c>
    </row>
    <row r="53" spans="2:40" x14ac:dyDescent="0.25">
      <c r="E53" s="105">
        <f>IFERROR(E52/E37,"")</f>
        <v>-0.35599221462605929</v>
      </c>
      <c r="F53" s="105">
        <f t="shared" ref="F53:AN53" si="1">IFERROR(F52/F37,"")</f>
        <v>-0.17082028018080106</v>
      </c>
      <c r="G53" s="105">
        <f t="shared" si="1"/>
        <v>-5.1177076208114514E-2</v>
      </c>
      <c r="H53" s="105">
        <f t="shared" si="1"/>
        <v>3.1266057781226292E-2</v>
      </c>
      <c r="I53" s="105">
        <f t="shared" si="1"/>
        <v>8.5832697924673865E-2</v>
      </c>
      <c r="J53" s="105">
        <f t="shared" si="1"/>
        <v>0.13196134057962056</v>
      </c>
      <c r="K53" s="105">
        <f t="shared" si="1"/>
        <v>0.17294171221560622</v>
      </c>
      <c r="L53" s="105">
        <f t="shared" si="1"/>
        <v>0.2022702013211411</v>
      </c>
      <c r="M53" s="105">
        <f t="shared" si="1"/>
        <v>0.22934809846545112</v>
      </c>
      <c r="N53" s="105">
        <f t="shared" si="1"/>
        <v>0.25162293943327974</v>
      </c>
      <c r="O53" s="105">
        <f t="shared" si="1"/>
        <v>0.27265459063756814</v>
      </c>
      <c r="P53" s="105">
        <f t="shared" si="1"/>
        <v>0.29047509634644492</v>
      </c>
      <c r="Q53" s="105">
        <f t="shared" si="1"/>
        <v>0.27482496799081285</v>
      </c>
      <c r="R53" s="105">
        <f t="shared" si="1"/>
        <v>0.28021389296865024</v>
      </c>
      <c r="S53" s="105">
        <f t="shared" si="1"/>
        <v>0.28602482601303897</v>
      </c>
      <c r="T53" s="105">
        <f t="shared" si="1"/>
        <v>0.29110836569899229</v>
      </c>
      <c r="U53" s="105">
        <f t="shared" si="1"/>
        <v>0.29437561914598703</v>
      </c>
      <c r="V53" s="105">
        <f t="shared" si="1"/>
        <v>0.29679318576925756</v>
      </c>
      <c r="W53" s="105">
        <f t="shared" si="1"/>
        <v>0.30048766254661341</v>
      </c>
      <c r="X53" s="105">
        <f t="shared" si="1"/>
        <v>0.30397027979827451</v>
      </c>
      <c r="Y53" s="105">
        <f t="shared" si="1"/>
        <v>0.30608973742017193</v>
      </c>
      <c r="Z53" s="105">
        <f t="shared" si="1"/>
        <v>0.30816086353002381</v>
      </c>
      <c r="AA53" s="105">
        <f t="shared" si="1"/>
        <v>0.31036669541705575</v>
      </c>
      <c r="AB53" s="105">
        <f t="shared" si="1"/>
        <v>0.31249196168921534</v>
      </c>
      <c r="AC53" s="105">
        <f t="shared" si="1"/>
        <v>0.25301593145796958</v>
      </c>
      <c r="AD53" s="105">
        <f t="shared" si="1"/>
        <v>0.25498700618037834</v>
      </c>
      <c r="AE53" s="105">
        <f t="shared" si="1"/>
        <v>0.25684554307253921</v>
      </c>
      <c r="AF53" s="105">
        <f t="shared" si="1"/>
        <v>0.25858705307219426</v>
      </c>
      <c r="AG53" s="105">
        <f t="shared" si="1"/>
        <v>0.25998366307475185</v>
      </c>
      <c r="AH53" s="105">
        <f t="shared" si="1"/>
        <v>0.26182072666859368</v>
      </c>
      <c r="AI53" s="105">
        <f t="shared" si="1"/>
        <v>0.26373516183866308</v>
      </c>
      <c r="AJ53" s="105">
        <f t="shared" si="1"/>
        <v>0.26569662350210438</v>
      </c>
      <c r="AK53" s="105">
        <f t="shared" si="1"/>
        <v>0.26750778951763093</v>
      </c>
      <c r="AL53" s="105">
        <f t="shared" si="1"/>
        <v>0.2691698254458047</v>
      </c>
      <c r="AM53" s="105">
        <f t="shared" si="1"/>
        <v>0.2709597552776728</v>
      </c>
      <c r="AN53" s="105">
        <f t="shared" si="1"/>
        <v>0.27248552422651273</v>
      </c>
    </row>
    <row r="55" spans="2:40" x14ac:dyDescent="0.25">
      <c r="B55" t="s">
        <v>57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1421000</v>
      </c>
      <c r="D55" s="12">
        <f>C55-SUM(_xlfn.ANCHORARRAY(E55))</f>
        <v>710500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236833.33333333334</v>
      </c>
      <c r="F55" s="12">
        <v>236833.33333333334</v>
      </c>
      <c r="G55" s="12">
        <v>236833.33333333334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</row>
    <row r="56" spans="2:40" x14ac:dyDescent="0.25">
      <c r="B56" t="s">
        <v>285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-80671.451858666667</v>
      </c>
      <c r="F56" s="90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-72690.712425333302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-71581.465989333345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-93521.205798666633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-99314.311557333291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-102796.34685199996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-109729.55824400003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-116662.7696359999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-38086.373859999992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-45019.585251999983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-51952.796643999987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-58886.008035999999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-65819.219427999982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-72752.430819999994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-79685.642211999992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-86618.853603999974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-93552.064996000001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276</v>
      </c>
      <c r="E58" s="13">
        <f>E37-E50-E55+E56</f>
        <v>-358531.08348380896</v>
      </c>
      <c r="F58" s="13">
        <f t="shared" ref="F58:AN58" si="2">F37-F50-F55+F56</f>
        <v>-337105.77128378407</v>
      </c>
      <c r="G58" s="13">
        <f t="shared" si="2"/>
        <v>-319043.65112099075</v>
      </c>
      <c r="H58" s="13">
        <f t="shared" si="2"/>
        <v>-85582.467360105657</v>
      </c>
      <c r="I58" s="13">
        <f t="shared" si="2"/>
        <v>-73553.295146473174</v>
      </c>
      <c r="J58" s="13">
        <f t="shared" si="2"/>
        <v>-57091.275571982289</v>
      </c>
      <c r="K58" s="13">
        <f t="shared" si="2"/>
        <v>-41837.244542081447</v>
      </c>
      <c r="L58" s="13">
        <f t="shared" si="2"/>
        <v>-27907.65787265377</v>
      </c>
      <c r="M58" s="13">
        <f t="shared" si="2"/>
        <v>73151.170588708541</v>
      </c>
      <c r="N58" s="13">
        <f t="shared" si="2"/>
        <v>88651.984908080514</v>
      </c>
      <c r="O58" s="13">
        <f t="shared" si="2"/>
        <v>105494.0571619604</v>
      </c>
      <c r="P58" s="13">
        <f t="shared" si="2"/>
        <v>122277.62591814653</v>
      </c>
      <c r="Q58" s="13">
        <f t="shared" si="2"/>
        <v>123809.70559124323</v>
      </c>
      <c r="R58" s="13">
        <f t="shared" si="2"/>
        <v>120594.84649462423</v>
      </c>
      <c r="S58" s="13">
        <f t="shared" si="2"/>
        <v>117671.1724988155</v>
      </c>
      <c r="T58" s="13">
        <f t="shared" si="2"/>
        <v>114245.59788737257</v>
      </c>
      <c r="U58" s="13">
        <f t="shared" si="2"/>
        <v>109566.78777284213</v>
      </c>
      <c r="V58" s="13">
        <f t="shared" si="2"/>
        <v>101287.13639477226</v>
      </c>
      <c r="W58" s="13">
        <f t="shared" si="2"/>
        <v>103836.32129933294</v>
      </c>
      <c r="X58" s="13">
        <f t="shared" si="2"/>
        <v>106239.32336466217</v>
      </c>
      <c r="Y58" s="13">
        <f t="shared" si="2"/>
        <v>107701.74678784142</v>
      </c>
      <c r="Z58" s="13">
        <f t="shared" si="2"/>
        <v>109130.82152097712</v>
      </c>
      <c r="AA58" s="13">
        <f t="shared" si="2"/>
        <v>110652.84309190301</v>
      </c>
      <c r="AB58" s="13">
        <f t="shared" si="2"/>
        <v>112119.27447736122</v>
      </c>
      <c r="AC58" s="13">
        <f t="shared" si="2"/>
        <v>71080.87916845984</v>
      </c>
      <c r="AD58" s="13">
        <f t="shared" si="2"/>
        <v>72440.918554529999</v>
      </c>
      <c r="AE58" s="13">
        <f t="shared" si="2"/>
        <v>73723.306961761074</v>
      </c>
      <c r="AF58" s="13">
        <f t="shared" si="2"/>
        <v>74924.946942142662</v>
      </c>
      <c r="AG58" s="13">
        <f t="shared" si="2"/>
        <v>75888.606304653615</v>
      </c>
      <c r="AH58" s="13">
        <f t="shared" si="2"/>
        <v>77156.178159711053</v>
      </c>
      <c r="AI58" s="13">
        <f t="shared" si="2"/>
        <v>78477.136317091514</v>
      </c>
      <c r="AJ58" s="13">
        <f t="shared" si="2"/>
        <v>79830.542703069033</v>
      </c>
      <c r="AK58" s="13">
        <f t="shared" si="2"/>
        <v>81080.24525763157</v>
      </c>
      <c r="AL58" s="13">
        <f t="shared" si="2"/>
        <v>82227.048216282259</v>
      </c>
      <c r="AM58" s="13">
        <f t="shared" si="2"/>
        <v>83462.09782752562</v>
      </c>
      <c r="AN58" s="13">
        <f t="shared" si="2"/>
        <v>84514.876720620712</v>
      </c>
    </row>
    <row r="59" spans="2:40" x14ac:dyDescent="0.25">
      <c r="B59" t="s">
        <v>277</v>
      </c>
      <c r="E59" s="12" cm="1">
        <f t="array" ref="E59:AN59">_xlfn.SCAN(-D55,E58:AN58,_xlfn.LAMBDA(_xlpm.capex,_xlpm.fcf,_xlpm.capex+_xlpm.fcf))</f>
        <v>-1069031.0834838089</v>
      </c>
      <c r="F59" s="12">
        <v>-1406136.8547675931</v>
      </c>
      <c r="G59" s="12">
        <v>-1725180.5058885838</v>
      </c>
      <c r="H59" s="12">
        <v>-1810762.9732486894</v>
      </c>
      <c r="I59" s="12">
        <v>-1884316.2683951627</v>
      </c>
      <c r="J59" s="12">
        <v>-1941407.543967145</v>
      </c>
      <c r="K59" s="12">
        <v>-1983244.7885092264</v>
      </c>
      <c r="L59" s="12">
        <v>-2011152.4463818802</v>
      </c>
      <c r="M59" s="12">
        <v>-1938001.2757931717</v>
      </c>
      <c r="N59" s="12">
        <v>-1849349.2908850913</v>
      </c>
      <c r="O59" s="12">
        <v>-1743855.233723131</v>
      </c>
      <c r="P59" s="12">
        <v>-1621577.6078049846</v>
      </c>
      <c r="Q59" s="12">
        <v>-1497767.9022137413</v>
      </c>
      <c r="R59" s="12">
        <v>-1377173.0557191172</v>
      </c>
      <c r="S59" s="12">
        <v>-1259501.8832203017</v>
      </c>
      <c r="T59" s="12">
        <v>-1145256.2853329291</v>
      </c>
      <c r="U59" s="12">
        <v>-1035689.497560087</v>
      </c>
      <c r="V59" s="12">
        <v>-934402.3611653148</v>
      </c>
      <c r="W59" s="12">
        <v>-830566.0398659819</v>
      </c>
      <c r="X59" s="12">
        <v>-724326.71650131978</v>
      </c>
      <c r="Y59" s="12">
        <v>-616624.96971347835</v>
      </c>
      <c r="Z59" s="12">
        <v>-507494.14819250122</v>
      </c>
      <c r="AA59" s="12">
        <v>-396841.3051005982</v>
      </c>
      <c r="AB59" s="12">
        <v>-284722.03062323696</v>
      </c>
      <c r="AC59" s="12">
        <v>-213641.15145477711</v>
      </c>
      <c r="AD59" s="12">
        <v>-141200.23290024709</v>
      </c>
      <c r="AE59" s="12">
        <v>-67476.92593848602</v>
      </c>
      <c r="AF59" s="12">
        <v>7448.0210036566423</v>
      </c>
      <c r="AG59" s="12">
        <v>83336.627308310257</v>
      </c>
      <c r="AH59" s="12">
        <v>160492.80546802131</v>
      </c>
      <c r="AI59" s="12">
        <v>238969.94178511284</v>
      </c>
      <c r="AJ59" s="12">
        <v>318800.48448818189</v>
      </c>
      <c r="AK59" s="12">
        <v>399880.72974581347</v>
      </c>
      <c r="AL59" s="12">
        <v>482107.77796209574</v>
      </c>
      <c r="AM59" s="12">
        <v>565569.87578962138</v>
      </c>
      <c r="AN59" s="12">
        <v>650084.75251024205</v>
      </c>
    </row>
    <row r="61" spans="2:40" x14ac:dyDescent="0.25">
      <c r="B61" s="1" t="s">
        <v>302</v>
      </c>
    </row>
    <row r="63" spans="2:40" x14ac:dyDescent="0.25">
      <c r="B63" s="39" t="s">
        <v>103</v>
      </c>
      <c r="E63" s="12" cm="1">
        <f t="array" ref="E63:AN63">_xlfn.LET(_xlpm.site,$B$1&amp;"-"&amp;$C$1,_xlpm.locations,Base!$D$4:$BD$4,_xlpm.rates,Base!$D$36:$BD$36,_xlpm.hours,Base!$D$79:$BD$79,_xlpm.comp,_xlpm.rates*_xlpm.hours,_xlpm.Customer,_xlfn.ANCHORARRAY($E$1),
_xlpm.Customer_comp,_xlfn.XLOOKUP(_xlpm.site,_xlpm.locations,_xlpm.comp,0,0),_xlpm.ann_incr,_xlfn.XLOOKUP(YEAR(_xlfn.ANCHORARRAY($E$25)),Base!$BJ$4:$BL$4,Base!$BJ$79:$BL$79,0,0),
_xlpm.bad_debt,_xlfn.XLOOKUP(_xlpm.site,_xlpm.locations,Base!$D$28:$BD$28,0,0),_xlpm.Customer_comp*_xlpm.Customer*_xlpm.bad_debt*_xlpm.ann_incr*(52/12)*(1-$C$35))</f>
        <v>5775.6526757529582</v>
      </c>
      <c r="F63" s="12">
        <v>8663.4790136294396</v>
      </c>
      <c r="G63" s="12">
        <v>11551.305351505916</v>
      </c>
      <c r="H63" s="12">
        <v>14439.131689382399</v>
      </c>
      <c r="I63" s="12">
        <v>17326.958027258879</v>
      </c>
      <c r="J63" s="12">
        <v>20214.784365135358</v>
      </c>
      <c r="K63" s="12">
        <v>23102.610703011833</v>
      </c>
      <c r="L63" s="12">
        <v>25990.437040888315</v>
      </c>
      <c r="M63" s="12">
        <v>28878.263378764797</v>
      </c>
      <c r="N63" s="12">
        <v>31766.089716641272</v>
      </c>
      <c r="O63" s="12">
        <v>34653.916054517758</v>
      </c>
      <c r="P63" s="12">
        <v>37541.742392394233</v>
      </c>
      <c r="Q63" s="12">
        <v>41642.455792178836</v>
      </c>
      <c r="R63" s="12">
        <v>41642.455792178836</v>
      </c>
      <c r="S63" s="12">
        <v>41642.455792178836</v>
      </c>
      <c r="T63" s="12">
        <v>41642.455792178836</v>
      </c>
      <c r="U63" s="12">
        <v>41642.455792178836</v>
      </c>
      <c r="V63" s="12">
        <v>41642.455792178836</v>
      </c>
      <c r="W63" s="12">
        <v>41642.455792178836</v>
      </c>
      <c r="X63" s="12">
        <v>41642.455792178836</v>
      </c>
      <c r="Y63" s="12">
        <v>41642.455792178836</v>
      </c>
      <c r="Z63" s="12">
        <v>41642.455792178836</v>
      </c>
      <c r="AA63" s="12">
        <v>41642.455792178836</v>
      </c>
      <c r="AB63" s="12">
        <v>41642.455792178836</v>
      </c>
      <c r="AC63" s="12">
        <v>41642.455792178836</v>
      </c>
      <c r="AD63" s="12">
        <v>41642.455792178836</v>
      </c>
      <c r="AE63" s="12">
        <v>41642.455792178836</v>
      </c>
      <c r="AF63" s="12">
        <v>41642.455792178836</v>
      </c>
      <c r="AG63" s="12">
        <v>41642.455792178836</v>
      </c>
      <c r="AH63" s="12">
        <v>41642.455792178836</v>
      </c>
      <c r="AI63" s="12">
        <v>41642.455792178836</v>
      </c>
      <c r="AJ63" s="12">
        <v>41642.455792178836</v>
      </c>
      <c r="AK63" s="12">
        <v>41642.455792178836</v>
      </c>
      <c r="AL63" s="12">
        <v>41642.455792178836</v>
      </c>
      <c r="AM63" s="12">
        <v>41642.455792178836</v>
      </c>
      <c r="AN63" s="12">
        <v>41642.455792178836</v>
      </c>
    </row>
    <row r="64" spans="2:40" x14ac:dyDescent="0.25">
      <c r="B64" s="39" t="s">
        <v>104</v>
      </c>
      <c r="E64" s="12" cm="1">
        <f t="array" ref="E64:AN64">_xlfn.LET(_xlpm.site,$B$1&amp;"-"&amp;$C$1,_xlpm.locations,Base!$D$4:$BD$4,_xlpm.rates,Base!$D$37:$BD$37,_xlpm.hours,Base!$D$80:$BD$80,_xlpm.comp,_xlpm.rates*_xlpm.hours,_xlpm.Customer,_xlfn.ANCHORARRAY($E$1),
_xlpm.Customer_comp,_xlfn.XLOOKUP(_xlpm.site,_xlpm.locations,_xlpm.comp,0,0),_xlpm.ann_incr,_xlfn.XLOOKUP(YEAR(_xlfn.ANCHORARRAY($E$25)),Base!$BJ$4:$BL$4,Base!$BJ$80:$BL$80,0,0),
_xlpm.bad_debt,_xlfn.XLOOKUP(_xlpm.site,_xlpm.locations,Base!$D$28:$BD$28,0,0),_xlpm.Customer_comp*_xlpm.Customer*_xlpm.bad_debt*_xlpm.ann_incr*(52/12)*(1-$C$35))</f>
        <v>771.74254789632016</v>
      </c>
      <c r="F64" s="12">
        <v>1157.6138218444801</v>
      </c>
      <c r="G64" s="12">
        <v>1543.4850957926403</v>
      </c>
      <c r="H64" s="12">
        <v>1929.3563697408006</v>
      </c>
      <c r="I64" s="12">
        <v>2315.2276436889601</v>
      </c>
      <c r="J64" s="12">
        <v>2701.0989176371204</v>
      </c>
      <c r="K64" s="12">
        <v>3086.9701915852806</v>
      </c>
      <c r="L64" s="12">
        <v>3472.8414655334409</v>
      </c>
      <c r="M64" s="12">
        <v>3858.7127394816011</v>
      </c>
      <c r="N64" s="12">
        <v>4244.5840134297614</v>
      </c>
      <c r="O64" s="12">
        <v>4630.4552873779203</v>
      </c>
      <c r="P64" s="12">
        <v>5016.326561326081</v>
      </c>
      <c r="Q64" s="12">
        <v>5564.2637703324681</v>
      </c>
      <c r="R64" s="12">
        <v>5564.2637703324681</v>
      </c>
      <c r="S64" s="12">
        <v>5564.2637703324681</v>
      </c>
      <c r="T64" s="12">
        <v>5564.2637703324681</v>
      </c>
      <c r="U64" s="12">
        <v>5564.2637703324681</v>
      </c>
      <c r="V64" s="12">
        <v>5564.2637703324681</v>
      </c>
      <c r="W64" s="12">
        <v>5564.2637703324681</v>
      </c>
      <c r="X64" s="12">
        <v>5564.2637703324681</v>
      </c>
      <c r="Y64" s="12">
        <v>5564.2637703324681</v>
      </c>
      <c r="Z64" s="12">
        <v>5564.2637703324681</v>
      </c>
      <c r="AA64" s="12">
        <v>5564.2637703324681</v>
      </c>
      <c r="AB64" s="12">
        <v>5564.2637703324681</v>
      </c>
      <c r="AC64" s="12">
        <v>5564.2637703324681</v>
      </c>
      <c r="AD64" s="12">
        <v>5564.2637703324681</v>
      </c>
      <c r="AE64" s="12">
        <v>5564.2637703324681</v>
      </c>
      <c r="AF64" s="12">
        <v>5564.2637703324681</v>
      </c>
      <c r="AG64" s="12">
        <v>5564.2637703324681</v>
      </c>
      <c r="AH64" s="12">
        <v>5564.2637703324681</v>
      </c>
      <c r="AI64" s="12">
        <v>5564.2637703324681</v>
      </c>
      <c r="AJ64" s="12">
        <v>5564.2637703324681</v>
      </c>
      <c r="AK64" s="12">
        <v>5564.2637703324681</v>
      </c>
      <c r="AL64" s="12">
        <v>5564.2637703324681</v>
      </c>
      <c r="AM64" s="12">
        <v>5564.2637703324681</v>
      </c>
      <c r="AN64" s="12">
        <v>5564.2637703324681</v>
      </c>
    </row>
    <row r="65" spans="2:40" x14ac:dyDescent="0.25">
      <c r="B65" s="39" t="s">
        <v>56</v>
      </c>
      <c r="E65" s="12" cm="1">
        <f t="array" ref="E65:AN65">_xlfn.LET(_xlpm.site,$B$1&amp;"-"&amp;$C$1,_xlpm.locations,Base!$D$4:$BD$4,_xlpm.rates,Base!$D$39:$BD$39,_xlpm.hours,Base!$D$82:$BD$82,_xlpm.comp,_xlpm.rates*_xlpm.hours,_xlpm.Customer,_xlfn.ANCHORARRAY($E$1),
_xlpm.Customer_comp,_xlfn.XLOOKUP(_xlpm.site,_xlpm.locations,_xlpm.comp,0,0),_xlpm.ann_incr,_xlfn.XLOOKUP(YEAR(_xlfn.ANCHORARRAY($E$25)),Base!$BJ$4:$BL$4,Base!$BJ$82:$BL$82,0,0),
_xlpm.bad_debt,_xlfn.XLOOKUP(_xlpm.site,_xlpm.locations,Base!$D$28:$BD$28,0,0),_xlpm.Customer_comp*_xlpm.Customer*_xlpm.bad_debt*_xlpm.ann_incr*(52/12)*(1-$C$35))</f>
        <v>4693.4992911206391</v>
      </c>
      <c r="F65" s="12">
        <v>7040.2489366809596</v>
      </c>
      <c r="G65" s="12">
        <v>9386.9985822412782</v>
      </c>
      <c r="H65" s="12">
        <v>11733.7482278016</v>
      </c>
      <c r="I65" s="12">
        <v>14080.497873361919</v>
      </c>
      <c r="J65" s="12">
        <v>16427.247518922235</v>
      </c>
      <c r="K65" s="12">
        <v>18773.997164482556</v>
      </c>
      <c r="L65" s="12">
        <v>21120.746810042881</v>
      </c>
      <c r="M65" s="12">
        <v>23467.496455603199</v>
      </c>
      <c r="N65" s="12">
        <v>25814.246101163513</v>
      </c>
      <c r="O65" s="12">
        <v>28160.995746723838</v>
      </c>
      <c r="P65" s="12">
        <v>30507.74539228416</v>
      </c>
      <c r="Q65" s="12">
        <v>33840.129888979805</v>
      </c>
      <c r="R65" s="12">
        <v>33840.129888979805</v>
      </c>
      <c r="S65" s="12">
        <v>33840.129888979805</v>
      </c>
      <c r="T65" s="12">
        <v>33840.129888979805</v>
      </c>
      <c r="U65" s="12">
        <v>33840.129888979805</v>
      </c>
      <c r="V65" s="12">
        <v>33840.129888979805</v>
      </c>
      <c r="W65" s="12">
        <v>33840.129888979805</v>
      </c>
      <c r="X65" s="12">
        <v>33840.129888979805</v>
      </c>
      <c r="Y65" s="12">
        <v>33840.129888979805</v>
      </c>
      <c r="Z65" s="12">
        <v>33840.129888979805</v>
      </c>
      <c r="AA65" s="12">
        <v>33840.129888979805</v>
      </c>
      <c r="AB65" s="12">
        <v>33840.129888979805</v>
      </c>
      <c r="AC65" s="12">
        <v>33840.129888979805</v>
      </c>
      <c r="AD65" s="12">
        <v>33840.129888979805</v>
      </c>
      <c r="AE65" s="12">
        <v>33840.129888979805</v>
      </c>
      <c r="AF65" s="12">
        <v>33840.129888979805</v>
      </c>
      <c r="AG65" s="12">
        <v>33840.129888979805</v>
      </c>
      <c r="AH65" s="12">
        <v>33840.129888979805</v>
      </c>
      <c r="AI65" s="12">
        <v>33840.129888979805</v>
      </c>
      <c r="AJ65" s="12">
        <v>33840.129888979805</v>
      </c>
      <c r="AK65" s="12">
        <v>33840.129888979805</v>
      </c>
      <c r="AL65" s="12">
        <v>33840.129888979805</v>
      </c>
      <c r="AM65" s="12">
        <v>33840.129888979805</v>
      </c>
      <c r="AN65" s="12">
        <v>33840.129888979805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303</v>
      </c>
      <c r="C67" s="12"/>
      <c r="E67" s="13" cm="1">
        <f t="array" ref="E67:AN67">_xlfn.BYCOL(_xlfn.VSTACK(_xlfn.ANCHORARRAY($E$63),_xlfn.ANCHORARRAY($E$64),_xlfn.ANCHORARRAY($E$65)),_xlfn.LAMBDA(_xlpm.a,SUM(_xlpm.a)))</f>
        <v>11240.894514769918</v>
      </c>
      <c r="F67" s="13">
        <v>16861.341772154879</v>
      </c>
      <c r="G67" s="13">
        <v>22481.789029539836</v>
      </c>
      <c r="H67" s="13">
        <v>28102.236286924799</v>
      </c>
      <c r="I67" s="13">
        <v>33722.683544309759</v>
      </c>
      <c r="J67" s="13">
        <v>39343.130801694715</v>
      </c>
      <c r="K67" s="13">
        <v>44963.578059079671</v>
      </c>
      <c r="L67" s="13">
        <v>50584.025316464642</v>
      </c>
      <c r="M67" s="13">
        <v>56204.472573849598</v>
      </c>
      <c r="N67" s="13">
        <v>61824.919831234554</v>
      </c>
      <c r="O67" s="13">
        <v>67445.367088619518</v>
      </c>
      <c r="P67" s="13">
        <v>73065.814346004481</v>
      </c>
      <c r="Q67" s="13">
        <v>81046.849451491114</v>
      </c>
      <c r="R67" s="13">
        <v>81046.849451491114</v>
      </c>
      <c r="S67" s="13">
        <v>81046.849451491114</v>
      </c>
      <c r="T67" s="13">
        <v>81046.849451491114</v>
      </c>
      <c r="U67" s="13">
        <v>81046.849451491114</v>
      </c>
      <c r="V67" s="13">
        <v>81046.849451491114</v>
      </c>
      <c r="W67" s="13">
        <v>81046.849451491114</v>
      </c>
      <c r="X67" s="13">
        <v>81046.849451491114</v>
      </c>
      <c r="Y67" s="13">
        <v>81046.849451491114</v>
      </c>
      <c r="Z67" s="13">
        <v>81046.849451491114</v>
      </c>
      <c r="AA67" s="13">
        <v>81046.849451491114</v>
      </c>
      <c r="AB67" s="13">
        <v>81046.849451491114</v>
      </c>
      <c r="AC67" s="13">
        <v>81046.849451491114</v>
      </c>
      <c r="AD67" s="13">
        <v>81046.849451491114</v>
      </c>
      <c r="AE67" s="13">
        <v>81046.849451491114</v>
      </c>
      <c r="AF67" s="13">
        <v>81046.849451491114</v>
      </c>
      <c r="AG67" s="13">
        <v>81046.849451491114</v>
      </c>
      <c r="AH67" s="13">
        <v>81046.849451491114</v>
      </c>
      <c r="AI67" s="13">
        <v>81046.849451491114</v>
      </c>
      <c r="AJ67" s="13">
        <v>81046.849451491114</v>
      </c>
      <c r="AK67" s="13">
        <v>81046.849451491114</v>
      </c>
      <c r="AL67" s="13">
        <v>81046.849451491114</v>
      </c>
      <c r="AM67" s="13">
        <v>81046.849451491114</v>
      </c>
      <c r="AN67" s="13">
        <v>81046.849451491114</v>
      </c>
    </row>
    <row r="68" spans="2:40" x14ac:dyDescent="0.25">
      <c r="B68" s="39"/>
      <c r="C68" s="12"/>
    </row>
    <row r="69" spans="2:40" x14ac:dyDescent="0.25">
      <c r="B69" s="39" t="s">
        <v>304</v>
      </c>
      <c r="C69" s="12"/>
      <c r="E69" s="106" cm="1">
        <f t="array" ref="E69:AN70">_xlfn.LET(_xlpm.Customer_staff,_xlfn._xlws.FILTER(Base!$D$96:$BD$97,ISNUMBER(SEARCH($B$1&amp;"-"&amp;$C$1,Base!$D$4:$BD$4))),_xlpm.Customer,_xlfn.ANCHORARRAY($E$1),_xlpm.headcount,_xlpm.Customer/_xlpm.Customer_staff,
_xlpm.rounding,_xlfn.VSTACK(0,0),IFERROR(ROUND(_xlpm.headcount,_xlpm.rounding),0))</f>
        <v>0</v>
      </c>
      <c r="F69" s="106">
        <v>0</v>
      </c>
      <c r="G69" s="106">
        <v>0</v>
      </c>
      <c r="H69" s="106">
        <v>0</v>
      </c>
      <c r="I69" s="106">
        <v>0</v>
      </c>
      <c r="J69" s="106">
        <v>1</v>
      </c>
      <c r="K69" s="106">
        <v>1</v>
      </c>
      <c r="L69" s="106">
        <v>1</v>
      </c>
      <c r="M69" s="106">
        <v>1</v>
      </c>
      <c r="N69" s="106">
        <v>1</v>
      </c>
      <c r="O69" s="106">
        <v>1</v>
      </c>
      <c r="P69" s="106">
        <v>1</v>
      </c>
      <c r="Q69" s="106">
        <v>1</v>
      </c>
      <c r="R69" s="106">
        <v>1</v>
      </c>
      <c r="S69" s="106">
        <v>1</v>
      </c>
      <c r="T69" s="106">
        <v>1</v>
      </c>
      <c r="U69" s="106">
        <v>1</v>
      </c>
      <c r="V69" s="106">
        <v>1</v>
      </c>
      <c r="W69" s="106">
        <v>1</v>
      </c>
      <c r="X69" s="106">
        <v>1</v>
      </c>
      <c r="Y69" s="106">
        <v>1</v>
      </c>
      <c r="Z69" s="106">
        <v>1</v>
      </c>
      <c r="AA69" s="106">
        <v>1</v>
      </c>
      <c r="AB69" s="106">
        <v>1</v>
      </c>
      <c r="AC69" s="106">
        <v>1</v>
      </c>
      <c r="AD69" s="106">
        <v>1</v>
      </c>
      <c r="AE69" s="106">
        <v>1</v>
      </c>
      <c r="AF69" s="106">
        <v>1</v>
      </c>
      <c r="AG69" s="106">
        <v>1</v>
      </c>
      <c r="AH69" s="106">
        <v>1</v>
      </c>
      <c r="AI69" s="106">
        <v>1</v>
      </c>
      <c r="AJ69" s="106">
        <v>1</v>
      </c>
      <c r="AK69" s="106">
        <v>1</v>
      </c>
      <c r="AL69" s="106">
        <v>1</v>
      </c>
      <c r="AM69" s="106">
        <v>1</v>
      </c>
      <c r="AN69" s="106">
        <v>1</v>
      </c>
    </row>
    <row r="70" spans="2:40" x14ac:dyDescent="0.25">
      <c r="B70" s="39" t="s">
        <v>305</v>
      </c>
      <c r="C70" s="12"/>
      <c r="E70" s="106">
        <v>0</v>
      </c>
      <c r="F70" s="106">
        <v>0</v>
      </c>
      <c r="G70" s="106">
        <v>0</v>
      </c>
      <c r="H70" s="106">
        <v>0</v>
      </c>
      <c r="I70" s="106">
        <v>0</v>
      </c>
      <c r="J70" s="106">
        <v>0</v>
      </c>
      <c r="K70" s="106">
        <v>1</v>
      </c>
      <c r="L70" s="106">
        <v>1</v>
      </c>
      <c r="M70" s="106">
        <v>1</v>
      </c>
      <c r="N70" s="106">
        <v>1</v>
      </c>
      <c r="O70" s="106">
        <v>1</v>
      </c>
      <c r="P70" s="106">
        <v>1</v>
      </c>
      <c r="Q70" s="106">
        <v>1</v>
      </c>
      <c r="R70" s="106">
        <v>1</v>
      </c>
      <c r="S70" s="106">
        <v>1</v>
      </c>
      <c r="T70" s="106">
        <v>1</v>
      </c>
      <c r="U70" s="106">
        <v>1</v>
      </c>
      <c r="V70" s="106">
        <v>1</v>
      </c>
      <c r="W70" s="106">
        <v>1</v>
      </c>
      <c r="X70" s="106">
        <v>1</v>
      </c>
      <c r="Y70" s="106">
        <v>1</v>
      </c>
      <c r="Z70" s="106">
        <v>1</v>
      </c>
      <c r="AA70" s="106">
        <v>1</v>
      </c>
      <c r="AB70" s="106">
        <v>1</v>
      </c>
      <c r="AC70" s="106">
        <v>1</v>
      </c>
      <c r="AD70" s="106">
        <v>1</v>
      </c>
      <c r="AE70" s="106">
        <v>1</v>
      </c>
      <c r="AF70" s="106">
        <v>1</v>
      </c>
      <c r="AG70" s="106">
        <v>1</v>
      </c>
      <c r="AH70" s="106">
        <v>1</v>
      </c>
      <c r="AI70" s="106">
        <v>1</v>
      </c>
      <c r="AJ70" s="106">
        <v>1</v>
      </c>
      <c r="AK70" s="106">
        <v>1</v>
      </c>
      <c r="AL70" s="106">
        <v>1</v>
      </c>
      <c r="AM70" s="106">
        <v>1</v>
      </c>
      <c r="AN70" s="106">
        <v>1</v>
      </c>
    </row>
    <row r="71" spans="2:40" x14ac:dyDescent="0.25">
      <c r="B71" s="39"/>
      <c r="C71" s="12"/>
    </row>
    <row r="72" spans="2:40" x14ac:dyDescent="0.25">
      <c r="B72" s="39" t="s">
        <v>23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1258.7123813399171</v>
      </c>
      <c r="F72" s="12">
        <v>1888.0685720098741</v>
      </c>
      <c r="G72" s="12">
        <v>2517.4247626798342</v>
      </c>
      <c r="H72" s="12">
        <v>3146.7809533497898</v>
      </c>
      <c r="I72" s="12">
        <v>3776.1371440197481</v>
      </c>
      <c r="J72" s="12">
        <v>18209.493334689705</v>
      </c>
      <c r="K72" s="12">
        <v>32642.849525359663</v>
      </c>
      <c r="L72" s="12">
        <v>33272.205716029617</v>
      </c>
      <c r="M72" s="12">
        <v>33901.561906699579</v>
      </c>
      <c r="N72" s="12">
        <v>34530.91809736954</v>
      </c>
      <c r="O72" s="12">
        <v>35160.274288039494</v>
      </c>
      <c r="P72" s="12">
        <v>35789.630478709449</v>
      </c>
      <c r="Q72" s="12">
        <v>40060.885336317362</v>
      </c>
      <c r="R72" s="12">
        <v>40060.885336317362</v>
      </c>
      <c r="S72" s="12">
        <v>40060.885336317362</v>
      </c>
      <c r="T72" s="12">
        <v>40060.885336317362</v>
      </c>
      <c r="U72" s="12">
        <v>40060.885336317362</v>
      </c>
      <c r="V72" s="12">
        <v>40060.885336317362</v>
      </c>
      <c r="W72" s="12">
        <v>40060.885336317362</v>
      </c>
      <c r="X72" s="12">
        <v>40060.885336317362</v>
      </c>
      <c r="Y72" s="12">
        <v>40060.885336317362</v>
      </c>
      <c r="Z72" s="12">
        <v>40060.885336317362</v>
      </c>
      <c r="AA72" s="12">
        <v>40060.885336317362</v>
      </c>
      <c r="AB72" s="12">
        <v>40060.885336317362</v>
      </c>
      <c r="AC72" s="12">
        <v>44066.973869949092</v>
      </c>
      <c r="AD72" s="12">
        <v>44066.973869949092</v>
      </c>
      <c r="AE72" s="12">
        <v>44066.973869949092</v>
      </c>
      <c r="AF72" s="12">
        <v>44066.973869949092</v>
      </c>
      <c r="AG72" s="12">
        <v>44066.973869949092</v>
      </c>
      <c r="AH72" s="12">
        <v>44066.973869949092</v>
      </c>
      <c r="AI72" s="12">
        <v>44066.973869949092</v>
      </c>
      <c r="AJ72" s="12">
        <v>44066.973869949092</v>
      </c>
      <c r="AK72" s="12">
        <v>44066.973869949092</v>
      </c>
      <c r="AL72" s="12">
        <v>44066.973869949092</v>
      </c>
      <c r="AM72" s="12">
        <v>44066.973869949092</v>
      </c>
      <c r="AN72" s="12">
        <v>44066.973869949092</v>
      </c>
    </row>
    <row r="73" spans="2:40" x14ac:dyDescent="0.25">
      <c r="B73" s="39" t="s">
        <v>24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306</v>
      </c>
      <c r="E75" s="74" cm="1">
        <f t="array" ref="E75:AN75">_xlfn.ANCHORARRAY(E67)-_xlfn.ANCHORARRAY(E72)-_xlfn.ANCHORARRAY(E73)</f>
        <v>9982.1821334300002</v>
      </c>
      <c r="F75" s="74">
        <v>14973.273200145006</v>
      </c>
      <c r="G75" s="74">
        <v>19964.36426686</v>
      </c>
      <c r="H75" s="74">
        <v>24955.45533357501</v>
      </c>
      <c r="I75" s="74">
        <v>29946.546400290012</v>
      </c>
      <c r="J75" s="74">
        <v>21133.63746700501</v>
      </c>
      <c r="K75" s="74">
        <v>12320.728533720008</v>
      </c>
      <c r="L75" s="74">
        <v>17311.819600435025</v>
      </c>
      <c r="M75" s="74">
        <v>22302.910667150019</v>
      </c>
      <c r="N75" s="74">
        <v>27294.001733865014</v>
      </c>
      <c r="O75" s="74">
        <v>32285.092800580023</v>
      </c>
      <c r="P75" s="74">
        <v>37276.183867295033</v>
      </c>
      <c r="Q75" s="74">
        <v>40985.964115173752</v>
      </c>
      <c r="R75" s="74">
        <v>40985.964115173752</v>
      </c>
      <c r="S75" s="74">
        <v>40985.964115173752</v>
      </c>
      <c r="T75" s="74">
        <v>40985.964115173752</v>
      </c>
      <c r="U75" s="74">
        <v>40985.964115173752</v>
      </c>
      <c r="V75" s="74">
        <v>40985.964115173752</v>
      </c>
      <c r="W75" s="74">
        <v>40985.964115173752</v>
      </c>
      <c r="X75" s="74">
        <v>40985.964115173752</v>
      </c>
      <c r="Y75" s="74">
        <v>40985.964115173752</v>
      </c>
      <c r="Z75" s="74">
        <v>40985.964115173752</v>
      </c>
      <c r="AA75" s="74">
        <v>40985.964115173752</v>
      </c>
      <c r="AB75" s="74">
        <v>40985.964115173752</v>
      </c>
      <c r="AC75" s="74">
        <v>36979.875581542023</v>
      </c>
      <c r="AD75" s="74">
        <v>36979.875581542023</v>
      </c>
      <c r="AE75" s="74">
        <v>36979.875581542023</v>
      </c>
      <c r="AF75" s="74">
        <v>36979.875581542023</v>
      </c>
      <c r="AG75" s="74">
        <v>36979.875581542023</v>
      </c>
      <c r="AH75" s="74">
        <v>36979.875581542023</v>
      </c>
      <c r="AI75" s="74">
        <v>36979.875581542023</v>
      </c>
      <c r="AJ75" s="74">
        <v>36979.875581542023</v>
      </c>
      <c r="AK75" s="74">
        <v>36979.875581542023</v>
      </c>
      <c r="AL75" s="74">
        <v>36979.875581542023</v>
      </c>
      <c r="AM75" s="74">
        <v>36979.875581542023</v>
      </c>
      <c r="AN75" s="74">
        <v>36979.875581542023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170E71-D5EC-42E2-BBFD-990432092C41}">
  <dimension ref="A1:AX75"/>
  <sheetViews>
    <sheetView workbookViewId="0">
      <pane xSplit="4" ySplit="25" topLeftCell="E41" activePane="bottomRight" state="frozen"/>
      <selection activeCell="E63" sqref="E63:E65"/>
      <selection pane="topRight" activeCell="E63" sqref="E63:E65"/>
      <selection pane="bottomLeft" activeCell="E63" sqref="E63:E65"/>
      <selection pane="bottomRight" activeCell="E63" sqref="E63:E65"/>
    </sheetView>
  </sheetViews>
  <sheetFormatPr defaultRowHeight="15" outlineLevelRow="1" x14ac:dyDescent="0.25"/>
  <cols>
    <col min="2" max="2" width="24.5703125" bestFit="1" customWidth="1"/>
    <col min="3" max="3" width="10.7109375" bestFit="1" customWidth="1"/>
    <col min="4" max="4" width="10" bestFit="1" customWidth="1"/>
    <col min="5" max="5" width="11.85546875" bestFit="1" customWidth="1"/>
    <col min="6" max="6" width="11.5703125" bestFit="1" customWidth="1"/>
    <col min="7" max="13" width="12.28515625" bestFit="1" customWidth="1"/>
    <col min="14" max="18" width="11.5703125" bestFit="1" customWidth="1"/>
    <col min="19" max="40" width="12.5703125" bestFit="1" customWidth="1"/>
  </cols>
  <sheetData>
    <row r="1" spans="1:40" x14ac:dyDescent="0.25">
      <c r="A1" s="96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>2025</v>
      </c>
      <c r="B1" s="10" t="s">
        <v>422</v>
      </c>
      <c r="C1" s="16" t="s">
        <v>61</v>
      </c>
      <c r="D1" s="3" t="s">
        <v>307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IFERROR(_xlpm.kiddos,0))</f>
        <v>6</v>
      </c>
      <c r="F1" s="69">
        <v>9</v>
      </c>
      <c r="G1" s="69">
        <v>12</v>
      </c>
      <c r="H1" s="69">
        <v>15</v>
      </c>
      <c r="I1" s="69">
        <v>18</v>
      </c>
      <c r="J1" s="69">
        <v>21</v>
      </c>
      <c r="K1" s="69">
        <v>24</v>
      </c>
      <c r="L1" s="69">
        <v>27</v>
      </c>
      <c r="M1" s="69">
        <v>30</v>
      </c>
      <c r="N1" s="69">
        <v>33</v>
      </c>
      <c r="O1" s="69">
        <v>36</v>
      </c>
      <c r="P1" s="69">
        <v>39</v>
      </c>
      <c r="Q1" s="69">
        <v>42</v>
      </c>
      <c r="R1" s="69">
        <v>42</v>
      </c>
      <c r="S1" s="69">
        <v>42</v>
      </c>
      <c r="T1" s="69">
        <v>42</v>
      </c>
      <c r="U1" s="69">
        <v>42</v>
      </c>
      <c r="V1" s="69">
        <v>42</v>
      </c>
      <c r="W1" s="69">
        <v>42</v>
      </c>
      <c r="X1" s="69">
        <v>42</v>
      </c>
      <c r="Y1" s="69">
        <v>42</v>
      </c>
      <c r="Z1" s="69">
        <v>42</v>
      </c>
      <c r="AA1" s="69">
        <v>42</v>
      </c>
      <c r="AB1" s="69">
        <v>42</v>
      </c>
      <c r="AC1" s="69">
        <v>42</v>
      </c>
      <c r="AD1" s="69">
        <v>42</v>
      </c>
      <c r="AE1" s="69">
        <v>42</v>
      </c>
      <c r="AF1" s="69">
        <v>42</v>
      </c>
      <c r="AG1" s="69">
        <v>42</v>
      </c>
      <c r="AH1" s="69">
        <v>42</v>
      </c>
      <c r="AI1" s="69">
        <v>42</v>
      </c>
      <c r="AJ1" s="69">
        <v>42</v>
      </c>
      <c r="AK1" s="69">
        <v>42</v>
      </c>
      <c r="AL1" s="69">
        <v>42</v>
      </c>
      <c r="AM1" s="69">
        <v>42</v>
      </c>
      <c r="AN1" s="69">
        <v>42</v>
      </c>
    </row>
    <row r="2" spans="1:40" x14ac:dyDescent="0.25">
      <c r="A2" s="65"/>
      <c r="B2" s="3" t="str">
        <f>_xlfn.XLOOKUP($B$1&amp;"-"&amp;$C$1,Base!$D$4:$BD$4,Base!$D$2:$BD$2,"",0)</f>
        <v>New Jersey</v>
      </c>
      <c r="C2" s="55"/>
      <c r="D2" s="55" t="s">
        <v>259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3.1666666666666665</v>
      </c>
      <c r="F2" s="69">
        <v>3.3333333333333335</v>
      </c>
      <c r="G2" s="69">
        <v>3.5</v>
      </c>
      <c r="H2" s="69">
        <v>3.6666666666666665</v>
      </c>
      <c r="I2" s="69">
        <v>3.8333333333333335</v>
      </c>
      <c r="J2" s="69">
        <v>4</v>
      </c>
      <c r="K2" s="69">
        <v>4.166666666666667</v>
      </c>
      <c r="L2" s="69">
        <v>4.333333333333333</v>
      </c>
      <c r="M2" s="69">
        <v>4.5</v>
      </c>
      <c r="N2" s="69">
        <v>4.666666666666667</v>
      </c>
      <c r="O2" s="69">
        <v>4.833333333333333</v>
      </c>
      <c r="P2" s="69">
        <v>5</v>
      </c>
      <c r="Q2" s="69">
        <v>2.1666666666666665</v>
      </c>
      <c r="R2" s="69">
        <v>2.3333333333333335</v>
      </c>
      <c r="S2" s="69">
        <v>2.5</v>
      </c>
      <c r="T2" s="69">
        <v>2.6666666666666665</v>
      </c>
      <c r="U2" s="69">
        <v>2.8333333333333335</v>
      </c>
      <c r="V2" s="69">
        <v>3</v>
      </c>
      <c r="W2" s="69">
        <v>3.1666666666666665</v>
      </c>
      <c r="X2" s="69">
        <v>3.3333333333333335</v>
      </c>
      <c r="Y2" s="69">
        <v>3.5</v>
      </c>
      <c r="Z2" s="69">
        <v>3.6666666666666665</v>
      </c>
      <c r="AA2" s="69">
        <v>3.8333333333333335</v>
      </c>
      <c r="AB2" s="69">
        <v>4</v>
      </c>
      <c r="AC2" s="69">
        <v>4</v>
      </c>
      <c r="AD2" s="69">
        <v>4</v>
      </c>
      <c r="AE2" s="69">
        <v>4</v>
      </c>
      <c r="AF2" s="69">
        <v>4</v>
      </c>
      <c r="AG2" s="69">
        <v>4</v>
      </c>
      <c r="AH2" s="69">
        <v>4</v>
      </c>
      <c r="AI2" s="69">
        <v>4</v>
      </c>
      <c r="AJ2" s="69">
        <v>4</v>
      </c>
      <c r="AK2" s="69">
        <v>4</v>
      </c>
      <c r="AL2" s="69">
        <v>4</v>
      </c>
      <c r="AM2" s="69">
        <v>4</v>
      </c>
      <c r="AN2" s="69">
        <v>4</v>
      </c>
    </row>
    <row r="3" spans="1:40" x14ac:dyDescent="0.25">
      <c r="A3" s="65"/>
      <c r="B3" s="55"/>
      <c r="C3" s="55"/>
      <c r="D3" s="55" t="s">
        <v>62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_xlpm.months_since,DATEDIF(_xlpm.launchdate,_xlfn.ANCHORARRAY($E$25),"m"),_xlfn.BYCOL(_xlpm.months_since,_xlfn.LAMBDA(_xlpm.a,IFERROR(MIN(_xlpm.a/6,_xlpm.max_kiddos),0))))</f>
        <v>0.16666666666666666</v>
      </c>
      <c r="F3" s="69">
        <v>0.33333333333333331</v>
      </c>
      <c r="G3" s="69">
        <v>0.5</v>
      </c>
      <c r="H3" s="69">
        <v>0.66666666666666663</v>
      </c>
      <c r="I3" s="69">
        <v>0.83333333333333337</v>
      </c>
      <c r="J3" s="69">
        <v>1</v>
      </c>
      <c r="K3" s="69">
        <v>1.1666666666666667</v>
      </c>
      <c r="L3" s="69">
        <v>1.3333333333333333</v>
      </c>
      <c r="M3" s="69">
        <v>1.5</v>
      </c>
      <c r="N3" s="69">
        <v>1.6666666666666667</v>
      </c>
      <c r="O3" s="69">
        <v>1.8333333333333333</v>
      </c>
      <c r="P3" s="69">
        <v>2</v>
      </c>
      <c r="Q3" s="69">
        <v>2.1666666666666665</v>
      </c>
      <c r="R3" s="69">
        <v>2.3333333333333335</v>
      </c>
      <c r="S3" s="69">
        <v>2.5</v>
      </c>
      <c r="T3" s="69">
        <v>2.6666666666666665</v>
      </c>
      <c r="U3" s="69">
        <v>2.8333333333333335</v>
      </c>
      <c r="V3" s="69">
        <v>3</v>
      </c>
      <c r="W3" s="69">
        <v>3.1666666666666665</v>
      </c>
      <c r="X3" s="69">
        <v>3.3333333333333335</v>
      </c>
      <c r="Y3" s="69">
        <v>3.5</v>
      </c>
      <c r="Z3" s="69">
        <v>3.6666666666666665</v>
      </c>
      <c r="AA3" s="69">
        <v>3.8333333333333335</v>
      </c>
      <c r="AB3" s="69">
        <v>4</v>
      </c>
      <c r="AC3" s="69">
        <v>4</v>
      </c>
      <c r="AD3" s="69">
        <v>4</v>
      </c>
      <c r="AE3" s="69">
        <v>4</v>
      </c>
      <c r="AF3" s="69">
        <v>4</v>
      </c>
      <c r="AG3" s="69">
        <v>4</v>
      </c>
      <c r="AH3" s="69">
        <v>4</v>
      </c>
      <c r="AI3" s="69">
        <v>4</v>
      </c>
      <c r="AJ3" s="69">
        <v>4</v>
      </c>
      <c r="AK3" s="69">
        <v>4</v>
      </c>
      <c r="AL3" s="69">
        <v>4</v>
      </c>
      <c r="AM3" s="69">
        <v>4</v>
      </c>
      <c r="AN3" s="69">
        <v>4</v>
      </c>
    </row>
    <row r="4" spans="1:40" x14ac:dyDescent="0.25">
      <c r="A4" s="65"/>
      <c r="B4" s="55"/>
      <c r="C4" s="55"/>
      <c r="D4" s="55" t="s">
        <v>260</v>
      </c>
      <c r="E4" s="69" cm="1">
        <f t="array" ref="E4:AN4">_xlfn.BYCOL(_xlfn.VSTACK(_xlfn.ANCHORARRAY($E$1),_xlfn.ANCHORARRAY($E$2)),_xlfn.LAMBDA(_xlpm.a,SUM(_xlpm.a)))</f>
        <v>9.1666666666666661</v>
      </c>
      <c r="F4" s="69">
        <v>12.333333333333334</v>
      </c>
      <c r="G4" s="69">
        <v>15.5</v>
      </c>
      <c r="H4" s="69">
        <v>18.666666666666668</v>
      </c>
      <c r="I4" s="69">
        <v>21.833333333333332</v>
      </c>
      <c r="J4" s="69">
        <v>25</v>
      </c>
      <c r="K4" s="69">
        <v>28.166666666666668</v>
      </c>
      <c r="L4" s="69">
        <v>31.333333333333332</v>
      </c>
      <c r="M4" s="69">
        <v>34.5</v>
      </c>
      <c r="N4" s="69">
        <v>37.666666666666664</v>
      </c>
      <c r="O4" s="69">
        <v>40.833333333333336</v>
      </c>
      <c r="P4" s="69">
        <v>44</v>
      </c>
      <c r="Q4" s="69">
        <v>44.166666666666664</v>
      </c>
      <c r="R4" s="69">
        <v>44.333333333333336</v>
      </c>
      <c r="S4" s="69">
        <v>44.5</v>
      </c>
      <c r="T4" s="69">
        <v>44.666666666666664</v>
      </c>
      <c r="U4" s="69">
        <v>44.833333333333336</v>
      </c>
      <c r="V4" s="69">
        <v>45</v>
      </c>
      <c r="W4" s="69">
        <v>45.166666666666664</v>
      </c>
      <c r="X4" s="69">
        <v>45.333333333333336</v>
      </c>
      <c r="Y4" s="69">
        <v>45.5</v>
      </c>
      <c r="Z4" s="69">
        <v>45.666666666666664</v>
      </c>
      <c r="AA4" s="69">
        <v>45.833333333333336</v>
      </c>
      <c r="AB4" s="69">
        <v>46</v>
      </c>
      <c r="AC4" s="69">
        <v>46</v>
      </c>
      <c r="AD4" s="69">
        <v>46</v>
      </c>
      <c r="AE4" s="69">
        <v>46</v>
      </c>
      <c r="AF4" s="69">
        <v>46</v>
      </c>
      <c r="AG4" s="69">
        <v>46</v>
      </c>
      <c r="AH4" s="69">
        <v>46</v>
      </c>
      <c r="AI4" s="69">
        <v>46</v>
      </c>
      <c r="AJ4" s="69">
        <v>46</v>
      </c>
      <c r="AK4" s="69">
        <v>46</v>
      </c>
      <c r="AL4" s="69">
        <v>46</v>
      </c>
      <c r="AM4" s="69">
        <v>46</v>
      </c>
      <c r="AN4" s="69">
        <v>46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107</v>
      </c>
      <c r="C6" s="3"/>
      <c r="D6" s="3"/>
      <c r="E6" s="66" cm="1">
        <f t="array" ref="E6:AN6">ROUND(_xlfn.BYCOL(_xlfn.ANCHORARRAY(E7),_xlfn.LAMBDA(_xlpm.a,SUM(_xlpm.a))),0)</f>
        <v>11</v>
      </c>
      <c r="F6" s="66">
        <v>15</v>
      </c>
      <c r="G6" s="66">
        <v>18</v>
      </c>
      <c r="H6" s="66">
        <v>22</v>
      </c>
      <c r="I6" s="66">
        <v>26</v>
      </c>
      <c r="J6" s="66">
        <v>29</v>
      </c>
      <c r="K6" s="66">
        <v>33</v>
      </c>
      <c r="L6" s="66">
        <v>37</v>
      </c>
      <c r="M6" s="66">
        <v>40</v>
      </c>
      <c r="N6" s="66">
        <v>44</v>
      </c>
      <c r="O6" s="66">
        <v>47</v>
      </c>
      <c r="P6" s="66">
        <v>51</v>
      </c>
      <c r="Q6" s="66">
        <v>54</v>
      </c>
      <c r="R6" s="66">
        <v>54</v>
      </c>
      <c r="S6" s="66">
        <v>54</v>
      </c>
      <c r="T6" s="66">
        <v>54</v>
      </c>
      <c r="U6" s="66">
        <v>54</v>
      </c>
      <c r="V6" s="66">
        <v>54</v>
      </c>
      <c r="W6" s="66">
        <v>54</v>
      </c>
      <c r="X6" s="66">
        <v>54</v>
      </c>
      <c r="Y6" s="66">
        <v>54</v>
      </c>
      <c r="Z6" s="66">
        <v>54</v>
      </c>
      <c r="AA6" s="66">
        <v>54</v>
      </c>
      <c r="AB6" s="66">
        <v>54</v>
      </c>
      <c r="AC6" s="66">
        <v>54</v>
      </c>
      <c r="AD6" s="66">
        <v>54</v>
      </c>
      <c r="AE6" s="66">
        <v>54</v>
      </c>
      <c r="AF6" s="66">
        <v>54</v>
      </c>
      <c r="AG6" s="66">
        <v>54</v>
      </c>
      <c r="AH6" s="66">
        <v>54</v>
      </c>
      <c r="AI6" s="66">
        <v>54</v>
      </c>
      <c r="AJ6" s="66">
        <v>54</v>
      </c>
      <c r="AK6" s="66">
        <v>54</v>
      </c>
      <c r="AL6" s="66">
        <v>54</v>
      </c>
      <c r="AM6" s="66">
        <v>54</v>
      </c>
      <c r="AN6" s="66">
        <v>54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1"/>
      <c r="E7" s="106" cm="1">
        <f t="array" ref="E7:AN20">_xlfn.LET(_xlpm.Customer_staff,_xlfn._xlws.FILTER(Base!$D$85:$BD$98,ISNUMBER(SEARCH($B$1&amp;"-"&amp;$C$1,Base!$D$4:$BD$4))),_xlpm.Customer,_xlfn.ANCHORARRAY($E$1),_xlpm.headcount,_xlpm.Customer/_xlpm.Customer_staff,
_xlpm.patient_staff,_xlfn.ANCHORARRAY($E$2)/_xlpm.Customer_staff,_xlpm.prim_staff_tr_rec,_xlfn.ANCHORARRAY($E$2)/_xlfn.CHOOSEROWS(_xlpm.Customer_staff,{7,8})+(_xlfn.ANCHORARRAY($E$1)*0.0055),_xlpm.rounding,_xlfn.VSTACK(2,2,0,0,2,2,2,2,2,2,2,0,0,0),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prim_staff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5.6499999999999995</v>
      </c>
      <c r="F7" s="106">
        <v>8.48</v>
      </c>
      <c r="G7" s="106">
        <v>11.299999999999999</v>
      </c>
      <c r="H7" s="106">
        <v>14.12</v>
      </c>
      <c r="I7" s="106">
        <v>16.950000000000003</v>
      </c>
      <c r="J7" s="106">
        <v>19.770000000000003</v>
      </c>
      <c r="K7" s="106">
        <v>22.59</v>
      </c>
      <c r="L7" s="106">
        <v>25.42</v>
      </c>
      <c r="M7" s="106">
        <v>28.240000000000002</v>
      </c>
      <c r="N7" s="106">
        <v>31.060000000000002</v>
      </c>
      <c r="O7" s="106">
        <v>33.89</v>
      </c>
      <c r="P7" s="106">
        <v>36.71</v>
      </c>
      <c r="Q7" s="106">
        <v>39.53</v>
      </c>
      <c r="R7" s="106">
        <v>39.53</v>
      </c>
      <c r="S7" s="106">
        <v>39.53</v>
      </c>
      <c r="T7" s="106">
        <v>39.53</v>
      </c>
      <c r="U7" s="106">
        <v>39.53</v>
      </c>
      <c r="V7" s="106">
        <v>39.53</v>
      </c>
      <c r="W7" s="106">
        <v>39.53</v>
      </c>
      <c r="X7" s="106">
        <v>39.53</v>
      </c>
      <c r="Y7" s="106">
        <v>39.53</v>
      </c>
      <c r="Z7" s="106">
        <v>39.53</v>
      </c>
      <c r="AA7" s="106">
        <v>39.53</v>
      </c>
      <c r="AB7" s="106">
        <v>39.53</v>
      </c>
      <c r="AC7" s="106">
        <v>39.53</v>
      </c>
      <c r="AD7" s="106">
        <v>39.53</v>
      </c>
      <c r="AE7" s="106">
        <v>39.53</v>
      </c>
      <c r="AF7" s="106">
        <v>39.53</v>
      </c>
      <c r="AG7" s="106">
        <v>39.53</v>
      </c>
      <c r="AH7" s="106">
        <v>39.53</v>
      </c>
      <c r="AI7" s="106">
        <v>39.53</v>
      </c>
      <c r="AJ7" s="106">
        <v>39.53</v>
      </c>
      <c r="AK7" s="106">
        <v>39.53</v>
      </c>
      <c r="AL7" s="106">
        <v>39.53</v>
      </c>
      <c r="AM7" s="106">
        <v>39.53</v>
      </c>
      <c r="AN7" s="106">
        <v>39.53</v>
      </c>
    </row>
    <row r="8" spans="1:40" hidden="1" outlineLevel="1" x14ac:dyDescent="0.25">
      <c r="B8" s="39" t="str">
        <v>Secondary Direct Staff</v>
      </c>
      <c r="C8" s="3"/>
      <c r="D8" s="3"/>
      <c r="E8" s="106">
        <v>0.86</v>
      </c>
      <c r="F8" s="106">
        <v>1.29</v>
      </c>
      <c r="G8" s="106">
        <v>1.72</v>
      </c>
      <c r="H8" s="106">
        <v>2.15</v>
      </c>
      <c r="I8" s="106">
        <v>2.5799999999999996</v>
      </c>
      <c r="J8" s="106">
        <v>3</v>
      </c>
      <c r="K8" s="106">
        <v>3.4299999999999997</v>
      </c>
      <c r="L8" s="106">
        <v>3.86</v>
      </c>
      <c r="M8" s="106">
        <v>4.29</v>
      </c>
      <c r="N8" s="106">
        <v>4.72</v>
      </c>
      <c r="O8" s="106">
        <v>5.1499999999999995</v>
      </c>
      <c r="P8" s="106">
        <v>5.58</v>
      </c>
      <c r="Q8" s="106">
        <v>6</v>
      </c>
      <c r="R8" s="106">
        <v>6</v>
      </c>
      <c r="S8" s="106">
        <v>6</v>
      </c>
      <c r="T8" s="106">
        <v>6</v>
      </c>
      <c r="U8" s="106">
        <v>6</v>
      </c>
      <c r="V8" s="106">
        <v>6</v>
      </c>
      <c r="W8" s="106">
        <v>6</v>
      </c>
      <c r="X8" s="106">
        <v>6</v>
      </c>
      <c r="Y8" s="106">
        <v>6</v>
      </c>
      <c r="Z8" s="106">
        <v>6</v>
      </c>
      <c r="AA8" s="106">
        <v>6</v>
      </c>
      <c r="AB8" s="106">
        <v>6</v>
      </c>
      <c r="AC8" s="106">
        <v>6</v>
      </c>
      <c r="AD8" s="106">
        <v>6</v>
      </c>
      <c r="AE8" s="106">
        <v>6</v>
      </c>
      <c r="AF8" s="106">
        <v>6</v>
      </c>
      <c r="AG8" s="106">
        <v>6</v>
      </c>
      <c r="AH8" s="106">
        <v>6</v>
      </c>
      <c r="AI8" s="106">
        <v>6</v>
      </c>
      <c r="AJ8" s="106">
        <v>6</v>
      </c>
      <c r="AK8" s="106">
        <v>6</v>
      </c>
      <c r="AL8" s="106">
        <v>6</v>
      </c>
      <c r="AM8" s="106">
        <v>6</v>
      </c>
      <c r="AN8" s="106">
        <v>6</v>
      </c>
    </row>
    <row r="9" spans="1:40" hidden="1" outlineLevel="1" x14ac:dyDescent="0.25">
      <c r="B9" s="39" t="str">
        <v>Center Manager</v>
      </c>
      <c r="C9" s="3"/>
      <c r="D9" s="3"/>
      <c r="E9" s="106">
        <v>1</v>
      </c>
      <c r="F9" s="106">
        <v>1</v>
      </c>
      <c r="G9" s="106">
        <v>1</v>
      </c>
      <c r="H9" s="106">
        <v>1</v>
      </c>
      <c r="I9" s="106">
        <v>1</v>
      </c>
      <c r="J9" s="106">
        <v>1</v>
      </c>
      <c r="K9" s="106">
        <v>1</v>
      </c>
      <c r="L9" s="106">
        <v>1</v>
      </c>
      <c r="M9" s="106">
        <v>1</v>
      </c>
      <c r="N9" s="106">
        <v>1</v>
      </c>
      <c r="O9" s="106">
        <v>1</v>
      </c>
      <c r="P9" s="106">
        <v>1</v>
      </c>
      <c r="Q9" s="106">
        <v>1</v>
      </c>
      <c r="R9" s="106">
        <v>1</v>
      </c>
      <c r="S9" s="106">
        <v>1</v>
      </c>
      <c r="T9" s="106">
        <v>1</v>
      </c>
      <c r="U9" s="106">
        <v>1</v>
      </c>
      <c r="V9" s="106">
        <v>1</v>
      </c>
      <c r="W9" s="106">
        <v>1</v>
      </c>
      <c r="X9" s="106">
        <v>1</v>
      </c>
      <c r="Y9" s="106">
        <v>1</v>
      </c>
      <c r="Z9" s="106">
        <v>1</v>
      </c>
      <c r="AA9" s="106">
        <v>1</v>
      </c>
      <c r="AB9" s="106">
        <v>1</v>
      </c>
      <c r="AC9" s="106">
        <v>1</v>
      </c>
      <c r="AD9" s="106">
        <v>1</v>
      </c>
      <c r="AE9" s="106">
        <v>1</v>
      </c>
      <c r="AF9" s="106">
        <v>1</v>
      </c>
      <c r="AG9" s="106">
        <v>1</v>
      </c>
      <c r="AH9" s="106">
        <v>1</v>
      </c>
      <c r="AI9" s="106">
        <v>1</v>
      </c>
      <c r="AJ9" s="106">
        <v>1</v>
      </c>
      <c r="AK9" s="106">
        <v>1</v>
      </c>
      <c r="AL9" s="106">
        <v>1</v>
      </c>
      <c r="AM9" s="106">
        <v>1</v>
      </c>
      <c r="AN9" s="106">
        <v>1</v>
      </c>
    </row>
    <row r="10" spans="1:40" hidden="1" outlineLevel="1" x14ac:dyDescent="0.25">
      <c r="B10" s="39" t="str">
        <v>Intake</v>
      </c>
      <c r="C10" s="3"/>
      <c r="D10" s="3"/>
      <c r="E10" s="106">
        <v>1</v>
      </c>
      <c r="F10" s="106">
        <v>1</v>
      </c>
      <c r="G10" s="106">
        <v>1</v>
      </c>
      <c r="H10" s="106">
        <v>1</v>
      </c>
      <c r="I10" s="106">
        <v>1</v>
      </c>
      <c r="J10" s="106">
        <v>1</v>
      </c>
      <c r="K10" s="106">
        <v>1</v>
      </c>
      <c r="L10" s="106">
        <v>1</v>
      </c>
      <c r="M10" s="106">
        <v>1</v>
      </c>
      <c r="N10" s="106">
        <v>1</v>
      </c>
      <c r="O10" s="106">
        <v>1</v>
      </c>
      <c r="P10" s="106">
        <v>1</v>
      </c>
      <c r="Q10" s="106">
        <v>1</v>
      </c>
      <c r="R10" s="106">
        <v>1</v>
      </c>
      <c r="S10" s="106">
        <v>1</v>
      </c>
      <c r="T10" s="106">
        <v>1</v>
      </c>
      <c r="U10" s="106">
        <v>1</v>
      </c>
      <c r="V10" s="106">
        <v>1</v>
      </c>
      <c r="W10" s="106">
        <v>1</v>
      </c>
      <c r="X10" s="106">
        <v>1</v>
      </c>
      <c r="Y10" s="106">
        <v>1</v>
      </c>
      <c r="Z10" s="106">
        <v>1</v>
      </c>
      <c r="AA10" s="106">
        <v>1</v>
      </c>
      <c r="AB10" s="106">
        <v>1</v>
      </c>
      <c r="AC10" s="106">
        <v>1</v>
      </c>
      <c r="AD10" s="106">
        <v>1</v>
      </c>
      <c r="AE10" s="106">
        <v>1</v>
      </c>
      <c r="AF10" s="106">
        <v>1</v>
      </c>
      <c r="AG10" s="106">
        <v>1</v>
      </c>
      <c r="AH10" s="106">
        <v>1</v>
      </c>
      <c r="AI10" s="106">
        <v>1</v>
      </c>
      <c r="AJ10" s="106">
        <v>1</v>
      </c>
      <c r="AK10" s="106">
        <v>1</v>
      </c>
      <c r="AL10" s="106">
        <v>1</v>
      </c>
      <c r="AM10" s="106">
        <v>1</v>
      </c>
      <c r="AN10" s="106">
        <v>1</v>
      </c>
    </row>
    <row r="11" spans="1:40" hidden="1" outlineLevel="1" x14ac:dyDescent="0.25">
      <c r="B11" s="39" t="str">
        <v>Scheduler</v>
      </c>
      <c r="C11" s="3"/>
      <c r="D11" s="3"/>
      <c r="E11" s="106">
        <v>0</v>
      </c>
      <c r="F11" s="106">
        <v>0</v>
      </c>
      <c r="G11" s="106">
        <v>0</v>
      </c>
      <c r="H11" s="106">
        <v>0</v>
      </c>
      <c r="I11" s="106">
        <v>0</v>
      </c>
      <c r="J11" s="106">
        <v>0</v>
      </c>
      <c r="K11" s="106">
        <v>0</v>
      </c>
      <c r="L11" s="106">
        <v>0</v>
      </c>
      <c r="M11" s="106">
        <v>0</v>
      </c>
      <c r="N11" s="106">
        <v>0</v>
      </c>
      <c r="O11" s="106">
        <v>0</v>
      </c>
      <c r="P11" s="106">
        <v>0</v>
      </c>
      <c r="Q11" s="106">
        <v>0</v>
      </c>
      <c r="R11" s="106">
        <v>0</v>
      </c>
      <c r="S11" s="106">
        <v>0</v>
      </c>
      <c r="T11" s="106">
        <v>0</v>
      </c>
      <c r="U11" s="106">
        <v>0</v>
      </c>
      <c r="V11" s="106">
        <v>0</v>
      </c>
      <c r="W11" s="106">
        <v>0</v>
      </c>
      <c r="X11" s="106">
        <v>0</v>
      </c>
      <c r="Y11" s="106">
        <v>0</v>
      </c>
      <c r="Z11" s="106">
        <v>0</v>
      </c>
      <c r="AA11" s="106">
        <v>0</v>
      </c>
      <c r="AB11" s="106">
        <v>0</v>
      </c>
      <c r="AC11" s="106">
        <v>0</v>
      </c>
      <c r="AD11" s="106">
        <v>0</v>
      </c>
      <c r="AE11" s="106">
        <v>0</v>
      </c>
      <c r="AF11" s="106">
        <v>0</v>
      </c>
      <c r="AG11" s="106">
        <v>0</v>
      </c>
      <c r="AH11" s="106">
        <v>0</v>
      </c>
      <c r="AI11" s="106">
        <v>0</v>
      </c>
      <c r="AJ11" s="106">
        <v>0</v>
      </c>
      <c r="AK11" s="106">
        <v>0</v>
      </c>
      <c r="AL11" s="106">
        <v>0</v>
      </c>
      <c r="AM11" s="106">
        <v>0</v>
      </c>
      <c r="AN11" s="106">
        <v>0</v>
      </c>
    </row>
    <row r="12" spans="1:40" hidden="1" outlineLevel="1" x14ac:dyDescent="0.25">
      <c r="B12" s="39" t="str">
        <v>Initial Consultation Expert</v>
      </c>
      <c r="C12" s="3"/>
      <c r="D12" s="3"/>
      <c r="E12" s="106">
        <v>0.25</v>
      </c>
      <c r="F12" s="106">
        <v>0.26</v>
      </c>
      <c r="G12" s="106">
        <v>0.27</v>
      </c>
      <c r="H12" s="106">
        <v>0.29000000000000004</v>
      </c>
      <c r="I12" s="106">
        <v>0.3</v>
      </c>
      <c r="J12" s="106">
        <v>0.31</v>
      </c>
      <c r="K12" s="106">
        <v>0.33</v>
      </c>
      <c r="L12" s="106">
        <v>0.34</v>
      </c>
      <c r="M12" s="106">
        <v>0.35000000000000003</v>
      </c>
      <c r="N12" s="106">
        <v>0.36</v>
      </c>
      <c r="O12" s="106">
        <v>0.38</v>
      </c>
      <c r="P12" s="106">
        <v>0.39</v>
      </c>
      <c r="Q12" s="106">
        <v>0.17</v>
      </c>
      <c r="R12" s="106">
        <v>0.18000000000000002</v>
      </c>
      <c r="S12" s="106">
        <v>0.2</v>
      </c>
      <c r="T12" s="106">
        <v>0.21000000000000002</v>
      </c>
      <c r="U12" s="106">
        <v>0.22</v>
      </c>
      <c r="V12" s="106">
        <v>0.24000000000000002</v>
      </c>
      <c r="W12" s="106">
        <v>0.25</v>
      </c>
      <c r="X12" s="106">
        <v>0.26</v>
      </c>
      <c r="Y12" s="106">
        <v>0.27</v>
      </c>
      <c r="Z12" s="106">
        <v>0.29000000000000004</v>
      </c>
      <c r="AA12" s="106">
        <v>0.3</v>
      </c>
      <c r="AB12" s="106">
        <v>0.31</v>
      </c>
      <c r="AC12" s="106">
        <v>0.31</v>
      </c>
      <c r="AD12" s="106">
        <v>0.31</v>
      </c>
      <c r="AE12" s="106">
        <v>0.31</v>
      </c>
      <c r="AF12" s="106">
        <v>0.31</v>
      </c>
      <c r="AG12" s="106">
        <v>0.31</v>
      </c>
      <c r="AH12" s="106">
        <v>0.31</v>
      </c>
      <c r="AI12" s="106">
        <v>0.31</v>
      </c>
      <c r="AJ12" s="106">
        <v>0.31</v>
      </c>
      <c r="AK12" s="106">
        <v>0.31</v>
      </c>
      <c r="AL12" s="106">
        <v>0.31</v>
      </c>
      <c r="AM12" s="106">
        <v>0.31</v>
      </c>
      <c r="AN12" s="106">
        <v>0.31</v>
      </c>
    </row>
    <row r="13" spans="1:40" hidden="1" outlineLevel="1" x14ac:dyDescent="0.25">
      <c r="B13" s="39" t="str">
        <v>Trainer</v>
      </c>
      <c r="C13" s="3"/>
      <c r="D13" s="3"/>
      <c r="E13" s="106">
        <v>0.35000000000000003</v>
      </c>
      <c r="F13" s="106">
        <v>0.39</v>
      </c>
      <c r="G13" s="106">
        <v>0.42</v>
      </c>
      <c r="H13" s="106">
        <v>0.45</v>
      </c>
      <c r="I13" s="106">
        <v>0.49</v>
      </c>
      <c r="J13" s="106">
        <v>0.52</v>
      </c>
      <c r="K13" s="106">
        <v>0.55000000000000004</v>
      </c>
      <c r="L13" s="106">
        <v>0.59</v>
      </c>
      <c r="M13" s="106">
        <v>0.62</v>
      </c>
      <c r="N13" s="106">
        <v>0.65</v>
      </c>
      <c r="O13" s="106">
        <v>0.69000000000000006</v>
      </c>
      <c r="P13" s="106">
        <v>0.72</v>
      </c>
      <c r="Q13" s="106">
        <v>0.45</v>
      </c>
      <c r="R13" s="106">
        <v>0.47000000000000003</v>
      </c>
      <c r="S13" s="106">
        <v>0.49</v>
      </c>
      <c r="T13" s="106">
        <v>0.5</v>
      </c>
      <c r="U13" s="106">
        <v>0.52</v>
      </c>
      <c r="V13" s="106">
        <v>0.54</v>
      </c>
      <c r="W13" s="106">
        <v>0.55000000000000004</v>
      </c>
      <c r="X13" s="106">
        <v>0.57000000000000006</v>
      </c>
      <c r="Y13" s="106">
        <v>0.59</v>
      </c>
      <c r="Z13" s="106">
        <v>0.6</v>
      </c>
      <c r="AA13" s="106">
        <v>0.62</v>
      </c>
      <c r="AB13" s="106">
        <v>0.64</v>
      </c>
      <c r="AC13" s="106">
        <v>0.64</v>
      </c>
      <c r="AD13" s="106">
        <v>0.64</v>
      </c>
      <c r="AE13" s="106">
        <v>0.64</v>
      </c>
      <c r="AF13" s="106">
        <v>0.64</v>
      </c>
      <c r="AG13" s="106">
        <v>0.64</v>
      </c>
      <c r="AH13" s="106">
        <v>0.64</v>
      </c>
      <c r="AI13" s="106">
        <v>0.64</v>
      </c>
      <c r="AJ13" s="106">
        <v>0.64</v>
      </c>
      <c r="AK13" s="106">
        <v>0.64</v>
      </c>
      <c r="AL13" s="106">
        <v>0.64</v>
      </c>
      <c r="AM13" s="106">
        <v>0.64</v>
      </c>
      <c r="AN13" s="106">
        <v>0.64</v>
      </c>
    </row>
    <row r="14" spans="1:40" hidden="1" outlineLevel="1" x14ac:dyDescent="0.25">
      <c r="B14" s="39" t="str">
        <v>Recruiter</v>
      </c>
      <c r="C14" s="3"/>
      <c r="D14" s="3"/>
      <c r="E14" s="106">
        <v>0.2</v>
      </c>
      <c r="F14" s="106">
        <v>0.22</v>
      </c>
      <c r="G14" s="106">
        <v>0.25</v>
      </c>
      <c r="H14" s="106">
        <v>0.27</v>
      </c>
      <c r="I14" s="106">
        <v>0.3</v>
      </c>
      <c r="J14" s="106">
        <v>0.32</v>
      </c>
      <c r="K14" s="106">
        <v>0.35000000000000003</v>
      </c>
      <c r="L14" s="106">
        <v>0.37</v>
      </c>
      <c r="M14" s="106">
        <v>0.39</v>
      </c>
      <c r="N14" s="106">
        <v>0.42</v>
      </c>
      <c r="O14" s="106">
        <v>0.44</v>
      </c>
      <c r="P14" s="106">
        <v>0.47000000000000003</v>
      </c>
      <c r="Q14" s="106">
        <v>0.34</v>
      </c>
      <c r="R14" s="106">
        <v>0.35000000000000003</v>
      </c>
      <c r="S14" s="106">
        <v>0.36</v>
      </c>
      <c r="T14" s="106">
        <v>0.37</v>
      </c>
      <c r="U14" s="106">
        <v>0.38</v>
      </c>
      <c r="V14" s="106">
        <v>0.39</v>
      </c>
      <c r="W14" s="106">
        <v>0.39</v>
      </c>
      <c r="X14" s="106">
        <v>0.4</v>
      </c>
      <c r="Y14" s="106">
        <v>0.41000000000000003</v>
      </c>
      <c r="Z14" s="106">
        <v>0.42</v>
      </c>
      <c r="AA14" s="106">
        <v>0.43</v>
      </c>
      <c r="AB14" s="106">
        <v>0.44</v>
      </c>
      <c r="AC14" s="106">
        <v>0.44</v>
      </c>
      <c r="AD14" s="106">
        <v>0.44</v>
      </c>
      <c r="AE14" s="106">
        <v>0.44</v>
      </c>
      <c r="AF14" s="106">
        <v>0.44</v>
      </c>
      <c r="AG14" s="106">
        <v>0.44</v>
      </c>
      <c r="AH14" s="106">
        <v>0.44</v>
      </c>
      <c r="AI14" s="106">
        <v>0.44</v>
      </c>
      <c r="AJ14" s="106">
        <v>0.44</v>
      </c>
      <c r="AK14" s="106">
        <v>0.44</v>
      </c>
      <c r="AL14" s="106">
        <v>0.44</v>
      </c>
      <c r="AM14" s="106">
        <v>0.44</v>
      </c>
      <c r="AN14" s="106">
        <v>0.44</v>
      </c>
    </row>
    <row r="15" spans="1:40" hidden="1" outlineLevel="1" x14ac:dyDescent="0.25">
      <c r="B15" s="39" t="str">
        <v>Center Director / Remote Site Director</v>
      </c>
      <c r="C15" s="3"/>
      <c r="D15" s="3"/>
      <c r="E15" s="106">
        <v>0.03</v>
      </c>
      <c r="F15" s="106">
        <v>0.04</v>
      </c>
      <c r="G15" s="106">
        <v>0.05</v>
      </c>
      <c r="H15" s="106">
        <v>0.06</v>
      </c>
      <c r="I15" s="106">
        <v>0.08</v>
      </c>
      <c r="J15" s="106">
        <v>0.09</v>
      </c>
      <c r="K15" s="106">
        <v>9.9999999999999992E-2</v>
      </c>
      <c r="L15" s="106">
        <v>0.11</v>
      </c>
      <c r="M15" s="106">
        <v>0.12</v>
      </c>
      <c r="N15" s="106">
        <v>0.14000000000000001</v>
      </c>
      <c r="O15" s="106">
        <v>0.15000000000000002</v>
      </c>
      <c r="P15" s="106">
        <v>0.16</v>
      </c>
      <c r="Q15" s="106">
        <v>0.17</v>
      </c>
      <c r="R15" s="106">
        <v>0.17</v>
      </c>
      <c r="S15" s="106">
        <v>0.17</v>
      </c>
      <c r="T15" s="106">
        <v>0.17</v>
      </c>
      <c r="U15" s="106">
        <v>0.17</v>
      </c>
      <c r="V15" s="106">
        <v>0.17</v>
      </c>
      <c r="W15" s="106">
        <v>0.17</v>
      </c>
      <c r="X15" s="106">
        <v>0.17</v>
      </c>
      <c r="Y15" s="106">
        <v>0.17</v>
      </c>
      <c r="Z15" s="106">
        <v>0.17</v>
      </c>
      <c r="AA15" s="106">
        <v>0.17</v>
      </c>
      <c r="AB15" s="106">
        <v>0.17</v>
      </c>
      <c r="AC15" s="106">
        <v>0.17</v>
      </c>
      <c r="AD15" s="106">
        <v>0.17</v>
      </c>
      <c r="AE15" s="106">
        <v>0.17</v>
      </c>
      <c r="AF15" s="106">
        <v>0.17</v>
      </c>
      <c r="AG15" s="106">
        <v>0.17</v>
      </c>
      <c r="AH15" s="106">
        <v>0.17</v>
      </c>
      <c r="AI15" s="106">
        <v>0.17</v>
      </c>
      <c r="AJ15" s="106">
        <v>0.17</v>
      </c>
      <c r="AK15" s="106">
        <v>0.17</v>
      </c>
      <c r="AL15" s="106">
        <v>0.17</v>
      </c>
      <c r="AM15" s="106">
        <v>0.17</v>
      </c>
      <c r="AN15" s="106">
        <v>0.17</v>
      </c>
    </row>
    <row r="16" spans="1:40" hidden="1" outlineLevel="1" x14ac:dyDescent="0.25">
      <c r="B16" s="39" t="str">
        <v>Center Marketing Outreach</v>
      </c>
      <c r="C16" s="3"/>
      <c r="D16" s="3"/>
      <c r="E16" s="106">
        <v>0.03</v>
      </c>
      <c r="F16" s="106">
        <v>0.04</v>
      </c>
      <c r="G16" s="106">
        <v>0.05</v>
      </c>
      <c r="H16" s="106">
        <v>0.06</v>
      </c>
      <c r="I16" s="106">
        <v>0.08</v>
      </c>
      <c r="J16" s="106">
        <v>0.09</v>
      </c>
      <c r="K16" s="106">
        <v>9.9999999999999992E-2</v>
      </c>
      <c r="L16" s="106">
        <v>0.11</v>
      </c>
      <c r="M16" s="106">
        <v>0.12</v>
      </c>
      <c r="N16" s="106">
        <v>0.14000000000000001</v>
      </c>
      <c r="O16" s="106">
        <v>0.15000000000000002</v>
      </c>
      <c r="P16" s="106">
        <v>0.16</v>
      </c>
      <c r="Q16" s="106">
        <v>0.17</v>
      </c>
      <c r="R16" s="106">
        <v>0.17</v>
      </c>
      <c r="S16" s="106">
        <v>0.17</v>
      </c>
      <c r="T16" s="106">
        <v>0.17</v>
      </c>
      <c r="U16" s="106">
        <v>0.17</v>
      </c>
      <c r="V16" s="106">
        <v>0.17</v>
      </c>
      <c r="W16" s="106">
        <v>0.17</v>
      </c>
      <c r="X16" s="106">
        <v>0.17</v>
      </c>
      <c r="Y16" s="106">
        <v>0.17</v>
      </c>
      <c r="Z16" s="106">
        <v>0.17</v>
      </c>
      <c r="AA16" s="106">
        <v>0.17</v>
      </c>
      <c r="AB16" s="106">
        <v>0.17</v>
      </c>
      <c r="AC16" s="106">
        <v>0.17</v>
      </c>
      <c r="AD16" s="106">
        <v>0.17</v>
      </c>
      <c r="AE16" s="106">
        <v>0.17</v>
      </c>
      <c r="AF16" s="106">
        <v>0.17</v>
      </c>
      <c r="AG16" s="106">
        <v>0.17</v>
      </c>
      <c r="AH16" s="106">
        <v>0.17</v>
      </c>
      <c r="AI16" s="106">
        <v>0.17</v>
      </c>
      <c r="AJ16" s="106">
        <v>0.17</v>
      </c>
      <c r="AK16" s="106">
        <v>0.17</v>
      </c>
      <c r="AL16" s="106">
        <v>0.17</v>
      </c>
      <c r="AM16" s="106">
        <v>0.17</v>
      </c>
      <c r="AN16" s="106">
        <v>0.17</v>
      </c>
    </row>
    <row r="17" spans="2:50" hidden="1" outlineLevel="1" x14ac:dyDescent="0.25">
      <c r="B17" s="39" t="str">
        <v>Primary Direct Staff Lead</v>
      </c>
      <c r="C17" s="3"/>
      <c r="D17" s="3"/>
      <c r="E17" s="106">
        <v>0.6</v>
      </c>
      <c r="F17" s="106">
        <v>0.9</v>
      </c>
      <c r="G17" s="106">
        <v>1.2</v>
      </c>
      <c r="H17" s="106">
        <v>1.5</v>
      </c>
      <c r="I17" s="106">
        <v>1.8</v>
      </c>
      <c r="J17" s="106">
        <v>2.1</v>
      </c>
      <c r="K17" s="106">
        <v>2.4</v>
      </c>
      <c r="L17" s="106">
        <v>2.7</v>
      </c>
      <c r="M17" s="106">
        <v>3</v>
      </c>
      <c r="N17" s="106">
        <v>3.3</v>
      </c>
      <c r="O17" s="106">
        <v>3.6</v>
      </c>
      <c r="P17" s="106">
        <v>3.9</v>
      </c>
      <c r="Q17" s="106">
        <v>4.2</v>
      </c>
      <c r="R17" s="106">
        <v>4.2</v>
      </c>
      <c r="S17" s="106">
        <v>4.2</v>
      </c>
      <c r="T17" s="106">
        <v>4.2</v>
      </c>
      <c r="U17" s="106">
        <v>4.2</v>
      </c>
      <c r="V17" s="106">
        <v>4.2</v>
      </c>
      <c r="W17" s="106">
        <v>4.2</v>
      </c>
      <c r="X17" s="106">
        <v>4.2</v>
      </c>
      <c r="Y17" s="106">
        <v>4.2</v>
      </c>
      <c r="Z17" s="106">
        <v>4.2</v>
      </c>
      <c r="AA17" s="106">
        <v>4.2</v>
      </c>
      <c r="AB17" s="106">
        <v>4.2</v>
      </c>
      <c r="AC17" s="106">
        <v>4.2</v>
      </c>
      <c r="AD17" s="106">
        <v>4.2</v>
      </c>
      <c r="AE17" s="106">
        <v>4.2</v>
      </c>
      <c r="AF17" s="106">
        <v>4.2</v>
      </c>
      <c r="AG17" s="106">
        <v>4.2</v>
      </c>
      <c r="AH17" s="106">
        <v>4.2</v>
      </c>
      <c r="AI17" s="106">
        <v>4.2</v>
      </c>
      <c r="AJ17" s="106">
        <v>4.2</v>
      </c>
      <c r="AK17" s="106">
        <v>4.2</v>
      </c>
      <c r="AL17" s="106">
        <v>4.2</v>
      </c>
      <c r="AM17" s="106">
        <v>4.2</v>
      </c>
      <c r="AN17" s="106">
        <v>4.2</v>
      </c>
    </row>
    <row r="18" spans="2:50" hidden="1" outlineLevel="1" x14ac:dyDescent="0.25">
      <c r="B18" s="39" t="str">
        <v>Tertiary Direct Staff</v>
      </c>
      <c r="C18" s="3"/>
      <c r="D18" s="3"/>
      <c r="E18" s="106">
        <v>0</v>
      </c>
      <c r="F18" s="106">
        <v>0</v>
      </c>
      <c r="G18" s="106">
        <v>0</v>
      </c>
      <c r="H18" s="106">
        <v>0</v>
      </c>
      <c r="I18" s="106">
        <v>0</v>
      </c>
      <c r="J18" s="106">
        <v>0</v>
      </c>
      <c r="K18" s="106">
        <v>0</v>
      </c>
      <c r="L18" s="106">
        <v>0</v>
      </c>
      <c r="M18" s="106">
        <v>0</v>
      </c>
      <c r="N18" s="106">
        <v>0</v>
      </c>
      <c r="O18" s="106">
        <v>0</v>
      </c>
      <c r="P18" s="106">
        <v>0</v>
      </c>
      <c r="Q18" s="106">
        <v>0</v>
      </c>
      <c r="R18" s="106">
        <v>0</v>
      </c>
      <c r="S18" s="106">
        <v>0</v>
      </c>
      <c r="T18" s="106">
        <v>0</v>
      </c>
      <c r="U18" s="106">
        <v>0</v>
      </c>
      <c r="V18" s="106">
        <v>0</v>
      </c>
      <c r="W18" s="106">
        <v>0</v>
      </c>
      <c r="X18" s="106">
        <v>0</v>
      </c>
      <c r="Y18" s="106">
        <v>0</v>
      </c>
      <c r="Z18" s="106">
        <v>0</v>
      </c>
      <c r="AA18" s="106">
        <v>0</v>
      </c>
      <c r="AB18" s="106">
        <v>0</v>
      </c>
      <c r="AC18" s="106">
        <v>0</v>
      </c>
      <c r="AD18" s="106">
        <v>0</v>
      </c>
      <c r="AE18" s="106">
        <v>0</v>
      </c>
      <c r="AF18" s="106">
        <v>0</v>
      </c>
      <c r="AG18" s="106">
        <v>0</v>
      </c>
      <c r="AH18" s="106">
        <v>0</v>
      </c>
      <c r="AI18" s="106">
        <v>0</v>
      </c>
      <c r="AJ18" s="106">
        <v>0</v>
      </c>
      <c r="AK18" s="106">
        <v>0</v>
      </c>
      <c r="AL18" s="106">
        <v>0</v>
      </c>
      <c r="AM18" s="106">
        <v>0</v>
      </c>
      <c r="AN18" s="106">
        <v>0</v>
      </c>
    </row>
    <row r="19" spans="2:50" hidden="1" outlineLevel="1" x14ac:dyDescent="0.25">
      <c r="B19" s="39" t="str">
        <v>Quinary Direct Staff</v>
      </c>
      <c r="C19" s="3"/>
      <c r="D19" s="3"/>
      <c r="E19" s="106">
        <v>0</v>
      </c>
      <c r="F19" s="106">
        <v>0</v>
      </c>
      <c r="G19" s="106">
        <v>0</v>
      </c>
      <c r="H19" s="106">
        <v>0</v>
      </c>
      <c r="I19" s="106">
        <v>0</v>
      </c>
      <c r="J19" s="106">
        <v>0</v>
      </c>
      <c r="K19" s="106">
        <v>0</v>
      </c>
      <c r="L19" s="106">
        <v>0</v>
      </c>
      <c r="M19" s="106">
        <v>0</v>
      </c>
      <c r="N19" s="106">
        <v>0</v>
      </c>
      <c r="O19" s="106">
        <v>0</v>
      </c>
      <c r="P19" s="106">
        <v>0</v>
      </c>
      <c r="Q19" s="106">
        <v>0</v>
      </c>
      <c r="R19" s="106">
        <v>0</v>
      </c>
      <c r="S19" s="106">
        <v>0</v>
      </c>
      <c r="T19" s="106">
        <v>0</v>
      </c>
      <c r="U19" s="106">
        <v>0</v>
      </c>
      <c r="V19" s="106">
        <v>0</v>
      </c>
      <c r="W19" s="106">
        <v>0</v>
      </c>
      <c r="X19" s="106">
        <v>0</v>
      </c>
      <c r="Y19" s="106">
        <v>0</v>
      </c>
      <c r="Z19" s="106">
        <v>0</v>
      </c>
      <c r="AA19" s="106">
        <v>0</v>
      </c>
      <c r="AB19" s="106">
        <v>0</v>
      </c>
      <c r="AC19" s="106">
        <v>0</v>
      </c>
      <c r="AD19" s="106">
        <v>0</v>
      </c>
      <c r="AE19" s="106">
        <v>0</v>
      </c>
      <c r="AF19" s="106">
        <v>0</v>
      </c>
      <c r="AG19" s="106">
        <v>0</v>
      </c>
      <c r="AH19" s="106">
        <v>0</v>
      </c>
      <c r="AI19" s="106">
        <v>0</v>
      </c>
      <c r="AJ19" s="106">
        <v>0</v>
      </c>
      <c r="AK19" s="106">
        <v>0</v>
      </c>
      <c r="AL19" s="106">
        <v>0</v>
      </c>
      <c r="AM19" s="106">
        <v>0</v>
      </c>
      <c r="AN19" s="106">
        <v>0</v>
      </c>
    </row>
    <row r="20" spans="2:50" hidden="1" outlineLevel="1" x14ac:dyDescent="0.25">
      <c r="B20" s="39" t="str">
        <v>Quaternary Direct Staff</v>
      </c>
      <c r="C20" s="3"/>
      <c r="D20" s="3"/>
      <c r="E20" s="106">
        <v>1</v>
      </c>
      <c r="F20" s="106">
        <v>1</v>
      </c>
      <c r="G20" s="106">
        <v>1</v>
      </c>
      <c r="H20" s="106">
        <v>1</v>
      </c>
      <c r="I20" s="106">
        <v>1</v>
      </c>
      <c r="J20" s="106">
        <v>1</v>
      </c>
      <c r="K20" s="106">
        <v>1</v>
      </c>
      <c r="L20" s="106">
        <v>1</v>
      </c>
      <c r="M20" s="106">
        <v>1</v>
      </c>
      <c r="N20" s="106">
        <v>1</v>
      </c>
      <c r="O20" s="106">
        <v>1</v>
      </c>
      <c r="P20" s="106">
        <v>1</v>
      </c>
      <c r="Q20" s="106">
        <v>1</v>
      </c>
      <c r="R20" s="106">
        <v>1</v>
      </c>
      <c r="S20" s="106">
        <v>1</v>
      </c>
      <c r="T20" s="106">
        <v>1</v>
      </c>
      <c r="U20" s="106">
        <v>1</v>
      </c>
      <c r="V20" s="106">
        <v>1</v>
      </c>
      <c r="W20" s="106">
        <v>1</v>
      </c>
      <c r="X20" s="106">
        <v>1</v>
      </c>
      <c r="Y20" s="106">
        <v>1</v>
      </c>
      <c r="Z20" s="106">
        <v>1</v>
      </c>
      <c r="AA20" s="106">
        <v>1</v>
      </c>
      <c r="AB20" s="106">
        <v>1</v>
      </c>
      <c r="AC20" s="106">
        <v>1</v>
      </c>
      <c r="AD20" s="106">
        <v>1</v>
      </c>
      <c r="AE20" s="106">
        <v>1</v>
      </c>
      <c r="AF20" s="106">
        <v>1</v>
      </c>
      <c r="AG20" s="106">
        <v>1</v>
      </c>
      <c r="AH20" s="106">
        <v>1</v>
      </c>
      <c r="AI20" s="106">
        <v>1</v>
      </c>
      <c r="AJ20" s="106">
        <v>1</v>
      </c>
      <c r="AK20" s="106">
        <v>1</v>
      </c>
      <c r="AL20" s="106">
        <v>1</v>
      </c>
      <c r="AM20" s="106">
        <v>1</v>
      </c>
      <c r="AN20" s="106">
        <v>1</v>
      </c>
    </row>
    <row r="21" spans="2:50" collapsed="1" x14ac:dyDescent="0.25">
      <c r="B21" s="39" t="s">
        <v>389</v>
      </c>
      <c r="C21" s="3"/>
      <c r="D21" s="5"/>
      <c r="E21" s="117" cm="1">
        <f t="array" ref="E21:AN21">ROUND(_xlfn.BYCOL(_xlfn.CHOOSEROWS(_xlfn.ANCHORARRAY(E7),1,2),_xlfn.LAMBDA(_xlpm.col,SUM(_xlpm.col))),0)</f>
        <v>7</v>
      </c>
      <c r="F21" s="117">
        <v>10</v>
      </c>
      <c r="G21" s="117">
        <v>13</v>
      </c>
      <c r="H21" s="117">
        <v>16</v>
      </c>
      <c r="I21" s="117">
        <v>20</v>
      </c>
      <c r="J21" s="117">
        <v>23</v>
      </c>
      <c r="K21" s="117">
        <v>26</v>
      </c>
      <c r="L21" s="117">
        <v>29</v>
      </c>
      <c r="M21" s="117">
        <v>33</v>
      </c>
      <c r="N21" s="117">
        <v>36</v>
      </c>
      <c r="O21" s="117">
        <v>39</v>
      </c>
      <c r="P21" s="117">
        <v>42</v>
      </c>
      <c r="Q21" s="117">
        <v>46</v>
      </c>
      <c r="R21" s="117">
        <v>46</v>
      </c>
      <c r="S21" s="117">
        <v>46</v>
      </c>
      <c r="T21" s="117">
        <v>46</v>
      </c>
      <c r="U21" s="117">
        <v>46</v>
      </c>
      <c r="V21" s="117">
        <v>46</v>
      </c>
      <c r="W21" s="117">
        <v>46</v>
      </c>
      <c r="X21" s="117">
        <v>46</v>
      </c>
      <c r="Y21" s="117">
        <v>46</v>
      </c>
      <c r="Z21" s="117">
        <v>46</v>
      </c>
      <c r="AA21" s="117">
        <v>46</v>
      </c>
      <c r="AB21" s="117">
        <v>46</v>
      </c>
      <c r="AC21" s="117">
        <v>46</v>
      </c>
      <c r="AD21" s="117">
        <v>46</v>
      </c>
      <c r="AE21" s="117">
        <v>46</v>
      </c>
      <c r="AF21" s="117">
        <v>46</v>
      </c>
      <c r="AG21" s="117">
        <v>46</v>
      </c>
      <c r="AH21" s="117">
        <v>46</v>
      </c>
      <c r="AI21" s="117">
        <v>46</v>
      </c>
      <c r="AJ21" s="117">
        <v>46</v>
      </c>
      <c r="AK21" s="117">
        <v>46</v>
      </c>
      <c r="AL21" s="117">
        <v>46</v>
      </c>
      <c r="AM21" s="117">
        <v>46</v>
      </c>
      <c r="AN21" s="117">
        <v>46</v>
      </c>
    </row>
    <row r="22" spans="2:50" x14ac:dyDescent="0.25">
      <c r="B22" s="2" t="s">
        <v>394</v>
      </c>
      <c r="C22" s="3"/>
      <c r="D22" s="77">
        <f>MAX(_xlfn.ANCHORARRAY(E22))</f>
        <v>170.02883240223463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165.07653631284921</v>
      </c>
      <c r="F22" s="78">
        <v>165.07653631284916</v>
      </c>
      <c r="G22" s="78">
        <v>165.07653631284921</v>
      </c>
      <c r="H22" s="78">
        <v>165.07653631284919</v>
      </c>
      <c r="I22" s="78">
        <v>165.07653631284916</v>
      </c>
      <c r="J22" s="78">
        <v>165.07653631284916</v>
      </c>
      <c r="K22" s="78">
        <v>165.07653631284921</v>
      </c>
      <c r="L22" s="78">
        <v>165.07653631284921</v>
      </c>
      <c r="M22" s="78">
        <v>165.07653631284919</v>
      </c>
      <c r="N22" s="78">
        <v>165.07653631284916</v>
      </c>
      <c r="O22" s="78">
        <v>165.07653631284916</v>
      </c>
      <c r="P22" s="78">
        <v>165.07653631284919</v>
      </c>
      <c r="Q22" s="78">
        <v>170.02883240223463</v>
      </c>
      <c r="R22" s="78">
        <v>170.02883240223463</v>
      </c>
      <c r="S22" s="78">
        <v>170.02883240223463</v>
      </c>
      <c r="T22" s="78">
        <v>170.02883240223463</v>
      </c>
      <c r="U22" s="78">
        <v>170.02883240223463</v>
      </c>
      <c r="V22" s="78">
        <v>170.02883240223463</v>
      </c>
      <c r="W22" s="78">
        <v>170.02883240223463</v>
      </c>
      <c r="X22" s="78">
        <v>170.02883240223463</v>
      </c>
      <c r="Y22" s="78">
        <v>170.02883240223463</v>
      </c>
      <c r="Z22" s="78">
        <v>170.02883240223463</v>
      </c>
      <c r="AA22" s="78">
        <v>170.02883240223463</v>
      </c>
      <c r="AB22" s="78">
        <v>170.02883240223463</v>
      </c>
      <c r="AC22" s="78">
        <v>170.02883240223463</v>
      </c>
      <c r="AD22" s="78">
        <v>170.02883240223463</v>
      </c>
      <c r="AE22" s="78">
        <v>170.02883240223463</v>
      </c>
      <c r="AF22" s="78">
        <v>170.02883240223463</v>
      </c>
      <c r="AG22" s="78">
        <v>170.02883240223463</v>
      </c>
      <c r="AH22" s="78">
        <v>170.02883240223463</v>
      </c>
      <c r="AI22" s="78">
        <v>170.02883240223463</v>
      </c>
      <c r="AJ22" s="78">
        <v>170.02883240223463</v>
      </c>
      <c r="AK22" s="78">
        <v>170.02883240223463</v>
      </c>
      <c r="AL22" s="78">
        <v>170.02883240223463</v>
      </c>
      <c r="AM22" s="78">
        <v>170.02883240223463</v>
      </c>
      <c r="AN22" s="78">
        <v>170.02883240223463</v>
      </c>
    </row>
    <row r="23" spans="2:50" x14ac:dyDescent="0.25">
      <c r="B23" s="2" t="s">
        <v>53</v>
      </c>
      <c r="C23" s="3"/>
      <c r="D23" s="72"/>
      <c r="E23" s="52" cm="1">
        <f t="array" ref="E23:AN23">_xlfn.LET(_xlpm.site,$B$1&amp;"-"&amp;$C$1,_xlpm.locations,Base!$D$4:$BD$4,_xlpm.Customer,_xlfn.ANCHORARRAY(E1),_xlpm.hours,SUM(_xlfn.XLOOKUP(_xlpm.site,_xlpm.locations,Base!$D$74:$BD$78,0,0)),
_xlpm.collection,1-_xlfn.XLOOKUP(_xlpm.site,_xlpm.locations,Base!$D$26:$BD$26,0,0),
_xlpm.Customer*_xlpm.hours*_xlpm.collection*(52/12))</f>
        <v>630.07999999999993</v>
      </c>
      <c r="F23" s="52">
        <v>945.11999999999989</v>
      </c>
      <c r="G23" s="52">
        <v>1260.1599999999999</v>
      </c>
      <c r="H23" s="52">
        <v>1575.1999999999996</v>
      </c>
      <c r="I23" s="52">
        <v>1890.2399999999998</v>
      </c>
      <c r="J23" s="52">
        <v>2205.2799999999997</v>
      </c>
      <c r="K23" s="52">
        <v>2520.3199999999997</v>
      </c>
      <c r="L23" s="52">
        <v>2835.3599999999992</v>
      </c>
      <c r="M23" s="52">
        <v>3150.3999999999992</v>
      </c>
      <c r="N23" s="52">
        <v>3465.4399999999996</v>
      </c>
      <c r="O23" s="52">
        <v>3780.4799999999996</v>
      </c>
      <c r="P23" s="52">
        <v>4095.5199999999995</v>
      </c>
      <c r="Q23" s="52">
        <v>4410.5599999999995</v>
      </c>
      <c r="R23" s="52">
        <v>4410.5599999999995</v>
      </c>
      <c r="S23" s="52">
        <v>4410.5599999999995</v>
      </c>
      <c r="T23" s="52">
        <v>4410.5599999999995</v>
      </c>
      <c r="U23" s="52">
        <v>4410.5599999999995</v>
      </c>
      <c r="V23" s="52">
        <v>4410.5599999999995</v>
      </c>
      <c r="W23" s="52">
        <v>4410.5599999999995</v>
      </c>
      <c r="X23" s="52">
        <v>4410.5599999999995</v>
      </c>
      <c r="Y23" s="52">
        <v>4410.5599999999995</v>
      </c>
      <c r="Z23" s="52">
        <v>4410.5599999999995</v>
      </c>
      <c r="AA23" s="52">
        <v>4410.5599999999995</v>
      </c>
      <c r="AB23" s="52">
        <v>4410.5599999999995</v>
      </c>
      <c r="AC23" s="52">
        <v>4410.5599999999995</v>
      </c>
      <c r="AD23" s="52">
        <v>4410.5599999999995</v>
      </c>
      <c r="AE23" s="52">
        <v>4410.5599999999995</v>
      </c>
      <c r="AF23" s="52">
        <v>4410.5599999999995</v>
      </c>
      <c r="AG23" s="52">
        <v>4410.5599999999995</v>
      </c>
      <c r="AH23" s="52">
        <v>4410.5599999999995</v>
      </c>
      <c r="AI23" s="52">
        <v>4410.5599999999995</v>
      </c>
      <c r="AJ23" s="52">
        <v>4410.5599999999995</v>
      </c>
      <c r="AK23" s="52">
        <v>4410.5599999999995</v>
      </c>
      <c r="AL23" s="52">
        <v>4410.5599999999995</v>
      </c>
      <c r="AM23" s="52">
        <v>4410.5599999999995</v>
      </c>
      <c r="AN23" s="52">
        <v>4410.5599999999995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21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_xlfn.LET(_xlpm.site,$B$1&amp;"-"&amp;$C$1,_xlpm.locations,Base!$D$4:$BD$4,_xlpm.rates,Base!$D31:$BD31,_xlpm.hours,Base!$D74:$BD74,_xlpm.comp,_xlpm.rates*_xlpm.hours,_xlpm.Customer,_xlfn.ANCHORARRAY($E$1),
_xlpm.Customer_comp,_xlfn.XLOOKUP(_xlpm.site,_xlpm.locations,_xlpm.comp,0,0),_xlpm.ann_incr,_xlfn.XLOOKUP(YEAR(_xlfn.ANCHORARRAY($E$25)),Base!$BJ$4:$BL$4,Base!$BJ74:$BL74,0,0),
_xlpm.bad_debt,_xlfn.XLOOKUP(_xlpm.site,_xlpm.locations,Base!$D$28:$BD$28,0,0),_xlpm.Customer_comp*_xlpm.Customer*_xlpm.bad_debt*_xlpm.ann_incr*(52/12))</f>
        <v>90867.92</v>
      </c>
      <c r="F26" s="12">
        <v>136301.87999999998</v>
      </c>
      <c r="G26" s="12">
        <v>181735.84</v>
      </c>
      <c r="H26" s="12">
        <v>227169.79999999996</v>
      </c>
      <c r="I26" s="12">
        <v>272603.75999999995</v>
      </c>
      <c r="J26" s="12">
        <v>318037.71999999997</v>
      </c>
      <c r="K26" s="12">
        <v>363471.68</v>
      </c>
      <c r="L26" s="12">
        <v>408905.63999999996</v>
      </c>
      <c r="M26" s="12">
        <v>454339.59999999992</v>
      </c>
      <c r="N26" s="12">
        <v>499773.55999999994</v>
      </c>
      <c r="O26" s="12">
        <v>545207.5199999999</v>
      </c>
      <c r="P26" s="12">
        <v>590641.48</v>
      </c>
      <c r="Q26" s="12">
        <v>655157.70319999987</v>
      </c>
      <c r="R26" s="12">
        <v>655157.70319999987</v>
      </c>
      <c r="S26" s="12">
        <v>655157.70319999987</v>
      </c>
      <c r="T26" s="12">
        <v>655157.70319999987</v>
      </c>
      <c r="U26" s="12">
        <v>655157.70319999987</v>
      </c>
      <c r="V26" s="12">
        <v>655157.70319999987</v>
      </c>
      <c r="W26" s="12">
        <v>655157.70319999987</v>
      </c>
      <c r="X26" s="12">
        <v>655157.70319999987</v>
      </c>
      <c r="Y26" s="12">
        <v>655157.70319999987</v>
      </c>
      <c r="Z26" s="12">
        <v>655157.70319999987</v>
      </c>
      <c r="AA26" s="12">
        <v>655157.70319999987</v>
      </c>
      <c r="AB26" s="12">
        <v>655157.70319999987</v>
      </c>
      <c r="AC26" s="12">
        <v>655157.70319999987</v>
      </c>
      <c r="AD26" s="12">
        <v>655157.70319999987</v>
      </c>
      <c r="AE26" s="12">
        <v>655157.70319999987</v>
      </c>
      <c r="AF26" s="12">
        <v>655157.70319999987</v>
      </c>
      <c r="AG26" s="12">
        <v>655157.70319999987</v>
      </c>
      <c r="AH26" s="12">
        <v>655157.70319999987</v>
      </c>
      <c r="AI26" s="12">
        <v>655157.70319999987</v>
      </c>
      <c r="AJ26" s="12">
        <v>655157.70319999987</v>
      </c>
      <c r="AK26" s="12">
        <v>655157.70319999987</v>
      </c>
      <c r="AL26" s="12">
        <v>655157.70319999987</v>
      </c>
      <c r="AM26" s="12">
        <v>655157.70319999987</v>
      </c>
      <c r="AN26" s="12">
        <v>655157.70319999987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_xlfn.LET(_xlpm.site,$B$1&amp;"-"&amp;$C$1,_xlpm.locations,Base!$D$4:$BD$4,_xlpm.rates,Base!$D32:$BD32,_xlpm.hours,Base!$D75:$BD75,_xlpm.comp,_xlpm.rates*_xlpm.hours,_xlpm.Customer,_xlfn.ANCHORARRAY($E$1),
_xlpm.Customer_comp,_xlfn.XLOOKUP(_xlpm.site,_xlpm.locations,_xlpm.comp,0,0),_xlpm.ann_incr,_xlfn.XLOOKUP(YEAR(_xlfn.ANCHORARRAY($E$25)),Base!$BJ$4:$BL$4,Base!$BJ75:$BL75,0,0),
_xlpm.bad_debt,_xlfn.XLOOKUP(_xlpm.site,_xlpm.locations,Base!$D$28:$BD$28,0,0),_xlpm.Customer_comp*_xlpm.Customer*_xlpm.bad_debt*_xlpm.ann_incr*(52/12))</f>
        <v>5327.9199999999992</v>
      </c>
      <c r="F27" s="12">
        <v>7991.8799999999992</v>
      </c>
      <c r="G27" s="12">
        <v>10655.839999999998</v>
      </c>
      <c r="H27" s="12">
        <v>13319.799999999997</v>
      </c>
      <c r="I27" s="12">
        <v>15983.759999999998</v>
      </c>
      <c r="J27" s="12">
        <v>18647.719999999998</v>
      </c>
      <c r="K27" s="12">
        <v>21311.679999999997</v>
      </c>
      <c r="L27" s="12">
        <v>23975.639999999996</v>
      </c>
      <c r="M27" s="12">
        <v>26639.599999999995</v>
      </c>
      <c r="N27" s="12">
        <v>29303.559999999998</v>
      </c>
      <c r="O27" s="12">
        <v>31967.519999999997</v>
      </c>
      <c r="P27" s="12">
        <v>34631.479999999996</v>
      </c>
      <c r="Q27" s="12">
        <v>38414.303200000002</v>
      </c>
      <c r="R27" s="12">
        <v>38414.303200000002</v>
      </c>
      <c r="S27" s="12">
        <v>38414.303200000002</v>
      </c>
      <c r="T27" s="12">
        <v>38414.303200000002</v>
      </c>
      <c r="U27" s="12">
        <v>38414.303200000002</v>
      </c>
      <c r="V27" s="12">
        <v>38414.303200000002</v>
      </c>
      <c r="W27" s="12">
        <v>38414.303200000002</v>
      </c>
      <c r="X27" s="12">
        <v>38414.303200000002</v>
      </c>
      <c r="Y27" s="12">
        <v>38414.303200000002</v>
      </c>
      <c r="Z27" s="12">
        <v>38414.303200000002</v>
      </c>
      <c r="AA27" s="12">
        <v>38414.303200000002</v>
      </c>
      <c r="AB27" s="12">
        <v>38414.303200000002</v>
      </c>
      <c r="AC27" s="12">
        <v>38414.303200000002</v>
      </c>
      <c r="AD27" s="12">
        <v>38414.303200000002</v>
      </c>
      <c r="AE27" s="12">
        <v>38414.303200000002</v>
      </c>
      <c r="AF27" s="12">
        <v>38414.303200000002</v>
      </c>
      <c r="AG27" s="12">
        <v>38414.303200000002</v>
      </c>
      <c r="AH27" s="12">
        <v>38414.303200000002</v>
      </c>
      <c r="AI27" s="12">
        <v>38414.303200000002</v>
      </c>
      <c r="AJ27" s="12">
        <v>38414.303200000002</v>
      </c>
      <c r="AK27" s="12">
        <v>38414.303200000002</v>
      </c>
      <c r="AL27" s="12">
        <v>38414.303200000002</v>
      </c>
      <c r="AM27" s="12">
        <v>38414.303200000002</v>
      </c>
      <c r="AN27" s="12">
        <v>38414.303200000002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_xlfn.LET(_xlpm.site,$B$1&amp;"-"&amp;$C$1,_xlpm.locations,Base!$D$4:$BD$4,_xlpm.rates,Base!$D33:$BD33,_xlpm.hours,Base!$D76:$BD76,_xlpm.comp,_xlpm.rates*_xlpm.hours,_xlpm.Customer,_xlfn.ANCHORARRAY($E$1),
_xlpm.Customer_comp,_xlfn.XLOOKUP(_xlpm.site,_xlpm.locations,_xlpm.comp,0,0),_xlpm.ann_incr,_xlfn.XLOOKUP(YEAR(_xlfn.ANCHORARRAY($E$25)),Base!$BJ$4:$BL$4,Base!$BJ76:$BL76,0,0),
_xlpm.bad_debt,_xlfn.XLOOKUP(_xlpm.site,_xlpm.locations,Base!$D$28:$BD$28,0,0),_xlpm.Customer_comp*_xlpm.Customer*_xlpm.bad_debt*_xlpm.ann_incr*(52/12))</f>
        <v>12662.363999999996</v>
      </c>
      <c r="F28" s="12">
        <v>18993.545999999995</v>
      </c>
      <c r="G28" s="12">
        <v>25324.727999999992</v>
      </c>
      <c r="H28" s="12">
        <v>31655.909999999989</v>
      </c>
      <c r="I28" s="12">
        <v>37987.09199999999</v>
      </c>
      <c r="J28" s="12">
        <v>44318.27399999999</v>
      </c>
      <c r="K28" s="12">
        <v>50649.455999999984</v>
      </c>
      <c r="L28" s="12">
        <v>56980.637999999984</v>
      </c>
      <c r="M28" s="12">
        <v>63311.819999999978</v>
      </c>
      <c r="N28" s="12">
        <v>69643.001999999964</v>
      </c>
      <c r="O28" s="12">
        <v>75974.183999999979</v>
      </c>
      <c r="P28" s="12">
        <v>82305.365999999995</v>
      </c>
      <c r="Q28" s="12">
        <v>91295.644439999975</v>
      </c>
      <c r="R28" s="12">
        <v>91295.644439999975</v>
      </c>
      <c r="S28" s="12">
        <v>91295.644439999975</v>
      </c>
      <c r="T28" s="12">
        <v>91295.644439999975</v>
      </c>
      <c r="U28" s="12">
        <v>91295.644439999975</v>
      </c>
      <c r="V28" s="12">
        <v>91295.644439999975</v>
      </c>
      <c r="W28" s="12">
        <v>91295.644439999975</v>
      </c>
      <c r="X28" s="12">
        <v>91295.644439999975</v>
      </c>
      <c r="Y28" s="12">
        <v>91295.644439999975</v>
      </c>
      <c r="Z28" s="12">
        <v>91295.644439999975</v>
      </c>
      <c r="AA28" s="12">
        <v>91295.644439999975</v>
      </c>
      <c r="AB28" s="12">
        <v>91295.644439999975</v>
      </c>
      <c r="AC28" s="12">
        <v>91295.644439999975</v>
      </c>
      <c r="AD28" s="12">
        <v>91295.644439999975</v>
      </c>
      <c r="AE28" s="12">
        <v>91295.644439999975</v>
      </c>
      <c r="AF28" s="12">
        <v>91295.644439999975</v>
      </c>
      <c r="AG28" s="12">
        <v>91295.644439999975</v>
      </c>
      <c r="AH28" s="12">
        <v>91295.644439999975</v>
      </c>
      <c r="AI28" s="12">
        <v>91295.644439999975</v>
      </c>
      <c r="AJ28" s="12">
        <v>91295.644439999975</v>
      </c>
      <c r="AK28" s="12">
        <v>91295.644439999975</v>
      </c>
      <c r="AL28" s="12">
        <v>91295.644439999975</v>
      </c>
      <c r="AM28" s="12">
        <v>91295.644439999975</v>
      </c>
      <c r="AN28" s="12">
        <v>91295.644439999975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_xlfn.LET(_xlpm.site,$B$1&amp;"-"&amp;$C$1,_xlpm.locations,Base!$D$4:$BD$4,_xlpm.rates,Base!$D34:$BD34,_xlpm.hours,Base!$D77:$BD77,_xlpm.comp,_xlpm.rates*_xlpm.hours,_xlpm.Customer,_xlfn.ANCHORARRAY($E$1),
_xlpm.Customer_comp,_xlfn.XLOOKUP(_xlpm.site,_xlpm.locations,_xlpm.comp,0,0),_xlpm.ann_incr,_xlfn.XLOOKUP(YEAR(_xlfn.ANCHORARRAY($E$25)),Base!$BJ$4:$BL$4,Base!$BJ77:$BL77,0,0),
_xlpm.bad_debt,_xlfn.XLOOKUP(_xlpm.site,_xlpm.locations,Base!$D$28:$BD$28,0,0),_xlpm.Customer_comp*_xlpm.Customer*_xlpm.bad_debt*_xlpm.ann_incr*(52/12))</f>
        <v>974.02799999999991</v>
      </c>
      <c r="F29" s="12">
        <v>1461.0420000000001</v>
      </c>
      <c r="G29" s="12">
        <v>1948.0559999999998</v>
      </c>
      <c r="H29" s="12">
        <v>2435.0699999999997</v>
      </c>
      <c r="I29" s="12">
        <v>2922.0840000000003</v>
      </c>
      <c r="J29" s="12">
        <v>3409.098</v>
      </c>
      <c r="K29" s="12">
        <v>3896.1119999999996</v>
      </c>
      <c r="L29" s="12">
        <v>4383.1260000000002</v>
      </c>
      <c r="M29" s="12">
        <v>4870.1399999999994</v>
      </c>
      <c r="N29" s="12">
        <v>5357.1539999999995</v>
      </c>
      <c r="O29" s="12">
        <v>5844.1680000000006</v>
      </c>
      <c r="P29" s="12">
        <v>6331.1819999999998</v>
      </c>
      <c r="Q29" s="12">
        <v>7022.7418800000005</v>
      </c>
      <c r="R29" s="12">
        <v>7022.7418800000005</v>
      </c>
      <c r="S29" s="12">
        <v>7022.7418800000005</v>
      </c>
      <c r="T29" s="12">
        <v>7022.7418800000005</v>
      </c>
      <c r="U29" s="12">
        <v>7022.7418800000005</v>
      </c>
      <c r="V29" s="12">
        <v>7022.7418800000005</v>
      </c>
      <c r="W29" s="12">
        <v>7022.7418800000005</v>
      </c>
      <c r="X29" s="12">
        <v>7022.7418800000005</v>
      </c>
      <c r="Y29" s="12">
        <v>7022.7418800000005</v>
      </c>
      <c r="Z29" s="12">
        <v>7022.7418800000005</v>
      </c>
      <c r="AA29" s="12">
        <v>7022.7418800000005</v>
      </c>
      <c r="AB29" s="12">
        <v>7022.7418800000005</v>
      </c>
      <c r="AC29" s="12">
        <v>7022.7418800000005</v>
      </c>
      <c r="AD29" s="12">
        <v>7022.7418800000005</v>
      </c>
      <c r="AE29" s="12">
        <v>7022.7418800000005</v>
      </c>
      <c r="AF29" s="12">
        <v>7022.7418800000005</v>
      </c>
      <c r="AG29" s="12">
        <v>7022.7418800000005</v>
      </c>
      <c r="AH29" s="12">
        <v>7022.7418800000005</v>
      </c>
      <c r="AI29" s="12">
        <v>7022.7418800000005</v>
      </c>
      <c r="AJ29" s="12">
        <v>7022.7418800000005</v>
      </c>
      <c r="AK29" s="12">
        <v>7022.7418800000005</v>
      </c>
      <c r="AL29" s="12">
        <v>7022.7418800000005</v>
      </c>
      <c r="AM29" s="12">
        <v>7022.7418800000005</v>
      </c>
      <c r="AN29" s="12">
        <v>7022.7418800000005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_xlfn.LET(_xlpm.site,$B$1&amp;"-"&amp;$C$1,_xlpm.locations,Base!$D$4:$BD$4,_xlpm.rates,Base!$D35:$BD35,_xlpm.hours,Base!$D78:$BD78,_xlpm.comp,_xlpm.rates*_xlpm.hours,_xlpm.Customer,_xlfn.ANCHORARRAY($E$1),
_xlpm.Customer_comp,_xlfn.XLOOKUP(_xlpm.site,_xlpm.locations,_xlpm.comp,0,0),_xlpm.ann_incr,_xlfn.XLOOKUP(YEAR(_xlfn.ANCHORARRAY($E$25)),Base!$BJ$4:$BL$4,Base!$BJ78:$BL78,0,0),
_xlpm.bad_debt,_xlfn.XLOOKUP(_xlpm.site,_xlpm.locations,Base!$D$28:$BD$28,0,0),_xlpm.Customer_comp*_xlpm.Customer*_xlpm.bad_debt*_xlpm.ann_incr*(52/12))</f>
        <v>1270.8799999999999</v>
      </c>
      <c r="F30" s="12">
        <v>1906.3199999999997</v>
      </c>
      <c r="G30" s="12">
        <v>2541.7599999999998</v>
      </c>
      <c r="H30" s="12">
        <v>3177.1999999999994</v>
      </c>
      <c r="I30" s="12">
        <v>3812.6399999999994</v>
      </c>
      <c r="J30" s="12">
        <v>4448.08</v>
      </c>
      <c r="K30" s="12">
        <v>5083.5199999999995</v>
      </c>
      <c r="L30" s="12">
        <v>5718.9599999999991</v>
      </c>
      <c r="M30" s="12">
        <v>6354.3999999999987</v>
      </c>
      <c r="N30" s="12">
        <v>6989.8399999999992</v>
      </c>
      <c r="O30" s="12">
        <v>7625.2799999999988</v>
      </c>
      <c r="P30" s="12">
        <v>8260.7199999999993</v>
      </c>
      <c r="Q30" s="12">
        <v>9163.0447999999997</v>
      </c>
      <c r="R30" s="12">
        <v>9163.0447999999997</v>
      </c>
      <c r="S30" s="12">
        <v>9163.0447999999997</v>
      </c>
      <c r="T30" s="12">
        <v>9163.0447999999997</v>
      </c>
      <c r="U30" s="12">
        <v>9163.0447999999997</v>
      </c>
      <c r="V30" s="12">
        <v>9163.0447999999997</v>
      </c>
      <c r="W30" s="12">
        <v>9163.0447999999997</v>
      </c>
      <c r="X30" s="12">
        <v>9163.0447999999997</v>
      </c>
      <c r="Y30" s="12">
        <v>9163.0447999999997</v>
      </c>
      <c r="Z30" s="12">
        <v>9163.0447999999997</v>
      </c>
      <c r="AA30" s="12">
        <v>9163.0447999999997</v>
      </c>
      <c r="AB30" s="12">
        <v>9163.0447999999997</v>
      </c>
      <c r="AC30" s="12">
        <v>9163.0447999999997</v>
      </c>
      <c r="AD30" s="12">
        <v>9163.0447999999997</v>
      </c>
      <c r="AE30" s="12">
        <v>9163.0447999999997</v>
      </c>
      <c r="AF30" s="12">
        <v>9163.0447999999997</v>
      </c>
      <c r="AG30" s="12">
        <v>9163.0447999999997</v>
      </c>
      <c r="AH30" s="12">
        <v>9163.0447999999997</v>
      </c>
      <c r="AI30" s="12">
        <v>9163.0447999999997</v>
      </c>
      <c r="AJ30" s="12">
        <v>9163.0447999999997</v>
      </c>
      <c r="AK30" s="12">
        <v>9163.0447999999997</v>
      </c>
      <c r="AL30" s="12">
        <v>9163.0447999999997</v>
      </c>
      <c r="AM30" s="12">
        <v>9163.0447999999997</v>
      </c>
      <c r="AN30" s="12">
        <v>9163.0447999999997</v>
      </c>
    </row>
    <row r="31" spans="2:50" x14ac:dyDescent="0.25">
      <c r="B31" s="39" t="str">
        <f>Base!B36</f>
        <v>Tertiary Direct Staff - Service A</v>
      </c>
      <c r="C31" s="4"/>
      <c r="E31" s="183" cm="1">
        <f t="array" ref="E31:AN31">_xlfn.LET(_xlpm.site,$B$1&amp;"-"&amp;$C$1,_xlpm.locations,Base!$D$4:$BD$4,_xlpm.rates,Base!$D36:$BD36,_xlpm.hours,Base!$D79:$BD79,_xlpm.comp,_xlpm.rates*_xlpm.hours,_xlpm.Customer,_xlfn.ANCHORARRAY($E$1)*0,
_xlpm.Customer_comp,_xlfn.XLOOKUP(_xlpm.site,_xlpm.locations,_xlpm.comp,0,0),_xlpm.ann_incr,_xlfn.XLOOKUP(YEAR(_xlfn.ANCHORARRAY($E$25)),Base!$BJ$4:$BL$4,Base!$BJ79:$BL79,0,0),
_xlpm.bad_debt,_xlfn.XLOOKUP(_xlpm.site,_xlpm.locations,Base!$D$28:$BD$28,0,0),_xlpm.Customer_comp*_xlpm.Customer*_xlpm.bad_debt*_xlpm.ann_incr*(52/12))</f>
        <v>0</v>
      </c>
      <c r="F31" s="183">
        <v>0</v>
      </c>
      <c r="G31" s="183">
        <v>0</v>
      </c>
      <c r="H31" s="183">
        <v>0</v>
      </c>
      <c r="I31" s="183">
        <v>0</v>
      </c>
      <c r="J31" s="183">
        <v>0</v>
      </c>
      <c r="K31" s="183">
        <v>0</v>
      </c>
      <c r="L31" s="183">
        <v>0</v>
      </c>
      <c r="M31" s="183">
        <v>0</v>
      </c>
      <c r="N31" s="183">
        <v>0</v>
      </c>
      <c r="O31" s="183">
        <v>0</v>
      </c>
      <c r="P31" s="183">
        <v>0</v>
      </c>
      <c r="Q31" s="183">
        <v>0</v>
      </c>
      <c r="R31" s="183">
        <v>0</v>
      </c>
      <c r="S31" s="183">
        <v>0</v>
      </c>
      <c r="T31" s="183">
        <v>0</v>
      </c>
      <c r="U31" s="183">
        <v>0</v>
      </c>
      <c r="V31" s="183">
        <v>0</v>
      </c>
      <c r="W31" s="183">
        <v>0</v>
      </c>
      <c r="X31" s="183">
        <v>0</v>
      </c>
      <c r="Y31" s="183">
        <v>0</v>
      </c>
      <c r="Z31" s="183">
        <v>0</v>
      </c>
      <c r="AA31" s="183">
        <v>0</v>
      </c>
      <c r="AB31" s="183">
        <v>0</v>
      </c>
      <c r="AC31" s="183">
        <v>0</v>
      </c>
      <c r="AD31" s="183">
        <v>0</v>
      </c>
      <c r="AE31" s="183">
        <v>0</v>
      </c>
      <c r="AF31" s="183">
        <v>0</v>
      </c>
      <c r="AG31" s="183">
        <v>0</v>
      </c>
      <c r="AH31" s="183">
        <v>0</v>
      </c>
      <c r="AI31" s="183">
        <v>0</v>
      </c>
      <c r="AJ31" s="183">
        <v>0</v>
      </c>
      <c r="AK31" s="183">
        <v>0</v>
      </c>
      <c r="AL31" s="183">
        <v>0</v>
      </c>
      <c r="AM31" s="183">
        <v>0</v>
      </c>
      <c r="AN31" s="183">
        <v>0</v>
      </c>
    </row>
    <row r="32" spans="2:50" x14ac:dyDescent="0.25">
      <c r="B32" s="39" t="str">
        <f>Base!B37</f>
        <v>Tertiary Direct Staff - Service B</v>
      </c>
      <c r="C32" s="4"/>
      <c r="E32" s="183" cm="1">
        <f t="array" ref="E32:AN32">_xlfn.LET(_xlpm.site,$B$1&amp;"-"&amp;$C$1,_xlpm.locations,Base!$D$4:$BD$4,_xlpm.rates,Base!$D37:$BD37,_xlpm.hours,Base!$D80:$BD80,_xlpm.comp,_xlpm.rates*_xlpm.hours,_xlpm.Customer,_xlfn.ANCHORARRAY($E$1)*0,
_xlpm.Customer_comp,_xlfn.XLOOKUP(_xlpm.site,_xlpm.locations,_xlpm.comp,0,0),_xlpm.ann_incr,_xlfn.XLOOKUP(YEAR(_xlfn.ANCHORARRAY($E$25)),Base!$BJ$4:$BL$4,Base!$BJ80:$BL80,0,0),
_xlpm.bad_debt,_xlfn.XLOOKUP(_xlpm.site,_xlpm.locations,Base!$D$28:$BD$28,0,0),_xlpm.Customer_comp*_xlpm.Customer*_xlpm.bad_debt*_xlpm.ann_incr*(52/12))</f>
        <v>0</v>
      </c>
      <c r="F32" s="183">
        <v>0</v>
      </c>
      <c r="G32" s="183">
        <v>0</v>
      </c>
      <c r="H32" s="183">
        <v>0</v>
      </c>
      <c r="I32" s="183">
        <v>0</v>
      </c>
      <c r="J32" s="183">
        <v>0</v>
      </c>
      <c r="K32" s="183">
        <v>0</v>
      </c>
      <c r="L32" s="183">
        <v>0</v>
      </c>
      <c r="M32" s="183">
        <v>0</v>
      </c>
      <c r="N32" s="183">
        <v>0</v>
      </c>
      <c r="O32" s="183">
        <v>0</v>
      </c>
      <c r="P32" s="183">
        <v>0</v>
      </c>
      <c r="Q32" s="183">
        <v>0</v>
      </c>
      <c r="R32" s="183">
        <v>0</v>
      </c>
      <c r="S32" s="183">
        <v>0</v>
      </c>
      <c r="T32" s="183">
        <v>0</v>
      </c>
      <c r="U32" s="183">
        <v>0</v>
      </c>
      <c r="V32" s="183">
        <v>0</v>
      </c>
      <c r="W32" s="183">
        <v>0</v>
      </c>
      <c r="X32" s="183">
        <v>0</v>
      </c>
      <c r="Y32" s="183">
        <v>0</v>
      </c>
      <c r="Z32" s="183">
        <v>0</v>
      </c>
      <c r="AA32" s="183">
        <v>0</v>
      </c>
      <c r="AB32" s="183">
        <v>0</v>
      </c>
      <c r="AC32" s="183">
        <v>0</v>
      </c>
      <c r="AD32" s="183">
        <v>0</v>
      </c>
      <c r="AE32" s="183">
        <v>0</v>
      </c>
      <c r="AF32" s="183">
        <v>0</v>
      </c>
      <c r="AG32" s="183">
        <v>0</v>
      </c>
      <c r="AH32" s="183">
        <v>0</v>
      </c>
      <c r="AI32" s="183">
        <v>0</v>
      </c>
      <c r="AJ32" s="183">
        <v>0</v>
      </c>
      <c r="AK32" s="183">
        <v>0</v>
      </c>
      <c r="AL32" s="183">
        <v>0</v>
      </c>
      <c r="AM32" s="183">
        <v>0</v>
      </c>
      <c r="AN32" s="183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_xlpm.Customer,_xlfn.ANCHORARRAY($E$2),_xlpm.ann_incr,_xlfn.XLOOKUP(YEAR(_xlfn.ANCHORARRAY($E$25)),Base!$BJ$4:$BL$4,Base!$BJ$81:$BL$81,0,0),
_xlpm.bad_debt,_xlfn.XLOOKUP(_xlpm.site,_xlpm.locations,Base!$D$28:$BD$28,0,0),
_xlpm.comp*_xlpm.bad_debt*_xlpm.ann_incr*(52/12))</f>
        <v>25911.491666666665</v>
      </c>
      <c r="F33" s="12">
        <v>25911.491666666665</v>
      </c>
      <c r="G33" s="12">
        <v>25911.491666666665</v>
      </c>
      <c r="H33" s="12">
        <v>25911.491666666665</v>
      </c>
      <c r="I33" s="12">
        <v>25911.491666666665</v>
      </c>
      <c r="J33" s="12">
        <v>25911.491666666665</v>
      </c>
      <c r="K33" s="12">
        <v>25911.491666666665</v>
      </c>
      <c r="L33" s="12">
        <v>25911.491666666665</v>
      </c>
      <c r="M33" s="12">
        <v>25911.491666666665</v>
      </c>
      <c r="N33" s="12">
        <v>25911.491666666665</v>
      </c>
      <c r="O33" s="12">
        <v>25911.491666666665</v>
      </c>
      <c r="P33" s="12">
        <v>25911.491666666665</v>
      </c>
      <c r="Q33" s="12">
        <v>26688.836416666662</v>
      </c>
      <c r="R33" s="12">
        <v>26688.836416666662</v>
      </c>
      <c r="S33" s="12">
        <v>26688.836416666662</v>
      </c>
      <c r="T33" s="12">
        <v>26688.836416666662</v>
      </c>
      <c r="U33" s="12">
        <v>26688.836416666662</v>
      </c>
      <c r="V33" s="12">
        <v>26688.836416666662</v>
      </c>
      <c r="W33" s="12">
        <v>26688.836416666662</v>
      </c>
      <c r="X33" s="12">
        <v>26688.836416666662</v>
      </c>
      <c r="Y33" s="12">
        <v>26688.836416666662</v>
      </c>
      <c r="Z33" s="12">
        <v>26688.836416666662</v>
      </c>
      <c r="AA33" s="12">
        <v>26688.836416666662</v>
      </c>
      <c r="AB33" s="12">
        <v>26688.836416666662</v>
      </c>
      <c r="AC33" s="12">
        <v>26688.836416666662</v>
      </c>
      <c r="AD33" s="12">
        <v>26688.836416666662</v>
      </c>
      <c r="AE33" s="12">
        <v>26688.836416666662</v>
      </c>
      <c r="AF33" s="12">
        <v>26688.836416666662</v>
      </c>
      <c r="AG33" s="12">
        <v>26688.836416666662</v>
      </c>
      <c r="AH33" s="12">
        <v>26688.836416666662</v>
      </c>
      <c r="AI33" s="12">
        <v>26688.836416666662</v>
      </c>
      <c r="AJ33" s="12">
        <v>26688.836416666662</v>
      </c>
      <c r="AK33" s="12">
        <v>26688.836416666662</v>
      </c>
      <c r="AL33" s="12">
        <v>26688.836416666662</v>
      </c>
      <c r="AM33" s="12">
        <v>26688.836416666662</v>
      </c>
      <c r="AN33" s="12">
        <v>26688.836416666662</v>
      </c>
    </row>
    <row r="34" spans="2:40" x14ac:dyDescent="0.25">
      <c r="B34" s="39" t="str">
        <f>Base!B39</f>
        <v>Quinary Direct Staff - Service A</v>
      </c>
      <c r="C34" s="4"/>
      <c r="E34" s="183" cm="1">
        <f t="array" ref="E34:AN34">_xlfn.LET(_xlpm.site,$B$1&amp;"-"&amp;$C$1,_xlpm.locations,Base!$D$4:$BD$4,_xlpm.rates,Base!$D39:$BD39,_xlpm.hours,Base!$D82:$BD82,_xlpm.comp,_xlpm.rates*_xlpm.hours,_xlpm.Customer,_xlfn.ANCHORARRAY($E$1)*0,
_xlpm.Customer_comp,_xlfn.XLOOKUP(_xlpm.site,_xlpm.locations,_xlpm.comp,0,0),_xlpm.ann_incr,_xlfn.XLOOKUP(YEAR(_xlfn.ANCHORARRAY($E$25)),Base!$BJ$4:$BL$4,Base!$BJ82:$BL82,0,0),
_xlpm.bad_debt,_xlfn.XLOOKUP(_xlpm.site,_xlpm.locations,Base!$D$28:$BD$28,0,0),_xlpm.Customer_comp*_xlpm.Customer*_xlpm.bad_debt*_xlpm.ann_incr*(52/12))</f>
        <v>0</v>
      </c>
      <c r="F34" s="183">
        <v>0</v>
      </c>
      <c r="G34" s="183">
        <v>0</v>
      </c>
      <c r="H34" s="183">
        <v>0</v>
      </c>
      <c r="I34" s="183">
        <v>0</v>
      </c>
      <c r="J34" s="183">
        <v>0</v>
      </c>
      <c r="K34" s="183">
        <v>0</v>
      </c>
      <c r="L34" s="183">
        <v>0</v>
      </c>
      <c r="M34" s="183">
        <v>0</v>
      </c>
      <c r="N34" s="183">
        <v>0</v>
      </c>
      <c r="O34" s="183">
        <v>0</v>
      </c>
      <c r="P34" s="183">
        <v>0</v>
      </c>
      <c r="Q34" s="183">
        <v>0</v>
      </c>
      <c r="R34" s="183">
        <v>0</v>
      </c>
      <c r="S34" s="183">
        <v>0</v>
      </c>
      <c r="T34" s="183">
        <v>0</v>
      </c>
      <c r="U34" s="183">
        <v>0</v>
      </c>
      <c r="V34" s="183">
        <v>0</v>
      </c>
      <c r="W34" s="183">
        <v>0</v>
      </c>
      <c r="X34" s="183">
        <v>0</v>
      </c>
      <c r="Y34" s="183">
        <v>0</v>
      </c>
      <c r="Z34" s="183">
        <v>0</v>
      </c>
      <c r="AA34" s="183">
        <v>0</v>
      </c>
      <c r="AB34" s="183">
        <v>0</v>
      </c>
      <c r="AC34" s="183">
        <v>0</v>
      </c>
      <c r="AD34" s="183">
        <v>0</v>
      </c>
      <c r="AE34" s="183">
        <v>0</v>
      </c>
      <c r="AF34" s="183">
        <v>0</v>
      </c>
      <c r="AG34" s="183">
        <v>0</v>
      </c>
      <c r="AH34" s="183">
        <v>0</v>
      </c>
      <c r="AI34" s="183">
        <v>0</v>
      </c>
      <c r="AJ34" s="183">
        <v>0</v>
      </c>
      <c r="AK34" s="183">
        <v>0</v>
      </c>
      <c r="AL34" s="183">
        <v>0</v>
      </c>
      <c r="AM34" s="183">
        <v>0</v>
      </c>
      <c r="AN34" s="183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-16441.75244</v>
      </c>
      <c r="F35" s="12">
        <v>-23107.939159999998</v>
      </c>
      <c r="G35" s="12">
        <v>-29774.12588</v>
      </c>
      <c r="H35" s="12">
        <v>-36440.31259999999</v>
      </c>
      <c r="I35" s="12">
        <v>-43106.499319999988</v>
      </c>
      <c r="J35" s="12">
        <v>-49772.686039999986</v>
      </c>
      <c r="K35" s="12">
        <v>-56438.872759999998</v>
      </c>
      <c r="L35" s="12">
        <v>-63105.059479999996</v>
      </c>
      <c r="M35" s="12">
        <v>-69771.246199999994</v>
      </c>
      <c r="N35" s="12">
        <v>-76437.432919999977</v>
      </c>
      <c r="O35" s="12">
        <v>-83103.61963999999</v>
      </c>
      <c r="P35" s="12">
        <v>-89769.806360000002</v>
      </c>
      <c r="Q35" s="12">
        <v>-99329.072872399964</v>
      </c>
      <c r="R35" s="12">
        <v>-99329.072872399964</v>
      </c>
      <c r="S35" s="12">
        <v>-99329.072872399964</v>
      </c>
      <c r="T35" s="12">
        <v>-99329.072872399964</v>
      </c>
      <c r="U35" s="12">
        <v>-99329.072872399964</v>
      </c>
      <c r="V35" s="12">
        <v>-99329.072872399964</v>
      </c>
      <c r="W35" s="12">
        <v>-99329.072872399964</v>
      </c>
      <c r="X35" s="12">
        <v>-99329.072872399964</v>
      </c>
      <c r="Y35" s="12">
        <v>-99329.072872399964</v>
      </c>
      <c r="Z35" s="12">
        <v>-99329.072872399964</v>
      </c>
      <c r="AA35" s="12">
        <v>-99329.072872399964</v>
      </c>
      <c r="AB35" s="12">
        <v>-99329.072872399964</v>
      </c>
      <c r="AC35" s="12">
        <v>-99329.072872399964</v>
      </c>
      <c r="AD35" s="12">
        <v>-99329.072872399964</v>
      </c>
      <c r="AE35" s="12">
        <v>-99329.072872399964</v>
      </c>
      <c r="AF35" s="12">
        <v>-99329.072872399964</v>
      </c>
      <c r="AG35" s="12">
        <v>-99329.072872399964</v>
      </c>
      <c r="AH35" s="12">
        <v>-99329.072872399964</v>
      </c>
      <c r="AI35" s="12">
        <v>-99329.072872399964</v>
      </c>
      <c r="AJ35" s="12">
        <v>-99329.072872399964</v>
      </c>
      <c r="AK35" s="12">
        <v>-99329.072872399964</v>
      </c>
      <c r="AL35" s="12">
        <v>-99329.072872399964</v>
      </c>
      <c r="AM35" s="12">
        <v>-99329.072872399964</v>
      </c>
      <c r="AN35" s="12">
        <v>-99329.072872399964</v>
      </c>
    </row>
    <row r="36" spans="2:40" x14ac:dyDescent="0.25">
      <c r="B36" s="39" t="s">
        <v>261</v>
      </c>
      <c r="C36" s="15"/>
      <c r="E36" s="183" cm="1">
        <f t="array" ref="E36:AN36">_xlfn.BYCOL(_xlfn.ANCHORARRAY($E$25),_xlfn.LAMBDA(_xlpm.a,0))</f>
        <v>0</v>
      </c>
      <c r="F36" s="183">
        <v>0</v>
      </c>
      <c r="G36" s="183">
        <v>0</v>
      </c>
      <c r="H36" s="183">
        <v>0</v>
      </c>
      <c r="I36" s="183">
        <v>0</v>
      </c>
      <c r="J36" s="183">
        <v>0</v>
      </c>
      <c r="K36" s="183">
        <v>0</v>
      </c>
      <c r="L36" s="183">
        <v>0</v>
      </c>
      <c r="M36" s="183">
        <v>0</v>
      </c>
      <c r="N36" s="183">
        <v>0</v>
      </c>
      <c r="O36" s="183">
        <v>0</v>
      </c>
      <c r="P36" s="183">
        <v>0</v>
      </c>
      <c r="Q36" s="183">
        <v>0</v>
      </c>
      <c r="R36" s="183">
        <v>0</v>
      </c>
      <c r="S36" s="183">
        <v>0</v>
      </c>
      <c r="T36" s="183">
        <v>0</v>
      </c>
      <c r="U36" s="183">
        <v>0</v>
      </c>
      <c r="V36" s="183">
        <v>0</v>
      </c>
      <c r="W36" s="183">
        <v>0</v>
      </c>
      <c r="X36" s="183">
        <v>0</v>
      </c>
      <c r="Y36" s="183">
        <v>0</v>
      </c>
      <c r="Z36" s="183">
        <v>0</v>
      </c>
      <c r="AA36" s="183">
        <v>0</v>
      </c>
      <c r="AB36" s="183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271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115244.93122666668</v>
      </c>
      <c r="F37" s="13">
        <v>161466.34050666663</v>
      </c>
      <c r="G37" s="13">
        <v>207687.74978666668</v>
      </c>
      <c r="H37" s="13">
        <v>253909.15906666662</v>
      </c>
      <c r="I37" s="13">
        <v>300130.56834666658</v>
      </c>
      <c r="J37" s="13">
        <v>346351.9776266666</v>
      </c>
      <c r="K37" s="13">
        <v>392573.38690666668</v>
      </c>
      <c r="L37" s="13">
        <v>438794.79618666659</v>
      </c>
      <c r="M37" s="13">
        <v>485016.20546666667</v>
      </c>
      <c r="N37" s="13">
        <v>531237.61474666663</v>
      </c>
      <c r="O37" s="13">
        <v>577459.02402666654</v>
      </c>
      <c r="P37" s="13">
        <v>623680.43330666667</v>
      </c>
      <c r="Q37" s="13">
        <v>689998.89786426653</v>
      </c>
      <c r="R37" s="13">
        <v>689998.89786426653</v>
      </c>
      <c r="S37" s="13">
        <v>689998.89786426653</v>
      </c>
      <c r="T37" s="13">
        <v>689998.89786426653</v>
      </c>
      <c r="U37" s="13">
        <v>689998.89786426653</v>
      </c>
      <c r="V37" s="13">
        <v>689998.89786426653</v>
      </c>
      <c r="W37" s="13">
        <v>689998.89786426653</v>
      </c>
      <c r="X37" s="13">
        <v>689998.89786426653</v>
      </c>
      <c r="Y37" s="13">
        <v>689998.89786426653</v>
      </c>
      <c r="Z37" s="13">
        <v>689998.89786426653</v>
      </c>
      <c r="AA37" s="13">
        <v>689998.89786426653</v>
      </c>
      <c r="AB37" s="13">
        <v>689998.89786426653</v>
      </c>
      <c r="AC37" s="13">
        <v>689998.89786426653</v>
      </c>
      <c r="AD37" s="13">
        <v>689998.89786426653</v>
      </c>
      <c r="AE37" s="13">
        <v>689998.89786426653</v>
      </c>
      <c r="AF37" s="13">
        <v>689998.89786426653</v>
      </c>
      <c r="AG37" s="13">
        <v>689998.89786426653</v>
      </c>
      <c r="AH37" s="13">
        <v>689998.89786426653</v>
      </c>
      <c r="AI37" s="13">
        <v>689998.89786426653</v>
      </c>
      <c r="AJ37" s="13">
        <v>689998.89786426653</v>
      </c>
      <c r="AK37" s="13">
        <v>689998.89786426653</v>
      </c>
      <c r="AL37" s="13">
        <v>689998.89786426653</v>
      </c>
      <c r="AM37" s="13">
        <v>689998.89786426653</v>
      </c>
      <c r="AN37" s="13">
        <v>689998.89786426653</v>
      </c>
    </row>
    <row r="38" spans="2:40" x14ac:dyDescent="0.25">
      <c r="E38" s="67"/>
      <c r="F38" s="67"/>
    </row>
    <row r="39" spans="2:40" x14ac:dyDescent="0.25">
      <c r="B39" s="1" t="s">
        <v>118</v>
      </c>
    </row>
    <row r="40" spans="2:40" x14ac:dyDescent="0.25">
      <c r="B40" s="39" t="s">
        <v>23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74421.884381339914</v>
      </c>
      <c r="F40" s="12">
        <v>93883.674305343186</v>
      </c>
      <c r="G40" s="12">
        <v>113305.23542934647</v>
      </c>
      <c r="H40" s="12">
        <v>132759.66322001643</v>
      </c>
      <c r="I40" s="12">
        <v>152488.25314401975</v>
      </c>
      <c r="J40" s="12">
        <v>171750.79760135635</v>
      </c>
      <c r="K40" s="12">
        <v>191269.02539202629</v>
      </c>
      <c r="L40" s="12">
        <v>210730.81531602962</v>
      </c>
      <c r="M40" s="12">
        <v>230088.57644003286</v>
      </c>
      <c r="N40" s="12">
        <v>249713.13756403618</v>
      </c>
      <c r="O40" s="12">
        <v>269271.59415470611</v>
      </c>
      <c r="P40" s="12">
        <v>288693.15527870943</v>
      </c>
      <c r="Q40" s="12">
        <v>333243.20304298401</v>
      </c>
      <c r="R40" s="12">
        <v>333553.69637631736</v>
      </c>
      <c r="S40" s="12">
        <v>333970.52304298396</v>
      </c>
      <c r="T40" s="12">
        <v>334214.02637631731</v>
      </c>
      <c r="U40" s="12">
        <v>334524.51970965072</v>
      </c>
      <c r="V40" s="12">
        <v>334941.34637631732</v>
      </c>
      <c r="W40" s="12">
        <v>335114.66970965068</v>
      </c>
      <c r="X40" s="12">
        <v>335425.16304298397</v>
      </c>
      <c r="Y40" s="12">
        <v>335735.65637631732</v>
      </c>
      <c r="Z40" s="12">
        <v>336085.49304298399</v>
      </c>
      <c r="AA40" s="12">
        <v>336395.98637631733</v>
      </c>
      <c r="AB40" s="12">
        <v>336706.47970965068</v>
      </c>
      <c r="AC40" s="12">
        <v>370377.12768061581</v>
      </c>
      <c r="AD40" s="12">
        <v>370377.12768061581</v>
      </c>
      <c r="AE40" s="12">
        <v>370377.12768061581</v>
      </c>
      <c r="AF40" s="12">
        <v>370377.12768061581</v>
      </c>
      <c r="AG40" s="12">
        <v>370377.12768061581</v>
      </c>
      <c r="AH40" s="12">
        <v>370377.12768061581</v>
      </c>
      <c r="AI40" s="12">
        <v>370377.12768061581</v>
      </c>
      <c r="AJ40" s="12">
        <v>370377.12768061581</v>
      </c>
      <c r="AK40" s="12">
        <v>370377.12768061581</v>
      </c>
      <c r="AL40" s="12">
        <v>370377.12768061581</v>
      </c>
      <c r="AM40" s="12">
        <v>370377.12768061581</v>
      </c>
      <c r="AN40" s="12">
        <v>370377.12768061581</v>
      </c>
    </row>
    <row r="41" spans="2:40" x14ac:dyDescent="0.25">
      <c r="B41" s="39" t="s">
        <v>388</v>
      </c>
      <c r="C41" s="142">
        <f>_xlfn.XLOOKUP($B$1&amp;"-"&amp;$C$1,Base!$D$4:$BD$4,Base!$D$12:$BD$12,0,0)</f>
        <v>0</v>
      </c>
      <c r="E41" s="183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28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10000</v>
      </c>
      <c r="F42" s="12">
        <v>10000</v>
      </c>
      <c r="G42" s="12">
        <v>10000</v>
      </c>
      <c r="H42" s="12">
        <v>10000</v>
      </c>
      <c r="I42" s="12">
        <v>10000</v>
      </c>
      <c r="J42" s="12">
        <v>10000</v>
      </c>
      <c r="K42" s="12">
        <v>10000</v>
      </c>
      <c r="L42" s="12">
        <v>10000</v>
      </c>
      <c r="M42" s="12">
        <v>10000</v>
      </c>
      <c r="N42" s="12">
        <v>10000</v>
      </c>
      <c r="O42" s="12">
        <v>10000</v>
      </c>
      <c r="P42" s="12">
        <v>10000</v>
      </c>
      <c r="Q42" s="12">
        <v>10300</v>
      </c>
      <c r="R42" s="12">
        <v>10300</v>
      </c>
      <c r="S42" s="12">
        <v>10300</v>
      </c>
      <c r="T42" s="12">
        <v>10300</v>
      </c>
      <c r="U42" s="12">
        <v>10300</v>
      </c>
      <c r="V42" s="12">
        <v>10300</v>
      </c>
      <c r="W42" s="12">
        <v>10300</v>
      </c>
      <c r="X42" s="12">
        <v>10300</v>
      </c>
      <c r="Y42" s="12">
        <v>10300</v>
      </c>
      <c r="Z42" s="12">
        <v>10300</v>
      </c>
      <c r="AA42" s="12">
        <v>10300</v>
      </c>
      <c r="AB42" s="12">
        <v>10300</v>
      </c>
      <c r="AC42" s="12">
        <v>10609</v>
      </c>
      <c r="AD42" s="12">
        <v>10609</v>
      </c>
      <c r="AE42" s="12">
        <v>10609</v>
      </c>
      <c r="AF42" s="12">
        <v>10609</v>
      </c>
      <c r="AG42" s="12">
        <v>10609</v>
      </c>
      <c r="AH42" s="12">
        <v>10609</v>
      </c>
      <c r="AI42" s="12">
        <v>10609</v>
      </c>
      <c r="AJ42" s="12">
        <v>10609</v>
      </c>
      <c r="AK42" s="12">
        <v>10609</v>
      </c>
      <c r="AL42" s="12">
        <v>10609</v>
      </c>
      <c r="AM42" s="12">
        <v>10609</v>
      </c>
      <c r="AN42" s="12">
        <v>10609</v>
      </c>
    </row>
    <row r="43" spans="2:40" x14ac:dyDescent="0.25">
      <c r="B43" s="39" t="s">
        <v>31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8400</v>
      </c>
      <c r="F43" s="12">
        <v>8400</v>
      </c>
      <c r="G43" s="12">
        <v>8400</v>
      </c>
      <c r="H43" s="12">
        <v>8400</v>
      </c>
      <c r="I43" s="12">
        <v>8400</v>
      </c>
      <c r="J43" s="12">
        <v>8400</v>
      </c>
      <c r="K43" s="12">
        <v>8400</v>
      </c>
      <c r="L43" s="12">
        <v>8400</v>
      </c>
      <c r="M43" s="12">
        <v>8400</v>
      </c>
      <c r="N43" s="12">
        <v>8400</v>
      </c>
      <c r="O43" s="12">
        <v>8400</v>
      </c>
      <c r="P43" s="12">
        <v>8400</v>
      </c>
      <c r="Q43" s="12">
        <v>8736</v>
      </c>
      <c r="R43" s="12">
        <v>8736</v>
      </c>
      <c r="S43" s="12">
        <v>8736</v>
      </c>
      <c r="T43" s="12">
        <v>8736</v>
      </c>
      <c r="U43" s="12">
        <v>8736</v>
      </c>
      <c r="V43" s="12">
        <v>8736</v>
      </c>
      <c r="W43" s="12">
        <v>8736</v>
      </c>
      <c r="X43" s="12">
        <v>8736</v>
      </c>
      <c r="Y43" s="12">
        <v>8736</v>
      </c>
      <c r="Z43" s="12">
        <v>8736</v>
      </c>
      <c r="AA43" s="12">
        <v>8736</v>
      </c>
      <c r="AB43" s="12">
        <v>8736</v>
      </c>
      <c r="AC43" s="12">
        <v>9085.44</v>
      </c>
      <c r="AD43" s="12">
        <v>9085.44</v>
      </c>
      <c r="AE43" s="12">
        <v>9085.44</v>
      </c>
      <c r="AF43" s="12">
        <v>9085.44</v>
      </c>
      <c r="AG43" s="12">
        <v>9085.44</v>
      </c>
      <c r="AH43" s="12">
        <v>9085.44</v>
      </c>
      <c r="AI43" s="12">
        <v>9085.44</v>
      </c>
      <c r="AJ43" s="12">
        <v>9085.44</v>
      </c>
      <c r="AK43" s="12">
        <v>9085.44</v>
      </c>
      <c r="AL43" s="12">
        <v>9085.44</v>
      </c>
      <c r="AM43" s="12">
        <v>9085.44</v>
      </c>
      <c r="AN43" s="12">
        <v>9085.44</v>
      </c>
    </row>
    <row r="44" spans="2:40" x14ac:dyDescent="0.25">
      <c r="B44" s="39" t="s">
        <v>34</v>
      </c>
      <c r="C44" s="96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963.64839999999992</v>
      </c>
      <c r="F44" s="12">
        <v>993.97300000000007</v>
      </c>
      <c r="G44" s="12">
        <v>1024.2975999999999</v>
      </c>
      <c r="H44" s="12">
        <v>1054.6222</v>
      </c>
      <c r="I44" s="12">
        <v>1095.0550000000001</v>
      </c>
      <c r="J44" s="12">
        <v>1122.0101999999999</v>
      </c>
      <c r="K44" s="12">
        <v>1155.7042000000001</v>
      </c>
      <c r="L44" s="12">
        <v>1186.0287999999998</v>
      </c>
      <c r="M44" s="12">
        <v>1212.9840000000002</v>
      </c>
      <c r="N44" s="12">
        <v>1250.0473999999999</v>
      </c>
      <c r="O44" s="12">
        <v>1283.7413999999999</v>
      </c>
      <c r="P44" s="12">
        <v>1314.0660000000003</v>
      </c>
      <c r="Q44" s="12">
        <v>1156.37808</v>
      </c>
      <c r="R44" s="12">
        <v>1170.3947840000001</v>
      </c>
      <c r="S44" s="12">
        <v>1187.9156640000001</v>
      </c>
      <c r="T44" s="12">
        <v>1198.4281919999999</v>
      </c>
      <c r="U44" s="12">
        <v>1212.444896</v>
      </c>
      <c r="V44" s="12">
        <v>1229.965776</v>
      </c>
      <c r="W44" s="12">
        <v>1236.9741279999998</v>
      </c>
      <c r="X44" s="12">
        <v>1250.990832</v>
      </c>
      <c r="Y44" s="12">
        <v>1265.0075359999998</v>
      </c>
      <c r="Z44" s="12">
        <v>1279.02424</v>
      </c>
      <c r="AA44" s="12">
        <v>1293.0409439999999</v>
      </c>
      <c r="AB44" s="12">
        <v>1307.057648</v>
      </c>
      <c r="AC44" s="12">
        <v>1359.3399539200002</v>
      </c>
      <c r="AD44" s="12">
        <v>1359.3399539200002</v>
      </c>
      <c r="AE44" s="12">
        <v>1359.3399539200002</v>
      </c>
      <c r="AF44" s="12">
        <v>1359.3399539200002</v>
      </c>
      <c r="AG44" s="12">
        <v>1359.3399539200002</v>
      </c>
      <c r="AH44" s="12">
        <v>1359.3399539200002</v>
      </c>
      <c r="AI44" s="12">
        <v>1359.3399539200002</v>
      </c>
      <c r="AJ44" s="12">
        <v>1359.3399539200002</v>
      </c>
      <c r="AK44" s="12">
        <v>1359.3399539200002</v>
      </c>
      <c r="AL44" s="12">
        <v>1359.3399539200002</v>
      </c>
      <c r="AM44" s="12">
        <v>1359.3399539200002</v>
      </c>
      <c r="AN44" s="12">
        <v>1359.3399539200002</v>
      </c>
    </row>
    <row r="45" spans="2:40" x14ac:dyDescent="0.25">
      <c r="B45" s="39" t="s">
        <v>36</v>
      </c>
      <c r="C45" s="96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7500</v>
      </c>
      <c r="F45" s="12">
        <v>7500</v>
      </c>
      <c r="G45" s="12">
        <v>7500</v>
      </c>
      <c r="H45" s="12">
        <v>7500</v>
      </c>
      <c r="I45" s="12">
        <v>7500</v>
      </c>
      <c r="J45" s="12">
        <v>7500</v>
      </c>
      <c r="K45" s="12">
        <v>7500</v>
      </c>
      <c r="L45" s="12">
        <v>7500</v>
      </c>
      <c r="M45" s="12">
        <v>7500</v>
      </c>
      <c r="N45" s="12">
        <v>7500</v>
      </c>
      <c r="O45" s="12">
        <v>7500</v>
      </c>
      <c r="P45" s="12">
        <v>7500</v>
      </c>
      <c r="Q45" s="12">
        <v>7650</v>
      </c>
      <c r="R45" s="12">
        <v>7650</v>
      </c>
      <c r="S45" s="12">
        <v>7650</v>
      </c>
      <c r="T45" s="12">
        <v>7650</v>
      </c>
      <c r="U45" s="12">
        <v>7650</v>
      </c>
      <c r="V45" s="12">
        <v>7650</v>
      </c>
      <c r="W45" s="12">
        <v>7650</v>
      </c>
      <c r="X45" s="12">
        <v>7650</v>
      </c>
      <c r="Y45" s="12">
        <v>7650</v>
      </c>
      <c r="Z45" s="12">
        <v>7650</v>
      </c>
      <c r="AA45" s="12">
        <v>7650</v>
      </c>
      <c r="AB45" s="12">
        <v>7650</v>
      </c>
      <c r="AC45" s="12">
        <v>7803</v>
      </c>
      <c r="AD45" s="12">
        <v>7803</v>
      </c>
      <c r="AE45" s="12">
        <v>7803</v>
      </c>
      <c r="AF45" s="12">
        <v>7803</v>
      </c>
      <c r="AG45" s="12">
        <v>7803</v>
      </c>
      <c r="AH45" s="12">
        <v>7803</v>
      </c>
      <c r="AI45" s="12">
        <v>7803</v>
      </c>
      <c r="AJ45" s="12">
        <v>7803</v>
      </c>
      <c r="AK45" s="12">
        <v>7803</v>
      </c>
      <c r="AL45" s="12">
        <v>7803</v>
      </c>
      <c r="AM45" s="12">
        <v>7803</v>
      </c>
      <c r="AN45" s="12">
        <v>7803</v>
      </c>
    </row>
    <row r="46" spans="2:40" x14ac:dyDescent="0.25">
      <c r="B46" s="39" t="s">
        <v>38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5399.4999999999991</v>
      </c>
      <c r="F46" s="12">
        <v>6677</v>
      </c>
      <c r="G46" s="12">
        <v>7950.9999999999991</v>
      </c>
      <c r="H46" s="12">
        <v>9224.9999999999982</v>
      </c>
      <c r="I46" s="12">
        <v>10513</v>
      </c>
      <c r="J46" s="12">
        <v>11780.000000000002</v>
      </c>
      <c r="K46" s="12">
        <v>13057.5</v>
      </c>
      <c r="L46" s="12">
        <v>14335</v>
      </c>
      <c r="M46" s="12">
        <v>15605.499999999998</v>
      </c>
      <c r="N46" s="12">
        <v>16886.5</v>
      </c>
      <c r="O46" s="12">
        <v>18167.5</v>
      </c>
      <c r="P46" s="12">
        <v>19441.499999999996</v>
      </c>
      <c r="Q46" s="12">
        <v>20879.910000000007</v>
      </c>
      <c r="R46" s="12">
        <v>20894.190000000002</v>
      </c>
      <c r="S46" s="12">
        <v>20912.040000000005</v>
      </c>
      <c r="T46" s="12">
        <v>20922.750000000004</v>
      </c>
      <c r="U46" s="12">
        <v>20937.030000000006</v>
      </c>
      <c r="V46" s="12">
        <v>20954.880000000005</v>
      </c>
      <c r="W46" s="12">
        <v>20962.020000000004</v>
      </c>
      <c r="X46" s="12">
        <v>20976.300000000003</v>
      </c>
      <c r="Y46" s="12">
        <v>20990.580000000005</v>
      </c>
      <c r="Z46" s="12">
        <v>21004.860000000004</v>
      </c>
      <c r="AA46" s="12">
        <v>21019.140000000003</v>
      </c>
      <c r="AB46" s="12">
        <v>21033.420000000002</v>
      </c>
      <c r="AC46" s="12">
        <v>21454.088400000004</v>
      </c>
      <c r="AD46" s="12">
        <v>21454.088400000004</v>
      </c>
      <c r="AE46" s="12">
        <v>21454.088400000004</v>
      </c>
      <c r="AF46" s="12">
        <v>21454.088400000004</v>
      </c>
      <c r="AG46" s="12">
        <v>21454.088400000004</v>
      </c>
      <c r="AH46" s="12">
        <v>21454.088400000004</v>
      </c>
      <c r="AI46" s="12">
        <v>21454.088400000004</v>
      </c>
      <c r="AJ46" s="12">
        <v>21454.088400000004</v>
      </c>
      <c r="AK46" s="12">
        <v>21454.088400000004</v>
      </c>
      <c r="AL46" s="12">
        <v>21454.088400000004</v>
      </c>
      <c r="AM46" s="12">
        <v>21454.088400000004</v>
      </c>
      <c r="AN46" s="12">
        <v>21454.088400000004</v>
      </c>
    </row>
    <row r="47" spans="2:40" x14ac:dyDescent="0.25">
      <c r="B47" s="39" t="s">
        <v>40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6000</v>
      </c>
      <c r="F47" s="12">
        <v>6000</v>
      </c>
      <c r="G47" s="12">
        <v>6000</v>
      </c>
      <c r="H47" s="12">
        <v>6000</v>
      </c>
      <c r="I47" s="12">
        <v>6000</v>
      </c>
      <c r="J47" s="12">
        <v>6000</v>
      </c>
      <c r="K47" s="12">
        <v>6000</v>
      </c>
      <c r="L47" s="12">
        <v>6000</v>
      </c>
      <c r="M47" s="12">
        <v>6000</v>
      </c>
      <c r="N47" s="12">
        <v>6000</v>
      </c>
      <c r="O47" s="12">
        <v>6000</v>
      </c>
      <c r="P47" s="12">
        <v>6000</v>
      </c>
      <c r="Q47" s="12">
        <v>6300</v>
      </c>
      <c r="R47" s="12">
        <v>6300</v>
      </c>
      <c r="S47" s="12">
        <v>6300</v>
      </c>
      <c r="T47" s="12">
        <v>6300</v>
      </c>
      <c r="U47" s="12">
        <v>6300</v>
      </c>
      <c r="V47" s="12">
        <v>6300</v>
      </c>
      <c r="W47" s="12">
        <v>6300</v>
      </c>
      <c r="X47" s="12">
        <v>6300</v>
      </c>
      <c r="Y47" s="12">
        <v>6300</v>
      </c>
      <c r="Z47" s="12">
        <v>6300</v>
      </c>
      <c r="AA47" s="12">
        <v>6300</v>
      </c>
      <c r="AB47" s="12">
        <v>6300</v>
      </c>
      <c r="AC47" s="12">
        <v>6615</v>
      </c>
      <c r="AD47" s="12">
        <v>6615</v>
      </c>
      <c r="AE47" s="12">
        <v>6615</v>
      </c>
      <c r="AF47" s="12">
        <v>6615</v>
      </c>
      <c r="AG47" s="12">
        <v>6615</v>
      </c>
      <c r="AH47" s="12">
        <v>6615</v>
      </c>
      <c r="AI47" s="12">
        <v>6615</v>
      </c>
      <c r="AJ47" s="12">
        <v>6615</v>
      </c>
      <c r="AK47" s="12">
        <v>6615</v>
      </c>
      <c r="AL47" s="12">
        <v>6615</v>
      </c>
      <c r="AM47" s="12">
        <v>6615</v>
      </c>
      <c r="AN47" s="12">
        <v>6615</v>
      </c>
    </row>
    <row r="48" spans="2:40" x14ac:dyDescent="0.25">
      <c r="B48" s="39" t="s">
        <v>41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42</v>
      </c>
      <c r="E49" s="12">
        <f>'Corp.'!E$50*(E$37-(E31-E32-E34)*$C$35)/(SUM('MDA1:NCA9'!E$37)-SUM('MDA1:NCA9'!E$31)-SUM('MDA1:NCA9'!E$32)-SUM('MDA1:NCA9'!E$34))</f>
        <v>38199.845137135722</v>
      </c>
      <c r="F49" s="12">
        <f>'Corp.'!F$50*(F$37-(F31-F32-F34)*$C$35)/(SUM('MDA1:NCA9'!F$37)-SUM('MDA1:NCA9'!F$31)-SUM('MDA1:NCA9'!F$32)-SUM('MDA1:NCA9'!F$34))</f>
        <v>50237.391726440859</v>
      </c>
      <c r="G49" s="12">
        <f>'Corp.'!G$50*(G$37-(G31-G32-G34)*$C$35)/(SUM('MDA1:NCA9'!G$37)-SUM('MDA1:NCA9'!G$31)-SUM('MDA1:NCA9'!G$32)-SUM('MDA1:NCA9'!G$34))</f>
        <v>58810.36615564426</v>
      </c>
      <c r="H49" s="12">
        <f>'Corp.'!H$50*(H$37-(H31-H32-H34)*$C$35)/(SUM('MDA1:NCA9'!H$37)-SUM('MDA1:NCA9'!H$31)-SUM('MDA1:NCA9'!H$32)-SUM('MDA1:NCA9'!H$34))</f>
        <v>65735.757408089208</v>
      </c>
      <c r="I49" s="12">
        <f>'Corp.'!I$50*(I$37-(I31-I32-I34)*$C$35)/(SUM('MDA1:NCA9'!I$37)-SUM('MDA1:NCA9'!I$31)-SUM('MDA1:NCA9'!I$32)-SUM('MDA1:NCA9'!I$34))</f>
        <v>73118.298791786699</v>
      </c>
      <c r="J49" s="12">
        <f>'Corp.'!J$50*(J$37-(J31-J32-J34)*$C$35)/(SUM('MDA1:NCA9'!J$37)-SUM('MDA1:NCA9'!J$31)-SUM('MDA1:NCA9'!J$32)-SUM('MDA1:NCA9'!J$34))</f>
        <v>78866.108745292571</v>
      </c>
      <c r="K49" s="12">
        <f>'Corp.'!K$50*(K$37-(K31-K32-K34)*$C$35)/(SUM('MDA1:NCA9'!K$37)-SUM('MDA1:NCA9'!K$31)-SUM('MDA1:NCA9'!K$32)-SUM('MDA1:NCA9'!K$34))</f>
        <v>82104.547812721794</v>
      </c>
      <c r="L49" s="12">
        <f>'Corp.'!L$50*(L$37-(L31-L32-L34)*$C$35)/(SUM('MDA1:NCA9'!L$37)-SUM('MDA1:NCA9'!L$31)-SUM('MDA1:NCA9'!L$32)-SUM('MDA1:NCA9'!L$34))</f>
        <v>86723.869107290899</v>
      </c>
      <c r="M49" s="12">
        <f>'Corp.'!M$50*(M$37-(M31-M32-M34)*$C$35)/(SUM('MDA1:NCA9'!M$37)-SUM('MDA1:NCA9'!M$31)-SUM('MDA1:NCA9'!M$32)-SUM('MDA1:NCA9'!M$34))</f>
        <v>89834.584577925285</v>
      </c>
      <c r="N49" s="12">
        <f>'Corp.'!N$50*(N$37-(N31-N32-N34)*$C$35)/(SUM('MDA1:NCA9'!N$37)-SUM('MDA1:NCA9'!N$31)-SUM('MDA1:NCA9'!N$32)-SUM('MDA1:NCA9'!N$34))</f>
        <v>92716.40702254996</v>
      </c>
      <c r="O49" s="12">
        <f>'Corp.'!O$50*(O$37-(O31-O32-O34)*$C$35)/(SUM('MDA1:NCA9'!O$37)-SUM('MDA1:NCA9'!O$31)-SUM('MDA1:NCA9'!O$32)-SUM('MDA1:NCA9'!O$34))</f>
        <v>94323.076066000009</v>
      </c>
      <c r="P49" s="12">
        <f>'Corp.'!P$50*(P$37-(P31-P32-P34)*$C$35)/(SUM('MDA1:NCA9'!P$37)-SUM('MDA1:NCA9'!P$31)-SUM('MDA1:NCA9'!P$32)-SUM('MDA1:NCA9'!P$34))</f>
        <v>96132.144073810705</v>
      </c>
      <c r="Q49" s="12">
        <f>'Corp.'!Q$50*(Q$37-(Q31-Q32-Q34)*$C$35)/(SUM('MDA1:NCA9'!Q$37)-SUM('MDA1:NCA9'!Q$31)-SUM('MDA1:NCA9'!Q$32)-SUM('MDA1:NCA9'!Q$34))</f>
        <v>106744.3598020393</v>
      </c>
      <c r="R49" s="12">
        <f>'Corp.'!R$50*(R$37-(R31-R32-R34)*$C$35)/(SUM('MDA1:NCA9'!R$37)-SUM('MDA1:NCA9'!R$31)-SUM('MDA1:NCA9'!R$32)-SUM('MDA1:NCA9'!R$34))</f>
        <v>102701.23417332493</v>
      </c>
      <c r="S49" s="12">
        <f>'Corp.'!S$50*(S$37-(S31-S32-S34)*$C$35)/(SUM('MDA1:NCA9'!S$37)-SUM('MDA1:NCA9'!S$31)-SUM('MDA1:NCA9'!S$32)-SUM('MDA1:NCA9'!S$34))</f>
        <v>98257.0201104671</v>
      </c>
      <c r="T49" s="12">
        <f>'Corp.'!T$50*(T$37-(T31-T32-T34)*$C$35)/(SUM('MDA1:NCA9'!T$37)-SUM('MDA1:NCA9'!T$31)-SUM('MDA1:NCA9'!T$32)-SUM('MDA1:NCA9'!T$34))</f>
        <v>94495.169996576646</v>
      </c>
      <c r="U49" s="12">
        <f>'Corp.'!U$50*(U$37-(U31-U32-U34)*$C$35)/(SUM('MDA1:NCA9'!U$37)-SUM('MDA1:NCA9'!U$31)-SUM('MDA1:NCA9'!U$32)-SUM('MDA1:NCA9'!U$34))</f>
        <v>91915.99538577364</v>
      </c>
      <c r="V49" s="12">
        <f>'Corp.'!V$50*(V$37-(V31-V32-V34)*$C$35)/(SUM('MDA1:NCA9'!V$37)-SUM('MDA1:NCA9'!V$31)-SUM('MDA1:NCA9'!V$32)-SUM('MDA1:NCA9'!V$34))</f>
        <v>89813.200413536979</v>
      </c>
      <c r="W49" s="12">
        <f>'Corp.'!W$50*(W$37-(W31-W32-W34)*$C$35)/(SUM('MDA1:NCA9'!W$37)-SUM('MDA1:NCA9'!W$31)-SUM('MDA1:NCA9'!W$32)-SUM('MDA1:NCA9'!W$34))</f>
        <v>87083.552175642923</v>
      </c>
      <c r="X49" s="12">
        <f>'Corp.'!X$50*(X$37-(X31-X32-X34)*$C$35)/(SUM('MDA1:NCA9'!X$37)-SUM('MDA1:NCA9'!X$31)-SUM('MDA1:NCA9'!X$32)-SUM('MDA1:NCA9'!X$34))</f>
        <v>84355.776776980463</v>
      </c>
      <c r="Y49" s="12">
        <f>'Corp.'!Y$50*(Y$37-(Y31-Y32-Y34)*$C$35)/(SUM('MDA1:NCA9'!Y$37)-SUM('MDA1:NCA9'!Y$31)-SUM('MDA1:NCA9'!Y$32)-SUM('MDA1:NCA9'!Y$34))</f>
        <v>82568.580020467809</v>
      </c>
      <c r="Z49" s="12">
        <f>'Corp.'!Z$50*(Z$37-(Z31-Z32-Z34)*$C$35)/(SUM('MDA1:NCA9'!Z$37)-SUM('MDA1:NCA9'!Z$31)-SUM('MDA1:NCA9'!Z$32)-SUM('MDA1:NCA9'!Z$34))</f>
        <v>80775.388620665501</v>
      </c>
      <c r="AA49" s="12">
        <f>'Corp.'!AA$50*(AA$37-(AA31-AA32-AA34)*$C$35)/(SUM('MDA1:NCA9'!AA$37)-SUM('MDA1:NCA9'!AA$31)-SUM('MDA1:NCA9'!AA$32)-SUM('MDA1:NCA9'!AA$34))</f>
        <v>78928.593716406205</v>
      </c>
      <c r="AB49" s="12">
        <f>'Corp.'!AB$50*(AB$37-(AB31-AB32-AB34)*$C$35)/(SUM('MDA1:NCA9'!AB$37)-SUM('MDA1:NCA9'!AB$31)-SUM('MDA1:NCA9'!AB$32)-SUM('MDA1:NCA9'!AB$34))</f>
        <v>77137.388997614675</v>
      </c>
      <c r="AC49" s="12">
        <f>'Corp.'!AC$50*(AC$37-(AC31-AC32-AC34)*$C$35)/(SUM('MDA1:NCA9'!AC$37)-SUM('MDA1:NCA9'!AC$31)-SUM('MDA1:NCA9'!AC$32)-SUM('MDA1:NCA9'!AC$34))</f>
        <v>82787.492935550952</v>
      </c>
      <c r="AD49" s="12">
        <f>'Corp.'!AD$50*(AD$37-(AD31-AD32-AD34)*$C$35)/(SUM('MDA1:NCA9'!AD$37)-SUM('MDA1:NCA9'!AD$31)-SUM('MDA1:NCA9'!AD$32)-SUM('MDA1:NCA9'!AD$34))</f>
        <v>81427.453549480764</v>
      </c>
      <c r="AE49" s="12">
        <f>'Corp.'!AE$50*(AE$37-(AE31-AE32-AE34)*$C$35)/(SUM('MDA1:NCA9'!AE$37)-SUM('MDA1:NCA9'!AE$31)-SUM('MDA1:NCA9'!AE$32)-SUM('MDA1:NCA9'!AE$34))</f>
        <v>80145.065142249689</v>
      </c>
      <c r="AF49" s="12">
        <f>'Corp.'!AF$50*(AF$37-(AF31-AF32-AF34)*$C$35)/(SUM('MDA1:NCA9'!AF$37)-SUM('MDA1:NCA9'!AF$31)-SUM('MDA1:NCA9'!AF$32)-SUM('MDA1:NCA9'!AF$34))</f>
        <v>78943.425161868086</v>
      </c>
      <c r="AG49" s="12">
        <f>'Corp.'!AG$50*(AG$37-(AG31-AG32-AG34)*$C$35)/(SUM('MDA1:NCA9'!AG$37)-SUM('MDA1:NCA9'!AG$31)-SUM('MDA1:NCA9'!AG$32)-SUM('MDA1:NCA9'!AG$34))</f>
        <v>77979.765799357177</v>
      </c>
      <c r="AH49" s="12">
        <f>'Corp.'!AH$50*(AH$37-(AH31-AH32-AH34)*$C$35)/(SUM('MDA1:NCA9'!AH$37)-SUM('MDA1:NCA9'!AH$31)-SUM('MDA1:NCA9'!AH$32)-SUM('MDA1:NCA9'!AH$34))</f>
        <v>76712.193944299695</v>
      </c>
      <c r="AI49" s="12">
        <f>'Corp.'!AI$50*(AI$37-(AI31-AI32-AI34)*$C$35)/(SUM('MDA1:NCA9'!AI$37)-SUM('MDA1:NCA9'!AI$31)-SUM('MDA1:NCA9'!AI$32)-SUM('MDA1:NCA9'!AI$34))</f>
        <v>75391.235786919249</v>
      </c>
      <c r="AJ49" s="12">
        <f>'Corp.'!AJ$50*(AJ$37-(AJ31-AJ32-AJ34)*$C$35)/(SUM('MDA1:NCA9'!AJ$37)-SUM('MDA1:NCA9'!AJ$31)-SUM('MDA1:NCA9'!AJ$32)-SUM('MDA1:NCA9'!AJ$34))</f>
        <v>74037.829400941715</v>
      </c>
      <c r="AK49" s="12">
        <f>'Corp.'!AK$50*(AK$37-(AK31-AK32-AK34)*$C$35)/(SUM('MDA1:NCA9'!AK$37)-SUM('MDA1:NCA9'!AK$31)-SUM('MDA1:NCA9'!AK$32)-SUM('MDA1:NCA9'!AK$34))</f>
        <v>72788.126846379178</v>
      </c>
      <c r="AL49" s="12">
        <f>'Corp.'!AL$50*(AL$37-(AL31-AL32-AL34)*$C$35)/(SUM('MDA1:NCA9'!AL$37)-SUM('MDA1:NCA9'!AL$31)-SUM('MDA1:NCA9'!AL$32)-SUM('MDA1:NCA9'!AL$34))</f>
        <v>71641.323887728504</v>
      </c>
      <c r="AM49" s="12">
        <f>'Corp.'!AM$50*(AM$37-(AM31-AM32-AM34)*$C$35)/(SUM('MDA1:NCA9'!AM$37)-SUM('MDA1:NCA9'!AM$31)-SUM('MDA1:NCA9'!AM$32)-SUM('MDA1:NCA9'!AM$34))</f>
        <v>70406.274276485157</v>
      </c>
      <c r="AN49" s="12">
        <f>'Corp.'!AN$50*(AN$37-(AN31-AN32-AN34)*$C$35)/(SUM('MDA1:NCA9'!AN$37)-SUM('MDA1:NCA9'!AN$31)-SUM('MDA1:NCA9'!AN$32)-SUM('MDA1:NCA9'!AN$34))</f>
        <v>69353.495383390065</v>
      </c>
    </row>
    <row r="50" spans="2:40" x14ac:dyDescent="0.25">
      <c r="B50" s="1" t="s">
        <v>272</v>
      </c>
      <c r="E50" s="13" cm="1">
        <f t="array" ref="E50:AN50">_xlfn.BYCOL(_xlfn.VSTACK(_xlfn.ANCHORARRAY(E40),_xlfn.ANCHORARRAY(E42),_xlfn.ANCHORARRAY(E43),_xlfn.ANCHORARRAY(E45),_xlfn.ANCHORARRAY(E46),_xlfn.ANCHORARRAY(E47),_xlfn.ANCHORARRAY(E48),_xlfn.HSTACK(E49:AN49)),_xlfn.LAMBDA(_xlpm.a,SUM(_xlpm.a)))</f>
        <v>149921.22951847565</v>
      </c>
      <c r="F50" s="13">
        <v>182698.06603178405</v>
      </c>
      <c r="G50" s="13">
        <v>211966.60158499074</v>
      </c>
      <c r="H50" s="13">
        <v>239620.42062810564</v>
      </c>
      <c r="I50" s="13">
        <v>268019.55193580646</v>
      </c>
      <c r="J50" s="13">
        <v>294296.90634664893</v>
      </c>
      <c r="K50" s="13">
        <v>318331.0732047481</v>
      </c>
      <c r="L50" s="13">
        <v>343689.68442332052</v>
      </c>
      <c r="M50" s="13">
        <v>367428.66101795813</v>
      </c>
      <c r="N50" s="13">
        <v>391216.04458658613</v>
      </c>
      <c r="O50" s="13">
        <v>413662.17022070615</v>
      </c>
      <c r="P50" s="13">
        <v>436166.79935252015</v>
      </c>
      <c r="Q50" s="13">
        <v>493853.47284502332</v>
      </c>
      <c r="R50" s="13">
        <v>490135.12054964231</v>
      </c>
      <c r="S50" s="13">
        <v>486125.58315345104</v>
      </c>
      <c r="T50" s="13">
        <v>482617.94637289399</v>
      </c>
      <c r="U50" s="13">
        <v>480363.5450954244</v>
      </c>
      <c r="V50" s="13">
        <v>478695.4267898543</v>
      </c>
      <c r="W50" s="13">
        <v>476146.24188529362</v>
      </c>
      <c r="X50" s="13">
        <v>473743.23981996439</v>
      </c>
      <c r="Y50" s="13">
        <v>472280.81639678514</v>
      </c>
      <c r="Z50" s="13">
        <v>470851.74166364945</v>
      </c>
      <c r="AA50" s="13">
        <v>469329.72009272355</v>
      </c>
      <c r="AB50" s="13">
        <v>467863.28870726534</v>
      </c>
      <c r="AC50" s="13">
        <v>508731.1490161668</v>
      </c>
      <c r="AD50" s="13">
        <v>507371.10963009659</v>
      </c>
      <c r="AE50" s="13">
        <v>506088.72122286551</v>
      </c>
      <c r="AF50" s="13">
        <v>504887.08124248392</v>
      </c>
      <c r="AG50" s="13">
        <v>503923.42187997303</v>
      </c>
      <c r="AH50" s="13">
        <v>502655.85002491553</v>
      </c>
      <c r="AI50" s="13">
        <v>501334.89186753507</v>
      </c>
      <c r="AJ50" s="13">
        <v>499981.48548155755</v>
      </c>
      <c r="AK50" s="13">
        <v>498731.78292699502</v>
      </c>
      <c r="AL50" s="13">
        <v>497584.97996834433</v>
      </c>
      <c r="AM50" s="13">
        <v>496349.93035710097</v>
      </c>
      <c r="AN50" s="13">
        <v>495297.15146400587</v>
      </c>
    </row>
    <row r="52" spans="2:40" x14ac:dyDescent="0.25">
      <c r="B52" s="1" t="s">
        <v>48</v>
      </c>
      <c r="E52" s="74">
        <f>E37-E50</f>
        <v>-34676.298291808969</v>
      </c>
      <c r="F52" s="74">
        <f t="shared" ref="F52:AN52" si="0">F37-F50</f>
        <v>-21231.725525117421</v>
      </c>
      <c r="G52" s="74">
        <f t="shared" si="0"/>
        <v>-4278.8517983240599</v>
      </c>
      <c r="H52" s="74">
        <f t="shared" si="0"/>
        <v>14288.738438560977</v>
      </c>
      <c r="I52" s="74">
        <f t="shared" si="0"/>
        <v>32111.016410860117</v>
      </c>
      <c r="J52" s="74">
        <f t="shared" si="0"/>
        <v>52055.07128001767</v>
      </c>
      <c r="K52" s="74">
        <f t="shared" si="0"/>
        <v>74242.313701918582</v>
      </c>
      <c r="L52" s="74">
        <f t="shared" si="0"/>
        <v>95105.111763346067</v>
      </c>
      <c r="M52" s="74">
        <f t="shared" si="0"/>
        <v>117587.54444870853</v>
      </c>
      <c r="N52" s="74">
        <f t="shared" si="0"/>
        <v>140021.5701600805</v>
      </c>
      <c r="O52" s="74">
        <f t="shared" si="0"/>
        <v>163796.85380596039</v>
      </c>
      <c r="P52" s="74">
        <f t="shared" si="0"/>
        <v>187513.63395414653</v>
      </c>
      <c r="Q52" s="74">
        <f t="shared" si="0"/>
        <v>196145.42501924321</v>
      </c>
      <c r="R52" s="74">
        <f t="shared" si="0"/>
        <v>199863.77731462423</v>
      </c>
      <c r="S52" s="74">
        <f t="shared" si="0"/>
        <v>203873.3147108155</v>
      </c>
      <c r="T52" s="74">
        <f t="shared" si="0"/>
        <v>207380.95149137254</v>
      </c>
      <c r="U52" s="74">
        <f t="shared" si="0"/>
        <v>209635.35276884213</v>
      </c>
      <c r="V52" s="74">
        <f t="shared" si="0"/>
        <v>211303.47107441223</v>
      </c>
      <c r="W52" s="74">
        <f t="shared" si="0"/>
        <v>213852.65597897291</v>
      </c>
      <c r="X52" s="74">
        <f t="shared" si="0"/>
        <v>216255.65804430214</v>
      </c>
      <c r="Y52" s="74">
        <f t="shared" si="0"/>
        <v>217718.08146748139</v>
      </c>
      <c r="Z52" s="74">
        <f t="shared" si="0"/>
        <v>219147.15620061709</v>
      </c>
      <c r="AA52" s="74">
        <f t="shared" si="0"/>
        <v>220669.17777154298</v>
      </c>
      <c r="AB52" s="74">
        <f t="shared" si="0"/>
        <v>222135.60915700119</v>
      </c>
      <c r="AC52" s="74">
        <f t="shared" si="0"/>
        <v>181267.74884809973</v>
      </c>
      <c r="AD52" s="74">
        <f t="shared" si="0"/>
        <v>182627.78823416994</v>
      </c>
      <c r="AE52" s="74">
        <f t="shared" si="0"/>
        <v>183910.17664140102</v>
      </c>
      <c r="AF52" s="74">
        <f t="shared" si="0"/>
        <v>185111.81662178261</v>
      </c>
      <c r="AG52" s="74">
        <f t="shared" si="0"/>
        <v>186075.4759842935</v>
      </c>
      <c r="AH52" s="74">
        <f t="shared" si="0"/>
        <v>187343.047839351</v>
      </c>
      <c r="AI52" s="74">
        <f t="shared" si="0"/>
        <v>188664.00599673146</v>
      </c>
      <c r="AJ52" s="74">
        <f t="shared" si="0"/>
        <v>190017.41238270898</v>
      </c>
      <c r="AK52" s="74">
        <f t="shared" si="0"/>
        <v>191267.11493727152</v>
      </c>
      <c r="AL52" s="74">
        <f t="shared" si="0"/>
        <v>192413.9178959222</v>
      </c>
      <c r="AM52" s="74">
        <f t="shared" si="0"/>
        <v>193648.96750716557</v>
      </c>
      <c r="AN52" s="74">
        <f t="shared" si="0"/>
        <v>194701.74640026066</v>
      </c>
    </row>
    <row r="53" spans="2:40" x14ac:dyDescent="0.25">
      <c r="E53" s="105">
        <f>IFERROR(E52/E37,"")</f>
        <v>-0.30089217740610852</v>
      </c>
      <c r="F53" s="105">
        <f t="shared" ref="F53:AN53" si="1">IFERROR(F52/F37,"")</f>
        <v>-0.13149319826345357</v>
      </c>
      <c r="G53" s="105">
        <f t="shared" si="1"/>
        <v>-2.0602331156841094E-2</v>
      </c>
      <c r="H53" s="105">
        <f t="shared" si="1"/>
        <v>5.6275002016801266E-2</v>
      </c>
      <c r="I53" s="105">
        <f t="shared" si="1"/>
        <v>0.10699015627681818</v>
      </c>
      <c r="J53" s="105">
        <f t="shared" si="1"/>
        <v>0.15029529104097658</v>
      </c>
      <c r="K53" s="105">
        <f t="shared" si="1"/>
        <v>0.18911703181644735</v>
      </c>
      <c r="L53" s="105">
        <f t="shared" si="1"/>
        <v>0.2167416582645334</v>
      </c>
      <c r="M53" s="105">
        <f t="shared" si="1"/>
        <v>0.2424404445116832</v>
      </c>
      <c r="N53" s="105">
        <f t="shared" si="1"/>
        <v>0.26357615928016154</v>
      </c>
      <c r="O53" s="105">
        <f t="shared" si="1"/>
        <v>0.28365104187617024</v>
      </c>
      <c r="P53" s="105">
        <f t="shared" si="1"/>
        <v>0.30065659260781263</v>
      </c>
      <c r="Q53" s="105">
        <f t="shared" si="1"/>
        <v>0.28426918597459566</v>
      </c>
      <c r="R53" s="105">
        <f t="shared" si="1"/>
        <v>0.28965811095243305</v>
      </c>
      <c r="S53" s="105">
        <f t="shared" si="1"/>
        <v>0.29546904399682178</v>
      </c>
      <c r="T53" s="105">
        <f t="shared" si="1"/>
        <v>0.3005525836827751</v>
      </c>
      <c r="U53" s="105">
        <f t="shared" si="1"/>
        <v>0.30381983712976979</v>
      </c>
      <c r="V53" s="105">
        <f t="shared" si="1"/>
        <v>0.30623740375304032</v>
      </c>
      <c r="W53" s="105">
        <f t="shared" si="1"/>
        <v>0.30993188053039622</v>
      </c>
      <c r="X53" s="105">
        <f t="shared" si="1"/>
        <v>0.31341449778205727</v>
      </c>
      <c r="Y53" s="105">
        <f t="shared" si="1"/>
        <v>0.31553395540395474</v>
      </c>
      <c r="Z53" s="105">
        <f t="shared" si="1"/>
        <v>0.31760508151380662</v>
      </c>
      <c r="AA53" s="105">
        <f t="shared" si="1"/>
        <v>0.31981091340083856</v>
      </c>
      <c r="AB53" s="105">
        <f t="shared" si="1"/>
        <v>0.32193617967299815</v>
      </c>
      <c r="AC53" s="105">
        <f t="shared" si="1"/>
        <v>0.26270730201044162</v>
      </c>
      <c r="AD53" s="105">
        <f t="shared" si="1"/>
        <v>0.26467837673285044</v>
      </c>
      <c r="AE53" s="105">
        <f t="shared" si="1"/>
        <v>0.26653691362501131</v>
      </c>
      <c r="AF53" s="105">
        <f t="shared" si="1"/>
        <v>0.26827842362466636</v>
      </c>
      <c r="AG53" s="105">
        <f t="shared" si="1"/>
        <v>0.26967503362722389</v>
      </c>
      <c r="AH53" s="105">
        <f t="shared" si="1"/>
        <v>0.27151209722106584</v>
      </c>
      <c r="AI53" s="105">
        <f t="shared" si="1"/>
        <v>0.27342653239113518</v>
      </c>
      <c r="AJ53" s="105">
        <f t="shared" si="1"/>
        <v>0.27538799405457653</v>
      </c>
      <c r="AK53" s="105">
        <f t="shared" si="1"/>
        <v>0.27719916007010309</v>
      </c>
      <c r="AL53" s="105">
        <f t="shared" si="1"/>
        <v>0.2788611959982768</v>
      </c>
      <c r="AM53" s="105">
        <f t="shared" si="1"/>
        <v>0.2806511258301449</v>
      </c>
      <c r="AN53" s="105">
        <f t="shared" si="1"/>
        <v>0.28217689477898483</v>
      </c>
    </row>
    <row r="55" spans="2:40" x14ac:dyDescent="0.25">
      <c r="B55" t="s">
        <v>57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1421000</v>
      </c>
      <c r="D55" s="12">
        <f>C55-SUM(_xlfn.ANCHORARRAY(E55))</f>
        <v>710500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236833.33333333334</v>
      </c>
      <c r="F55" s="12">
        <v>236833.33333333334</v>
      </c>
      <c r="G55" s="12">
        <v>236833.33333333334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</row>
    <row r="56" spans="2:40" x14ac:dyDescent="0.25">
      <c r="B56" t="s">
        <v>285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-80671.451858666667</v>
      </c>
      <c r="F56" s="90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-72690.712425333302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-71581.465989333345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-93521.205798666633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-99314.311557333291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-102796.34685199996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-109729.55824400003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-116662.7696359999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-38086.373859999992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-45019.585251999983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-51952.796643999987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-58886.008035999999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-65819.219427999982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-72752.430819999994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-79685.642211999992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-86618.853603999974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-93552.064996000001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276</v>
      </c>
      <c r="E58" s="13">
        <f>E37-E50-E55+E56</f>
        <v>-352181.08348380896</v>
      </c>
      <c r="F58" s="13">
        <f t="shared" ref="F58:AN58" si="2">F37-F50-F55+F56</f>
        <v>-330755.77128378407</v>
      </c>
      <c r="G58" s="13">
        <f t="shared" si="2"/>
        <v>-312693.65112099075</v>
      </c>
      <c r="H58" s="13">
        <f t="shared" si="2"/>
        <v>-79232.467360105657</v>
      </c>
      <c r="I58" s="13">
        <f t="shared" si="2"/>
        <v>-67203.295146473174</v>
      </c>
      <c r="J58" s="13">
        <f t="shared" si="2"/>
        <v>-50741.275571982289</v>
      </c>
      <c r="K58" s="13">
        <f t="shared" si="2"/>
        <v>-35487.244542081447</v>
      </c>
      <c r="L58" s="13">
        <f t="shared" si="2"/>
        <v>-21557.657872653828</v>
      </c>
      <c r="M58" s="13">
        <f t="shared" si="2"/>
        <v>79501.170588708541</v>
      </c>
      <c r="N58" s="13">
        <f t="shared" si="2"/>
        <v>95001.984908080514</v>
      </c>
      <c r="O58" s="13">
        <f t="shared" si="2"/>
        <v>111844.0571619604</v>
      </c>
      <c r="P58" s="13">
        <f t="shared" si="2"/>
        <v>128627.62591814653</v>
      </c>
      <c r="Q58" s="13">
        <f t="shared" si="2"/>
        <v>130326.20559124323</v>
      </c>
      <c r="R58" s="13">
        <f t="shared" si="2"/>
        <v>127111.34649462423</v>
      </c>
      <c r="S58" s="13">
        <f t="shared" si="2"/>
        <v>124187.6724988155</v>
      </c>
      <c r="T58" s="13">
        <f t="shared" si="2"/>
        <v>120762.09788737257</v>
      </c>
      <c r="U58" s="13">
        <f t="shared" si="2"/>
        <v>116083.28777284213</v>
      </c>
      <c r="V58" s="13">
        <f t="shared" si="2"/>
        <v>107803.63639477226</v>
      </c>
      <c r="W58" s="13">
        <f t="shared" si="2"/>
        <v>110352.82129933294</v>
      </c>
      <c r="X58" s="13">
        <f t="shared" si="2"/>
        <v>112755.82336466217</v>
      </c>
      <c r="Y58" s="13">
        <f t="shared" si="2"/>
        <v>114218.24678784142</v>
      </c>
      <c r="Z58" s="13">
        <f t="shared" si="2"/>
        <v>115647.32152097712</v>
      </c>
      <c r="AA58" s="13">
        <f t="shared" si="2"/>
        <v>117169.34309190301</v>
      </c>
      <c r="AB58" s="13">
        <f t="shared" si="2"/>
        <v>118635.77447736122</v>
      </c>
      <c r="AC58" s="13">
        <f t="shared" si="2"/>
        <v>77767.914168459756</v>
      </c>
      <c r="AD58" s="13">
        <f t="shared" si="2"/>
        <v>79127.953554529973</v>
      </c>
      <c r="AE58" s="13">
        <f t="shared" si="2"/>
        <v>80410.341961761049</v>
      </c>
      <c r="AF58" s="13">
        <f t="shared" si="2"/>
        <v>81611.981942142636</v>
      </c>
      <c r="AG58" s="13">
        <f t="shared" si="2"/>
        <v>82575.641304653531</v>
      </c>
      <c r="AH58" s="13">
        <f t="shared" si="2"/>
        <v>83843.213159711027</v>
      </c>
      <c r="AI58" s="13">
        <f t="shared" si="2"/>
        <v>85164.171317091488</v>
      </c>
      <c r="AJ58" s="13">
        <f t="shared" si="2"/>
        <v>86517.577703069008</v>
      </c>
      <c r="AK58" s="13">
        <f t="shared" si="2"/>
        <v>87767.280257631544</v>
      </c>
      <c r="AL58" s="13">
        <f t="shared" si="2"/>
        <v>88914.083216282233</v>
      </c>
      <c r="AM58" s="13">
        <f t="shared" si="2"/>
        <v>90149.132827525595</v>
      </c>
      <c r="AN58" s="13">
        <f t="shared" si="2"/>
        <v>91201.911720620687</v>
      </c>
    </row>
    <row r="59" spans="2:40" x14ac:dyDescent="0.25">
      <c r="B59" t="s">
        <v>277</v>
      </c>
      <c r="E59" s="12" cm="1">
        <f t="array" ref="E59:AN59">_xlfn.SCAN(-D55,E58:AN58,_xlfn.LAMBDA(_xlpm.capex,_xlpm.fcf,_xlpm.capex+_xlpm.fcf))</f>
        <v>-1062681.0834838089</v>
      </c>
      <c r="F59" s="12">
        <v>-1393436.8547675931</v>
      </c>
      <c r="G59" s="12">
        <v>-1706130.5058885838</v>
      </c>
      <c r="H59" s="12">
        <v>-1785362.9732486894</v>
      </c>
      <c r="I59" s="12">
        <v>-1852566.2683951627</v>
      </c>
      <c r="J59" s="12">
        <v>-1903307.543967145</v>
      </c>
      <c r="K59" s="12">
        <v>-1938794.7885092264</v>
      </c>
      <c r="L59" s="12">
        <v>-1960352.4463818802</v>
      </c>
      <c r="M59" s="12">
        <v>-1880851.2757931717</v>
      </c>
      <c r="N59" s="12">
        <v>-1785849.2908850913</v>
      </c>
      <c r="O59" s="12">
        <v>-1674005.233723131</v>
      </c>
      <c r="P59" s="12">
        <v>-1545377.6078049846</v>
      </c>
      <c r="Q59" s="12">
        <v>-1415051.4022137413</v>
      </c>
      <c r="R59" s="12">
        <v>-1287940.0557191172</v>
      </c>
      <c r="S59" s="12">
        <v>-1163752.3832203017</v>
      </c>
      <c r="T59" s="12">
        <v>-1042990.2853329291</v>
      </c>
      <c r="U59" s="12">
        <v>-926906.99756008701</v>
      </c>
      <c r="V59" s="12">
        <v>-819103.3611653148</v>
      </c>
      <c r="W59" s="12">
        <v>-708750.5398659819</v>
      </c>
      <c r="X59" s="12">
        <v>-595994.71650131978</v>
      </c>
      <c r="Y59" s="12">
        <v>-481776.46971347835</v>
      </c>
      <c r="Z59" s="12">
        <v>-366129.14819250122</v>
      </c>
      <c r="AA59" s="12">
        <v>-248959.8051005982</v>
      </c>
      <c r="AB59" s="12">
        <v>-130324.03062323698</v>
      </c>
      <c r="AC59" s="12">
        <v>-52556.11645477722</v>
      </c>
      <c r="AD59" s="12">
        <v>26571.837099752753</v>
      </c>
      <c r="AE59" s="12">
        <v>106982.1790615138</v>
      </c>
      <c r="AF59" s="12">
        <v>188594.16100365645</v>
      </c>
      <c r="AG59" s="12">
        <v>271169.80230831</v>
      </c>
      <c r="AH59" s="12">
        <v>355013.01546802104</v>
      </c>
      <c r="AI59" s="12">
        <v>440177.18678511254</v>
      </c>
      <c r="AJ59" s="12">
        <v>526694.76448818156</v>
      </c>
      <c r="AK59" s="12">
        <v>614462.04474581312</v>
      </c>
      <c r="AL59" s="12">
        <v>703376.12796209531</v>
      </c>
      <c r="AM59" s="12">
        <v>793525.26078962092</v>
      </c>
      <c r="AN59" s="12">
        <v>884727.17251024162</v>
      </c>
    </row>
    <row r="61" spans="2:40" x14ac:dyDescent="0.25">
      <c r="B61" s="1" t="s">
        <v>302</v>
      </c>
    </row>
    <row r="63" spans="2:40" x14ac:dyDescent="0.25">
      <c r="B63" s="39" t="s">
        <v>103</v>
      </c>
      <c r="E63" s="12" cm="1">
        <f t="array" ref="E63:AN63">_xlfn.LET(_xlpm.site,$B$1&amp;"-"&amp;$C$1,_xlpm.locations,Base!$D$4:$BD$4,_xlpm.rates,Base!$D$36:$BD$36,_xlpm.hours,Base!$D$79:$BD$79,_xlpm.comp,_xlpm.rates*_xlpm.hours,_xlpm.Customer,_xlfn.ANCHORARRAY($E$1),
_xlpm.Customer_comp,_xlfn.XLOOKUP(_xlpm.site,_xlpm.locations,_xlpm.comp,0,0),_xlpm.ann_incr,_xlfn.XLOOKUP(YEAR(_xlfn.ANCHORARRAY($E$25)),Base!$BJ$4:$BL$4,Base!$BJ$79:$BL$79,0,0),
_xlpm.bad_debt,_xlfn.XLOOKUP(_xlpm.site,_xlpm.locations,Base!$D$28:$BD$28,0,0),_xlpm.Customer_comp*_xlpm.Customer*_xlpm.bad_debt*_xlpm.ann_incr*(52/12)*(1-$C$35))</f>
        <v>5775.6526757529582</v>
      </c>
      <c r="F63" s="12">
        <v>8663.4790136294396</v>
      </c>
      <c r="G63" s="12">
        <v>11551.305351505916</v>
      </c>
      <c r="H63" s="12">
        <v>14439.131689382399</v>
      </c>
      <c r="I63" s="12">
        <v>17326.958027258879</v>
      </c>
      <c r="J63" s="12">
        <v>20214.784365135358</v>
      </c>
      <c r="K63" s="12">
        <v>23102.610703011833</v>
      </c>
      <c r="L63" s="12">
        <v>25990.437040888315</v>
      </c>
      <c r="M63" s="12">
        <v>28878.263378764797</v>
      </c>
      <c r="N63" s="12">
        <v>31766.089716641272</v>
      </c>
      <c r="O63" s="12">
        <v>34653.916054517758</v>
      </c>
      <c r="P63" s="12">
        <v>37541.742392394233</v>
      </c>
      <c r="Q63" s="12">
        <v>41642.455792178836</v>
      </c>
      <c r="R63" s="12">
        <v>41642.455792178836</v>
      </c>
      <c r="S63" s="12">
        <v>41642.455792178836</v>
      </c>
      <c r="T63" s="12">
        <v>41642.455792178836</v>
      </c>
      <c r="U63" s="12">
        <v>41642.455792178836</v>
      </c>
      <c r="V63" s="12">
        <v>41642.455792178836</v>
      </c>
      <c r="W63" s="12">
        <v>41642.455792178836</v>
      </c>
      <c r="X63" s="12">
        <v>41642.455792178836</v>
      </c>
      <c r="Y63" s="12">
        <v>41642.455792178836</v>
      </c>
      <c r="Z63" s="12">
        <v>41642.455792178836</v>
      </c>
      <c r="AA63" s="12">
        <v>41642.455792178836</v>
      </c>
      <c r="AB63" s="12">
        <v>41642.455792178836</v>
      </c>
      <c r="AC63" s="12">
        <v>41642.455792178836</v>
      </c>
      <c r="AD63" s="12">
        <v>41642.455792178836</v>
      </c>
      <c r="AE63" s="12">
        <v>41642.455792178836</v>
      </c>
      <c r="AF63" s="12">
        <v>41642.455792178836</v>
      </c>
      <c r="AG63" s="12">
        <v>41642.455792178836</v>
      </c>
      <c r="AH63" s="12">
        <v>41642.455792178836</v>
      </c>
      <c r="AI63" s="12">
        <v>41642.455792178836</v>
      </c>
      <c r="AJ63" s="12">
        <v>41642.455792178836</v>
      </c>
      <c r="AK63" s="12">
        <v>41642.455792178836</v>
      </c>
      <c r="AL63" s="12">
        <v>41642.455792178836</v>
      </c>
      <c r="AM63" s="12">
        <v>41642.455792178836</v>
      </c>
      <c r="AN63" s="12">
        <v>41642.455792178836</v>
      </c>
    </row>
    <row r="64" spans="2:40" x14ac:dyDescent="0.25">
      <c r="B64" s="39" t="s">
        <v>104</v>
      </c>
      <c r="E64" s="12" cm="1">
        <f t="array" ref="E64:AN64">_xlfn.LET(_xlpm.site,$B$1&amp;"-"&amp;$C$1,_xlpm.locations,Base!$D$4:$BD$4,_xlpm.rates,Base!$D$37:$BD$37,_xlpm.hours,Base!$D$80:$BD$80,_xlpm.comp,_xlpm.rates*_xlpm.hours,_xlpm.Customer,_xlfn.ANCHORARRAY($E$1),
_xlpm.Customer_comp,_xlfn.XLOOKUP(_xlpm.site,_xlpm.locations,_xlpm.comp,0,0),_xlpm.ann_incr,_xlfn.XLOOKUP(YEAR(_xlfn.ANCHORARRAY($E$25)),Base!$BJ$4:$BL$4,Base!$BJ$80:$BL$80,0,0),
_xlpm.bad_debt,_xlfn.XLOOKUP(_xlpm.site,_xlpm.locations,Base!$D$28:$BD$28,0,0),_xlpm.Customer_comp*_xlpm.Customer*_xlpm.bad_debt*_xlpm.ann_incr*(52/12)*(1-$C$35))</f>
        <v>771.74254789632016</v>
      </c>
      <c r="F64" s="12">
        <v>1157.6138218444801</v>
      </c>
      <c r="G64" s="12">
        <v>1543.4850957926403</v>
      </c>
      <c r="H64" s="12">
        <v>1929.3563697408006</v>
      </c>
      <c r="I64" s="12">
        <v>2315.2276436889601</v>
      </c>
      <c r="J64" s="12">
        <v>2701.0989176371204</v>
      </c>
      <c r="K64" s="12">
        <v>3086.9701915852806</v>
      </c>
      <c r="L64" s="12">
        <v>3472.8414655334409</v>
      </c>
      <c r="M64" s="12">
        <v>3858.7127394816011</v>
      </c>
      <c r="N64" s="12">
        <v>4244.5840134297614</v>
      </c>
      <c r="O64" s="12">
        <v>4630.4552873779203</v>
      </c>
      <c r="P64" s="12">
        <v>5016.326561326081</v>
      </c>
      <c r="Q64" s="12">
        <v>5564.2637703324681</v>
      </c>
      <c r="R64" s="12">
        <v>5564.2637703324681</v>
      </c>
      <c r="S64" s="12">
        <v>5564.2637703324681</v>
      </c>
      <c r="T64" s="12">
        <v>5564.2637703324681</v>
      </c>
      <c r="U64" s="12">
        <v>5564.2637703324681</v>
      </c>
      <c r="V64" s="12">
        <v>5564.2637703324681</v>
      </c>
      <c r="W64" s="12">
        <v>5564.2637703324681</v>
      </c>
      <c r="X64" s="12">
        <v>5564.2637703324681</v>
      </c>
      <c r="Y64" s="12">
        <v>5564.2637703324681</v>
      </c>
      <c r="Z64" s="12">
        <v>5564.2637703324681</v>
      </c>
      <c r="AA64" s="12">
        <v>5564.2637703324681</v>
      </c>
      <c r="AB64" s="12">
        <v>5564.2637703324681</v>
      </c>
      <c r="AC64" s="12">
        <v>5564.2637703324681</v>
      </c>
      <c r="AD64" s="12">
        <v>5564.2637703324681</v>
      </c>
      <c r="AE64" s="12">
        <v>5564.2637703324681</v>
      </c>
      <c r="AF64" s="12">
        <v>5564.2637703324681</v>
      </c>
      <c r="AG64" s="12">
        <v>5564.2637703324681</v>
      </c>
      <c r="AH64" s="12">
        <v>5564.2637703324681</v>
      </c>
      <c r="AI64" s="12">
        <v>5564.2637703324681</v>
      </c>
      <c r="AJ64" s="12">
        <v>5564.2637703324681</v>
      </c>
      <c r="AK64" s="12">
        <v>5564.2637703324681</v>
      </c>
      <c r="AL64" s="12">
        <v>5564.2637703324681</v>
      </c>
      <c r="AM64" s="12">
        <v>5564.2637703324681</v>
      </c>
      <c r="AN64" s="12">
        <v>5564.2637703324681</v>
      </c>
    </row>
    <row r="65" spans="2:40" x14ac:dyDescent="0.25">
      <c r="B65" s="39" t="s">
        <v>56</v>
      </c>
      <c r="E65" s="12" cm="1">
        <f t="array" ref="E65:AN65">_xlfn.LET(_xlpm.site,$B$1&amp;"-"&amp;$C$1,_xlpm.locations,Base!$D$4:$BD$4,_xlpm.rates,Base!$D$39:$BD$39,_xlpm.hours,Base!$D$82:$BD$82,_xlpm.comp,_xlpm.rates*_xlpm.hours,_xlpm.Customer,_xlfn.ANCHORARRAY($E$1),
_xlpm.Customer_comp,_xlfn.XLOOKUP(_xlpm.site,_xlpm.locations,_xlpm.comp,0,0),_xlpm.ann_incr,_xlfn.XLOOKUP(YEAR(_xlfn.ANCHORARRAY($E$25)),Base!$BJ$4:$BL$4,Base!$BJ$82:$BL$82,0,0),
_xlpm.bad_debt,_xlfn.XLOOKUP(_xlpm.site,_xlpm.locations,Base!$D$28:$BD$28,0,0),_xlpm.Customer_comp*_xlpm.Customer*_xlpm.bad_debt*_xlpm.ann_incr*(52/12)*(1-$C$35))</f>
        <v>4693.4992911206391</v>
      </c>
      <c r="F65" s="12">
        <v>7040.2489366809596</v>
      </c>
      <c r="G65" s="12">
        <v>9386.9985822412782</v>
      </c>
      <c r="H65" s="12">
        <v>11733.7482278016</v>
      </c>
      <c r="I65" s="12">
        <v>14080.497873361919</v>
      </c>
      <c r="J65" s="12">
        <v>16427.247518922235</v>
      </c>
      <c r="K65" s="12">
        <v>18773.997164482556</v>
      </c>
      <c r="L65" s="12">
        <v>21120.746810042881</v>
      </c>
      <c r="M65" s="12">
        <v>23467.496455603199</v>
      </c>
      <c r="N65" s="12">
        <v>25814.246101163513</v>
      </c>
      <c r="O65" s="12">
        <v>28160.995746723838</v>
      </c>
      <c r="P65" s="12">
        <v>30507.74539228416</v>
      </c>
      <c r="Q65" s="12">
        <v>33840.129888979805</v>
      </c>
      <c r="R65" s="12">
        <v>33840.129888979805</v>
      </c>
      <c r="S65" s="12">
        <v>33840.129888979805</v>
      </c>
      <c r="T65" s="12">
        <v>33840.129888979805</v>
      </c>
      <c r="U65" s="12">
        <v>33840.129888979805</v>
      </c>
      <c r="V65" s="12">
        <v>33840.129888979805</v>
      </c>
      <c r="W65" s="12">
        <v>33840.129888979805</v>
      </c>
      <c r="X65" s="12">
        <v>33840.129888979805</v>
      </c>
      <c r="Y65" s="12">
        <v>33840.129888979805</v>
      </c>
      <c r="Z65" s="12">
        <v>33840.129888979805</v>
      </c>
      <c r="AA65" s="12">
        <v>33840.129888979805</v>
      </c>
      <c r="AB65" s="12">
        <v>33840.129888979805</v>
      </c>
      <c r="AC65" s="12">
        <v>33840.129888979805</v>
      </c>
      <c r="AD65" s="12">
        <v>33840.129888979805</v>
      </c>
      <c r="AE65" s="12">
        <v>33840.129888979805</v>
      </c>
      <c r="AF65" s="12">
        <v>33840.129888979805</v>
      </c>
      <c r="AG65" s="12">
        <v>33840.129888979805</v>
      </c>
      <c r="AH65" s="12">
        <v>33840.129888979805</v>
      </c>
      <c r="AI65" s="12">
        <v>33840.129888979805</v>
      </c>
      <c r="AJ65" s="12">
        <v>33840.129888979805</v>
      </c>
      <c r="AK65" s="12">
        <v>33840.129888979805</v>
      </c>
      <c r="AL65" s="12">
        <v>33840.129888979805</v>
      </c>
      <c r="AM65" s="12">
        <v>33840.129888979805</v>
      </c>
      <c r="AN65" s="12">
        <v>33840.129888979805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303</v>
      </c>
      <c r="C67" s="12"/>
      <c r="E67" s="13" cm="1">
        <f t="array" ref="E67:AN67">_xlfn.BYCOL(_xlfn.VSTACK(_xlfn.ANCHORARRAY($E$63),_xlfn.ANCHORARRAY($E$64),_xlfn.ANCHORARRAY($E$65)),_xlfn.LAMBDA(_xlpm.a,SUM(_xlpm.a)))</f>
        <v>11240.894514769918</v>
      </c>
      <c r="F67" s="13">
        <v>16861.341772154879</v>
      </c>
      <c r="G67" s="13">
        <v>22481.789029539836</v>
      </c>
      <c r="H67" s="13">
        <v>28102.236286924799</v>
      </c>
      <c r="I67" s="13">
        <v>33722.683544309759</v>
      </c>
      <c r="J67" s="13">
        <v>39343.130801694715</v>
      </c>
      <c r="K67" s="13">
        <v>44963.578059079671</v>
      </c>
      <c r="L67" s="13">
        <v>50584.025316464642</v>
      </c>
      <c r="M67" s="13">
        <v>56204.472573849598</v>
      </c>
      <c r="N67" s="13">
        <v>61824.919831234554</v>
      </c>
      <c r="O67" s="13">
        <v>67445.367088619518</v>
      </c>
      <c r="P67" s="13">
        <v>73065.814346004481</v>
      </c>
      <c r="Q67" s="13">
        <v>81046.849451491114</v>
      </c>
      <c r="R67" s="13">
        <v>81046.849451491114</v>
      </c>
      <c r="S67" s="13">
        <v>81046.849451491114</v>
      </c>
      <c r="T67" s="13">
        <v>81046.849451491114</v>
      </c>
      <c r="U67" s="13">
        <v>81046.849451491114</v>
      </c>
      <c r="V67" s="13">
        <v>81046.849451491114</v>
      </c>
      <c r="W67" s="13">
        <v>81046.849451491114</v>
      </c>
      <c r="X67" s="13">
        <v>81046.849451491114</v>
      </c>
      <c r="Y67" s="13">
        <v>81046.849451491114</v>
      </c>
      <c r="Z67" s="13">
        <v>81046.849451491114</v>
      </c>
      <c r="AA67" s="13">
        <v>81046.849451491114</v>
      </c>
      <c r="AB67" s="13">
        <v>81046.849451491114</v>
      </c>
      <c r="AC67" s="13">
        <v>81046.849451491114</v>
      </c>
      <c r="AD67" s="13">
        <v>81046.849451491114</v>
      </c>
      <c r="AE67" s="13">
        <v>81046.849451491114</v>
      </c>
      <c r="AF67" s="13">
        <v>81046.849451491114</v>
      </c>
      <c r="AG67" s="13">
        <v>81046.849451491114</v>
      </c>
      <c r="AH67" s="13">
        <v>81046.849451491114</v>
      </c>
      <c r="AI67" s="13">
        <v>81046.849451491114</v>
      </c>
      <c r="AJ67" s="13">
        <v>81046.849451491114</v>
      </c>
      <c r="AK67" s="13">
        <v>81046.849451491114</v>
      </c>
      <c r="AL67" s="13">
        <v>81046.849451491114</v>
      </c>
      <c r="AM67" s="13">
        <v>81046.849451491114</v>
      </c>
      <c r="AN67" s="13">
        <v>81046.849451491114</v>
      </c>
    </row>
    <row r="68" spans="2:40" x14ac:dyDescent="0.25">
      <c r="B68" s="39"/>
      <c r="C68" s="12"/>
    </row>
    <row r="69" spans="2:40" x14ac:dyDescent="0.25">
      <c r="B69" s="39" t="s">
        <v>304</v>
      </c>
      <c r="C69" s="12"/>
      <c r="E69" s="106" cm="1">
        <f t="array" ref="E69:AN70">_xlfn.LET(_xlpm.Customer_staff,_xlfn._xlws.FILTER(Base!$D$96:$BD$97,ISNUMBER(SEARCH($B$1&amp;"-"&amp;$C$1,Base!$D$4:$BD$4))),_xlpm.Customer,_xlfn.ANCHORARRAY($E$1),_xlpm.headcount,_xlpm.Customer/_xlpm.Customer_staff,
_xlpm.rounding,_xlfn.VSTACK(0,0),IFERROR(ROUND(_xlpm.headcount,_xlpm.rounding),0))</f>
        <v>0</v>
      </c>
      <c r="F69" s="106">
        <v>0</v>
      </c>
      <c r="G69" s="106">
        <v>0</v>
      </c>
      <c r="H69" s="106">
        <v>0</v>
      </c>
      <c r="I69" s="106">
        <v>0</v>
      </c>
      <c r="J69" s="106">
        <v>1</v>
      </c>
      <c r="K69" s="106">
        <v>1</v>
      </c>
      <c r="L69" s="106">
        <v>1</v>
      </c>
      <c r="M69" s="106">
        <v>1</v>
      </c>
      <c r="N69" s="106">
        <v>1</v>
      </c>
      <c r="O69" s="106">
        <v>1</v>
      </c>
      <c r="P69" s="106">
        <v>1</v>
      </c>
      <c r="Q69" s="106">
        <v>1</v>
      </c>
      <c r="R69" s="106">
        <v>1</v>
      </c>
      <c r="S69" s="106">
        <v>1</v>
      </c>
      <c r="T69" s="106">
        <v>1</v>
      </c>
      <c r="U69" s="106">
        <v>1</v>
      </c>
      <c r="V69" s="106">
        <v>1</v>
      </c>
      <c r="W69" s="106">
        <v>1</v>
      </c>
      <c r="X69" s="106">
        <v>1</v>
      </c>
      <c r="Y69" s="106">
        <v>1</v>
      </c>
      <c r="Z69" s="106">
        <v>1</v>
      </c>
      <c r="AA69" s="106">
        <v>1</v>
      </c>
      <c r="AB69" s="106">
        <v>1</v>
      </c>
      <c r="AC69" s="106">
        <v>1</v>
      </c>
      <c r="AD69" s="106">
        <v>1</v>
      </c>
      <c r="AE69" s="106">
        <v>1</v>
      </c>
      <c r="AF69" s="106">
        <v>1</v>
      </c>
      <c r="AG69" s="106">
        <v>1</v>
      </c>
      <c r="AH69" s="106">
        <v>1</v>
      </c>
      <c r="AI69" s="106">
        <v>1</v>
      </c>
      <c r="AJ69" s="106">
        <v>1</v>
      </c>
      <c r="AK69" s="106">
        <v>1</v>
      </c>
      <c r="AL69" s="106">
        <v>1</v>
      </c>
      <c r="AM69" s="106">
        <v>1</v>
      </c>
      <c r="AN69" s="106">
        <v>1</v>
      </c>
    </row>
    <row r="70" spans="2:40" x14ac:dyDescent="0.25">
      <c r="B70" s="39" t="s">
        <v>305</v>
      </c>
      <c r="C70" s="12"/>
      <c r="E70" s="106">
        <v>0</v>
      </c>
      <c r="F70" s="106">
        <v>0</v>
      </c>
      <c r="G70" s="106">
        <v>0</v>
      </c>
      <c r="H70" s="106">
        <v>0</v>
      </c>
      <c r="I70" s="106">
        <v>0</v>
      </c>
      <c r="J70" s="106">
        <v>0</v>
      </c>
      <c r="K70" s="106">
        <v>1</v>
      </c>
      <c r="L70" s="106">
        <v>1</v>
      </c>
      <c r="M70" s="106">
        <v>1</v>
      </c>
      <c r="N70" s="106">
        <v>1</v>
      </c>
      <c r="O70" s="106">
        <v>1</v>
      </c>
      <c r="P70" s="106">
        <v>1</v>
      </c>
      <c r="Q70" s="106">
        <v>1</v>
      </c>
      <c r="R70" s="106">
        <v>1</v>
      </c>
      <c r="S70" s="106">
        <v>1</v>
      </c>
      <c r="T70" s="106">
        <v>1</v>
      </c>
      <c r="U70" s="106">
        <v>1</v>
      </c>
      <c r="V70" s="106">
        <v>1</v>
      </c>
      <c r="W70" s="106">
        <v>1</v>
      </c>
      <c r="X70" s="106">
        <v>1</v>
      </c>
      <c r="Y70" s="106">
        <v>1</v>
      </c>
      <c r="Z70" s="106">
        <v>1</v>
      </c>
      <c r="AA70" s="106">
        <v>1</v>
      </c>
      <c r="AB70" s="106">
        <v>1</v>
      </c>
      <c r="AC70" s="106">
        <v>1</v>
      </c>
      <c r="AD70" s="106">
        <v>1</v>
      </c>
      <c r="AE70" s="106">
        <v>1</v>
      </c>
      <c r="AF70" s="106">
        <v>1</v>
      </c>
      <c r="AG70" s="106">
        <v>1</v>
      </c>
      <c r="AH70" s="106">
        <v>1</v>
      </c>
      <c r="AI70" s="106">
        <v>1</v>
      </c>
      <c r="AJ70" s="106">
        <v>1</v>
      </c>
      <c r="AK70" s="106">
        <v>1</v>
      </c>
      <c r="AL70" s="106">
        <v>1</v>
      </c>
      <c r="AM70" s="106">
        <v>1</v>
      </c>
      <c r="AN70" s="106">
        <v>1</v>
      </c>
    </row>
    <row r="71" spans="2:40" x14ac:dyDescent="0.25">
      <c r="B71" s="39"/>
      <c r="C71" s="12"/>
    </row>
    <row r="72" spans="2:40" x14ac:dyDescent="0.25">
      <c r="B72" s="39" t="s">
        <v>23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1258.7123813399171</v>
      </c>
      <c r="F72" s="12">
        <v>1888.0685720098741</v>
      </c>
      <c r="G72" s="12">
        <v>2517.4247626798342</v>
      </c>
      <c r="H72" s="12">
        <v>3146.7809533497898</v>
      </c>
      <c r="I72" s="12">
        <v>3776.1371440197481</v>
      </c>
      <c r="J72" s="12">
        <v>18209.493334689705</v>
      </c>
      <c r="K72" s="12">
        <v>32642.849525359663</v>
      </c>
      <c r="L72" s="12">
        <v>33272.205716029617</v>
      </c>
      <c r="M72" s="12">
        <v>33901.561906699579</v>
      </c>
      <c r="N72" s="12">
        <v>34530.91809736954</v>
      </c>
      <c r="O72" s="12">
        <v>35160.274288039494</v>
      </c>
      <c r="P72" s="12">
        <v>35789.630478709449</v>
      </c>
      <c r="Q72" s="12">
        <v>40060.885336317362</v>
      </c>
      <c r="R72" s="12">
        <v>40060.885336317362</v>
      </c>
      <c r="S72" s="12">
        <v>40060.885336317362</v>
      </c>
      <c r="T72" s="12">
        <v>40060.885336317362</v>
      </c>
      <c r="U72" s="12">
        <v>40060.885336317362</v>
      </c>
      <c r="V72" s="12">
        <v>40060.885336317362</v>
      </c>
      <c r="W72" s="12">
        <v>40060.885336317362</v>
      </c>
      <c r="X72" s="12">
        <v>40060.885336317362</v>
      </c>
      <c r="Y72" s="12">
        <v>40060.885336317362</v>
      </c>
      <c r="Z72" s="12">
        <v>40060.885336317362</v>
      </c>
      <c r="AA72" s="12">
        <v>40060.885336317362</v>
      </c>
      <c r="AB72" s="12">
        <v>40060.885336317362</v>
      </c>
      <c r="AC72" s="12">
        <v>44066.973869949092</v>
      </c>
      <c r="AD72" s="12">
        <v>44066.973869949092</v>
      </c>
      <c r="AE72" s="12">
        <v>44066.973869949092</v>
      </c>
      <c r="AF72" s="12">
        <v>44066.973869949092</v>
      </c>
      <c r="AG72" s="12">
        <v>44066.973869949092</v>
      </c>
      <c r="AH72" s="12">
        <v>44066.973869949092</v>
      </c>
      <c r="AI72" s="12">
        <v>44066.973869949092</v>
      </c>
      <c r="AJ72" s="12">
        <v>44066.973869949092</v>
      </c>
      <c r="AK72" s="12">
        <v>44066.973869949092</v>
      </c>
      <c r="AL72" s="12">
        <v>44066.973869949092</v>
      </c>
      <c r="AM72" s="12">
        <v>44066.973869949092</v>
      </c>
      <c r="AN72" s="12">
        <v>44066.973869949092</v>
      </c>
    </row>
    <row r="73" spans="2:40" x14ac:dyDescent="0.25">
      <c r="B73" s="39" t="s">
        <v>24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306</v>
      </c>
      <c r="E75" s="74" cm="1">
        <f t="array" ref="E75:AN75">_xlfn.ANCHORARRAY(E67)-_xlfn.ANCHORARRAY(E72)-_xlfn.ANCHORARRAY(E73)</f>
        <v>9982.1821334300002</v>
      </c>
      <c r="F75" s="74">
        <v>14973.273200145006</v>
      </c>
      <c r="G75" s="74">
        <v>19964.36426686</v>
      </c>
      <c r="H75" s="74">
        <v>24955.45533357501</v>
      </c>
      <c r="I75" s="74">
        <v>29946.546400290012</v>
      </c>
      <c r="J75" s="74">
        <v>21133.63746700501</v>
      </c>
      <c r="K75" s="74">
        <v>12320.728533720008</v>
      </c>
      <c r="L75" s="74">
        <v>17311.819600435025</v>
      </c>
      <c r="M75" s="74">
        <v>22302.910667150019</v>
      </c>
      <c r="N75" s="74">
        <v>27294.001733865014</v>
      </c>
      <c r="O75" s="74">
        <v>32285.092800580023</v>
      </c>
      <c r="P75" s="74">
        <v>37276.183867295033</v>
      </c>
      <c r="Q75" s="74">
        <v>40985.964115173752</v>
      </c>
      <c r="R75" s="74">
        <v>40985.964115173752</v>
      </c>
      <c r="S75" s="74">
        <v>40985.964115173752</v>
      </c>
      <c r="T75" s="74">
        <v>40985.964115173752</v>
      </c>
      <c r="U75" s="74">
        <v>40985.964115173752</v>
      </c>
      <c r="V75" s="74">
        <v>40985.964115173752</v>
      </c>
      <c r="W75" s="74">
        <v>40985.964115173752</v>
      </c>
      <c r="X75" s="74">
        <v>40985.964115173752</v>
      </c>
      <c r="Y75" s="74">
        <v>40985.964115173752</v>
      </c>
      <c r="Z75" s="74">
        <v>40985.964115173752</v>
      </c>
      <c r="AA75" s="74">
        <v>40985.964115173752</v>
      </c>
      <c r="AB75" s="74">
        <v>40985.964115173752</v>
      </c>
      <c r="AC75" s="74">
        <v>36979.875581542023</v>
      </c>
      <c r="AD75" s="74">
        <v>36979.875581542023</v>
      </c>
      <c r="AE75" s="74">
        <v>36979.875581542023</v>
      </c>
      <c r="AF75" s="74">
        <v>36979.875581542023</v>
      </c>
      <c r="AG75" s="74">
        <v>36979.875581542023</v>
      </c>
      <c r="AH75" s="74">
        <v>36979.875581542023</v>
      </c>
      <c r="AI75" s="74">
        <v>36979.875581542023</v>
      </c>
      <c r="AJ75" s="74">
        <v>36979.875581542023</v>
      </c>
      <c r="AK75" s="74">
        <v>36979.875581542023</v>
      </c>
      <c r="AL75" s="74">
        <v>36979.875581542023</v>
      </c>
      <c r="AM75" s="74">
        <v>36979.875581542023</v>
      </c>
      <c r="AN75" s="74">
        <v>36979.875581542023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4236A9-86A6-470B-A67A-BDFC9D037082}">
  <dimension ref="A1:AX75"/>
  <sheetViews>
    <sheetView workbookViewId="0">
      <pane xSplit="4" ySplit="25" topLeftCell="E26" activePane="bottomRight" state="frozen"/>
      <selection activeCell="E63" sqref="E63:E65"/>
      <selection pane="topRight" activeCell="E63" sqref="E63:E65"/>
      <selection pane="bottomLeft" activeCell="E63" sqref="E63:E65"/>
      <selection pane="bottomRight" activeCell="E63" sqref="E63:E65"/>
    </sheetView>
  </sheetViews>
  <sheetFormatPr defaultRowHeight="15" outlineLevelRow="1" x14ac:dyDescent="0.25"/>
  <cols>
    <col min="2" max="2" width="24.5703125" bestFit="1" customWidth="1"/>
    <col min="3" max="4" width="11.5703125" bestFit="1" customWidth="1"/>
    <col min="5" max="13" width="12.28515625" bestFit="1" customWidth="1"/>
    <col min="14" max="18" width="11.5703125" bestFit="1" customWidth="1"/>
    <col min="19" max="40" width="12.5703125" bestFit="1" customWidth="1"/>
  </cols>
  <sheetData>
    <row r="1" spans="1:40" x14ac:dyDescent="0.25">
      <c r="A1" s="96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>2026</v>
      </c>
      <c r="B1" s="10" t="s">
        <v>423</v>
      </c>
      <c r="C1" s="16" t="s">
        <v>61</v>
      </c>
      <c r="D1" s="3" t="s">
        <v>307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IFERROR(_xlpm.kiddos,0))</f>
        <v>0</v>
      </c>
      <c r="F1" s="69">
        <v>0</v>
      </c>
      <c r="G1" s="69">
        <v>3</v>
      </c>
      <c r="H1" s="69">
        <v>6</v>
      </c>
      <c r="I1" s="69">
        <v>9</v>
      </c>
      <c r="J1" s="69">
        <v>12</v>
      </c>
      <c r="K1" s="69">
        <v>15</v>
      </c>
      <c r="L1" s="69">
        <v>18</v>
      </c>
      <c r="M1" s="69">
        <v>21</v>
      </c>
      <c r="N1" s="69">
        <v>24</v>
      </c>
      <c r="O1" s="69">
        <v>27</v>
      </c>
      <c r="P1" s="69">
        <v>30</v>
      </c>
      <c r="Q1" s="69">
        <v>33</v>
      </c>
      <c r="R1" s="69">
        <v>36</v>
      </c>
      <c r="S1" s="69">
        <v>39</v>
      </c>
      <c r="T1" s="69">
        <v>42</v>
      </c>
      <c r="U1" s="69">
        <v>42</v>
      </c>
      <c r="V1" s="69">
        <v>42</v>
      </c>
      <c r="W1" s="69">
        <v>42</v>
      </c>
      <c r="X1" s="69">
        <v>42</v>
      </c>
      <c r="Y1" s="69">
        <v>42</v>
      </c>
      <c r="Z1" s="69">
        <v>42</v>
      </c>
      <c r="AA1" s="69">
        <v>42</v>
      </c>
      <c r="AB1" s="69">
        <v>42</v>
      </c>
      <c r="AC1" s="69">
        <v>42</v>
      </c>
      <c r="AD1" s="69">
        <v>42</v>
      </c>
      <c r="AE1" s="69">
        <v>42</v>
      </c>
      <c r="AF1" s="69">
        <v>42</v>
      </c>
      <c r="AG1" s="69">
        <v>42</v>
      </c>
      <c r="AH1" s="69">
        <v>42</v>
      </c>
      <c r="AI1" s="69">
        <v>42</v>
      </c>
      <c r="AJ1" s="69">
        <v>42</v>
      </c>
      <c r="AK1" s="69">
        <v>42</v>
      </c>
      <c r="AL1" s="69">
        <v>42</v>
      </c>
      <c r="AM1" s="69">
        <v>42</v>
      </c>
      <c r="AN1" s="69">
        <v>42</v>
      </c>
    </row>
    <row r="2" spans="1:40" x14ac:dyDescent="0.25">
      <c r="A2" s="65"/>
      <c r="B2" s="3" t="str">
        <f>_xlfn.XLOOKUP($B$1&amp;"-"&amp;$C$1,Base!$D$4:$BD$4,Base!$D$2:$BD$2,"",0)</f>
        <v>New Jersey</v>
      </c>
      <c r="C2" s="55"/>
      <c r="D2" s="55" t="s">
        <v>259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0</v>
      </c>
      <c r="F2" s="69">
        <v>0</v>
      </c>
      <c r="G2" s="69">
        <v>0</v>
      </c>
      <c r="H2" s="69">
        <v>3.1666666666666665</v>
      </c>
      <c r="I2" s="69">
        <v>3.3333333333333335</v>
      </c>
      <c r="J2" s="69">
        <v>3.5</v>
      </c>
      <c r="K2" s="69">
        <v>3.6666666666666665</v>
      </c>
      <c r="L2" s="69">
        <v>3.8333333333333335</v>
      </c>
      <c r="M2" s="69">
        <v>4</v>
      </c>
      <c r="N2" s="69">
        <v>4.166666666666667</v>
      </c>
      <c r="O2" s="69">
        <v>4.333333333333333</v>
      </c>
      <c r="P2" s="69">
        <v>4.5</v>
      </c>
      <c r="Q2" s="69">
        <v>4.666666666666667</v>
      </c>
      <c r="R2" s="69">
        <v>4.833333333333333</v>
      </c>
      <c r="S2" s="69">
        <v>5</v>
      </c>
      <c r="T2" s="69">
        <v>2.1666666666666665</v>
      </c>
      <c r="U2" s="69">
        <v>2.3333333333333335</v>
      </c>
      <c r="V2" s="69">
        <v>2.5</v>
      </c>
      <c r="W2" s="69">
        <v>2.6666666666666665</v>
      </c>
      <c r="X2" s="69">
        <v>2.8333333333333335</v>
      </c>
      <c r="Y2" s="69">
        <v>3</v>
      </c>
      <c r="Z2" s="69">
        <v>3.1666666666666665</v>
      </c>
      <c r="AA2" s="69">
        <v>3.3333333333333335</v>
      </c>
      <c r="AB2" s="69">
        <v>3.5</v>
      </c>
      <c r="AC2" s="69">
        <v>3.6666666666666665</v>
      </c>
      <c r="AD2" s="69">
        <v>3.8333333333333335</v>
      </c>
      <c r="AE2" s="69">
        <v>4</v>
      </c>
      <c r="AF2" s="69">
        <v>4</v>
      </c>
      <c r="AG2" s="69">
        <v>4</v>
      </c>
      <c r="AH2" s="69">
        <v>4</v>
      </c>
      <c r="AI2" s="69">
        <v>4</v>
      </c>
      <c r="AJ2" s="69">
        <v>4</v>
      </c>
      <c r="AK2" s="69">
        <v>4</v>
      </c>
      <c r="AL2" s="69">
        <v>4</v>
      </c>
      <c r="AM2" s="69">
        <v>4</v>
      </c>
      <c r="AN2" s="69">
        <v>4</v>
      </c>
    </row>
    <row r="3" spans="1:40" x14ac:dyDescent="0.25">
      <c r="A3" s="65"/>
      <c r="B3" s="55"/>
      <c r="C3" s="55"/>
      <c r="D3" s="55" t="s">
        <v>62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_xlpm.months_since,DATEDIF(_xlpm.launchdate,_xlfn.ANCHORARRAY($E$25),"m"),_xlfn.BYCOL(_xlpm.months_since,_xlfn.LAMBDA(_xlpm.a,IFERROR(MIN(_xlpm.a/6,_xlpm.max_kiddos),0))))</f>
        <v>0</v>
      </c>
      <c r="F3" s="69">
        <v>0</v>
      </c>
      <c r="G3" s="69">
        <v>0</v>
      </c>
      <c r="H3" s="69">
        <v>0.16666666666666666</v>
      </c>
      <c r="I3" s="69">
        <v>0.33333333333333331</v>
      </c>
      <c r="J3" s="69">
        <v>0.5</v>
      </c>
      <c r="K3" s="69">
        <v>0.66666666666666663</v>
      </c>
      <c r="L3" s="69">
        <v>0.83333333333333337</v>
      </c>
      <c r="M3" s="69">
        <v>1</v>
      </c>
      <c r="N3" s="69">
        <v>1.1666666666666667</v>
      </c>
      <c r="O3" s="69">
        <v>1.3333333333333333</v>
      </c>
      <c r="P3" s="69">
        <v>1.5</v>
      </c>
      <c r="Q3" s="69">
        <v>1.6666666666666667</v>
      </c>
      <c r="R3" s="69">
        <v>1.8333333333333333</v>
      </c>
      <c r="S3" s="69">
        <v>2</v>
      </c>
      <c r="T3" s="69">
        <v>2.1666666666666665</v>
      </c>
      <c r="U3" s="69">
        <v>2.3333333333333335</v>
      </c>
      <c r="V3" s="69">
        <v>2.5</v>
      </c>
      <c r="W3" s="69">
        <v>2.6666666666666665</v>
      </c>
      <c r="X3" s="69">
        <v>2.8333333333333335</v>
      </c>
      <c r="Y3" s="69">
        <v>3</v>
      </c>
      <c r="Z3" s="69">
        <v>3.1666666666666665</v>
      </c>
      <c r="AA3" s="69">
        <v>3.3333333333333335</v>
      </c>
      <c r="AB3" s="69">
        <v>3.5</v>
      </c>
      <c r="AC3" s="69">
        <v>3.6666666666666665</v>
      </c>
      <c r="AD3" s="69">
        <v>3.8333333333333335</v>
      </c>
      <c r="AE3" s="69">
        <v>4</v>
      </c>
      <c r="AF3" s="69">
        <v>4</v>
      </c>
      <c r="AG3" s="69">
        <v>4</v>
      </c>
      <c r="AH3" s="69">
        <v>4</v>
      </c>
      <c r="AI3" s="69">
        <v>4</v>
      </c>
      <c r="AJ3" s="69">
        <v>4</v>
      </c>
      <c r="AK3" s="69">
        <v>4</v>
      </c>
      <c r="AL3" s="69">
        <v>4</v>
      </c>
      <c r="AM3" s="69">
        <v>4</v>
      </c>
      <c r="AN3" s="69">
        <v>4</v>
      </c>
    </row>
    <row r="4" spans="1:40" x14ac:dyDescent="0.25">
      <c r="A4" s="65"/>
      <c r="B4" s="55"/>
      <c r="C4" s="55"/>
      <c r="D4" s="55" t="s">
        <v>260</v>
      </c>
      <c r="E4" s="69" cm="1">
        <f t="array" ref="E4:AN4">_xlfn.BYCOL(_xlfn.VSTACK(_xlfn.ANCHORARRAY($E$1),_xlfn.ANCHORARRAY($E$2)),_xlfn.LAMBDA(_xlpm.a,SUM(_xlpm.a)))</f>
        <v>0</v>
      </c>
      <c r="F4" s="69">
        <v>0</v>
      </c>
      <c r="G4" s="69">
        <v>3</v>
      </c>
      <c r="H4" s="69">
        <v>9.1666666666666661</v>
      </c>
      <c r="I4" s="69">
        <v>12.333333333333334</v>
      </c>
      <c r="J4" s="69">
        <v>15.5</v>
      </c>
      <c r="K4" s="69">
        <v>18.666666666666668</v>
      </c>
      <c r="L4" s="69">
        <v>21.833333333333332</v>
      </c>
      <c r="M4" s="69">
        <v>25</v>
      </c>
      <c r="N4" s="69">
        <v>28.166666666666668</v>
      </c>
      <c r="O4" s="69">
        <v>31.333333333333332</v>
      </c>
      <c r="P4" s="69">
        <v>34.5</v>
      </c>
      <c r="Q4" s="69">
        <v>37.666666666666664</v>
      </c>
      <c r="R4" s="69">
        <v>40.833333333333336</v>
      </c>
      <c r="S4" s="69">
        <v>44</v>
      </c>
      <c r="T4" s="69">
        <v>44.166666666666664</v>
      </c>
      <c r="U4" s="69">
        <v>44.333333333333336</v>
      </c>
      <c r="V4" s="69">
        <v>44.5</v>
      </c>
      <c r="W4" s="69">
        <v>44.666666666666664</v>
      </c>
      <c r="X4" s="69">
        <v>44.833333333333336</v>
      </c>
      <c r="Y4" s="69">
        <v>45</v>
      </c>
      <c r="Z4" s="69">
        <v>45.166666666666664</v>
      </c>
      <c r="AA4" s="69">
        <v>45.333333333333336</v>
      </c>
      <c r="AB4" s="69">
        <v>45.5</v>
      </c>
      <c r="AC4" s="69">
        <v>45.666666666666664</v>
      </c>
      <c r="AD4" s="69">
        <v>45.833333333333336</v>
      </c>
      <c r="AE4" s="69">
        <v>46</v>
      </c>
      <c r="AF4" s="69">
        <v>46</v>
      </c>
      <c r="AG4" s="69">
        <v>46</v>
      </c>
      <c r="AH4" s="69">
        <v>46</v>
      </c>
      <c r="AI4" s="69">
        <v>46</v>
      </c>
      <c r="AJ4" s="69">
        <v>46</v>
      </c>
      <c r="AK4" s="69">
        <v>46</v>
      </c>
      <c r="AL4" s="69">
        <v>46</v>
      </c>
      <c r="AM4" s="69">
        <v>46</v>
      </c>
      <c r="AN4" s="69">
        <v>46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107</v>
      </c>
      <c r="C6" s="3"/>
      <c r="D6" s="3"/>
      <c r="E6" s="66" cm="1">
        <f t="array" ref="E6:AN6">ROUND(_xlfn.BYCOL(_xlfn.ANCHORARRAY(E7),_xlfn.LAMBDA(_xlpm.a,SUM(_xlpm.a))),0)</f>
        <v>0</v>
      </c>
      <c r="F6" s="66">
        <v>0</v>
      </c>
      <c r="G6" s="66">
        <v>6</v>
      </c>
      <c r="H6" s="66">
        <v>11</v>
      </c>
      <c r="I6" s="66">
        <v>15</v>
      </c>
      <c r="J6" s="66">
        <v>18</v>
      </c>
      <c r="K6" s="66">
        <v>22</v>
      </c>
      <c r="L6" s="66">
        <v>26</v>
      </c>
      <c r="M6" s="66">
        <v>29</v>
      </c>
      <c r="N6" s="66">
        <v>33</v>
      </c>
      <c r="O6" s="66">
        <v>37</v>
      </c>
      <c r="P6" s="66">
        <v>40</v>
      </c>
      <c r="Q6" s="66">
        <v>44</v>
      </c>
      <c r="R6" s="66">
        <v>47</v>
      </c>
      <c r="S6" s="66">
        <v>51</v>
      </c>
      <c r="T6" s="66">
        <v>54</v>
      </c>
      <c r="U6" s="66">
        <v>54</v>
      </c>
      <c r="V6" s="66">
        <v>54</v>
      </c>
      <c r="W6" s="66">
        <v>54</v>
      </c>
      <c r="X6" s="66">
        <v>54</v>
      </c>
      <c r="Y6" s="66">
        <v>54</v>
      </c>
      <c r="Z6" s="66">
        <v>54</v>
      </c>
      <c r="AA6" s="66">
        <v>54</v>
      </c>
      <c r="AB6" s="66">
        <v>54</v>
      </c>
      <c r="AC6" s="66">
        <v>54</v>
      </c>
      <c r="AD6" s="66">
        <v>54</v>
      </c>
      <c r="AE6" s="66">
        <v>54</v>
      </c>
      <c r="AF6" s="66">
        <v>54</v>
      </c>
      <c r="AG6" s="66">
        <v>54</v>
      </c>
      <c r="AH6" s="66">
        <v>54</v>
      </c>
      <c r="AI6" s="66">
        <v>54</v>
      </c>
      <c r="AJ6" s="66">
        <v>54</v>
      </c>
      <c r="AK6" s="66">
        <v>54</v>
      </c>
      <c r="AL6" s="66">
        <v>54</v>
      </c>
      <c r="AM6" s="66">
        <v>54</v>
      </c>
      <c r="AN6" s="66">
        <v>54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1"/>
      <c r="E7" s="106" cm="1">
        <f t="array" ref="E7:AN20">_xlfn.LET(_xlpm.Customer_staff,_xlfn._xlws.FILTER(Base!$D$85:$BD$98,ISNUMBER(SEARCH($B$1&amp;"-"&amp;$C$1,Base!$D$4:$BD$4))),_xlpm.Customer,_xlfn.ANCHORARRAY($E$1),_xlpm.headcount,_xlpm.Customer/_xlpm.Customer_staff,
_xlpm.patient_staff,_xlfn.ANCHORARRAY($E$2)/_xlpm.Customer_staff,_xlpm.prim_staff_tr_rec,_xlfn.ANCHORARRAY($E$2)/_xlfn.CHOOSEROWS(_xlpm.Customer_staff,{7,8})+(_xlfn.ANCHORARRAY($E$1)*0.0055),_xlpm.rounding,_xlfn.VSTACK(2,2,0,0,2,2,2,2,2,2,2,0,0,0),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prim_staff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0</v>
      </c>
      <c r="F7" s="106">
        <v>0</v>
      </c>
      <c r="G7" s="106">
        <v>2.8299999999999996</v>
      </c>
      <c r="H7" s="106">
        <v>5.6499999999999995</v>
      </c>
      <c r="I7" s="106">
        <v>8.48</v>
      </c>
      <c r="J7" s="106">
        <v>11.299999999999999</v>
      </c>
      <c r="K7" s="106">
        <v>14.12</v>
      </c>
      <c r="L7" s="106">
        <v>16.950000000000003</v>
      </c>
      <c r="M7" s="106">
        <v>19.770000000000003</v>
      </c>
      <c r="N7" s="106">
        <v>22.59</v>
      </c>
      <c r="O7" s="106">
        <v>25.42</v>
      </c>
      <c r="P7" s="106">
        <v>28.240000000000002</v>
      </c>
      <c r="Q7" s="106">
        <v>31.060000000000002</v>
      </c>
      <c r="R7" s="106">
        <v>33.89</v>
      </c>
      <c r="S7" s="106">
        <v>36.71</v>
      </c>
      <c r="T7" s="106">
        <v>39.53</v>
      </c>
      <c r="U7" s="106">
        <v>39.53</v>
      </c>
      <c r="V7" s="106">
        <v>39.53</v>
      </c>
      <c r="W7" s="106">
        <v>39.53</v>
      </c>
      <c r="X7" s="106">
        <v>39.53</v>
      </c>
      <c r="Y7" s="106">
        <v>39.53</v>
      </c>
      <c r="Z7" s="106">
        <v>39.53</v>
      </c>
      <c r="AA7" s="106">
        <v>39.53</v>
      </c>
      <c r="AB7" s="106">
        <v>39.53</v>
      </c>
      <c r="AC7" s="106">
        <v>39.53</v>
      </c>
      <c r="AD7" s="106">
        <v>39.53</v>
      </c>
      <c r="AE7" s="106">
        <v>39.53</v>
      </c>
      <c r="AF7" s="106">
        <v>39.53</v>
      </c>
      <c r="AG7" s="106">
        <v>39.53</v>
      </c>
      <c r="AH7" s="106">
        <v>39.53</v>
      </c>
      <c r="AI7" s="106">
        <v>39.53</v>
      </c>
      <c r="AJ7" s="106">
        <v>39.53</v>
      </c>
      <c r="AK7" s="106">
        <v>39.53</v>
      </c>
      <c r="AL7" s="106">
        <v>39.53</v>
      </c>
      <c r="AM7" s="106">
        <v>39.53</v>
      </c>
      <c r="AN7" s="106">
        <v>39.53</v>
      </c>
    </row>
    <row r="8" spans="1:40" hidden="1" outlineLevel="1" x14ac:dyDescent="0.25">
      <c r="B8" s="39" t="str">
        <v>Secondary Direct Staff</v>
      </c>
      <c r="C8" s="3"/>
      <c r="D8" s="3"/>
      <c r="E8" s="106">
        <v>0</v>
      </c>
      <c r="F8" s="106">
        <v>0</v>
      </c>
      <c r="G8" s="106">
        <v>0.43</v>
      </c>
      <c r="H8" s="106">
        <v>0.86</v>
      </c>
      <c r="I8" s="106">
        <v>1.29</v>
      </c>
      <c r="J8" s="106">
        <v>1.72</v>
      </c>
      <c r="K8" s="106">
        <v>2.15</v>
      </c>
      <c r="L8" s="106">
        <v>2.5799999999999996</v>
      </c>
      <c r="M8" s="106">
        <v>3</v>
      </c>
      <c r="N8" s="106">
        <v>3.4299999999999997</v>
      </c>
      <c r="O8" s="106">
        <v>3.86</v>
      </c>
      <c r="P8" s="106">
        <v>4.29</v>
      </c>
      <c r="Q8" s="106">
        <v>4.72</v>
      </c>
      <c r="R8" s="106">
        <v>5.1499999999999995</v>
      </c>
      <c r="S8" s="106">
        <v>5.58</v>
      </c>
      <c r="T8" s="106">
        <v>6</v>
      </c>
      <c r="U8" s="106">
        <v>6</v>
      </c>
      <c r="V8" s="106">
        <v>6</v>
      </c>
      <c r="W8" s="106">
        <v>6</v>
      </c>
      <c r="X8" s="106">
        <v>6</v>
      </c>
      <c r="Y8" s="106">
        <v>6</v>
      </c>
      <c r="Z8" s="106">
        <v>6</v>
      </c>
      <c r="AA8" s="106">
        <v>6</v>
      </c>
      <c r="AB8" s="106">
        <v>6</v>
      </c>
      <c r="AC8" s="106">
        <v>6</v>
      </c>
      <c r="AD8" s="106">
        <v>6</v>
      </c>
      <c r="AE8" s="106">
        <v>6</v>
      </c>
      <c r="AF8" s="106">
        <v>6</v>
      </c>
      <c r="AG8" s="106">
        <v>6</v>
      </c>
      <c r="AH8" s="106">
        <v>6</v>
      </c>
      <c r="AI8" s="106">
        <v>6</v>
      </c>
      <c r="AJ8" s="106">
        <v>6</v>
      </c>
      <c r="AK8" s="106">
        <v>6</v>
      </c>
      <c r="AL8" s="106">
        <v>6</v>
      </c>
      <c r="AM8" s="106">
        <v>6</v>
      </c>
      <c r="AN8" s="106">
        <v>6</v>
      </c>
    </row>
    <row r="9" spans="1:40" hidden="1" outlineLevel="1" x14ac:dyDescent="0.25">
      <c r="B9" s="39" t="str">
        <v>Center Manager</v>
      </c>
      <c r="C9" s="3"/>
      <c r="D9" s="3"/>
      <c r="E9" s="106">
        <v>0</v>
      </c>
      <c r="F9" s="106">
        <v>0</v>
      </c>
      <c r="G9" s="106">
        <v>1</v>
      </c>
      <c r="H9" s="106">
        <v>1</v>
      </c>
      <c r="I9" s="106">
        <v>1</v>
      </c>
      <c r="J9" s="106">
        <v>1</v>
      </c>
      <c r="K9" s="106">
        <v>1</v>
      </c>
      <c r="L9" s="106">
        <v>1</v>
      </c>
      <c r="M9" s="106">
        <v>1</v>
      </c>
      <c r="N9" s="106">
        <v>1</v>
      </c>
      <c r="O9" s="106">
        <v>1</v>
      </c>
      <c r="P9" s="106">
        <v>1</v>
      </c>
      <c r="Q9" s="106">
        <v>1</v>
      </c>
      <c r="R9" s="106">
        <v>1</v>
      </c>
      <c r="S9" s="106">
        <v>1</v>
      </c>
      <c r="T9" s="106">
        <v>1</v>
      </c>
      <c r="U9" s="106">
        <v>1</v>
      </c>
      <c r="V9" s="106">
        <v>1</v>
      </c>
      <c r="W9" s="106">
        <v>1</v>
      </c>
      <c r="X9" s="106">
        <v>1</v>
      </c>
      <c r="Y9" s="106">
        <v>1</v>
      </c>
      <c r="Z9" s="106">
        <v>1</v>
      </c>
      <c r="AA9" s="106">
        <v>1</v>
      </c>
      <c r="AB9" s="106">
        <v>1</v>
      </c>
      <c r="AC9" s="106">
        <v>1</v>
      </c>
      <c r="AD9" s="106">
        <v>1</v>
      </c>
      <c r="AE9" s="106">
        <v>1</v>
      </c>
      <c r="AF9" s="106">
        <v>1</v>
      </c>
      <c r="AG9" s="106">
        <v>1</v>
      </c>
      <c r="AH9" s="106">
        <v>1</v>
      </c>
      <c r="AI9" s="106">
        <v>1</v>
      </c>
      <c r="AJ9" s="106">
        <v>1</v>
      </c>
      <c r="AK9" s="106">
        <v>1</v>
      </c>
      <c r="AL9" s="106">
        <v>1</v>
      </c>
      <c r="AM9" s="106">
        <v>1</v>
      </c>
      <c r="AN9" s="106">
        <v>1</v>
      </c>
    </row>
    <row r="10" spans="1:40" hidden="1" outlineLevel="1" x14ac:dyDescent="0.25">
      <c r="B10" s="39" t="str">
        <v>Intake</v>
      </c>
      <c r="C10" s="3"/>
      <c r="D10" s="3"/>
      <c r="E10" s="106">
        <v>0</v>
      </c>
      <c r="F10" s="106">
        <v>0</v>
      </c>
      <c r="G10" s="106">
        <v>0</v>
      </c>
      <c r="H10" s="106">
        <v>1</v>
      </c>
      <c r="I10" s="106">
        <v>1</v>
      </c>
      <c r="J10" s="106">
        <v>1</v>
      </c>
      <c r="K10" s="106">
        <v>1</v>
      </c>
      <c r="L10" s="106">
        <v>1</v>
      </c>
      <c r="M10" s="106">
        <v>1</v>
      </c>
      <c r="N10" s="106">
        <v>1</v>
      </c>
      <c r="O10" s="106">
        <v>1</v>
      </c>
      <c r="P10" s="106">
        <v>1</v>
      </c>
      <c r="Q10" s="106">
        <v>1</v>
      </c>
      <c r="R10" s="106">
        <v>1</v>
      </c>
      <c r="S10" s="106">
        <v>1</v>
      </c>
      <c r="T10" s="106">
        <v>1</v>
      </c>
      <c r="U10" s="106">
        <v>1</v>
      </c>
      <c r="V10" s="106">
        <v>1</v>
      </c>
      <c r="W10" s="106">
        <v>1</v>
      </c>
      <c r="X10" s="106">
        <v>1</v>
      </c>
      <c r="Y10" s="106">
        <v>1</v>
      </c>
      <c r="Z10" s="106">
        <v>1</v>
      </c>
      <c r="AA10" s="106">
        <v>1</v>
      </c>
      <c r="AB10" s="106">
        <v>1</v>
      </c>
      <c r="AC10" s="106">
        <v>1</v>
      </c>
      <c r="AD10" s="106">
        <v>1</v>
      </c>
      <c r="AE10" s="106">
        <v>1</v>
      </c>
      <c r="AF10" s="106">
        <v>1</v>
      </c>
      <c r="AG10" s="106">
        <v>1</v>
      </c>
      <c r="AH10" s="106">
        <v>1</v>
      </c>
      <c r="AI10" s="106">
        <v>1</v>
      </c>
      <c r="AJ10" s="106">
        <v>1</v>
      </c>
      <c r="AK10" s="106">
        <v>1</v>
      </c>
      <c r="AL10" s="106">
        <v>1</v>
      </c>
      <c r="AM10" s="106">
        <v>1</v>
      </c>
      <c r="AN10" s="106">
        <v>1</v>
      </c>
    </row>
    <row r="11" spans="1:40" hidden="1" outlineLevel="1" x14ac:dyDescent="0.25">
      <c r="B11" s="39" t="str">
        <v>Scheduler</v>
      </c>
      <c r="C11" s="3"/>
      <c r="D11" s="3"/>
      <c r="E11" s="106">
        <v>0</v>
      </c>
      <c r="F11" s="106">
        <v>0</v>
      </c>
      <c r="G11" s="106">
        <v>0</v>
      </c>
      <c r="H11" s="106">
        <v>0</v>
      </c>
      <c r="I11" s="106">
        <v>0</v>
      </c>
      <c r="J11" s="106">
        <v>0</v>
      </c>
      <c r="K11" s="106">
        <v>0</v>
      </c>
      <c r="L11" s="106">
        <v>0</v>
      </c>
      <c r="M11" s="106">
        <v>0</v>
      </c>
      <c r="N11" s="106">
        <v>0</v>
      </c>
      <c r="O11" s="106">
        <v>0</v>
      </c>
      <c r="P11" s="106">
        <v>0</v>
      </c>
      <c r="Q11" s="106">
        <v>0</v>
      </c>
      <c r="R11" s="106">
        <v>0</v>
      </c>
      <c r="S11" s="106">
        <v>0</v>
      </c>
      <c r="T11" s="106">
        <v>0</v>
      </c>
      <c r="U11" s="106">
        <v>0</v>
      </c>
      <c r="V11" s="106">
        <v>0</v>
      </c>
      <c r="W11" s="106">
        <v>0</v>
      </c>
      <c r="X11" s="106">
        <v>0</v>
      </c>
      <c r="Y11" s="106">
        <v>0</v>
      </c>
      <c r="Z11" s="106">
        <v>0</v>
      </c>
      <c r="AA11" s="106">
        <v>0</v>
      </c>
      <c r="AB11" s="106">
        <v>0</v>
      </c>
      <c r="AC11" s="106">
        <v>0</v>
      </c>
      <c r="AD11" s="106">
        <v>0</v>
      </c>
      <c r="AE11" s="106">
        <v>0</v>
      </c>
      <c r="AF11" s="106">
        <v>0</v>
      </c>
      <c r="AG11" s="106">
        <v>0</v>
      </c>
      <c r="AH11" s="106">
        <v>0</v>
      </c>
      <c r="AI11" s="106">
        <v>0</v>
      </c>
      <c r="AJ11" s="106">
        <v>0</v>
      </c>
      <c r="AK11" s="106">
        <v>0</v>
      </c>
      <c r="AL11" s="106">
        <v>0</v>
      </c>
      <c r="AM11" s="106">
        <v>0</v>
      </c>
      <c r="AN11" s="106">
        <v>0</v>
      </c>
    </row>
    <row r="12" spans="1:40" hidden="1" outlineLevel="1" x14ac:dyDescent="0.25">
      <c r="B12" s="39" t="str">
        <v>Initial Consultation Expert</v>
      </c>
      <c r="C12" s="3"/>
      <c r="D12" s="3"/>
      <c r="E12" s="106">
        <v>0</v>
      </c>
      <c r="F12" s="106">
        <v>0</v>
      </c>
      <c r="G12" s="106">
        <v>0</v>
      </c>
      <c r="H12" s="106">
        <v>0.25</v>
      </c>
      <c r="I12" s="106">
        <v>0.26</v>
      </c>
      <c r="J12" s="106">
        <v>0.27</v>
      </c>
      <c r="K12" s="106">
        <v>0.29000000000000004</v>
      </c>
      <c r="L12" s="106">
        <v>0.3</v>
      </c>
      <c r="M12" s="106">
        <v>0.31</v>
      </c>
      <c r="N12" s="106">
        <v>0.33</v>
      </c>
      <c r="O12" s="106">
        <v>0.34</v>
      </c>
      <c r="P12" s="106">
        <v>0.35000000000000003</v>
      </c>
      <c r="Q12" s="106">
        <v>0.36</v>
      </c>
      <c r="R12" s="106">
        <v>0.38</v>
      </c>
      <c r="S12" s="106">
        <v>0.39</v>
      </c>
      <c r="T12" s="106">
        <v>0.17</v>
      </c>
      <c r="U12" s="106">
        <v>0.18000000000000002</v>
      </c>
      <c r="V12" s="106">
        <v>0.2</v>
      </c>
      <c r="W12" s="106">
        <v>0.21000000000000002</v>
      </c>
      <c r="X12" s="106">
        <v>0.22</v>
      </c>
      <c r="Y12" s="106">
        <v>0.24000000000000002</v>
      </c>
      <c r="Z12" s="106">
        <v>0.25</v>
      </c>
      <c r="AA12" s="106">
        <v>0.26</v>
      </c>
      <c r="AB12" s="106">
        <v>0.27</v>
      </c>
      <c r="AC12" s="106">
        <v>0.29000000000000004</v>
      </c>
      <c r="AD12" s="106">
        <v>0.3</v>
      </c>
      <c r="AE12" s="106">
        <v>0.31</v>
      </c>
      <c r="AF12" s="106">
        <v>0.31</v>
      </c>
      <c r="AG12" s="106">
        <v>0.31</v>
      </c>
      <c r="AH12" s="106">
        <v>0.31</v>
      </c>
      <c r="AI12" s="106">
        <v>0.31</v>
      </c>
      <c r="AJ12" s="106">
        <v>0.31</v>
      </c>
      <c r="AK12" s="106">
        <v>0.31</v>
      </c>
      <c r="AL12" s="106">
        <v>0.31</v>
      </c>
      <c r="AM12" s="106">
        <v>0.31</v>
      </c>
      <c r="AN12" s="106">
        <v>0.31</v>
      </c>
    </row>
    <row r="13" spans="1:40" hidden="1" outlineLevel="1" x14ac:dyDescent="0.25">
      <c r="B13" s="39" t="str">
        <v>Trainer</v>
      </c>
      <c r="C13" s="3"/>
      <c r="D13" s="3"/>
      <c r="E13" s="106">
        <v>0</v>
      </c>
      <c r="F13" s="106">
        <v>0</v>
      </c>
      <c r="G13" s="106">
        <v>0.02</v>
      </c>
      <c r="H13" s="106">
        <v>0.35000000000000003</v>
      </c>
      <c r="I13" s="106">
        <v>0.39</v>
      </c>
      <c r="J13" s="106">
        <v>0.42</v>
      </c>
      <c r="K13" s="106">
        <v>0.45</v>
      </c>
      <c r="L13" s="106">
        <v>0.49</v>
      </c>
      <c r="M13" s="106">
        <v>0.52</v>
      </c>
      <c r="N13" s="106">
        <v>0.55000000000000004</v>
      </c>
      <c r="O13" s="106">
        <v>0.59</v>
      </c>
      <c r="P13" s="106">
        <v>0.62</v>
      </c>
      <c r="Q13" s="106">
        <v>0.65</v>
      </c>
      <c r="R13" s="106">
        <v>0.69000000000000006</v>
      </c>
      <c r="S13" s="106">
        <v>0.72</v>
      </c>
      <c r="T13" s="106">
        <v>0.45</v>
      </c>
      <c r="U13" s="106">
        <v>0.47000000000000003</v>
      </c>
      <c r="V13" s="106">
        <v>0.49</v>
      </c>
      <c r="W13" s="106">
        <v>0.5</v>
      </c>
      <c r="X13" s="106">
        <v>0.52</v>
      </c>
      <c r="Y13" s="106">
        <v>0.54</v>
      </c>
      <c r="Z13" s="106">
        <v>0.55000000000000004</v>
      </c>
      <c r="AA13" s="106">
        <v>0.57000000000000006</v>
      </c>
      <c r="AB13" s="106">
        <v>0.59</v>
      </c>
      <c r="AC13" s="106">
        <v>0.6</v>
      </c>
      <c r="AD13" s="106">
        <v>0.62</v>
      </c>
      <c r="AE13" s="106">
        <v>0.64</v>
      </c>
      <c r="AF13" s="106">
        <v>0.64</v>
      </c>
      <c r="AG13" s="106">
        <v>0.64</v>
      </c>
      <c r="AH13" s="106">
        <v>0.64</v>
      </c>
      <c r="AI13" s="106">
        <v>0.64</v>
      </c>
      <c r="AJ13" s="106">
        <v>0.64</v>
      </c>
      <c r="AK13" s="106">
        <v>0.64</v>
      </c>
      <c r="AL13" s="106">
        <v>0.64</v>
      </c>
      <c r="AM13" s="106">
        <v>0.64</v>
      </c>
      <c r="AN13" s="106">
        <v>0.64</v>
      </c>
    </row>
    <row r="14" spans="1:40" hidden="1" outlineLevel="1" x14ac:dyDescent="0.25">
      <c r="B14" s="39" t="str">
        <v>Recruiter</v>
      </c>
      <c r="C14" s="3"/>
      <c r="D14" s="3"/>
      <c r="E14" s="106">
        <v>0</v>
      </c>
      <c r="F14" s="106">
        <v>0</v>
      </c>
      <c r="G14" s="106">
        <v>0.02</v>
      </c>
      <c r="H14" s="106">
        <v>0.2</v>
      </c>
      <c r="I14" s="106">
        <v>0.22</v>
      </c>
      <c r="J14" s="106">
        <v>0.25</v>
      </c>
      <c r="K14" s="106">
        <v>0.27</v>
      </c>
      <c r="L14" s="106">
        <v>0.3</v>
      </c>
      <c r="M14" s="106">
        <v>0.32</v>
      </c>
      <c r="N14" s="106">
        <v>0.35000000000000003</v>
      </c>
      <c r="O14" s="106">
        <v>0.37</v>
      </c>
      <c r="P14" s="106">
        <v>0.39</v>
      </c>
      <c r="Q14" s="106">
        <v>0.42</v>
      </c>
      <c r="R14" s="106">
        <v>0.44</v>
      </c>
      <c r="S14" s="106">
        <v>0.47000000000000003</v>
      </c>
      <c r="T14" s="106">
        <v>0.34</v>
      </c>
      <c r="U14" s="106">
        <v>0.35000000000000003</v>
      </c>
      <c r="V14" s="106">
        <v>0.36</v>
      </c>
      <c r="W14" s="106">
        <v>0.37</v>
      </c>
      <c r="X14" s="106">
        <v>0.38</v>
      </c>
      <c r="Y14" s="106">
        <v>0.39</v>
      </c>
      <c r="Z14" s="106">
        <v>0.39</v>
      </c>
      <c r="AA14" s="106">
        <v>0.4</v>
      </c>
      <c r="AB14" s="106">
        <v>0.41000000000000003</v>
      </c>
      <c r="AC14" s="106">
        <v>0.42</v>
      </c>
      <c r="AD14" s="106">
        <v>0.43</v>
      </c>
      <c r="AE14" s="106">
        <v>0.44</v>
      </c>
      <c r="AF14" s="106">
        <v>0.44</v>
      </c>
      <c r="AG14" s="106">
        <v>0.44</v>
      </c>
      <c r="AH14" s="106">
        <v>0.44</v>
      </c>
      <c r="AI14" s="106">
        <v>0.44</v>
      </c>
      <c r="AJ14" s="106">
        <v>0.44</v>
      </c>
      <c r="AK14" s="106">
        <v>0.44</v>
      </c>
      <c r="AL14" s="106">
        <v>0.44</v>
      </c>
      <c r="AM14" s="106">
        <v>0.44</v>
      </c>
      <c r="AN14" s="106">
        <v>0.44</v>
      </c>
    </row>
    <row r="15" spans="1:40" hidden="1" outlineLevel="1" x14ac:dyDescent="0.25">
      <c r="B15" s="39" t="str">
        <v>Center Director / Remote Site Director</v>
      </c>
      <c r="C15" s="3"/>
      <c r="D15" s="3"/>
      <c r="E15" s="106">
        <v>0</v>
      </c>
      <c r="F15" s="106">
        <v>0</v>
      </c>
      <c r="G15" s="106">
        <v>0.02</v>
      </c>
      <c r="H15" s="106">
        <v>0.03</v>
      </c>
      <c r="I15" s="106">
        <v>0.04</v>
      </c>
      <c r="J15" s="106">
        <v>0.05</v>
      </c>
      <c r="K15" s="106">
        <v>0.06</v>
      </c>
      <c r="L15" s="106">
        <v>0.08</v>
      </c>
      <c r="M15" s="106">
        <v>0.09</v>
      </c>
      <c r="N15" s="106">
        <v>9.9999999999999992E-2</v>
      </c>
      <c r="O15" s="106">
        <v>0.11</v>
      </c>
      <c r="P15" s="106">
        <v>0.12</v>
      </c>
      <c r="Q15" s="106">
        <v>0.14000000000000001</v>
      </c>
      <c r="R15" s="106">
        <v>0.15000000000000002</v>
      </c>
      <c r="S15" s="106">
        <v>0.16</v>
      </c>
      <c r="T15" s="106">
        <v>0.17</v>
      </c>
      <c r="U15" s="106">
        <v>0.17</v>
      </c>
      <c r="V15" s="106">
        <v>0.17</v>
      </c>
      <c r="W15" s="106">
        <v>0.17</v>
      </c>
      <c r="X15" s="106">
        <v>0.17</v>
      </c>
      <c r="Y15" s="106">
        <v>0.17</v>
      </c>
      <c r="Z15" s="106">
        <v>0.17</v>
      </c>
      <c r="AA15" s="106">
        <v>0.17</v>
      </c>
      <c r="AB15" s="106">
        <v>0.17</v>
      </c>
      <c r="AC15" s="106">
        <v>0.17</v>
      </c>
      <c r="AD15" s="106">
        <v>0.17</v>
      </c>
      <c r="AE15" s="106">
        <v>0.17</v>
      </c>
      <c r="AF15" s="106">
        <v>0.17</v>
      </c>
      <c r="AG15" s="106">
        <v>0.17</v>
      </c>
      <c r="AH15" s="106">
        <v>0.17</v>
      </c>
      <c r="AI15" s="106">
        <v>0.17</v>
      </c>
      <c r="AJ15" s="106">
        <v>0.17</v>
      </c>
      <c r="AK15" s="106">
        <v>0.17</v>
      </c>
      <c r="AL15" s="106">
        <v>0.17</v>
      </c>
      <c r="AM15" s="106">
        <v>0.17</v>
      </c>
      <c r="AN15" s="106">
        <v>0.17</v>
      </c>
    </row>
    <row r="16" spans="1:40" hidden="1" outlineLevel="1" x14ac:dyDescent="0.25">
      <c r="B16" s="39" t="str">
        <v>Center Marketing Outreach</v>
      </c>
      <c r="C16" s="3"/>
      <c r="D16" s="3"/>
      <c r="E16" s="106">
        <v>0</v>
      </c>
      <c r="F16" s="106">
        <v>0</v>
      </c>
      <c r="G16" s="106">
        <v>0.02</v>
      </c>
      <c r="H16" s="106">
        <v>0.03</v>
      </c>
      <c r="I16" s="106">
        <v>0.04</v>
      </c>
      <c r="J16" s="106">
        <v>0.05</v>
      </c>
      <c r="K16" s="106">
        <v>0.06</v>
      </c>
      <c r="L16" s="106">
        <v>0.08</v>
      </c>
      <c r="M16" s="106">
        <v>0.09</v>
      </c>
      <c r="N16" s="106">
        <v>9.9999999999999992E-2</v>
      </c>
      <c r="O16" s="106">
        <v>0.11</v>
      </c>
      <c r="P16" s="106">
        <v>0.12</v>
      </c>
      <c r="Q16" s="106">
        <v>0.14000000000000001</v>
      </c>
      <c r="R16" s="106">
        <v>0.15000000000000002</v>
      </c>
      <c r="S16" s="106">
        <v>0.16</v>
      </c>
      <c r="T16" s="106">
        <v>0.17</v>
      </c>
      <c r="U16" s="106">
        <v>0.17</v>
      </c>
      <c r="V16" s="106">
        <v>0.17</v>
      </c>
      <c r="W16" s="106">
        <v>0.17</v>
      </c>
      <c r="X16" s="106">
        <v>0.17</v>
      </c>
      <c r="Y16" s="106">
        <v>0.17</v>
      </c>
      <c r="Z16" s="106">
        <v>0.17</v>
      </c>
      <c r="AA16" s="106">
        <v>0.17</v>
      </c>
      <c r="AB16" s="106">
        <v>0.17</v>
      </c>
      <c r="AC16" s="106">
        <v>0.17</v>
      </c>
      <c r="AD16" s="106">
        <v>0.17</v>
      </c>
      <c r="AE16" s="106">
        <v>0.17</v>
      </c>
      <c r="AF16" s="106">
        <v>0.17</v>
      </c>
      <c r="AG16" s="106">
        <v>0.17</v>
      </c>
      <c r="AH16" s="106">
        <v>0.17</v>
      </c>
      <c r="AI16" s="106">
        <v>0.17</v>
      </c>
      <c r="AJ16" s="106">
        <v>0.17</v>
      </c>
      <c r="AK16" s="106">
        <v>0.17</v>
      </c>
      <c r="AL16" s="106">
        <v>0.17</v>
      </c>
      <c r="AM16" s="106">
        <v>0.17</v>
      </c>
      <c r="AN16" s="106">
        <v>0.17</v>
      </c>
    </row>
    <row r="17" spans="2:50" hidden="1" outlineLevel="1" x14ac:dyDescent="0.25">
      <c r="B17" s="39" t="str">
        <v>Primary Direct Staff Lead</v>
      </c>
      <c r="C17" s="3"/>
      <c r="D17" s="3"/>
      <c r="E17" s="106">
        <v>0</v>
      </c>
      <c r="F17" s="106">
        <v>0</v>
      </c>
      <c r="G17" s="106">
        <v>0.3</v>
      </c>
      <c r="H17" s="106">
        <v>0.6</v>
      </c>
      <c r="I17" s="106">
        <v>0.9</v>
      </c>
      <c r="J17" s="106">
        <v>1.2</v>
      </c>
      <c r="K17" s="106">
        <v>1.5</v>
      </c>
      <c r="L17" s="106">
        <v>1.8</v>
      </c>
      <c r="M17" s="106">
        <v>2.1</v>
      </c>
      <c r="N17" s="106">
        <v>2.4</v>
      </c>
      <c r="O17" s="106">
        <v>2.7</v>
      </c>
      <c r="P17" s="106">
        <v>3</v>
      </c>
      <c r="Q17" s="106">
        <v>3.3</v>
      </c>
      <c r="R17" s="106">
        <v>3.6</v>
      </c>
      <c r="S17" s="106">
        <v>3.9</v>
      </c>
      <c r="T17" s="106">
        <v>4.2</v>
      </c>
      <c r="U17" s="106">
        <v>4.2</v>
      </c>
      <c r="V17" s="106">
        <v>4.2</v>
      </c>
      <c r="W17" s="106">
        <v>4.2</v>
      </c>
      <c r="X17" s="106">
        <v>4.2</v>
      </c>
      <c r="Y17" s="106">
        <v>4.2</v>
      </c>
      <c r="Z17" s="106">
        <v>4.2</v>
      </c>
      <c r="AA17" s="106">
        <v>4.2</v>
      </c>
      <c r="AB17" s="106">
        <v>4.2</v>
      </c>
      <c r="AC17" s="106">
        <v>4.2</v>
      </c>
      <c r="AD17" s="106">
        <v>4.2</v>
      </c>
      <c r="AE17" s="106">
        <v>4.2</v>
      </c>
      <c r="AF17" s="106">
        <v>4.2</v>
      </c>
      <c r="AG17" s="106">
        <v>4.2</v>
      </c>
      <c r="AH17" s="106">
        <v>4.2</v>
      </c>
      <c r="AI17" s="106">
        <v>4.2</v>
      </c>
      <c r="AJ17" s="106">
        <v>4.2</v>
      </c>
      <c r="AK17" s="106">
        <v>4.2</v>
      </c>
      <c r="AL17" s="106">
        <v>4.2</v>
      </c>
      <c r="AM17" s="106">
        <v>4.2</v>
      </c>
      <c r="AN17" s="106">
        <v>4.2</v>
      </c>
    </row>
    <row r="18" spans="2:50" hidden="1" outlineLevel="1" x14ac:dyDescent="0.25">
      <c r="B18" s="39" t="str">
        <v>Tertiary Direct Staff</v>
      </c>
      <c r="C18" s="3"/>
      <c r="D18" s="3"/>
      <c r="E18" s="106">
        <v>0</v>
      </c>
      <c r="F18" s="106">
        <v>0</v>
      </c>
      <c r="G18" s="106">
        <v>0</v>
      </c>
      <c r="H18" s="106">
        <v>0</v>
      </c>
      <c r="I18" s="106">
        <v>0</v>
      </c>
      <c r="J18" s="106">
        <v>0</v>
      </c>
      <c r="K18" s="106">
        <v>0</v>
      </c>
      <c r="L18" s="106">
        <v>0</v>
      </c>
      <c r="M18" s="106">
        <v>0</v>
      </c>
      <c r="N18" s="106">
        <v>0</v>
      </c>
      <c r="O18" s="106">
        <v>0</v>
      </c>
      <c r="P18" s="106">
        <v>0</v>
      </c>
      <c r="Q18" s="106">
        <v>0</v>
      </c>
      <c r="R18" s="106">
        <v>0</v>
      </c>
      <c r="S18" s="106">
        <v>0</v>
      </c>
      <c r="T18" s="106">
        <v>0</v>
      </c>
      <c r="U18" s="106">
        <v>0</v>
      </c>
      <c r="V18" s="106">
        <v>0</v>
      </c>
      <c r="W18" s="106">
        <v>0</v>
      </c>
      <c r="X18" s="106">
        <v>0</v>
      </c>
      <c r="Y18" s="106">
        <v>0</v>
      </c>
      <c r="Z18" s="106">
        <v>0</v>
      </c>
      <c r="AA18" s="106">
        <v>0</v>
      </c>
      <c r="AB18" s="106">
        <v>0</v>
      </c>
      <c r="AC18" s="106">
        <v>0</v>
      </c>
      <c r="AD18" s="106">
        <v>0</v>
      </c>
      <c r="AE18" s="106">
        <v>0</v>
      </c>
      <c r="AF18" s="106">
        <v>0</v>
      </c>
      <c r="AG18" s="106">
        <v>0</v>
      </c>
      <c r="AH18" s="106">
        <v>0</v>
      </c>
      <c r="AI18" s="106">
        <v>0</v>
      </c>
      <c r="AJ18" s="106">
        <v>0</v>
      </c>
      <c r="AK18" s="106">
        <v>0</v>
      </c>
      <c r="AL18" s="106">
        <v>0</v>
      </c>
      <c r="AM18" s="106">
        <v>0</v>
      </c>
      <c r="AN18" s="106">
        <v>0</v>
      </c>
    </row>
    <row r="19" spans="2:50" hidden="1" outlineLevel="1" x14ac:dyDescent="0.25">
      <c r="B19" s="39" t="str">
        <v>Quinary Direct Staff</v>
      </c>
      <c r="C19" s="3"/>
      <c r="D19" s="3"/>
      <c r="E19" s="106">
        <v>0</v>
      </c>
      <c r="F19" s="106">
        <v>0</v>
      </c>
      <c r="G19" s="106">
        <v>0</v>
      </c>
      <c r="H19" s="106">
        <v>0</v>
      </c>
      <c r="I19" s="106">
        <v>0</v>
      </c>
      <c r="J19" s="106">
        <v>0</v>
      </c>
      <c r="K19" s="106">
        <v>0</v>
      </c>
      <c r="L19" s="106">
        <v>0</v>
      </c>
      <c r="M19" s="106">
        <v>0</v>
      </c>
      <c r="N19" s="106">
        <v>0</v>
      </c>
      <c r="O19" s="106">
        <v>0</v>
      </c>
      <c r="P19" s="106">
        <v>0</v>
      </c>
      <c r="Q19" s="106">
        <v>0</v>
      </c>
      <c r="R19" s="106">
        <v>0</v>
      </c>
      <c r="S19" s="106">
        <v>0</v>
      </c>
      <c r="T19" s="106">
        <v>0</v>
      </c>
      <c r="U19" s="106">
        <v>0</v>
      </c>
      <c r="V19" s="106">
        <v>0</v>
      </c>
      <c r="W19" s="106">
        <v>0</v>
      </c>
      <c r="X19" s="106">
        <v>0</v>
      </c>
      <c r="Y19" s="106">
        <v>0</v>
      </c>
      <c r="Z19" s="106">
        <v>0</v>
      </c>
      <c r="AA19" s="106">
        <v>0</v>
      </c>
      <c r="AB19" s="106">
        <v>0</v>
      </c>
      <c r="AC19" s="106">
        <v>0</v>
      </c>
      <c r="AD19" s="106">
        <v>0</v>
      </c>
      <c r="AE19" s="106">
        <v>0</v>
      </c>
      <c r="AF19" s="106">
        <v>0</v>
      </c>
      <c r="AG19" s="106">
        <v>0</v>
      </c>
      <c r="AH19" s="106">
        <v>0</v>
      </c>
      <c r="AI19" s="106">
        <v>0</v>
      </c>
      <c r="AJ19" s="106">
        <v>0</v>
      </c>
      <c r="AK19" s="106">
        <v>0</v>
      </c>
      <c r="AL19" s="106">
        <v>0</v>
      </c>
      <c r="AM19" s="106">
        <v>0</v>
      </c>
      <c r="AN19" s="106">
        <v>0</v>
      </c>
    </row>
    <row r="20" spans="2:50" hidden="1" outlineLevel="1" x14ac:dyDescent="0.25">
      <c r="B20" s="39" t="str">
        <v>Quaternary Direct Staff</v>
      </c>
      <c r="C20" s="3"/>
      <c r="D20" s="3"/>
      <c r="E20" s="106">
        <v>0</v>
      </c>
      <c r="F20" s="106">
        <v>0</v>
      </c>
      <c r="G20" s="106">
        <v>1</v>
      </c>
      <c r="H20" s="106">
        <v>1</v>
      </c>
      <c r="I20" s="106">
        <v>1</v>
      </c>
      <c r="J20" s="106">
        <v>1</v>
      </c>
      <c r="K20" s="106">
        <v>1</v>
      </c>
      <c r="L20" s="106">
        <v>1</v>
      </c>
      <c r="M20" s="106">
        <v>1</v>
      </c>
      <c r="N20" s="106">
        <v>1</v>
      </c>
      <c r="O20" s="106">
        <v>1</v>
      </c>
      <c r="P20" s="106">
        <v>1</v>
      </c>
      <c r="Q20" s="106">
        <v>1</v>
      </c>
      <c r="R20" s="106">
        <v>1</v>
      </c>
      <c r="S20" s="106">
        <v>1</v>
      </c>
      <c r="T20" s="106">
        <v>1</v>
      </c>
      <c r="U20" s="106">
        <v>1</v>
      </c>
      <c r="V20" s="106">
        <v>1</v>
      </c>
      <c r="W20" s="106">
        <v>1</v>
      </c>
      <c r="X20" s="106">
        <v>1</v>
      </c>
      <c r="Y20" s="106">
        <v>1</v>
      </c>
      <c r="Z20" s="106">
        <v>1</v>
      </c>
      <c r="AA20" s="106">
        <v>1</v>
      </c>
      <c r="AB20" s="106">
        <v>1</v>
      </c>
      <c r="AC20" s="106">
        <v>1</v>
      </c>
      <c r="AD20" s="106">
        <v>1</v>
      </c>
      <c r="AE20" s="106">
        <v>1</v>
      </c>
      <c r="AF20" s="106">
        <v>1</v>
      </c>
      <c r="AG20" s="106">
        <v>1</v>
      </c>
      <c r="AH20" s="106">
        <v>1</v>
      </c>
      <c r="AI20" s="106">
        <v>1</v>
      </c>
      <c r="AJ20" s="106">
        <v>1</v>
      </c>
      <c r="AK20" s="106">
        <v>1</v>
      </c>
      <c r="AL20" s="106">
        <v>1</v>
      </c>
      <c r="AM20" s="106">
        <v>1</v>
      </c>
      <c r="AN20" s="106">
        <v>1</v>
      </c>
    </row>
    <row r="21" spans="2:50" collapsed="1" x14ac:dyDescent="0.25">
      <c r="B21" s="39" t="s">
        <v>389</v>
      </c>
      <c r="C21" s="3"/>
      <c r="D21" s="5"/>
      <c r="E21" s="117" cm="1">
        <f t="array" ref="E21:AN21">ROUND(_xlfn.BYCOL(_xlfn.CHOOSEROWS(_xlfn.ANCHORARRAY(E7),1,2),_xlfn.LAMBDA(_xlpm.col,SUM(_xlpm.col))),0)</f>
        <v>0</v>
      </c>
      <c r="F21" s="117">
        <v>0</v>
      </c>
      <c r="G21" s="117">
        <v>3</v>
      </c>
      <c r="H21" s="117">
        <v>7</v>
      </c>
      <c r="I21" s="117">
        <v>10</v>
      </c>
      <c r="J21" s="117">
        <v>13</v>
      </c>
      <c r="K21" s="117">
        <v>16</v>
      </c>
      <c r="L21" s="117">
        <v>20</v>
      </c>
      <c r="M21" s="117">
        <v>23</v>
      </c>
      <c r="N21" s="117">
        <v>26</v>
      </c>
      <c r="O21" s="117">
        <v>29</v>
      </c>
      <c r="P21" s="117">
        <v>33</v>
      </c>
      <c r="Q21" s="117">
        <v>36</v>
      </c>
      <c r="R21" s="117">
        <v>39</v>
      </c>
      <c r="S21" s="117">
        <v>42</v>
      </c>
      <c r="T21" s="117">
        <v>46</v>
      </c>
      <c r="U21" s="117">
        <v>46</v>
      </c>
      <c r="V21" s="117">
        <v>46</v>
      </c>
      <c r="W21" s="117">
        <v>46</v>
      </c>
      <c r="X21" s="117">
        <v>46</v>
      </c>
      <c r="Y21" s="117">
        <v>46</v>
      </c>
      <c r="Z21" s="117">
        <v>46</v>
      </c>
      <c r="AA21" s="117">
        <v>46</v>
      </c>
      <c r="AB21" s="117">
        <v>46</v>
      </c>
      <c r="AC21" s="117">
        <v>46</v>
      </c>
      <c r="AD21" s="117">
        <v>46</v>
      </c>
      <c r="AE21" s="117">
        <v>46</v>
      </c>
      <c r="AF21" s="117">
        <v>46</v>
      </c>
      <c r="AG21" s="117">
        <v>46</v>
      </c>
      <c r="AH21" s="117">
        <v>46</v>
      </c>
      <c r="AI21" s="117">
        <v>46</v>
      </c>
      <c r="AJ21" s="117">
        <v>46</v>
      </c>
      <c r="AK21" s="117">
        <v>46</v>
      </c>
      <c r="AL21" s="117">
        <v>46</v>
      </c>
      <c r="AM21" s="117">
        <v>46</v>
      </c>
      <c r="AN21" s="117">
        <v>46</v>
      </c>
    </row>
    <row r="22" spans="2:50" x14ac:dyDescent="0.25">
      <c r="B22" s="2" t="s">
        <v>394</v>
      </c>
      <c r="C22" s="3"/>
      <c r="D22" s="77">
        <f>MAX(_xlfn.ANCHORARRAY(E22))</f>
        <v>170.02883240223468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0</v>
      </c>
      <c r="F22" s="78">
        <v>0</v>
      </c>
      <c r="G22" s="78">
        <v>165.07653631284921</v>
      </c>
      <c r="H22" s="78">
        <v>165.07653631284921</v>
      </c>
      <c r="I22" s="78">
        <v>165.07653631284916</v>
      </c>
      <c r="J22" s="78">
        <v>165.07653631284921</v>
      </c>
      <c r="K22" s="78">
        <v>165.07653631284919</v>
      </c>
      <c r="L22" s="78">
        <v>165.07653631284916</v>
      </c>
      <c r="M22" s="78">
        <v>165.07653631284916</v>
      </c>
      <c r="N22" s="78">
        <v>165.07653631284921</v>
      </c>
      <c r="O22" s="78">
        <v>165.07653631284921</v>
      </c>
      <c r="P22" s="78">
        <v>165.07653631284919</v>
      </c>
      <c r="Q22" s="78">
        <v>170.02883240223468</v>
      </c>
      <c r="R22" s="78">
        <v>170.02883240223466</v>
      </c>
      <c r="S22" s="78">
        <v>170.02883240223466</v>
      </c>
      <c r="T22" s="78">
        <v>170.02883240223463</v>
      </c>
      <c r="U22" s="78">
        <v>170.02883240223463</v>
      </c>
      <c r="V22" s="78">
        <v>170.02883240223463</v>
      </c>
      <c r="W22" s="78">
        <v>170.02883240223463</v>
      </c>
      <c r="X22" s="78">
        <v>170.02883240223463</v>
      </c>
      <c r="Y22" s="78">
        <v>170.02883240223463</v>
      </c>
      <c r="Z22" s="78">
        <v>170.02883240223463</v>
      </c>
      <c r="AA22" s="78">
        <v>170.02883240223463</v>
      </c>
      <c r="AB22" s="78">
        <v>170.02883240223463</v>
      </c>
      <c r="AC22" s="78">
        <v>170.02883240223463</v>
      </c>
      <c r="AD22" s="78">
        <v>170.02883240223463</v>
      </c>
      <c r="AE22" s="78">
        <v>170.02883240223463</v>
      </c>
      <c r="AF22" s="78">
        <v>170.02883240223463</v>
      </c>
      <c r="AG22" s="78">
        <v>170.02883240223463</v>
      </c>
      <c r="AH22" s="78">
        <v>170.02883240223463</v>
      </c>
      <c r="AI22" s="78">
        <v>170.02883240223463</v>
      </c>
      <c r="AJ22" s="78">
        <v>170.02883240223463</v>
      </c>
      <c r="AK22" s="78">
        <v>170.02883240223463</v>
      </c>
      <c r="AL22" s="78">
        <v>170.02883240223463</v>
      </c>
      <c r="AM22" s="78">
        <v>170.02883240223463</v>
      </c>
      <c r="AN22" s="78">
        <v>170.02883240223463</v>
      </c>
    </row>
    <row r="23" spans="2:50" x14ac:dyDescent="0.25">
      <c r="B23" s="2" t="s">
        <v>53</v>
      </c>
      <c r="C23" s="3"/>
      <c r="D23" s="72"/>
      <c r="E23" s="52" cm="1">
        <f t="array" ref="E23:AN23">_xlfn.LET(_xlpm.site,$B$1&amp;"-"&amp;$C$1,_xlpm.locations,Base!$D$4:$BD$4,_xlpm.Customer,_xlfn.ANCHORARRAY(E1),_xlpm.hours,SUM(_xlfn.XLOOKUP(_xlpm.site,_xlpm.locations,Base!$D$74:$BD$78,0,0)),
_xlpm.collection,1-_xlfn.XLOOKUP(_xlpm.site,_xlpm.locations,Base!$D$26:$BD$26,0,0),
_xlpm.Customer*_xlpm.hours*_xlpm.collection*(52/12))</f>
        <v>0</v>
      </c>
      <c r="F23" s="52">
        <v>0</v>
      </c>
      <c r="G23" s="52">
        <v>315.03999999999996</v>
      </c>
      <c r="H23" s="52">
        <v>630.07999999999993</v>
      </c>
      <c r="I23" s="52">
        <v>945.11999999999989</v>
      </c>
      <c r="J23" s="52">
        <v>1260.1599999999999</v>
      </c>
      <c r="K23" s="52">
        <v>1575.1999999999996</v>
      </c>
      <c r="L23" s="52">
        <v>1890.2399999999998</v>
      </c>
      <c r="M23" s="52">
        <v>2205.2799999999997</v>
      </c>
      <c r="N23" s="52">
        <v>2520.3199999999997</v>
      </c>
      <c r="O23" s="52">
        <v>2835.3599999999992</v>
      </c>
      <c r="P23" s="52">
        <v>3150.3999999999992</v>
      </c>
      <c r="Q23" s="52">
        <v>3465.4399999999996</v>
      </c>
      <c r="R23" s="52">
        <v>3780.4799999999996</v>
      </c>
      <c r="S23" s="52">
        <v>4095.5199999999995</v>
      </c>
      <c r="T23" s="52">
        <v>4410.5599999999995</v>
      </c>
      <c r="U23" s="52">
        <v>4410.5599999999995</v>
      </c>
      <c r="V23" s="52">
        <v>4410.5599999999995</v>
      </c>
      <c r="W23" s="52">
        <v>4410.5599999999995</v>
      </c>
      <c r="X23" s="52">
        <v>4410.5599999999995</v>
      </c>
      <c r="Y23" s="52">
        <v>4410.5599999999995</v>
      </c>
      <c r="Z23" s="52">
        <v>4410.5599999999995</v>
      </c>
      <c r="AA23" s="52">
        <v>4410.5599999999995</v>
      </c>
      <c r="AB23" s="52">
        <v>4410.5599999999995</v>
      </c>
      <c r="AC23" s="52">
        <v>4410.5599999999995</v>
      </c>
      <c r="AD23" s="52">
        <v>4410.5599999999995</v>
      </c>
      <c r="AE23" s="52">
        <v>4410.5599999999995</v>
      </c>
      <c r="AF23" s="52">
        <v>4410.5599999999995</v>
      </c>
      <c r="AG23" s="52">
        <v>4410.5599999999995</v>
      </c>
      <c r="AH23" s="52">
        <v>4410.5599999999995</v>
      </c>
      <c r="AI23" s="52">
        <v>4410.5599999999995</v>
      </c>
      <c r="AJ23" s="52">
        <v>4410.5599999999995</v>
      </c>
      <c r="AK23" s="52">
        <v>4410.5599999999995</v>
      </c>
      <c r="AL23" s="52">
        <v>4410.5599999999995</v>
      </c>
      <c r="AM23" s="52">
        <v>4410.5599999999995</v>
      </c>
      <c r="AN23" s="52">
        <v>4410.5599999999995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21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_xlfn.LET(_xlpm.site,$B$1&amp;"-"&amp;$C$1,_xlpm.locations,Base!$D$4:$BD$4,_xlpm.rates,Base!$D31:$BD31,_xlpm.hours,Base!$D74:$BD74,_xlpm.comp,_xlpm.rates*_xlpm.hours,_xlpm.Customer,_xlfn.ANCHORARRAY($E$1),
_xlpm.Customer_comp,_xlfn.XLOOKUP(_xlpm.site,_xlpm.locations,_xlpm.comp,0,0),_xlpm.ann_incr,_xlfn.XLOOKUP(YEAR(_xlfn.ANCHORARRAY($E$25)),Base!$BJ$4:$BL$4,Base!$BJ74:$BL74,0,0),
_xlpm.bad_debt,_xlfn.XLOOKUP(_xlpm.site,_xlpm.locations,Base!$D$28:$BD$28,0,0),_xlpm.Customer_comp*_xlpm.Customer*_xlpm.bad_debt*_xlpm.ann_incr*(52/12))</f>
        <v>0</v>
      </c>
      <c r="F26" s="12">
        <v>0</v>
      </c>
      <c r="G26" s="12">
        <v>45433.96</v>
      </c>
      <c r="H26" s="12">
        <v>90867.92</v>
      </c>
      <c r="I26" s="12">
        <v>136301.87999999998</v>
      </c>
      <c r="J26" s="12">
        <v>181735.84</v>
      </c>
      <c r="K26" s="12">
        <v>227169.79999999996</v>
      </c>
      <c r="L26" s="12">
        <v>272603.75999999995</v>
      </c>
      <c r="M26" s="12">
        <v>318037.71999999997</v>
      </c>
      <c r="N26" s="12">
        <v>363471.68</v>
      </c>
      <c r="O26" s="12">
        <v>408905.63999999996</v>
      </c>
      <c r="P26" s="12">
        <v>454339.59999999992</v>
      </c>
      <c r="Q26" s="12">
        <v>514766.76679999998</v>
      </c>
      <c r="R26" s="12">
        <v>561563.74560000002</v>
      </c>
      <c r="S26" s="12">
        <v>608360.72439999995</v>
      </c>
      <c r="T26" s="12">
        <v>655157.70319999987</v>
      </c>
      <c r="U26" s="12">
        <v>655157.70319999987</v>
      </c>
      <c r="V26" s="12">
        <v>655157.70319999987</v>
      </c>
      <c r="W26" s="12">
        <v>655157.70319999987</v>
      </c>
      <c r="X26" s="12">
        <v>655157.70319999987</v>
      </c>
      <c r="Y26" s="12">
        <v>655157.70319999987</v>
      </c>
      <c r="Z26" s="12">
        <v>655157.70319999987</v>
      </c>
      <c r="AA26" s="12">
        <v>655157.70319999987</v>
      </c>
      <c r="AB26" s="12">
        <v>655157.70319999987</v>
      </c>
      <c r="AC26" s="12">
        <v>655157.70319999987</v>
      </c>
      <c r="AD26" s="12">
        <v>655157.70319999987</v>
      </c>
      <c r="AE26" s="12">
        <v>655157.70319999987</v>
      </c>
      <c r="AF26" s="12">
        <v>655157.70319999987</v>
      </c>
      <c r="AG26" s="12">
        <v>655157.70319999987</v>
      </c>
      <c r="AH26" s="12">
        <v>655157.70319999987</v>
      </c>
      <c r="AI26" s="12">
        <v>655157.70319999987</v>
      </c>
      <c r="AJ26" s="12">
        <v>655157.70319999987</v>
      </c>
      <c r="AK26" s="12">
        <v>655157.70319999987</v>
      </c>
      <c r="AL26" s="12">
        <v>655157.70319999987</v>
      </c>
      <c r="AM26" s="12">
        <v>655157.70319999987</v>
      </c>
      <c r="AN26" s="12">
        <v>655157.70319999987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_xlfn.LET(_xlpm.site,$B$1&amp;"-"&amp;$C$1,_xlpm.locations,Base!$D$4:$BD$4,_xlpm.rates,Base!$D32:$BD32,_xlpm.hours,Base!$D75:$BD75,_xlpm.comp,_xlpm.rates*_xlpm.hours,_xlpm.Customer,_xlfn.ANCHORARRAY($E$1),
_xlpm.Customer_comp,_xlfn.XLOOKUP(_xlpm.site,_xlpm.locations,_xlpm.comp,0,0),_xlpm.ann_incr,_xlfn.XLOOKUP(YEAR(_xlfn.ANCHORARRAY($E$25)),Base!$BJ$4:$BL$4,Base!$BJ75:$BL75,0,0),
_xlpm.bad_debt,_xlfn.XLOOKUP(_xlpm.site,_xlpm.locations,Base!$D$28:$BD$28,0,0),_xlpm.Customer_comp*_xlpm.Customer*_xlpm.bad_debt*_xlpm.ann_incr*(52/12))</f>
        <v>0</v>
      </c>
      <c r="F27" s="12">
        <v>0</v>
      </c>
      <c r="G27" s="12">
        <v>2663.9599999999996</v>
      </c>
      <c r="H27" s="12">
        <v>5327.9199999999992</v>
      </c>
      <c r="I27" s="12">
        <v>7991.8799999999992</v>
      </c>
      <c r="J27" s="12">
        <v>10655.839999999998</v>
      </c>
      <c r="K27" s="12">
        <v>13319.799999999997</v>
      </c>
      <c r="L27" s="12">
        <v>15983.759999999998</v>
      </c>
      <c r="M27" s="12">
        <v>18647.719999999998</v>
      </c>
      <c r="N27" s="12">
        <v>21311.679999999997</v>
      </c>
      <c r="O27" s="12">
        <v>23975.639999999996</v>
      </c>
      <c r="P27" s="12">
        <v>26639.599999999995</v>
      </c>
      <c r="Q27" s="12">
        <v>30182.666799999999</v>
      </c>
      <c r="R27" s="12">
        <v>32926.545599999998</v>
      </c>
      <c r="S27" s="12">
        <v>35670.424399999996</v>
      </c>
      <c r="T27" s="12">
        <v>38414.303200000002</v>
      </c>
      <c r="U27" s="12">
        <v>38414.303200000002</v>
      </c>
      <c r="V27" s="12">
        <v>38414.303200000002</v>
      </c>
      <c r="W27" s="12">
        <v>38414.303200000002</v>
      </c>
      <c r="X27" s="12">
        <v>38414.303200000002</v>
      </c>
      <c r="Y27" s="12">
        <v>38414.303200000002</v>
      </c>
      <c r="Z27" s="12">
        <v>38414.303200000002</v>
      </c>
      <c r="AA27" s="12">
        <v>38414.303200000002</v>
      </c>
      <c r="AB27" s="12">
        <v>38414.303200000002</v>
      </c>
      <c r="AC27" s="12">
        <v>38414.303200000002</v>
      </c>
      <c r="AD27" s="12">
        <v>38414.303200000002</v>
      </c>
      <c r="AE27" s="12">
        <v>38414.303200000002</v>
      </c>
      <c r="AF27" s="12">
        <v>38414.303200000002</v>
      </c>
      <c r="AG27" s="12">
        <v>38414.303200000002</v>
      </c>
      <c r="AH27" s="12">
        <v>38414.303200000002</v>
      </c>
      <c r="AI27" s="12">
        <v>38414.303200000002</v>
      </c>
      <c r="AJ27" s="12">
        <v>38414.303200000002</v>
      </c>
      <c r="AK27" s="12">
        <v>38414.303200000002</v>
      </c>
      <c r="AL27" s="12">
        <v>38414.303200000002</v>
      </c>
      <c r="AM27" s="12">
        <v>38414.303200000002</v>
      </c>
      <c r="AN27" s="12">
        <v>38414.303200000002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_xlfn.LET(_xlpm.site,$B$1&amp;"-"&amp;$C$1,_xlpm.locations,Base!$D$4:$BD$4,_xlpm.rates,Base!$D33:$BD33,_xlpm.hours,Base!$D76:$BD76,_xlpm.comp,_xlpm.rates*_xlpm.hours,_xlpm.Customer,_xlfn.ANCHORARRAY($E$1),
_xlpm.Customer_comp,_xlfn.XLOOKUP(_xlpm.site,_xlpm.locations,_xlpm.comp,0,0),_xlpm.ann_incr,_xlfn.XLOOKUP(YEAR(_xlfn.ANCHORARRAY($E$25)),Base!$BJ$4:$BL$4,Base!$BJ76:$BL76,0,0),
_xlpm.bad_debt,_xlfn.XLOOKUP(_xlpm.site,_xlpm.locations,Base!$D$28:$BD$28,0,0),_xlpm.Customer_comp*_xlpm.Customer*_xlpm.bad_debt*_xlpm.ann_incr*(52/12))</f>
        <v>0</v>
      </c>
      <c r="F28" s="12">
        <v>0</v>
      </c>
      <c r="G28" s="12">
        <v>6331.181999999998</v>
      </c>
      <c r="H28" s="12">
        <v>12662.363999999996</v>
      </c>
      <c r="I28" s="12">
        <v>18993.545999999995</v>
      </c>
      <c r="J28" s="12">
        <v>25324.727999999992</v>
      </c>
      <c r="K28" s="12">
        <v>31655.909999999989</v>
      </c>
      <c r="L28" s="12">
        <v>37987.09199999999</v>
      </c>
      <c r="M28" s="12">
        <v>44318.27399999999</v>
      </c>
      <c r="N28" s="12">
        <v>50649.455999999984</v>
      </c>
      <c r="O28" s="12">
        <v>56980.637999999984</v>
      </c>
      <c r="P28" s="12">
        <v>63311.819999999978</v>
      </c>
      <c r="Q28" s="12">
        <v>71732.292059999978</v>
      </c>
      <c r="R28" s="12">
        <v>78253.409519999972</v>
      </c>
      <c r="S28" s="12">
        <v>84774.526979999995</v>
      </c>
      <c r="T28" s="12">
        <v>91295.644439999975</v>
      </c>
      <c r="U28" s="12">
        <v>91295.644439999975</v>
      </c>
      <c r="V28" s="12">
        <v>91295.644439999975</v>
      </c>
      <c r="W28" s="12">
        <v>91295.644439999975</v>
      </c>
      <c r="X28" s="12">
        <v>91295.644439999975</v>
      </c>
      <c r="Y28" s="12">
        <v>91295.644439999975</v>
      </c>
      <c r="Z28" s="12">
        <v>91295.644439999975</v>
      </c>
      <c r="AA28" s="12">
        <v>91295.644439999975</v>
      </c>
      <c r="AB28" s="12">
        <v>91295.644439999975</v>
      </c>
      <c r="AC28" s="12">
        <v>91295.644439999975</v>
      </c>
      <c r="AD28" s="12">
        <v>91295.644439999975</v>
      </c>
      <c r="AE28" s="12">
        <v>91295.644439999975</v>
      </c>
      <c r="AF28" s="12">
        <v>91295.644439999975</v>
      </c>
      <c r="AG28" s="12">
        <v>91295.644439999975</v>
      </c>
      <c r="AH28" s="12">
        <v>91295.644439999975</v>
      </c>
      <c r="AI28" s="12">
        <v>91295.644439999975</v>
      </c>
      <c r="AJ28" s="12">
        <v>91295.644439999975</v>
      </c>
      <c r="AK28" s="12">
        <v>91295.644439999975</v>
      </c>
      <c r="AL28" s="12">
        <v>91295.644439999975</v>
      </c>
      <c r="AM28" s="12">
        <v>91295.644439999975</v>
      </c>
      <c r="AN28" s="12">
        <v>91295.644439999975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_xlfn.LET(_xlpm.site,$B$1&amp;"-"&amp;$C$1,_xlpm.locations,Base!$D$4:$BD$4,_xlpm.rates,Base!$D34:$BD34,_xlpm.hours,Base!$D77:$BD77,_xlpm.comp,_xlpm.rates*_xlpm.hours,_xlpm.Customer,_xlfn.ANCHORARRAY($E$1),
_xlpm.Customer_comp,_xlfn.XLOOKUP(_xlpm.site,_xlpm.locations,_xlpm.comp,0,0),_xlpm.ann_incr,_xlfn.XLOOKUP(YEAR(_xlfn.ANCHORARRAY($E$25)),Base!$BJ$4:$BL$4,Base!$BJ77:$BL77,0,0),
_xlpm.bad_debt,_xlfn.XLOOKUP(_xlpm.site,_xlpm.locations,Base!$D$28:$BD$28,0,0),_xlpm.Customer_comp*_xlpm.Customer*_xlpm.bad_debt*_xlpm.ann_incr*(52/12))</f>
        <v>0</v>
      </c>
      <c r="F29" s="12">
        <v>0</v>
      </c>
      <c r="G29" s="12">
        <v>487.01399999999995</v>
      </c>
      <c r="H29" s="12">
        <v>974.02799999999991</v>
      </c>
      <c r="I29" s="12">
        <v>1461.0420000000001</v>
      </c>
      <c r="J29" s="12">
        <v>1948.0559999999998</v>
      </c>
      <c r="K29" s="12">
        <v>2435.0699999999997</v>
      </c>
      <c r="L29" s="12">
        <v>2922.0840000000003</v>
      </c>
      <c r="M29" s="12">
        <v>3409.098</v>
      </c>
      <c r="N29" s="12">
        <v>3896.1119999999996</v>
      </c>
      <c r="O29" s="12">
        <v>4383.1260000000002</v>
      </c>
      <c r="P29" s="12">
        <v>4870.1399999999994</v>
      </c>
      <c r="Q29" s="12">
        <v>5517.8686199999993</v>
      </c>
      <c r="R29" s="12">
        <v>6019.4930400000003</v>
      </c>
      <c r="S29" s="12">
        <v>6521.1174600000013</v>
      </c>
      <c r="T29" s="12">
        <v>7022.7418800000005</v>
      </c>
      <c r="U29" s="12">
        <v>7022.7418800000005</v>
      </c>
      <c r="V29" s="12">
        <v>7022.7418800000005</v>
      </c>
      <c r="W29" s="12">
        <v>7022.7418800000005</v>
      </c>
      <c r="X29" s="12">
        <v>7022.7418800000005</v>
      </c>
      <c r="Y29" s="12">
        <v>7022.7418800000005</v>
      </c>
      <c r="Z29" s="12">
        <v>7022.7418800000005</v>
      </c>
      <c r="AA29" s="12">
        <v>7022.7418800000005</v>
      </c>
      <c r="AB29" s="12">
        <v>7022.7418800000005</v>
      </c>
      <c r="AC29" s="12">
        <v>7022.7418800000005</v>
      </c>
      <c r="AD29" s="12">
        <v>7022.7418800000005</v>
      </c>
      <c r="AE29" s="12">
        <v>7022.7418800000005</v>
      </c>
      <c r="AF29" s="12">
        <v>7022.7418800000005</v>
      </c>
      <c r="AG29" s="12">
        <v>7022.7418800000005</v>
      </c>
      <c r="AH29" s="12">
        <v>7022.7418800000005</v>
      </c>
      <c r="AI29" s="12">
        <v>7022.7418800000005</v>
      </c>
      <c r="AJ29" s="12">
        <v>7022.7418800000005</v>
      </c>
      <c r="AK29" s="12">
        <v>7022.7418800000005</v>
      </c>
      <c r="AL29" s="12">
        <v>7022.7418800000005</v>
      </c>
      <c r="AM29" s="12">
        <v>7022.7418800000005</v>
      </c>
      <c r="AN29" s="12">
        <v>7022.7418800000005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_xlfn.LET(_xlpm.site,$B$1&amp;"-"&amp;$C$1,_xlpm.locations,Base!$D$4:$BD$4,_xlpm.rates,Base!$D35:$BD35,_xlpm.hours,Base!$D78:$BD78,_xlpm.comp,_xlpm.rates*_xlpm.hours,_xlpm.Customer,_xlfn.ANCHORARRAY($E$1),
_xlpm.Customer_comp,_xlfn.XLOOKUP(_xlpm.site,_xlpm.locations,_xlpm.comp,0,0),_xlpm.ann_incr,_xlfn.XLOOKUP(YEAR(_xlfn.ANCHORARRAY($E$25)),Base!$BJ$4:$BL$4,Base!$BJ78:$BL78,0,0),
_xlpm.bad_debt,_xlfn.XLOOKUP(_xlpm.site,_xlpm.locations,Base!$D$28:$BD$28,0,0),_xlpm.Customer_comp*_xlpm.Customer*_xlpm.bad_debt*_xlpm.ann_incr*(52/12))</f>
        <v>0</v>
      </c>
      <c r="F30" s="12">
        <v>0</v>
      </c>
      <c r="G30" s="12">
        <v>635.43999999999994</v>
      </c>
      <c r="H30" s="12">
        <v>1270.8799999999999</v>
      </c>
      <c r="I30" s="12">
        <v>1906.3199999999997</v>
      </c>
      <c r="J30" s="12">
        <v>2541.7599999999998</v>
      </c>
      <c r="K30" s="12">
        <v>3177.1999999999994</v>
      </c>
      <c r="L30" s="12">
        <v>3812.6399999999994</v>
      </c>
      <c r="M30" s="12">
        <v>4448.08</v>
      </c>
      <c r="N30" s="12">
        <v>5083.5199999999995</v>
      </c>
      <c r="O30" s="12">
        <v>5718.9599999999991</v>
      </c>
      <c r="P30" s="12">
        <v>6354.3999999999987</v>
      </c>
      <c r="Q30" s="12">
        <v>7199.5351999999993</v>
      </c>
      <c r="R30" s="12">
        <v>7854.0383999999995</v>
      </c>
      <c r="S30" s="12">
        <v>8508.5416000000005</v>
      </c>
      <c r="T30" s="12">
        <v>9163.0447999999997</v>
      </c>
      <c r="U30" s="12">
        <v>9163.0447999999997</v>
      </c>
      <c r="V30" s="12">
        <v>9163.0447999999997</v>
      </c>
      <c r="W30" s="12">
        <v>9163.0447999999997</v>
      </c>
      <c r="X30" s="12">
        <v>9163.0447999999997</v>
      </c>
      <c r="Y30" s="12">
        <v>9163.0447999999997</v>
      </c>
      <c r="Z30" s="12">
        <v>9163.0447999999997</v>
      </c>
      <c r="AA30" s="12">
        <v>9163.0447999999997</v>
      </c>
      <c r="AB30" s="12">
        <v>9163.0447999999997</v>
      </c>
      <c r="AC30" s="12">
        <v>9163.0447999999997</v>
      </c>
      <c r="AD30" s="12">
        <v>9163.0447999999997</v>
      </c>
      <c r="AE30" s="12">
        <v>9163.0447999999997</v>
      </c>
      <c r="AF30" s="12">
        <v>9163.0447999999997</v>
      </c>
      <c r="AG30" s="12">
        <v>9163.0447999999997</v>
      </c>
      <c r="AH30" s="12">
        <v>9163.0447999999997</v>
      </c>
      <c r="AI30" s="12">
        <v>9163.0447999999997</v>
      </c>
      <c r="AJ30" s="12">
        <v>9163.0447999999997</v>
      </c>
      <c r="AK30" s="12">
        <v>9163.0447999999997</v>
      </c>
      <c r="AL30" s="12">
        <v>9163.0447999999997</v>
      </c>
      <c r="AM30" s="12">
        <v>9163.0447999999997</v>
      </c>
      <c r="AN30" s="12">
        <v>9163.0447999999997</v>
      </c>
    </row>
    <row r="31" spans="2:50" x14ac:dyDescent="0.25">
      <c r="B31" s="39" t="str">
        <f>Base!B36</f>
        <v>Tertiary Direct Staff - Service A</v>
      </c>
      <c r="C31" s="4"/>
      <c r="E31" s="183" cm="1">
        <f t="array" ref="E31:AN31">_xlfn.LET(_xlpm.site,$B$1&amp;"-"&amp;$C$1,_xlpm.locations,Base!$D$4:$BD$4,_xlpm.rates,Base!$D36:$BD36,_xlpm.hours,Base!$D79:$BD79,_xlpm.comp,_xlpm.rates*_xlpm.hours,_xlpm.Customer,_xlfn.ANCHORARRAY($E$1)*0,
_xlpm.Customer_comp,_xlfn.XLOOKUP(_xlpm.site,_xlpm.locations,_xlpm.comp,0,0),_xlpm.ann_incr,_xlfn.XLOOKUP(YEAR(_xlfn.ANCHORARRAY($E$25)),Base!$BJ$4:$BL$4,Base!$BJ79:$BL79,0,0),
_xlpm.bad_debt,_xlfn.XLOOKUP(_xlpm.site,_xlpm.locations,Base!$D$28:$BD$28,0,0),_xlpm.Customer_comp*_xlpm.Customer*_xlpm.bad_debt*_xlpm.ann_incr*(52/12))</f>
        <v>0</v>
      </c>
      <c r="F31" s="183">
        <v>0</v>
      </c>
      <c r="G31" s="183">
        <v>0</v>
      </c>
      <c r="H31" s="183">
        <v>0</v>
      </c>
      <c r="I31" s="183">
        <v>0</v>
      </c>
      <c r="J31" s="183">
        <v>0</v>
      </c>
      <c r="K31" s="183">
        <v>0</v>
      </c>
      <c r="L31" s="183">
        <v>0</v>
      </c>
      <c r="M31" s="183">
        <v>0</v>
      </c>
      <c r="N31" s="183">
        <v>0</v>
      </c>
      <c r="O31" s="183">
        <v>0</v>
      </c>
      <c r="P31" s="183">
        <v>0</v>
      </c>
      <c r="Q31" s="183">
        <v>0</v>
      </c>
      <c r="R31" s="183">
        <v>0</v>
      </c>
      <c r="S31" s="183">
        <v>0</v>
      </c>
      <c r="T31" s="183">
        <v>0</v>
      </c>
      <c r="U31" s="183">
        <v>0</v>
      </c>
      <c r="V31" s="183">
        <v>0</v>
      </c>
      <c r="W31" s="183">
        <v>0</v>
      </c>
      <c r="X31" s="183">
        <v>0</v>
      </c>
      <c r="Y31" s="183">
        <v>0</v>
      </c>
      <c r="Z31" s="183">
        <v>0</v>
      </c>
      <c r="AA31" s="183">
        <v>0</v>
      </c>
      <c r="AB31" s="183">
        <v>0</v>
      </c>
      <c r="AC31" s="183">
        <v>0</v>
      </c>
      <c r="AD31" s="183">
        <v>0</v>
      </c>
      <c r="AE31" s="183">
        <v>0</v>
      </c>
      <c r="AF31" s="183">
        <v>0</v>
      </c>
      <c r="AG31" s="183">
        <v>0</v>
      </c>
      <c r="AH31" s="183">
        <v>0</v>
      </c>
      <c r="AI31" s="183">
        <v>0</v>
      </c>
      <c r="AJ31" s="183">
        <v>0</v>
      </c>
      <c r="AK31" s="183">
        <v>0</v>
      </c>
      <c r="AL31" s="183">
        <v>0</v>
      </c>
      <c r="AM31" s="183">
        <v>0</v>
      </c>
      <c r="AN31" s="183">
        <v>0</v>
      </c>
    </row>
    <row r="32" spans="2:50" x14ac:dyDescent="0.25">
      <c r="B32" s="39" t="str">
        <f>Base!B37</f>
        <v>Tertiary Direct Staff - Service B</v>
      </c>
      <c r="C32" s="4"/>
      <c r="E32" s="183" cm="1">
        <f t="array" ref="E32:AN32">_xlfn.LET(_xlpm.site,$B$1&amp;"-"&amp;$C$1,_xlpm.locations,Base!$D$4:$BD$4,_xlpm.rates,Base!$D37:$BD37,_xlpm.hours,Base!$D80:$BD80,_xlpm.comp,_xlpm.rates*_xlpm.hours,_xlpm.Customer,_xlfn.ANCHORARRAY($E$1)*0,
_xlpm.Customer_comp,_xlfn.XLOOKUP(_xlpm.site,_xlpm.locations,_xlpm.comp,0,0),_xlpm.ann_incr,_xlfn.XLOOKUP(YEAR(_xlfn.ANCHORARRAY($E$25)),Base!$BJ$4:$BL$4,Base!$BJ80:$BL80,0,0),
_xlpm.bad_debt,_xlfn.XLOOKUP(_xlpm.site,_xlpm.locations,Base!$D$28:$BD$28,0,0),_xlpm.Customer_comp*_xlpm.Customer*_xlpm.bad_debt*_xlpm.ann_incr*(52/12))</f>
        <v>0</v>
      </c>
      <c r="F32" s="183">
        <v>0</v>
      </c>
      <c r="G32" s="183">
        <v>0</v>
      </c>
      <c r="H32" s="183">
        <v>0</v>
      </c>
      <c r="I32" s="183">
        <v>0</v>
      </c>
      <c r="J32" s="183">
        <v>0</v>
      </c>
      <c r="K32" s="183">
        <v>0</v>
      </c>
      <c r="L32" s="183">
        <v>0</v>
      </c>
      <c r="M32" s="183">
        <v>0</v>
      </c>
      <c r="N32" s="183">
        <v>0</v>
      </c>
      <c r="O32" s="183">
        <v>0</v>
      </c>
      <c r="P32" s="183">
        <v>0</v>
      </c>
      <c r="Q32" s="183">
        <v>0</v>
      </c>
      <c r="R32" s="183">
        <v>0</v>
      </c>
      <c r="S32" s="183">
        <v>0</v>
      </c>
      <c r="T32" s="183">
        <v>0</v>
      </c>
      <c r="U32" s="183">
        <v>0</v>
      </c>
      <c r="V32" s="183">
        <v>0</v>
      </c>
      <c r="W32" s="183">
        <v>0</v>
      </c>
      <c r="X32" s="183">
        <v>0</v>
      </c>
      <c r="Y32" s="183">
        <v>0</v>
      </c>
      <c r="Z32" s="183">
        <v>0</v>
      </c>
      <c r="AA32" s="183">
        <v>0</v>
      </c>
      <c r="AB32" s="183">
        <v>0</v>
      </c>
      <c r="AC32" s="183">
        <v>0</v>
      </c>
      <c r="AD32" s="183">
        <v>0</v>
      </c>
      <c r="AE32" s="183">
        <v>0</v>
      </c>
      <c r="AF32" s="183">
        <v>0</v>
      </c>
      <c r="AG32" s="183">
        <v>0</v>
      </c>
      <c r="AH32" s="183">
        <v>0</v>
      </c>
      <c r="AI32" s="183">
        <v>0</v>
      </c>
      <c r="AJ32" s="183">
        <v>0</v>
      </c>
      <c r="AK32" s="183">
        <v>0</v>
      </c>
      <c r="AL32" s="183">
        <v>0</v>
      </c>
      <c r="AM32" s="183">
        <v>0</v>
      </c>
      <c r="AN32" s="183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_xlpm.Customer,_xlfn.ANCHORARRAY($E$2),_xlpm.ann_incr,_xlfn.XLOOKUP(YEAR(_xlfn.ANCHORARRAY($E$25)),Base!$BJ$4:$BL$4,Base!$BJ$81:$BL$81,0,0),
_xlpm.bad_debt,_xlfn.XLOOKUP(_xlpm.site,_xlpm.locations,Base!$D$28:$BD$28,0,0),
_xlpm.comp*_xlpm.bad_debt*_xlpm.ann_incr*(52/12))</f>
        <v>0</v>
      </c>
      <c r="F33" s="12">
        <v>0</v>
      </c>
      <c r="G33" s="12">
        <v>25911.491666666665</v>
      </c>
      <c r="H33" s="12">
        <v>25911.491666666665</v>
      </c>
      <c r="I33" s="12">
        <v>25911.491666666665</v>
      </c>
      <c r="J33" s="12">
        <v>25911.491666666665</v>
      </c>
      <c r="K33" s="12">
        <v>25911.491666666665</v>
      </c>
      <c r="L33" s="12">
        <v>25911.491666666665</v>
      </c>
      <c r="M33" s="12">
        <v>25911.491666666665</v>
      </c>
      <c r="N33" s="12">
        <v>25911.491666666665</v>
      </c>
      <c r="O33" s="12">
        <v>25911.491666666665</v>
      </c>
      <c r="P33" s="12">
        <v>25911.491666666665</v>
      </c>
      <c r="Q33" s="12">
        <v>26688.836416666662</v>
      </c>
      <c r="R33" s="12">
        <v>26688.836416666662</v>
      </c>
      <c r="S33" s="12">
        <v>26688.836416666662</v>
      </c>
      <c r="T33" s="12">
        <v>26688.836416666662</v>
      </c>
      <c r="U33" s="12">
        <v>26688.836416666662</v>
      </c>
      <c r="V33" s="12">
        <v>26688.836416666662</v>
      </c>
      <c r="W33" s="12">
        <v>26688.836416666662</v>
      </c>
      <c r="X33" s="12">
        <v>26688.836416666662</v>
      </c>
      <c r="Y33" s="12">
        <v>26688.836416666662</v>
      </c>
      <c r="Z33" s="12">
        <v>26688.836416666662</v>
      </c>
      <c r="AA33" s="12">
        <v>26688.836416666662</v>
      </c>
      <c r="AB33" s="12">
        <v>26688.836416666662</v>
      </c>
      <c r="AC33" s="12">
        <v>26688.836416666662</v>
      </c>
      <c r="AD33" s="12">
        <v>26688.836416666662</v>
      </c>
      <c r="AE33" s="12">
        <v>26688.836416666662</v>
      </c>
      <c r="AF33" s="12">
        <v>26688.836416666662</v>
      </c>
      <c r="AG33" s="12">
        <v>26688.836416666662</v>
      </c>
      <c r="AH33" s="12">
        <v>26688.836416666662</v>
      </c>
      <c r="AI33" s="12">
        <v>26688.836416666662</v>
      </c>
      <c r="AJ33" s="12">
        <v>26688.836416666662</v>
      </c>
      <c r="AK33" s="12">
        <v>26688.836416666662</v>
      </c>
      <c r="AL33" s="12">
        <v>26688.836416666662</v>
      </c>
      <c r="AM33" s="12">
        <v>26688.836416666662</v>
      </c>
      <c r="AN33" s="12">
        <v>26688.836416666662</v>
      </c>
    </row>
    <row r="34" spans="2:40" x14ac:dyDescent="0.25">
      <c r="B34" s="39" t="str">
        <f>Base!B39</f>
        <v>Quinary Direct Staff - Service A</v>
      </c>
      <c r="C34" s="4"/>
      <c r="E34" s="183" cm="1">
        <f t="array" ref="E34:AN34">_xlfn.LET(_xlpm.site,$B$1&amp;"-"&amp;$C$1,_xlpm.locations,Base!$D$4:$BD$4,_xlpm.rates,Base!$D39:$BD39,_xlpm.hours,Base!$D82:$BD82,_xlpm.comp,_xlpm.rates*_xlpm.hours,_xlpm.Customer,_xlfn.ANCHORARRAY($E$1)*0,
_xlpm.Customer_comp,_xlfn.XLOOKUP(_xlpm.site,_xlpm.locations,_xlpm.comp,0,0),_xlpm.ann_incr,_xlfn.XLOOKUP(YEAR(_xlfn.ANCHORARRAY($E$25)),Base!$BJ$4:$BL$4,Base!$BJ82:$BL82,0,0),
_xlpm.bad_debt,_xlfn.XLOOKUP(_xlpm.site,_xlpm.locations,Base!$D$28:$BD$28,0,0),_xlpm.Customer_comp*_xlpm.Customer*_xlpm.bad_debt*_xlpm.ann_incr*(52/12))</f>
        <v>0</v>
      </c>
      <c r="F34" s="183">
        <v>0</v>
      </c>
      <c r="G34" s="183">
        <v>0</v>
      </c>
      <c r="H34" s="183">
        <v>0</v>
      </c>
      <c r="I34" s="183">
        <v>0</v>
      </c>
      <c r="J34" s="183">
        <v>0</v>
      </c>
      <c r="K34" s="183">
        <v>0</v>
      </c>
      <c r="L34" s="183">
        <v>0</v>
      </c>
      <c r="M34" s="183">
        <v>0</v>
      </c>
      <c r="N34" s="183">
        <v>0</v>
      </c>
      <c r="O34" s="183">
        <v>0</v>
      </c>
      <c r="P34" s="183">
        <v>0</v>
      </c>
      <c r="Q34" s="183">
        <v>0</v>
      </c>
      <c r="R34" s="183">
        <v>0</v>
      </c>
      <c r="S34" s="183">
        <v>0</v>
      </c>
      <c r="T34" s="183">
        <v>0</v>
      </c>
      <c r="U34" s="183">
        <v>0</v>
      </c>
      <c r="V34" s="183">
        <v>0</v>
      </c>
      <c r="W34" s="183">
        <v>0</v>
      </c>
      <c r="X34" s="183">
        <v>0</v>
      </c>
      <c r="Y34" s="183">
        <v>0</v>
      </c>
      <c r="Z34" s="183">
        <v>0</v>
      </c>
      <c r="AA34" s="183">
        <v>0</v>
      </c>
      <c r="AB34" s="183">
        <v>0</v>
      </c>
      <c r="AC34" s="183">
        <v>0</v>
      </c>
      <c r="AD34" s="183">
        <v>0</v>
      </c>
      <c r="AE34" s="183">
        <v>0</v>
      </c>
      <c r="AF34" s="183">
        <v>0</v>
      </c>
      <c r="AG34" s="183">
        <v>0</v>
      </c>
      <c r="AH34" s="183">
        <v>0</v>
      </c>
      <c r="AI34" s="183">
        <v>0</v>
      </c>
      <c r="AJ34" s="183">
        <v>0</v>
      </c>
      <c r="AK34" s="183">
        <v>0</v>
      </c>
      <c r="AL34" s="183">
        <v>0</v>
      </c>
      <c r="AM34" s="183">
        <v>0</v>
      </c>
      <c r="AN34" s="183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0</v>
      </c>
      <c r="F35" s="12">
        <v>0</v>
      </c>
      <c r="G35" s="12">
        <v>-9775.5657199999987</v>
      </c>
      <c r="H35" s="12">
        <v>-16441.75244</v>
      </c>
      <c r="I35" s="12">
        <v>-23107.939159999998</v>
      </c>
      <c r="J35" s="12">
        <v>-29774.12588</v>
      </c>
      <c r="K35" s="12">
        <v>-36440.31259999999</v>
      </c>
      <c r="L35" s="12">
        <v>-43106.499319999988</v>
      </c>
      <c r="M35" s="12">
        <v>-49772.686039999986</v>
      </c>
      <c r="N35" s="12">
        <v>-56438.872759999998</v>
      </c>
      <c r="O35" s="12">
        <v>-63105.059479999996</v>
      </c>
      <c r="P35" s="12">
        <v>-69771.246199999994</v>
      </c>
      <c r="Q35" s="12">
        <v>-78730.555907599992</v>
      </c>
      <c r="R35" s="12">
        <v>-85596.728229199987</v>
      </c>
      <c r="S35" s="12">
        <v>-92462.900550799983</v>
      </c>
      <c r="T35" s="12">
        <v>-99329.072872399964</v>
      </c>
      <c r="U35" s="12">
        <v>-99329.072872399964</v>
      </c>
      <c r="V35" s="12">
        <v>-99329.072872399964</v>
      </c>
      <c r="W35" s="12">
        <v>-99329.072872399964</v>
      </c>
      <c r="X35" s="12">
        <v>-99329.072872399964</v>
      </c>
      <c r="Y35" s="12">
        <v>-99329.072872399964</v>
      </c>
      <c r="Z35" s="12">
        <v>-99329.072872399964</v>
      </c>
      <c r="AA35" s="12">
        <v>-99329.072872399964</v>
      </c>
      <c r="AB35" s="12">
        <v>-99329.072872399964</v>
      </c>
      <c r="AC35" s="12">
        <v>-99329.072872399964</v>
      </c>
      <c r="AD35" s="12">
        <v>-99329.072872399964</v>
      </c>
      <c r="AE35" s="12">
        <v>-99329.072872399964</v>
      </c>
      <c r="AF35" s="12">
        <v>-99329.072872399964</v>
      </c>
      <c r="AG35" s="12">
        <v>-99329.072872399964</v>
      </c>
      <c r="AH35" s="12">
        <v>-99329.072872399964</v>
      </c>
      <c r="AI35" s="12">
        <v>-99329.072872399964</v>
      </c>
      <c r="AJ35" s="12">
        <v>-99329.072872399964</v>
      </c>
      <c r="AK35" s="12">
        <v>-99329.072872399964</v>
      </c>
      <c r="AL35" s="12">
        <v>-99329.072872399964</v>
      </c>
      <c r="AM35" s="12">
        <v>-99329.072872399964</v>
      </c>
      <c r="AN35" s="12">
        <v>-99329.072872399964</v>
      </c>
    </row>
    <row r="36" spans="2:40" x14ac:dyDescent="0.25">
      <c r="B36" s="39" t="s">
        <v>261</v>
      </c>
      <c r="C36" s="15"/>
      <c r="E36" s="183" cm="1">
        <f t="array" ref="E36:AN36">_xlfn.BYCOL(_xlfn.ANCHORARRAY($E$25),_xlfn.LAMBDA(_xlpm.a,0))</f>
        <v>0</v>
      </c>
      <c r="F36" s="183">
        <v>0</v>
      </c>
      <c r="G36" s="183">
        <v>0</v>
      </c>
      <c r="H36" s="183">
        <v>0</v>
      </c>
      <c r="I36" s="183">
        <v>0</v>
      </c>
      <c r="J36" s="183">
        <v>0</v>
      </c>
      <c r="K36" s="183">
        <v>0</v>
      </c>
      <c r="L36" s="183">
        <v>0</v>
      </c>
      <c r="M36" s="183">
        <v>0</v>
      </c>
      <c r="N36" s="183">
        <v>0</v>
      </c>
      <c r="O36" s="183">
        <v>0</v>
      </c>
      <c r="P36" s="183">
        <v>0</v>
      </c>
      <c r="Q36" s="183">
        <v>0</v>
      </c>
      <c r="R36" s="183">
        <v>0</v>
      </c>
      <c r="S36" s="183">
        <v>0</v>
      </c>
      <c r="T36" s="183">
        <v>0</v>
      </c>
      <c r="U36" s="183">
        <v>0</v>
      </c>
      <c r="V36" s="183">
        <v>0</v>
      </c>
      <c r="W36" s="183">
        <v>0</v>
      </c>
      <c r="X36" s="183">
        <v>0</v>
      </c>
      <c r="Y36" s="183">
        <v>0</v>
      </c>
      <c r="Z36" s="183">
        <v>0</v>
      </c>
      <c r="AA36" s="183">
        <v>0</v>
      </c>
      <c r="AB36" s="183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271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0</v>
      </c>
      <c r="F37" s="13">
        <v>0</v>
      </c>
      <c r="G37" s="13">
        <v>69023.521946666675</v>
      </c>
      <c r="H37" s="13">
        <v>115244.93122666668</v>
      </c>
      <c r="I37" s="13">
        <v>161466.34050666663</v>
      </c>
      <c r="J37" s="13">
        <v>207687.74978666668</v>
      </c>
      <c r="K37" s="13">
        <v>253909.15906666662</v>
      </c>
      <c r="L37" s="13">
        <v>300130.56834666658</v>
      </c>
      <c r="M37" s="13">
        <v>346351.9776266666</v>
      </c>
      <c r="N37" s="13">
        <v>392573.38690666668</v>
      </c>
      <c r="O37" s="13">
        <v>438794.79618666659</v>
      </c>
      <c r="P37" s="13">
        <v>485016.20546666667</v>
      </c>
      <c r="Q37" s="13">
        <v>547174.74318906665</v>
      </c>
      <c r="R37" s="13">
        <v>594782.79474746657</v>
      </c>
      <c r="S37" s="13">
        <v>642390.84630586649</v>
      </c>
      <c r="T37" s="13">
        <v>689998.89786426653</v>
      </c>
      <c r="U37" s="13">
        <v>689998.89786426653</v>
      </c>
      <c r="V37" s="13">
        <v>689998.89786426653</v>
      </c>
      <c r="W37" s="13">
        <v>689998.89786426653</v>
      </c>
      <c r="X37" s="13">
        <v>689998.89786426653</v>
      </c>
      <c r="Y37" s="13">
        <v>689998.89786426653</v>
      </c>
      <c r="Z37" s="13">
        <v>689998.89786426653</v>
      </c>
      <c r="AA37" s="13">
        <v>689998.89786426653</v>
      </c>
      <c r="AB37" s="13">
        <v>689998.89786426653</v>
      </c>
      <c r="AC37" s="13">
        <v>689998.89786426653</v>
      </c>
      <c r="AD37" s="13">
        <v>689998.89786426653</v>
      </c>
      <c r="AE37" s="13">
        <v>689998.89786426653</v>
      </c>
      <c r="AF37" s="13">
        <v>689998.89786426653</v>
      </c>
      <c r="AG37" s="13">
        <v>689998.89786426653</v>
      </c>
      <c r="AH37" s="13">
        <v>689998.89786426653</v>
      </c>
      <c r="AI37" s="13">
        <v>689998.89786426653</v>
      </c>
      <c r="AJ37" s="13">
        <v>689998.89786426653</v>
      </c>
      <c r="AK37" s="13">
        <v>689998.89786426653</v>
      </c>
      <c r="AL37" s="13">
        <v>689998.89786426653</v>
      </c>
      <c r="AM37" s="13">
        <v>689998.89786426653</v>
      </c>
      <c r="AN37" s="13">
        <v>689998.89786426653</v>
      </c>
    </row>
    <row r="38" spans="2:40" x14ac:dyDescent="0.25">
      <c r="E38" s="67"/>
      <c r="F38" s="67"/>
    </row>
    <row r="39" spans="2:40" x14ac:dyDescent="0.25">
      <c r="B39" s="1" t="s">
        <v>118</v>
      </c>
    </row>
    <row r="40" spans="2:40" x14ac:dyDescent="0.25">
      <c r="B40" s="39" t="s">
        <v>23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0</v>
      </c>
      <c r="F40" s="12">
        <v>0</v>
      </c>
      <c r="G40" s="12">
        <v>43612.98992400329</v>
      </c>
      <c r="H40" s="12">
        <v>74421.884381339914</v>
      </c>
      <c r="I40" s="12">
        <v>93883.674305343186</v>
      </c>
      <c r="J40" s="12">
        <v>113305.23542934647</v>
      </c>
      <c r="K40" s="12">
        <v>132759.66322001643</v>
      </c>
      <c r="L40" s="12">
        <v>152488.25314401975</v>
      </c>
      <c r="M40" s="12">
        <v>171750.79760135635</v>
      </c>
      <c r="N40" s="12">
        <v>191269.02539202629</v>
      </c>
      <c r="O40" s="12">
        <v>210730.81531602962</v>
      </c>
      <c r="P40" s="12">
        <v>230088.57644003286</v>
      </c>
      <c r="Q40" s="12">
        <v>274684.45132043981</v>
      </c>
      <c r="R40" s="12">
        <v>296198.75357017672</v>
      </c>
      <c r="S40" s="12">
        <v>317562.47080658033</v>
      </c>
      <c r="T40" s="12">
        <v>333243.20304298401</v>
      </c>
      <c r="U40" s="12">
        <v>333553.69637631736</v>
      </c>
      <c r="V40" s="12">
        <v>333970.52304298396</v>
      </c>
      <c r="W40" s="12">
        <v>334214.02637631731</v>
      </c>
      <c r="X40" s="12">
        <v>334524.51970965072</v>
      </c>
      <c r="Y40" s="12">
        <v>334941.34637631732</v>
      </c>
      <c r="Z40" s="12">
        <v>335114.66970965068</v>
      </c>
      <c r="AA40" s="12">
        <v>335425.16304298397</v>
      </c>
      <c r="AB40" s="12">
        <v>335735.65637631732</v>
      </c>
      <c r="AC40" s="12">
        <v>369694.04234728246</v>
      </c>
      <c r="AD40" s="12">
        <v>370035.58501394914</v>
      </c>
      <c r="AE40" s="12">
        <v>370377.12768061581</v>
      </c>
      <c r="AF40" s="12">
        <v>370377.12768061581</v>
      </c>
      <c r="AG40" s="12">
        <v>370377.12768061581</v>
      </c>
      <c r="AH40" s="12">
        <v>370377.12768061581</v>
      </c>
      <c r="AI40" s="12">
        <v>370377.12768061581</v>
      </c>
      <c r="AJ40" s="12">
        <v>370377.12768061581</v>
      </c>
      <c r="AK40" s="12">
        <v>370377.12768061581</v>
      </c>
      <c r="AL40" s="12">
        <v>370377.12768061581</v>
      </c>
      <c r="AM40" s="12">
        <v>370377.12768061581</v>
      </c>
      <c r="AN40" s="12">
        <v>370377.12768061581</v>
      </c>
    </row>
    <row r="41" spans="2:40" x14ac:dyDescent="0.25">
      <c r="B41" s="39" t="s">
        <v>388</v>
      </c>
      <c r="C41" s="142">
        <f>_xlfn.XLOOKUP($B$1&amp;"-"&amp;$C$1,Base!$D$4:$BD$4,Base!$D$12:$BD$12,0,0)</f>
        <v>0</v>
      </c>
      <c r="E41" s="183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28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0</v>
      </c>
      <c r="F42" s="12">
        <v>0</v>
      </c>
      <c r="G42" s="12">
        <v>15000</v>
      </c>
      <c r="H42" s="12">
        <v>15000</v>
      </c>
      <c r="I42" s="12">
        <v>15000</v>
      </c>
      <c r="J42" s="12">
        <v>15000</v>
      </c>
      <c r="K42" s="12">
        <v>15000</v>
      </c>
      <c r="L42" s="12">
        <v>15000</v>
      </c>
      <c r="M42" s="12">
        <v>15000</v>
      </c>
      <c r="N42" s="12">
        <v>15000</v>
      </c>
      <c r="O42" s="12">
        <v>15000</v>
      </c>
      <c r="P42" s="12">
        <v>15000</v>
      </c>
      <c r="Q42" s="12">
        <v>15450</v>
      </c>
      <c r="R42" s="12">
        <v>15450</v>
      </c>
      <c r="S42" s="12">
        <v>15450</v>
      </c>
      <c r="T42" s="12">
        <v>15450</v>
      </c>
      <c r="U42" s="12">
        <v>15450</v>
      </c>
      <c r="V42" s="12">
        <v>15450</v>
      </c>
      <c r="W42" s="12">
        <v>15450</v>
      </c>
      <c r="X42" s="12">
        <v>15450</v>
      </c>
      <c r="Y42" s="12">
        <v>15450</v>
      </c>
      <c r="Z42" s="12">
        <v>15450</v>
      </c>
      <c r="AA42" s="12">
        <v>15450</v>
      </c>
      <c r="AB42" s="12">
        <v>15450</v>
      </c>
      <c r="AC42" s="12">
        <v>15913.5</v>
      </c>
      <c r="AD42" s="12">
        <v>15913.5</v>
      </c>
      <c r="AE42" s="12">
        <v>15913.5</v>
      </c>
      <c r="AF42" s="12">
        <v>15913.5</v>
      </c>
      <c r="AG42" s="12">
        <v>15913.5</v>
      </c>
      <c r="AH42" s="12">
        <v>15913.5</v>
      </c>
      <c r="AI42" s="12">
        <v>15913.5</v>
      </c>
      <c r="AJ42" s="12">
        <v>15913.5</v>
      </c>
      <c r="AK42" s="12">
        <v>15913.5</v>
      </c>
      <c r="AL42" s="12">
        <v>15913.5</v>
      </c>
      <c r="AM42" s="12">
        <v>15913.5</v>
      </c>
      <c r="AN42" s="12">
        <v>15913.5</v>
      </c>
    </row>
    <row r="43" spans="2:40" x14ac:dyDescent="0.25">
      <c r="B43" s="39" t="s">
        <v>31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0</v>
      </c>
      <c r="F43" s="12">
        <v>0</v>
      </c>
      <c r="G43" s="12">
        <v>8700</v>
      </c>
      <c r="H43" s="12">
        <v>8700</v>
      </c>
      <c r="I43" s="12">
        <v>8700</v>
      </c>
      <c r="J43" s="12">
        <v>8700</v>
      </c>
      <c r="K43" s="12">
        <v>8700</v>
      </c>
      <c r="L43" s="12">
        <v>8700</v>
      </c>
      <c r="M43" s="12">
        <v>8700</v>
      </c>
      <c r="N43" s="12">
        <v>8700</v>
      </c>
      <c r="O43" s="12">
        <v>8700</v>
      </c>
      <c r="P43" s="12">
        <v>8700</v>
      </c>
      <c r="Q43" s="12">
        <v>9048</v>
      </c>
      <c r="R43" s="12">
        <v>9048</v>
      </c>
      <c r="S43" s="12">
        <v>9048</v>
      </c>
      <c r="T43" s="12">
        <v>9048</v>
      </c>
      <c r="U43" s="12">
        <v>9048</v>
      </c>
      <c r="V43" s="12">
        <v>9048</v>
      </c>
      <c r="W43" s="12">
        <v>9048</v>
      </c>
      <c r="X43" s="12">
        <v>9048</v>
      </c>
      <c r="Y43" s="12">
        <v>9048</v>
      </c>
      <c r="Z43" s="12">
        <v>9048</v>
      </c>
      <c r="AA43" s="12">
        <v>9048</v>
      </c>
      <c r="AB43" s="12">
        <v>9048</v>
      </c>
      <c r="AC43" s="12">
        <v>9409.9200000000019</v>
      </c>
      <c r="AD43" s="12">
        <v>9409.9200000000019</v>
      </c>
      <c r="AE43" s="12">
        <v>9409.9200000000019</v>
      </c>
      <c r="AF43" s="12">
        <v>9409.9200000000019</v>
      </c>
      <c r="AG43" s="12">
        <v>9409.9200000000019</v>
      </c>
      <c r="AH43" s="12">
        <v>9409.9200000000019</v>
      </c>
      <c r="AI43" s="12">
        <v>9409.9200000000019</v>
      </c>
      <c r="AJ43" s="12">
        <v>9409.9200000000019</v>
      </c>
      <c r="AK43" s="12">
        <v>9409.9200000000019</v>
      </c>
      <c r="AL43" s="12">
        <v>9409.9200000000019</v>
      </c>
      <c r="AM43" s="12">
        <v>9409.9200000000019</v>
      </c>
      <c r="AN43" s="12">
        <v>9409.9200000000019</v>
      </c>
    </row>
    <row r="44" spans="2:40" x14ac:dyDescent="0.25">
      <c r="B44" s="39" t="s">
        <v>34</v>
      </c>
      <c r="C44" s="96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0</v>
      </c>
      <c r="F44" s="12">
        <v>0</v>
      </c>
      <c r="G44" s="12">
        <v>363.89520000000005</v>
      </c>
      <c r="H44" s="12">
        <v>963.64839999999992</v>
      </c>
      <c r="I44" s="12">
        <v>993.97300000000007</v>
      </c>
      <c r="J44" s="12">
        <v>1024.2975999999999</v>
      </c>
      <c r="K44" s="12">
        <v>1054.6222</v>
      </c>
      <c r="L44" s="12">
        <v>1095.0550000000001</v>
      </c>
      <c r="M44" s="12">
        <v>1122.0101999999999</v>
      </c>
      <c r="N44" s="12">
        <v>1155.7042000000001</v>
      </c>
      <c r="O44" s="12">
        <v>1186.0287999999998</v>
      </c>
      <c r="P44" s="12">
        <v>1212.9840000000002</v>
      </c>
      <c r="Q44" s="12">
        <v>1300.0492959999999</v>
      </c>
      <c r="R44" s="12">
        <v>1335.0910559999998</v>
      </c>
      <c r="S44" s="12">
        <v>1366.6286400000004</v>
      </c>
      <c r="T44" s="12">
        <v>1156.37808</v>
      </c>
      <c r="U44" s="12">
        <v>1170.3947840000001</v>
      </c>
      <c r="V44" s="12">
        <v>1187.9156640000001</v>
      </c>
      <c r="W44" s="12">
        <v>1198.4281919999999</v>
      </c>
      <c r="X44" s="12">
        <v>1212.444896</v>
      </c>
      <c r="Y44" s="12">
        <v>1229.965776</v>
      </c>
      <c r="Z44" s="12">
        <v>1236.9741279999998</v>
      </c>
      <c r="AA44" s="12">
        <v>1250.990832</v>
      </c>
      <c r="AB44" s="12">
        <v>1265.0075359999998</v>
      </c>
      <c r="AC44" s="12">
        <v>1330.1852096000002</v>
      </c>
      <c r="AD44" s="12">
        <v>1344.7625817600001</v>
      </c>
      <c r="AE44" s="12">
        <v>1359.3399539200002</v>
      </c>
      <c r="AF44" s="12">
        <v>1359.3399539200002</v>
      </c>
      <c r="AG44" s="12">
        <v>1359.3399539200002</v>
      </c>
      <c r="AH44" s="12">
        <v>1359.3399539200002</v>
      </c>
      <c r="AI44" s="12">
        <v>1359.3399539200002</v>
      </c>
      <c r="AJ44" s="12">
        <v>1359.3399539200002</v>
      </c>
      <c r="AK44" s="12">
        <v>1359.3399539200002</v>
      </c>
      <c r="AL44" s="12">
        <v>1359.3399539200002</v>
      </c>
      <c r="AM44" s="12">
        <v>1359.3399539200002</v>
      </c>
      <c r="AN44" s="12">
        <v>1359.3399539200002</v>
      </c>
    </row>
    <row r="45" spans="2:40" x14ac:dyDescent="0.25">
      <c r="B45" s="39" t="s">
        <v>36</v>
      </c>
      <c r="C45" s="96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0</v>
      </c>
      <c r="F45" s="12">
        <v>0</v>
      </c>
      <c r="G45" s="12">
        <v>7500</v>
      </c>
      <c r="H45" s="12">
        <v>7500</v>
      </c>
      <c r="I45" s="12">
        <v>7500</v>
      </c>
      <c r="J45" s="12">
        <v>7500</v>
      </c>
      <c r="K45" s="12">
        <v>7500</v>
      </c>
      <c r="L45" s="12">
        <v>7500</v>
      </c>
      <c r="M45" s="12">
        <v>7500</v>
      </c>
      <c r="N45" s="12">
        <v>7500</v>
      </c>
      <c r="O45" s="12">
        <v>7500</v>
      </c>
      <c r="P45" s="12">
        <v>7500</v>
      </c>
      <c r="Q45" s="12">
        <v>7650</v>
      </c>
      <c r="R45" s="12">
        <v>7650</v>
      </c>
      <c r="S45" s="12">
        <v>7650</v>
      </c>
      <c r="T45" s="12">
        <v>7650</v>
      </c>
      <c r="U45" s="12">
        <v>7650</v>
      </c>
      <c r="V45" s="12">
        <v>7650</v>
      </c>
      <c r="W45" s="12">
        <v>7650</v>
      </c>
      <c r="X45" s="12">
        <v>7650</v>
      </c>
      <c r="Y45" s="12">
        <v>7650</v>
      </c>
      <c r="Z45" s="12">
        <v>7650</v>
      </c>
      <c r="AA45" s="12">
        <v>7650</v>
      </c>
      <c r="AB45" s="12">
        <v>7650</v>
      </c>
      <c r="AC45" s="12">
        <v>7803</v>
      </c>
      <c r="AD45" s="12">
        <v>7803</v>
      </c>
      <c r="AE45" s="12">
        <v>7803</v>
      </c>
      <c r="AF45" s="12">
        <v>7803</v>
      </c>
      <c r="AG45" s="12">
        <v>7803</v>
      </c>
      <c r="AH45" s="12">
        <v>7803</v>
      </c>
      <c r="AI45" s="12">
        <v>7803</v>
      </c>
      <c r="AJ45" s="12">
        <v>7803</v>
      </c>
      <c r="AK45" s="12">
        <v>7803</v>
      </c>
      <c r="AL45" s="12">
        <v>7803</v>
      </c>
      <c r="AM45" s="12">
        <v>7803</v>
      </c>
      <c r="AN45" s="12">
        <v>7803</v>
      </c>
    </row>
    <row r="46" spans="2:40" x14ac:dyDescent="0.25">
      <c r="B46" s="39" t="s">
        <v>38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0</v>
      </c>
      <c r="F46" s="12">
        <v>0</v>
      </c>
      <c r="G46" s="12">
        <v>3533.9999999999991</v>
      </c>
      <c r="H46" s="12">
        <v>5399.4999999999991</v>
      </c>
      <c r="I46" s="12">
        <v>6677</v>
      </c>
      <c r="J46" s="12">
        <v>7950.9999999999991</v>
      </c>
      <c r="K46" s="12">
        <v>9224.9999999999982</v>
      </c>
      <c r="L46" s="12">
        <v>10513</v>
      </c>
      <c r="M46" s="12">
        <v>11780.000000000002</v>
      </c>
      <c r="N46" s="12">
        <v>13057.5</v>
      </c>
      <c r="O46" s="12">
        <v>14335</v>
      </c>
      <c r="P46" s="12">
        <v>15605.499999999998</v>
      </c>
      <c r="Q46" s="12">
        <v>17224.23</v>
      </c>
      <c r="R46" s="12">
        <v>18530.849999999999</v>
      </c>
      <c r="S46" s="12">
        <v>19830.329999999998</v>
      </c>
      <c r="T46" s="12">
        <v>20879.910000000007</v>
      </c>
      <c r="U46" s="12">
        <v>20894.190000000002</v>
      </c>
      <c r="V46" s="12">
        <v>20912.040000000005</v>
      </c>
      <c r="W46" s="12">
        <v>20922.750000000004</v>
      </c>
      <c r="X46" s="12">
        <v>20937.030000000006</v>
      </c>
      <c r="Y46" s="12">
        <v>20954.880000000005</v>
      </c>
      <c r="Z46" s="12">
        <v>20962.020000000004</v>
      </c>
      <c r="AA46" s="12">
        <v>20976.300000000003</v>
      </c>
      <c r="AB46" s="12">
        <v>20990.580000000005</v>
      </c>
      <c r="AC46" s="12">
        <v>21424.957200000004</v>
      </c>
      <c r="AD46" s="12">
        <v>21439.522800000002</v>
      </c>
      <c r="AE46" s="12">
        <v>21454.088400000004</v>
      </c>
      <c r="AF46" s="12">
        <v>21454.088400000004</v>
      </c>
      <c r="AG46" s="12">
        <v>21454.088400000004</v>
      </c>
      <c r="AH46" s="12">
        <v>21454.088400000004</v>
      </c>
      <c r="AI46" s="12">
        <v>21454.088400000004</v>
      </c>
      <c r="AJ46" s="12">
        <v>21454.088400000004</v>
      </c>
      <c r="AK46" s="12">
        <v>21454.088400000004</v>
      </c>
      <c r="AL46" s="12">
        <v>21454.088400000004</v>
      </c>
      <c r="AM46" s="12">
        <v>21454.088400000004</v>
      </c>
      <c r="AN46" s="12">
        <v>21454.088400000004</v>
      </c>
    </row>
    <row r="47" spans="2:40" x14ac:dyDescent="0.25">
      <c r="B47" s="39" t="s">
        <v>40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0</v>
      </c>
      <c r="F47" s="12">
        <v>0</v>
      </c>
      <c r="G47" s="12">
        <v>6000</v>
      </c>
      <c r="H47" s="12">
        <v>6000</v>
      </c>
      <c r="I47" s="12">
        <v>6000</v>
      </c>
      <c r="J47" s="12">
        <v>6000</v>
      </c>
      <c r="K47" s="12">
        <v>6000</v>
      </c>
      <c r="L47" s="12">
        <v>6000</v>
      </c>
      <c r="M47" s="12">
        <v>6000</v>
      </c>
      <c r="N47" s="12">
        <v>6000</v>
      </c>
      <c r="O47" s="12">
        <v>6000</v>
      </c>
      <c r="P47" s="12">
        <v>6000</v>
      </c>
      <c r="Q47" s="12">
        <v>6300</v>
      </c>
      <c r="R47" s="12">
        <v>6300</v>
      </c>
      <c r="S47" s="12">
        <v>6300</v>
      </c>
      <c r="T47" s="12">
        <v>6300</v>
      </c>
      <c r="U47" s="12">
        <v>6300</v>
      </c>
      <c r="V47" s="12">
        <v>6300</v>
      </c>
      <c r="W47" s="12">
        <v>6300</v>
      </c>
      <c r="X47" s="12">
        <v>6300</v>
      </c>
      <c r="Y47" s="12">
        <v>6300</v>
      </c>
      <c r="Z47" s="12">
        <v>6300</v>
      </c>
      <c r="AA47" s="12">
        <v>6300</v>
      </c>
      <c r="AB47" s="12">
        <v>6300</v>
      </c>
      <c r="AC47" s="12">
        <v>6615</v>
      </c>
      <c r="AD47" s="12">
        <v>6615</v>
      </c>
      <c r="AE47" s="12">
        <v>6615</v>
      </c>
      <c r="AF47" s="12">
        <v>6615</v>
      </c>
      <c r="AG47" s="12">
        <v>6615</v>
      </c>
      <c r="AH47" s="12">
        <v>6615</v>
      </c>
      <c r="AI47" s="12">
        <v>6615</v>
      </c>
      <c r="AJ47" s="12">
        <v>6615</v>
      </c>
      <c r="AK47" s="12">
        <v>6615</v>
      </c>
      <c r="AL47" s="12">
        <v>6615</v>
      </c>
      <c r="AM47" s="12">
        <v>6615</v>
      </c>
      <c r="AN47" s="12">
        <v>6615</v>
      </c>
    </row>
    <row r="48" spans="2:40" x14ac:dyDescent="0.25">
      <c r="B48" s="39" t="s">
        <v>41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129000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42</v>
      </c>
      <c r="E49" s="12">
        <f>'Corp.'!E$50*(E$37-(E31-E32-E34)*$C$35)/(SUM('MDA1:NCA9'!E$37)-SUM('MDA1:NCA9'!E$31)-SUM('MDA1:NCA9'!E$32)-SUM('MDA1:NCA9'!E$34))</f>
        <v>0</v>
      </c>
      <c r="F49" s="12">
        <f>'Corp.'!F$50*(F$37-(F31-F32-F34)*$C$35)/(SUM('MDA1:NCA9'!F$37)-SUM('MDA1:NCA9'!F$31)-SUM('MDA1:NCA9'!F$32)-SUM('MDA1:NCA9'!F$34))</f>
        <v>0</v>
      </c>
      <c r="G49" s="12">
        <f>'Corp.'!G$50*(G$37-(G31-G32-G34)*$C$35)/(SUM('MDA1:NCA9'!G$37)-SUM('MDA1:NCA9'!G$31)-SUM('MDA1:NCA9'!G$32)-SUM('MDA1:NCA9'!G$34))</f>
        <v>19545.199961024457</v>
      </c>
      <c r="H49" s="12">
        <f>'Corp.'!H$50*(H$37-(H31-H32-H34)*$C$35)/(SUM('MDA1:NCA9'!H$37)-SUM('MDA1:NCA9'!H$31)-SUM('MDA1:NCA9'!H$32)-SUM('MDA1:NCA9'!H$34))</f>
        <v>29836.31181118204</v>
      </c>
      <c r="I49" s="12">
        <f>'Corp.'!I$50*(I$37-(I31-I32-I34)*$C$35)/(SUM('MDA1:NCA9'!I$37)-SUM('MDA1:NCA9'!I$31)-SUM('MDA1:NCA9'!I$32)-SUM('MDA1:NCA9'!I$34))</f>
        <v>39336.693343232226</v>
      </c>
      <c r="J49" s="12">
        <f>'Corp.'!J$50*(J$37-(J31-J32-J34)*$C$35)/(SUM('MDA1:NCA9'!J$37)-SUM('MDA1:NCA9'!J$31)-SUM('MDA1:NCA9'!J$32)-SUM('MDA1:NCA9'!J$34))</f>
        <v>47291.558061769996</v>
      </c>
      <c r="K49" s="12">
        <f>'Corp.'!K$50*(K$37-(K31-K32-K34)*$C$35)/(SUM('MDA1:NCA9'!K$37)-SUM('MDA1:NCA9'!K$31)-SUM('MDA1:NCA9'!K$32)-SUM('MDA1:NCA9'!K$34))</f>
        <v>53103.693184463002</v>
      </c>
      <c r="L49" s="12">
        <f>'Corp.'!L$50*(L$37-(L31-L32-L34)*$C$35)/(SUM('MDA1:NCA9'!L$37)-SUM('MDA1:NCA9'!L$31)-SUM('MDA1:NCA9'!L$32)-SUM('MDA1:NCA9'!L$34))</f>
        <v>59318.123985500562</v>
      </c>
      <c r="M49" s="12">
        <f>'Corp.'!M$50*(M$37-(M31-M32-M34)*$C$35)/(SUM('MDA1:NCA9'!M$37)-SUM('MDA1:NCA9'!M$31)-SUM('MDA1:NCA9'!M$32)-SUM('MDA1:NCA9'!M$34))</f>
        <v>64151.229746843666</v>
      </c>
      <c r="N49" s="12">
        <f>'Corp.'!N$50*(N$37-(N31-N32-N34)*$C$35)/(SUM('MDA1:NCA9'!N$37)-SUM('MDA1:NCA9'!N$31)-SUM('MDA1:NCA9'!N$32)-SUM('MDA1:NCA9'!N$34))</f>
        <v>68515.468250524296</v>
      </c>
      <c r="O49" s="12">
        <f>'Corp.'!O$50*(O$37-(O31-O32-O34)*$C$35)/(SUM('MDA1:NCA9'!O$37)-SUM('MDA1:NCA9'!O$31)-SUM('MDA1:NCA9'!O$32)-SUM('MDA1:NCA9'!O$34))</f>
        <v>71673.440393181285</v>
      </c>
      <c r="P49" s="12">
        <f>'Corp.'!P$50*(P$37-(P31-P32-P34)*$C$35)/(SUM('MDA1:NCA9'!P$37)-SUM('MDA1:NCA9'!P$31)-SUM('MDA1:NCA9'!P$32)-SUM('MDA1:NCA9'!P$34))</f>
        <v>74758.875302295273</v>
      </c>
      <c r="Q49" s="12">
        <f>'Corp.'!Q$50*(Q$37-(Q31-Q32-Q34)*$C$35)/(SUM('MDA1:NCA9'!Q$37)-SUM('MDA1:NCA9'!Q$31)-SUM('MDA1:NCA9'!Q$32)-SUM('MDA1:NCA9'!Q$34))</f>
        <v>84649.146313639329</v>
      </c>
      <c r="R49" s="12">
        <f>'Corp.'!R$50*(R$37-(R31-R32-R34)*$C$35)/(SUM('MDA1:NCA9'!R$37)-SUM('MDA1:NCA9'!R$31)-SUM('MDA1:NCA9'!R$32)-SUM('MDA1:NCA9'!R$34))</f>
        <v>88529.021241481139</v>
      </c>
      <c r="S49" s="12">
        <f>'Corp.'!S$50*(S$37-(S31-S32-S34)*$C$35)/(SUM('MDA1:NCA9'!S$37)-SUM('MDA1:NCA9'!S$31)-SUM('MDA1:NCA9'!S$32)-SUM('MDA1:NCA9'!S$34))</f>
        <v>91477.552354977917</v>
      </c>
      <c r="T49" s="12">
        <f>'Corp.'!T$50*(T$37-(T31-T32-T34)*$C$35)/(SUM('MDA1:NCA9'!T$37)-SUM('MDA1:NCA9'!T$31)-SUM('MDA1:NCA9'!T$32)-SUM('MDA1:NCA9'!T$34))</f>
        <v>94495.169996576646</v>
      </c>
      <c r="U49" s="12">
        <f>'Corp.'!U$50*(U$37-(U31-U32-U34)*$C$35)/(SUM('MDA1:NCA9'!U$37)-SUM('MDA1:NCA9'!U$31)-SUM('MDA1:NCA9'!U$32)-SUM('MDA1:NCA9'!U$34))</f>
        <v>91915.99538577364</v>
      </c>
      <c r="V49" s="12">
        <f>'Corp.'!V$50*(V$37-(V31-V32-V34)*$C$35)/(SUM('MDA1:NCA9'!V$37)-SUM('MDA1:NCA9'!V$31)-SUM('MDA1:NCA9'!V$32)-SUM('MDA1:NCA9'!V$34))</f>
        <v>89813.200413536979</v>
      </c>
      <c r="W49" s="12">
        <f>'Corp.'!W$50*(W$37-(W31-W32-W34)*$C$35)/(SUM('MDA1:NCA9'!W$37)-SUM('MDA1:NCA9'!W$31)-SUM('MDA1:NCA9'!W$32)-SUM('MDA1:NCA9'!W$34))</f>
        <v>87083.552175642923</v>
      </c>
      <c r="X49" s="12">
        <f>'Corp.'!X$50*(X$37-(X31-X32-X34)*$C$35)/(SUM('MDA1:NCA9'!X$37)-SUM('MDA1:NCA9'!X$31)-SUM('MDA1:NCA9'!X$32)-SUM('MDA1:NCA9'!X$34))</f>
        <v>84355.776776980463</v>
      </c>
      <c r="Y49" s="12">
        <f>'Corp.'!Y$50*(Y$37-(Y31-Y32-Y34)*$C$35)/(SUM('MDA1:NCA9'!Y$37)-SUM('MDA1:NCA9'!Y$31)-SUM('MDA1:NCA9'!Y$32)-SUM('MDA1:NCA9'!Y$34))</f>
        <v>82568.580020467809</v>
      </c>
      <c r="Z49" s="12">
        <f>'Corp.'!Z$50*(Z$37-(Z31-Z32-Z34)*$C$35)/(SUM('MDA1:NCA9'!Z$37)-SUM('MDA1:NCA9'!Z$31)-SUM('MDA1:NCA9'!Z$32)-SUM('MDA1:NCA9'!Z$34))</f>
        <v>80775.388620665501</v>
      </c>
      <c r="AA49" s="12">
        <f>'Corp.'!AA$50*(AA$37-(AA31-AA32-AA34)*$C$35)/(SUM('MDA1:NCA9'!AA$37)-SUM('MDA1:NCA9'!AA$31)-SUM('MDA1:NCA9'!AA$32)-SUM('MDA1:NCA9'!AA$34))</f>
        <v>78928.593716406205</v>
      </c>
      <c r="AB49" s="12">
        <f>'Corp.'!AB$50*(AB$37-(AB31-AB32-AB34)*$C$35)/(SUM('MDA1:NCA9'!AB$37)-SUM('MDA1:NCA9'!AB$31)-SUM('MDA1:NCA9'!AB$32)-SUM('MDA1:NCA9'!AB$34))</f>
        <v>77137.388997614675</v>
      </c>
      <c r="AC49" s="12">
        <f>'Corp.'!AC$50*(AC$37-(AC31-AC32-AC34)*$C$35)/(SUM('MDA1:NCA9'!AC$37)-SUM('MDA1:NCA9'!AC$31)-SUM('MDA1:NCA9'!AC$32)-SUM('MDA1:NCA9'!AC$34))</f>
        <v>82787.492935550952</v>
      </c>
      <c r="AD49" s="12">
        <f>'Corp.'!AD$50*(AD$37-(AD31-AD32-AD34)*$C$35)/(SUM('MDA1:NCA9'!AD$37)-SUM('MDA1:NCA9'!AD$31)-SUM('MDA1:NCA9'!AD$32)-SUM('MDA1:NCA9'!AD$34))</f>
        <v>81427.453549480764</v>
      </c>
      <c r="AE49" s="12">
        <f>'Corp.'!AE$50*(AE$37-(AE31-AE32-AE34)*$C$35)/(SUM('MDA1:NCA9'!AE$37)-SUM('MDA1:NCA9'!AE$31)-SUM('MDA1:NCA9'!AE$32)-SUM('MDA1:NCA9'!AE$34))</f>
        <v>80145.065142249689</v>
      </c>
      <c r="AF49" s="12">
        <f>'Corp.'!AF$50*(AF$37-(AF31-AF32-AF34)*$C$35)/(SUM('MDA1:NCA9'!AF$37)-SUM('MDA1:NCA9'!AF$31)-SUM('MDA1:NCA9'!AF$32)-SUM('MDA1:NCA9'!AF$34))</f>
        <v>78943.425161868086</v>
      </c>
      <c r="AG49" s="12">
        <f>'Corp.'!AG$50*(AG$37-(AG31-AG32-AG34)*$C$35)/(SUM('MDA1:NCA9'!AG$37)-SUM('MDA1:NCA9'!AG$31)-SUM('MDA1:NCA9'!AG$32)-SUM('MDA1:NCA9'!AG$34))</f>
        <v>77979.765799357177</v>
      </c>
      <c r="AH49" s="12">
        <f>'Corp.'!AH$50*(AH$37-(AH31-AH32-AH34)*$C$35)/(SUM('MDA1:NCA9'!AH$37)-SUM('MDA1:NCA9'!AH$31)-SUM('MDA1:NCA9'!AH$32)-SUM('MDA1:NCA9'!AH$34))</f>
        <v>76712.193944299695</v>
      </c>
      <c r="AI49" s="12">
        <f>'Corp.'!AI$50*(AI$37-(AI31-AI32-AI34)*$C$35)/(SUM('MDA1:NCA9'!AI$37)-SUM('MDA1:NCA9'!AI$31)-SUM('MDA1:NCA9'!AI$32)-SUM('MDA1:NCA9'!AI$34))</f>
        <v>75391.235786919249</v>
      </c>
      <c r="AJ49" s="12">
        <f>'Corp.'!AJ$50*(AJ$37-(AJ31-AJ32-AJ34)*$C$35)/(SUM('MDA1:NCA9'!AJ$37)-SUM('MDA1:NCA9'!AJ$31)-SUM('MDA1:NCA9'!AJ$32)-SUM('MDA1:NCA9'!AJ$34))</f>
        <v>74037.829400941715</v>
      </c>
      <c r="AK49" s="12">
        <f>'Corp.'!AK$50*(AK$37-(AK31-AK32-AK34)*$C$35)/(SUM('MDA1:NCA9'!AK$37)-SUM('MDA1:NCA9'!AK$31)-SUM('MDA1:NCA9'!AK$32)-SUM('MDA1:NCA9'!AK$34))</f>
        <v>72788.126846379178</v>
      </c>
      <c r="AL49" s="12">
        <f>'Corp.'!AL$50*(AL$37-(AL31-AL32-AL34)*$C$35)/(SUM('MDA1:NCA9'!AL$37)-SUM('MDA1:NCA9'!AL$31)-SUM('MDA1:NCA9'!AL$32)-SUM('MDA1:NCA9'!AL$34))</f>
        <v>71641.323887728504</v>
      </c>
      <c r="AM49" s="12">
        <f>'Corp.'!AM$50*(AM$37-(AM31-AM32-AM34)*$C$35)/(SUM('MDA1:NCA9'!AM$37)-SUM('MDA1:NCA9'!AM$31)-SUM('MDA1:NCA9'!AM$32)-SUM('MDA1:NCA9'!AM$34))</f>
        <v>70406.274276485157</v>
      </c>
      <c r="AN49" s="12">
        <f>'Corp.'!AN$50*(AN$37-(AN31-AN32-AN34)*$C$35)/(SUM('MDA1:NCA9'!AN$37)-SUM('MDA1:NCA9'!AN$31)-SUM('MDA1:NCA9'!AN$32)-SUM('MDA1:NCA9'!AN$34))</f>
        <v>69353.495383390065</v>
      </c>
    </row>
    <row r="50" spans="2:40" x14ac:dyDescent="0.25">
      <c r="B50" s="1" t="s">
        <v>272</v>
      </c>
      <c r="E50" s="13" cm="1">
        <f t="array" ref="E50:AN50">_xlfn.BYCOL(_xlfn.VSTACK(_xlfn.ANCHORARRAY(E40),_xlfn.ANCHORARRAY(E42),_xlfn.ANCHORARRAY(E43),_xlfn.ANCHORARRAY(E45),_xlfn.ANCHORARRAY(E46),_xlfn.ANCHORARRAY(E47),_xlfn.ANCHORARRAY(E48),_xlfn.HSTACK(E49:AN49)),_xlfn.LAMBDA(_xlpm.a,SUM(_xlpm.a)))</f>
        <v>129000</v>
      </c>
      <c r="F50" s="13">
        <v>0</v>
      </c>
      <c r="G50" s="13">
        <v>103892.18988502774</v>
      </c>
      <c r="H50" s="13">
        <v>146857.69619252195</v>
      </c>
      <c r="I50" s="13">
        <v>177097.3676485754</v>
      </c>
      <c r="J50" s="13">
        <v>205747.79349111646</v>
      </c>
      <c r="K50" s="13">
        <v>232288.35640447942</v>
      </c>
      <c r="L50" s="13">
        <v>259519.37712952032</v>
      </c>
      <c r="M50" s="13">
        <v>284882.02734820003</v>
      </c>
      <c r="N50" s="13">
        <v>310041.9936425506</v>
      </c>
      <c r="O50" s="13">
        <v>333939.25570921088</v>
      </c>
      <c r="P50" s="13">
        <v>357652.95174232812</v>
      </c>
      <c r="Q50" s="13">
        <v>415005.82763407915</v>
      </c>
      <c r="R50" s="13">
        <v>441706.62481165782</v>
      </c>
      <c r="S50" s="13">
        <v>467318.35316155828</v>
      </c>
      <c r="T50" s="13">
        <v>487066.28303956066</v>
      </c>
      <c r="U50" s="13">
        <v>484811.88176209101</v>
      </c>
      <c r="V50" s="13">
        <v>483143.76345652092</v>
      </c>
      <c r="W50" s="13">
        <v>480668.32855196024</v>
      </c>
      <c r="X50" s="13">
        <v>478265.32648663118</v>
      </c>
      <c r="Y50" s="13">
        <v>476912.80639678513</v>
      </c>
      <c r="Z50" s="13">
        <v>475300.07833031623</v>
      </c>
      <c r="AA50" s="13">
        <v>473778.05675939017</v>
      </c>
      <c r="AB50" s="13">
        <v>472311.62537393201</v>
      </c>
      <c r="AC50" s="13">
        <v>513647.91248283337</v>
      </c>
      <c r="AD50" s="13">
        <v>512643.98136342986</v>
      </c>
      <c r="AE50" s="13">
        <v>511717.70122286549</v>
      </c>
      <c r="AF50" s="13">
        <v>510516.06124248391</v>
      </c>
      <c r="AG50" s="13">
        <v>509552.40187997301</v>
      </c>
      <c r="AH50" s="13">
        <v>508284.83002491551</v>
      </c>
      <c r="AI50" s="13">
        <v>506963.87186753505</v>
      </c>
      <c r="AJ50" s="13">
        <v>505610.46548155753</v>
      </c>
      <c r="AK50" s="13">
        <v>504360.762926995</v>
      </c>
      <c r="AL50" s="13">
        <v>503213.95996834431</v>
      </c>
      <c r="AM50" s="13">
        <v>501978.91035710095</v>
      </c>
      <c r="AN50" s="13">
        <v>500926.13146400586</v>
      </c>
    </row>
    <row r="52" spans="2:40" x14ac:dyDescent="0.25">
      <c r="B52" s="1" t="s">
        <v>48</v>
      </c>
      <c r="E52" s="74">
        <f>E37-E50</f>
        <v>-129000</v>
      </c>
      <c r="F52" s="74">
        <f t="shared" ref="F52:AN52" si="0">F37-F50</f>
        <v>0</v>
      </c>
      <c r="G52" s="74">
        <f t="shared" si="0"/>
        <v>-34868.667938361061</v>
      </c>
      <c r="H52" s="74">
        <f t="shared" si="0"/>
        <v>-31612.764965855269</v>
      </c>
      <c r="I52" s="74">
        <f t="shared" si="0"/>
        <v>-15631.027141908766</v>
      </c>
      <c r="J52" s="74">
        <f t="shared" si="0"/>
        <v>1939.9562955502188</v>
      </c>
      <c r="K52" s="74">
        <f t="shared" si="0"/>
        <v>21620.802662187198</v>
      </c>
      <c r="L52" s="74">
        <f t="shared" si="0"/>
        <v>40611.191217146261</v>
      </c>
      <c r="M52" s="74">
        <f t="shared" si="0"/>
        <v>61469.950278466567</v>
      </c>
      <c r="N52" s="74">
        <f t="shared" si="0"/>
        <v>82531.393264116079</v>
      </c>
      <c r="O52" s="74">
        <f t="shared" si="0"/>
        <v>104855.54047745571</v>
      </c>
      <c r="P52" s="74">
        <f t="shared" si="0"/>
        <v>127363.25372433854</v>
      </c>
      <c r="Q52" s="74">
        <f t="shared" si="0"/>
        <v>132168.9155549875</v>
      </c>
      <c r="R52" s="74">
        <f t="shared" si="0"/>
        <v>153076.16993580875</v>
      </c>
      <c r="S52" s="74">
        <f t="shared" si="0"/>
        <v>175072.49314430822</v>
      </c>
      <c r="T52" s="74">
        <f t="shared" si="0"/>
        <v>202932.61482470587</v>
      </c>
      <c r="U52" s="74">
        <f t="shared" si="0"/>
        <v>205187.01610217552</v>
      </c>
      <c r="V52" s="74">
        <f t="shared" si="0"/>
        <v>206855.13440774562</v>
      </c>
      <c r="W52" s="74">
        <f t="shared" si="0"/>
        <v>209330.5693123063</v>
      </c>
      <c r="X52" s="74">
        <f t="shared" si="0"/>
        <v>211733.57137763535</v>
      </c>
      <c r="Y52" s="74">
        <f t="shared" si="0"/>
        <v>213086.0914674814</v>
      </c>
      <c r="Z52" s="74">
        <f t="shared" si="0"/>
        <v>214698.8195339503</v>
      </c>
      <c r="AA52" s="74">
        <f t="shared" si="0"/>
        <v>216220.84110487637</v>
      </c>
      <c r="AB52" s="74">
        <f t="shared" si="0"/>
        <v>217687.27249033452</v>
      </c>
      <c r="AC52" s="74">
        <f t="shared" si="0"/>
        <v>176350.98538143316</v>
      </c>
      <c r="AD52" s="74">
        <f t="shared" si="0"/>
        <v>177354.91650083667</v>
      </c>
      <c r="AE52" s="74">
        <f t="shared" si="0"/>
        <v>178281.19664140104</v>
      </c>
      <c r="AF52" s="74">
        <f t="shared" si="0"/>
        <v>179482.83662178263</v>
      </c>
      <c r="AG52" s="74">
        <f t="shared" si="0"/>
        <v>180446.49598429352</v>
      </c>
      <c r="AH52" s="74">
        <f t="shared" si="0"/>
        <v>181714.06783935102</v>
      </c>
      <c r="AI52" s="74">
        <f t="shared" si="0"/>
        <v>183035.02599673148</v>
      </c>
      <c r="AJ52" s="74">
        <f t="shared" si="0"/>
        <v>184388.432382709</v>
      </c>
      <c r="AK52" s="74">
        <f t="shared" si="0"/>
        <v>185638.13493727153</v>
      </c>
      <c r="AL52" s="74">
        <f t="shared" si="0"/>
        <v>186784.93789592222</v>
      </c>
      <c r="AM52" s="74">
        <f t="shared" si="0"/>
        <v>188019.98750716558</v>
      </c>
      <c r="AN52" s="74">
        <f t="shared" si="0"/>
        <v>189072.76640026068</v>
      </c>
    </row>
    <row r="53" spans="2:40" x14ac:dyDescent="0.25">
      <c r="E53" s="105" t="str">
        <f>IFERROR(E52/E37,"")</f>
        <v/>
      </c>
      <c r="F53" s="105" t="str">
        <f t="shared" ref="F53:AN53" si="1">IFERROR(F52/F37,"")</f>
        <v/>
      </c>
      <c r="G53" s="105">
        <f t="shared" si="1"/>
        <v>-0.50517080199563702</v>
      </c>
      <c r="H53" s="105">
        <f t="shared" si="1"/>
        <v>-0.274309374211682</v>
      </c>
      <c r="I53" s="105">
        <f t="shared" si="1"/>
        <v>-9.6806722025531949E-2</v>
      </c>
      <c r="J53" s="105">
        <f t="shared" si="1"/>
        <v>9.3407352987497274E-3</v>
      </c>
      <c r="K53" s="105">
        <f t="shared" si="1"/>
        <v>8.5151724111340227E-2</v>
      </c>
      <c r="L53" s="105">
        <f t="shared" si="1"/>
        <v>0.13531174595397494</v>
      </c>
      <c r="M53" s="105">
        <f t="shared" si="1"/>
        <v>0.17747827138069683</v>
      </c>
      <c r="N53" s="105">
        <f t="shared" si="1"/>
        <v>0.21023175797634419</v>
      </c>
      <c r="O53" s="105">
        <f t="shared" si="1"/>
        <v>0.23896258886545541</v>
      </c>
      <c r="P53" s="105">
        <f t="shared" si="1"/>
        <v>0.26259587265088141</v>
      </c>
      <c r="Q53" s="105">
        <f t="shared" si="1"/>
        <v>0.24154790987733665</v>
      </c>
      <c r="R53" s="105">
        <f t="shared" si="1"/>
        <v>0.2573648250884627</v>
      </c>
      <c r="S53" s="105">
        <f t="shared" si="1"/>
        <v>0.27253267096049127</v>
      </c>
      <c r="T53" s="105">
        <f t="shared" si="1"/>
        <v>0.29410570865089392</v>
      </c>
      <c r="U53" s="105">
        <f t="shared" si="1"/>
        <v>0.29737296209788872</v>
      </c>
      <c r="V53" s="105">
        <f t="shared" si="1"/>
        <v>0.29979052872115924</v>
      </c>
      <c r="W53" s="105">
        <f t="shared" si="1"/>
        <v>0.30337812126981811</v>
      </c>
      <c r="X53" s="105">
        <f t="shared" si="1"/>
        <v>0.30686073852147894</v>
      </c>
      <c r="Y53" s="105">
        <f t="shared" si="1"/>
        <v>0.30882091569572151</v>
      </c>
      <c r="Z53" s="105">
        <f t="shared" si="1"/>
        <v>0.31115820648192527</v>
      </c>
      <c r="AA53" s="105">
        <f t="shared" si="1"/>
        <v>0.31336403836895743</v>
      </c>
      <c r="AB53" s="105">
        <f t="shared" si="1"/>
        <v>0.31548930464111696</v>
      </c>
      <c r="AC53" s="105">
        <f t="shared" si="1"/>
        <v>0.25558154647389614</v>
      </c>
      <c r="AD53" s="105">
        <f t="shared" si="1"/>
        <v>0.25703652143474165</v>
      </c>
      <c r="AE53" s="105">
        <f t="shared" si="1"/>
        <v>0.25837895856533921</v>
      </c>
      <c r="AF53" s="105">
        <f t="shared" si="1"/>
        <v>0.26012046856499427</v>
      </c>
      <c r="AG53" s="105">
        <f t="shared" si="1"/>
        <v>0.2615170785675518</v>
      </c>
      <c r="AH53" s="105">
        <f t="shared" si="1"/>
        <v>0.26335414216139369</v>
      </c>
      <c r="AI53" s="105">
        <f t="shared" si="1"/>
        <v>0.26526857733146308</v>
      </c>
      <c r="AJ53" s="105">
        <f t="shared" si="1"/>
        <v>0.26723003899490438</v>
      </c>
      <c r="AK53" s="105">
        <f t="shared" si="1"/>
        <v>0.26904120501043094</v>
      </c>
      <c r="AL53" s="105">
        <f t="shared" si="1"/>
        <v>0.27070324093860465</v>
      </c>
      <c r="AM53" s="105">
        <f t="shared" si="1"/>
        <v>0.2724931707704728</v>
      </c>
      <c r="AN53" s="105">
        <f t="shared" si="1"/>
        <v>0.27401893971931274</v>
      </c>
    </row>
    <row r="55" spans="2:40" x14ac:dyDescent="0.25">
      <c r="B55" t="s">
        <v>57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1421000</v>
      </c>
      <c r="D55" s="12">
        <f>C55-SUM(_xlfn.ANCHORARRAY(E55))</f>
        <v>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236833.33333333334</v>
      </c>
      <c r="F55" s="12">
        <v>236833.33333333334</v>
      </c>
      <c r="G55" s="12">
        <v>236833.33333333334</v>
      </c>
      <c r="H55" s="12">
        <v>236833.33333333334</v>
      </c>
      <c r="I55" s="12">
        <v>236833.33333333334</v>
      </c>
      <c r="J55" s="12">
        <v>236833.33333333334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</row>
    <row r="56" spans="2:40" x14ac:dyDescent="0.25">
      <c r="B56" t="s">
        <v>285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0</v>
      </c>
      <c r="F56" s="90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0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-48316.46536266667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-56513.219177333332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-72690.712425333302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-81965.853478666671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-90070.029701333304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-95863.135459999961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-102796.34685199996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-109729.55824400003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-116662.7696359999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-38086.373859999992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-45019.585251999983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-51952.796643999987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-58886.008035999999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-65819.219427999982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-72752.430819999994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-82076.211478359997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-89217.419212119989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-96358.626945879965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276</v>
      </c>
      <c r="E58" s="13">
        <f>E37-E50-E55+E56</f>
        <v>-365833.33333333337</v>
      </c>
      <c r="F58" s="13">
        <f t="shared" ref="F58:AN58" si="2">F37-F50-F55+F56</f>
        <v>-236833.33333333334</v>
      </c>
      <c r="G58" s="13">
        <f t="shared" si="2"/>
        <v>-320018.46663436107</v>
      </c>
      <c r="H58" s="13">
        <f t="shared" si="2"/>
        <v>-324959.31747652194</v>
      </c>
      <c r="I58" s="13">
        <f t="shared" si="2"/>
        <v>-325155.07290057541</v>
      </c>
      <c r="J58" s="13">
        <f t="shared" si="2"/>
        <v>-316859.23051644978</v>
      </c>
      <c r="K58" s="13">
        <f t="shared" si="2"/>
        <v>-68449.227039146106</v>
      </c>
      <c r="L58" s="13">
        <f t="shared" si="2"/>
        <v>-55251.9442428537</v>
      </c>
      <c r="M58" s="13">
        <f t="shared" si="2"/>
        <v>-41326.396573533391</v>
      </c>
      <c r="N58" s="13">
        <f t="shared" si="2"/>
        <v>-27198.16497988395</v>
      </c>
      <c r="O58" s="13">
        <f t="shared" si="2"/>
        <v>-11807.229158544185</v>
      </c>
      <c r="P58" s="13">
        <f t="shared" si="2"/>
        <v>89276.879864338553</v>
      </c>
      <c r="Q58" s="13">
        <f t="shared" si="2"/>
        <v>87149.33030298751</v>
      </c>
      <c r="R58" s="13">
        <f t="shared" si="2"/>
        <v>101123.37329180876</v>
      </c>
      <c r="S58" s="13">
        <f t="shared" si="2"/>
        <v>116186.48510830822</v>
      </c>
      <c r="T58" s="13">
        <f t="shared" si="2"/>
        <v>137113.39539670589</v>
      </c>
      <c r="U58" s="13">
        <f t="shared" si="2"/>
        <v>132434.58528217551</v>
      </c>
      <c r="V58" s="13">
        <f t="shared" si="2"/>
        <v>124778.92292938562</v>
      </c>
      <c r="W58" s="13">
        <f t="shared" si="2"/>
        <v>120113.15010018631</v>
      </c>
      <c r="X58" s="13">
        <f t="shared" si="2"/>
        <v>115374.94443175539</v>
      </c>
      <c r="Y58" s="13">
        <f t="shared" si="2"/>
        <v>109586.25678784143</v>
      </c>
      <c r="Z58" s="13">
        <f t="shared" si="2"/>
        <v>111198.98485431033</v>
      </c>
      <c r="AA58" s="13">
        <f t="shared" si="2"/>
        <v>112721.0064252364</v>
      </c>
      <c r="AB58" s="13">
        <f t="shared" si="2"/>
        <v>114187.43781069455</v>
      </c>
      <c r="AC58" s="13">
        <f t="shared" si="2"/>
        <v>72851.150701793187</v>
      </c>
      <c r="AD58" s="13">
        <f t="shared" si="2"/>
        <v>73855.081821196698</v>
      </c>
      <c r="AE58" s="13">
        <f t="shared" si="2"/>
        <v>74781.361961761068</v>
      </c>
      <c r="AF58" s="13">
        <f t="shared" si="2"/>
        <v>75983.001942142655</v>
      </c>
      <c r="AG58" s="13">
        <f t="shared" si="2"/>
        <v>76946.661304653549</v>
      </c>
      <c r="AH58" s="13">
        <f t="shared" si="2"/>
        <v>78214.233159711046</v>
      </c>
      <c r="AI58" s="13">
        <f t="shared" si="2"/>
        <v>79535.191317091507</v>
      </c>
      <c r="AJ58" s="13">
        <f t="shared" si="2"/>
        <v>80888.597703069026</v>
      </c>
      <c r="AK58" s="13">
        <f t="shared" si="2"/>
        <v>82138.300257631563</v>
      </c>
      <c r="AL58" s="13">
        <f t="shared" si="2"/>
        <v>83285.103216282252</v>
      </c>
      <c r="AM58" s="13">
        <f t="shared" si="2"/>
        <v>84520.152827525613</v>
      </c>
      <c r="AN58" s="13">
        <f t="shared" si="2"/>
        <v>85572.931720620705</v>
      </c>
    </row>
    <row r="59" spans="2:40" x14ac:dyDescent="0.25">
      <c r="B59" t="s">
        <v>277</v>
      </c>
      <c r="E59" s="12" cm="1">
        <f t="array" ref="E59:AN59">_xlfn.SCAN(-D55,E58:AN58,_xlfn.LAMBDA(_xlpm.capex,_xlpm.fcf,_xlpm.capex+_xlpm.fcf))</f>
        <v>-365833.33333333337</v>
      </c>
      <c r="F59" s="12">
        <v>-602666.66666666674</v>
      </c>
      <c r="G59" s="12">
        <v>-922685.13330102782</v>
      </c>
      <c r="H59" s="12">
        <v>-1247644.4507775498</v>
      </c>
      <c r="I59" s="12">
        <v>-1572799.5236781251</v>
      </c>
      <c r="J59" s="12">
        <v>-1889658.7541945749</v>
      </c>
      <c r="K59" s="12">
        <v>-1958107.9812337209</v>
      </c>
      <c r="L59" s="12">
        <v>-2013359.9254765746</v>
      </c>
      <c r="M59" s="12">
        <v>-2054686.3220501079</v>
      </c>
      <c r="N59" s="12">
        <v>-2081884.4870299918</v>
      </c>
      <c r="O59" s="12">
        <v>-2093691.716188536</v>
      </c>
      <c r="P59" s="12">
        <v>-2004414.8363241975</v>
      </c>
      <c r="Q59" s="12">
        <v>-1917265.50602121</v>
      </c>
      <c r="R59" s="12">
        <v>-1816142.1327294013</v>
      </c>
      <c r="S59" s="12">
        <v>-1699955.6476210931</v>
      </c>
      <c r="T59" s="12">
        <v>-1562842.2522243871</v>
      </c>
      <c r="U59" s="12">
        <v>-1430407.6669422116</v>
      </c>
      <c r="V59" s="12">
        <v>-1305628.7440128259</v>
      </c>
      <c r="W59" s="12">
        <v>-1185515.5939126397</v>
      </c>
      <c r="X59" s="12">
        <v>-1070140.6494808842</v>
      </c>
      <c r="Y59" s="12">
        <v>-960554.39269304276</v>
      </c>
      <c r="Z59" s="12">
        <v>-849355.40783873247</v>
      </c>
      <c r="AA59" s="12">
        <v>-736634.40141349612</v>
      </c>
      <c r="AB59" s="12">
        <v>-622446.96360280155</v>
      </c>
      <c r="AC59" s="12">
        <v>-549595.81290100841</v>
      </c>
      <c r="AD59" s="12">
        <v>-475740.7310798117</v>
      </c>
      <c r="AE59" s="12">
        <v>-400959.36911805061</v>
      </c>
      <c r="AF59" s="12">
        <v>-324976.36717590794</v>
      </c>
      <c r="AG59" s="12">
        <v>-248029.70587125438</v>
      </c>
      <c r="AH59" s="12">
        <v>-169815.47271154332</v>
      </c>
      <c r="AI59" s="12">
        <v>-90280.281394451813</v>
      </c>
      <c r="AJ59" s="12">
        <v>-9391.6836913827865</v>
      </c>
      <c r="AK59" s="12">
        <v>72746.616566248777</v>
      </c>
      <c r="AL59" s="12">
        <v>156031.71978253103</v>
      </c>
      <c r="AM59" s="12">
        <v>240551.87261005666</v>
      </c>
      <c r="AN59" s="12">
        <v>326124.80433067738</v>
      </c>
    </row>
    <row r="61" spans="2:40" x14ac:dyDescent="0.25">
      <c r="B61" s="1" t="s">
        <v>302</v>
      </c>
    </row>
    <row r="63" spans="2:40" x14ac:dyDescent="0.25">
      <c r="B63" s="39" t="s">
        <v>103</v>
      </c>
      <c r="E63" s="12" cm="1">
        <f t="array" ref="E63:AN63">_xlfn.LET(_xlpm.site,$B$1&amp;"-"&amp;$C$1,_xlpm.locations,Base!$D$4:$BD$4,_xlpm.rates,Base!$D$36:$BD$36,_xlpm.hours,Base!$D$79:$BD$79,_xlpm.comp,_xlpm.rates*_xlpm.hours,_xlpm.Customer,_xlfn.ANCHORARRAY($E$1),
_xlpm.Customer_comp,_xlfn.XLOOKUP(_xlpm.site,_xlpm.locations,_xlpm.comp,0,0),_xlpm.ann_incr,_xlfn.XLOOKUP(YEAR(_xlfn.ANCHORARRAY($E$25)),Base!$BJ$4:$BL$4,Base!$BJ$79:$BL$79,0,0),
_xlpm.bad_debt,_xlfn.XLOOKUP(_xlpm.site,_xlpm.locations,Base!$D$28:$BD$28,0,0),_xlpm.Customer_comp*_xlpm.Customer*_xlpm.bad_debt*_xlpm.ann_incr*(52/12)*(1-$C$35))</f>
        <v>0</v>
      </c>
      <c r="F63" s="12">
        <v>0</v>
      </c>
      <c r="G63" s="12">
        <v>2887.8263378764791</v>
      </c>
      <c r="H63" s="12">
        <v>5775.6526757529582</v>
      </c>
      <c r="I63" s="12">
        <v>8663.4790136294396</v>
      </c>
      <c r="J63" s="12">
        <v>11551.305351505916</v>
      </c>
      <c r="K63" s="12">
        <v>14439.131689382399</v>
      </c>
      <c r="L63" s="12">
        <v>17326.958027258879</v>
      </c>
      <c r="M63" s="12">
        <v>20214.784365135358</v>
      </c>
      <c r="N63" s="12">
        <v>23102.610703011833</v>
      </c>
      <c r="O63" s="12">
        <v>25990.437040888315</v>
      </c>
      <c r="P63" s="12">
        <v>28878.263378764797</v>
      </c>
      <c r="Q63" s="12">
        <v>32719.072408140517</v>
      </c>
      <c r="R63" s="12">
        <v>35693.533536153293</v>
      </c>
      <c r="S63" s="12">
        <v>38667.994664166064</v>
      </c>
      <c r="T63" s="12">
        <v>41642.455792178836</v>
      </c>
      <c r="U63" s="12">
        <v>41642.455792178836</v>
      </c>
      <c r="V63" s="12">
        <v>41642.455792178836</v>
      </c>
      <c r="W63" s="12">
        <v>41642.455792178836</v>
      </c>
      <c r="X63" s="12">
        <v>41642.455792178836</v>
      </c>
      <c r="Y63" s="12">
        <v>41642.455792178836</v>
      </c>
      <c r="Z63" s="12">
        <v>41642.455792178836</v>
      </c>
      <c r="AA63" s="12">
        <v>41642.455792178836</v>
      </c>
      <c r="AB63" s="12">
        <v>41642.455792178836</v>
      </c>
      <c r="AC63" s="12">
        <v>41642.455792178836</v>
      </c>
      <c r="AD63" s="12">
        <v>41642.455792178836</v>
      </c>
      <c r="AE63" s="12">
        <v>41642.455792178836</v>
      </c>
      <c r="AF63" s="12">
        <v>41642.455792178836</v>
      </c>
      <c r="AG63" s="12">
        <v>41642.455792178836</v>
      </c>
      <c r="AH63" s="12">
        <v>41642.455792178836</v>
      </c>
      <c r="AI63" s="12">
        <v>41642.455792178836</v>
      </c>
      <c r="AJ63" s="12">
        <v>41642.455792178836</v>
      </c>
      <c r="AK63" s="12">
        <v>41642.455792178836</v>
      </c>
      <c r="AL63" s="12">
        <v>41642.455792178836</v>
      </c>
      <c r="AM63" s="12">
        <v>41642.455792178836</v>
      </c>
      <c r="AN63" s="12">
        <v>41642.455792178836</v>
      </c>
    </row>
    <row r="64" spans="2:40" x14ac:dyDescent="0.25">
      <c r="B64" s="39" t="s">
        <v>104</v>
      </c>
      <c r="E64" s="12" cm="1">
        <f t="array" ref="E64:AN64">_xlfn.LET(_xlpm.site,$B$1&amp;"-"&amp;$C$1,_xlpm.locations,Base!$D$4:$BD$4,_xlpm.rates,Base!$D$37:$BD$37,_xlpm.hours,Base!$D$80:$BD$80,_xlpm.comp,_xlpm.rates*_xlpm.hours,_xlpm.Customer,_xlfn.ANCHORARRAY($E$1),
_xlpm.Customer_comp,_xlfn.XLOOKUP(_xlpm.site,_xlpm.locations,_xlpm.comp,0,0),_xlpm.ann_incr,_xlfn.XLOOKUP(YEAR(_xlfn.ANCHORARRAY($E$25)),Base!$BJ$4:$BL$4,Base!$BJ$80:$BL$80,0,0),
_xlpm.bad_debt,_xlfn.XLOOKUP(_xlpm.site,_xlpm.locations,Base!$D$28:$BD$28,0,0),_xlpm.Customer_comp*_xlpm.Customer*_xlpm.bad_debt*_xlpm.ann_incr*(52/12)*(1-$C$35))</f>
        <v>0</v>
      </c>
      <c r="F64" s="12">
        <v>0</v>
      </c>
      <c r="G64" s="12">
        <v>385.87127394816008</v>
      </c>
      <c r="H64" s="12">
        <v>771.74254789632016</v>
      </c>
      <c r="I64" s="12">
        <v>1157.6138218444801</v>
      </c>
      <c r="J64" s="12">
        <v>1543.4850957926403</v>
      </c>
      <c r="K64" s="12">
        <v>1929.3563697408006</v>
      </c>
      <c r="L64" s="12">
        <v>2315.2276436889601</v>
      </c>
      <c r="M64" s="12">
        <v>2701.0989176371204</v>
      </c>
      <c r="N64" s="12">
        <v>3086.9701915852806</v>
      </c>
      <c r="O64" s="12">
        <v>3472.8414655334409</v>
      </c>
      <c r="P64" s="12">
        <v>3858.7127394816011</v>
      </c>
      <c r="Q64" s="12">
        <v>4371.9215338326539</v>
      </c>
      <c r="R64" s="12">
        <v>4769.3689459992584</v>
      </c>
      <c r="S64" s="12">
        <v>5166.8163581658646</v>
      </c>
      <c r="T64" s="12">
        <v>5564.2637703324681</v>
      </c>
      <c r="U64" s="12">
        <v>5564.2637703324681</v>
      </c>
      <c r="V64" s="12">
        <v>5564.2637703324681</v>
      </c>
      <c r="W64" s="12">
        <v>5564.2637703324681</v>
      </c>
      <c r="X64" s="12">
        <v>5564.2637703324681</v>
      </c>
      <c r="Y64" s="12">
        <v>5564.2637703324681</v>
      </c>
      <c r="Z64" s="12">
        <v>5564.2637703324681</v>
      </c>
      <c r="AA64" s="12">
        <v>5564.2637703324681</v>
      </c>
      <c r="AB64" s="12">
        <v>5564.2637703324681</v>
      </c>
      <c r="AC64" s="12">
        <v>5564.2637703324681</v>
      </c>
      <c r="AD64" s="12">
        <v>5564.2637703324681</v>
      </c>
      <c r="AE64" s="12">
        <v>5564.2637703324681</v>
      </c>
      <c r="AF64" s="12">
        <v>5564.2637703324681</v>
      </c>
      <c r="AG64" s="12">
        <v>5564.2637703324681</v>
      </c>
      <c r="AH64" s="12">
        <v>5564.2637703324681</v>
      </c>
      <c r="AI64" s="12">
        <v>5564.2637703324681</v>
      </c>
      <c r="AJ64" s="12">
        <v>5564.2637703324681</v>
      </c>
      <c r="AK64" s="12">
        <v>5564.2637703324681</v>
      </c>
      <c r="AL64" s="12">
        <v>5564.2637703324681</v>
      </c>
      <c r="AM64" s="12">
        <v>5564.2637703324681</v>
      </c>
      <c r="AN64" s="12">
        <v>5564.2637703324681</v>
      </c>
    </row>
    <row r="65" spans="2:40" x14ac:dyDescent="0.25">
      <c r="B65" s="39" t="s">
        <v>56</v>
      </c>
      <c r="E65" s="12" cm="1">
        <f t="array" ref="E65:AN65">_xlfn.LET(_xlpm.site,$B$1&amp;"-"&amp;$C$1,_xlpm.locations,Base!$D$4:$BD$4,_xlpm.rates,Base!$D$39:$BD$39,_xlpm.hours,Base!$D$82:$BD$82,_xlpm.comp,_xlpm.rates*_xlpm.hours,_xlpm.Customer,_xlfn.ANCHORARRAY($E$1),
_xlpm.Customer_comp,_xlfn.XLOOKUP(_xlpm.site,_xlpm.locations,_xlpm.comp,0,0),_xlpm.ann_incr,_xlfn.XLOOKUP(YEAR(_xlfn.ANCHORARRAY($E$25)),Base!$BJ$4:$BL$4,Base!$BJ$82:$BL$82,0,0),
_xlpm.bad_debt,_xlfn.XLOOKUP(_xlpm.site,_xlpm.locations,Base!$D$28:$BD$28,0,0),_xlpm.Customer_comp*_xlpm.Customer*_xlpm.bad_debt*_xlpm.ann_incr*(52/12)*(1-$C$35))</f>
        <v>0</v>
      </c>
      <c r="F65" s="12">
        <v>0</v>
      </c>
      <c r="G65" s="12">
        <v>2346.7496455603195</v>
      </c>
      <c r="H65" s="12">
        <v>4693.4992911206391</v>
      </c>
      <c r="I65" s="12">
        <v>7040.2489366809596</v>
      </c>
      <c r="J65" s="12">
        <v>9386.9985822412782</v>
      </c>
      <c r="K65" s="12">
        <v>11733.7482278016</v>
      </c>
      <c r="L65" s="12">
        <v>14080.497873361919</v>
      </c>
      <c r="M65" s="12">
        <v>16427.247518922235</v>
      </c>
      <c r="N65" s="12">
        <v>18773.997164482556</v>
      </c>
      <c r="O65" s="12">
        <v>21120.746810042881</v>
      </c>
      <c r="P65" s="12">
        <v>23467.496455603199</v>
      </c>
      <c r="Q65" s="12">
        <v>26588.673484198422</v>
      </c>
      <c r="R65" s="12">
        <v>29005.82561912555</v>
      </c>
      <c r="S65" s="12">
        <v>31422.977754052685</v>
      </c>
      <c r="T65" s="12">
        <v>33840.129888979805</v>
      </c>
      <c r="U65" s="12">
        <v>33840.129888979805</v>
      </c>
      <c r="V65" s="12">
        <v>33840.129888979805</v>
      </c>
      <c r="W65" s="12">
        <v>33840.129888979805</v>
      </c>
      <c r="X65" s="12">
        <v>33840.129888979805</v>
      </c>
      <c r="Y65" s="12">
        <v>33840.129888979805</v>
      </c>
      <c r="Z65" s="12">
        <v>33840.129888979805</v>
      </c>
      <c r="AA65" s="12">
        <v>33840.129888979805</v>
      </c>
      <c r="AB65" s="12">
        <v>33840.129888979805</v>
      </c>
      <c r="AC65" s="12">
        <v>33840.129888979805</v>
      </c>
      <c r="AD65" s="12">
        <v>33840.129888979805</v>
      </c>
      <c r="AE65" s="12">
        <v>33840.129888979805</v>
      </c>
      <c r="AF65" s="12">
        <v>33840.129888979805</v>
      </c>
      <c r="AG65" s="12">
        <v>33840.129888979805</v>
      </c>
      <c r="AH65" s="12">
        <v>33840.129888979805</v>
      </c>
      <c r="AI65" s="12">
        <v>33840.129888979805</v>
      </c>
      <c r="AJ65" s="12">
        <v>33840.129888979805</v>
      </c>
      <c r="AK65" s="12">
        <v>33840.129888979805</v>
      </c>
      <c r="AL65" s="12">
        <v>33840.129888979805</v>
      </c>
      <c r="AM65" s="12">
        <v>33840.129888979805</v>
      </c>
      <c r="AN65" s="12">
        <v>33840.129888979805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303</v>
      </c>
      <c r="C67" s="12"/>
      <c r="E67" s="13" cm="1">
        <f t="array" ref="E67:AN67">_xlfn.BYCOL(_xlfn.VSTACK(_xlfn.ANCHORARRAY($E$63),_xlfn.ANCHORARRAY($E$64),_xlfn.ANCHORARRAY($E$65)),_xlfn.LAMBDA(_xlpm.a,SUM(_xlpm.a)))</f>
        <v>0</v>
      </c>
      <c r="F67" s="13">
        <v>0</v>
      </c>
      <c r="G67" s="13">
        <v>5620.4472573849589</v>
      </c>
      <c r="H67" s="13">
        <v>11240.894514769918</v>
      </c>
      <c r="I67" s="13">
        <v>16861.341772154879</v>
      </c>
      <c r="J67" s="13">
        <v>22481.789029539836</v>
      </c>
      <c r="K67" s="13">
        <v>28102.236286924799</v>
      </c>
      <c r="L67" s="13">
        <v>33722.683544309759</v>
      </c>
      <c r="M67" s="13">
        <v>39343.130801694715</v>
      </c>
      <c r="N67" s="13">
        <v>44963.578059079671</v>
      </c>
      <c r="O67" s="13">
        <v>50584.025316464642</v>
      </c>
      <c r="P67" s="13">
        <v>56204.472573849598</v>
      </c>
      <c r="Q67" s="13">
        <v>63679.667426171589</v>
      </c>
      <c r="R67" s="13">
        <v>69468.728101278102</v>
      </c>
      <c r="S67" s="13">
        <v>75257.788776384608</v>
      </c>
      <c r="T67" s="13">
        <v>81046.849451491114</v>
      </c>
      <c r="U67" s="13">
        <v>81046.849451491114</v>
      </c>
      <c r="V67" s="13">
        <v>81046.849451491114</v>
      </c>
      <c r="W67" s="13">
        <v>81046.849451491114</v>
      </c>
      <c r="X67" s="13">
        <v>81046.849451491114</v>
      </c>
      <c r="Y67" s="13">
        <v>81046.849451491114</v>
      </c>
      <c r="Z67" s="13">
        <v>81046.849451491114</v>
      </c>
      <c r="AA67" s="13">
        <v>81046.849451491114</v>
      </c>
      <c r="AB67" s="13">
        <v>81046.849451491114</v>
      </c>
      <c r="AC67" s="13">
        <v>81046.849451491114</v>
      </c>
      <c r="AD67" s="13">
        <v>81046.849451491114</v>
      </c>
      <c r="AE67" s="13">
        <v>81046.849451491114</v>
      </c>
      <c r="AF67" s="13">
        <v>81046.849451491114</v>
      </c>
      <c r="AG67" s="13">
        <v>81046.849451491114</v>
      </c>
      <c r="AH67" s="13">
        <v>81046.849451491114</v>
      </c>
      <c r="AI67" s="13">
        <v>81046.849451491114</v>
      </c>
      <c r="AJ67" s="13">
        <v>81046.849451491114</v>
      </c>
      <c r="AK67" s="13">
        <v>81046.849451491114</v>
      </c>
      <c r="AL67" s="13">
        <v>81046.849451491114</v>
      </c>
      <c r="AM67" s="13">
        <v>81046.849451491114</v>
      </c>
      <c r="AN67" s="13">
        <v>81046.849451491114</v>
      </c>
    </row>
    <row r="68" spans="2:40" x14ac:dyDescent="0.25">
      <c r="B68" s="39"/>
      <c r="C68" s="12"/>
    </row>
    <row r="69" spans="2:40" x14ac:dyDescent="0.25">
      <c r="B69" s="39" t="s">
        <v>304</v>
      </c>
      <c r="C69" s="12"/>
      <c r="E69" s="106" cm="1">
        <f t="array" ref="E69:AN70">_xlfn.LET(_xlpm.Customer_staff,_xlfn._xlws.FILTER(Base!$D$96:$BD$97,ISNUMBER(SEARCH($B$1&amp;"-"&amp;$C$1,Base!$D$4:$BD$4))),_xlpm.Customer,_xlfn.ANCHORARRAY($E$1),_xlpm.headcount,_xlpm.Customer/_xlpm.Customer_staff,
_xlpm.rounding,_xlfn.VSTACK(0,0),IFERROR(ROUND(_xlpm.headcount,_xlpm.rounding),0))</f>
        <v>0</v>
      </c>
      <c r="F69" s="106">
        <v>0</v>
      </c>
      <c r="G69" s="106">
        <v>0</v>
      </c>
      <c r="H69" s="106">
        <v>0</v>
      </c>
      <c r="I69" s="106">
        <v>0</v>
      </c>
      <c r="J69" s="106">
        <v>0</v>
      </c>
      <c r="K69" s="106">
        <v>0</v>
      </c>
      <c r="L69" s="106">
        <v>0</v>
      </c>
      <c r="M69" s="106">
        <v>1</v>
      </c>
      <c r="N69" s="106">
        <v>1</v>
      </c>
      <c r="O69" s="106">
        <v>1</v>
      </c>
      <c r="P69" s="106">
        <v>1</v>
      </c>
      <c r="Q69" s="106">
        <v>1</v>
      </c>
      <c r="R69" s="106">
        <v>1</v>
      </c>
      <c r="S69" s="106">
        <v>1</v>
      </c>
      <c r="T69" s="106">
        <v>1</v>
      </c>
      <c r="U69" s="106">
        <v>1</v>
      </c>
      <c r="V69" s="106">
        <v>1</v>
      </c>
      <c r="W69" s="106">
        <v>1</v>
      </c>
      <c r="X69" s="106">
        <v>1</v>
      </c>
      <c r="Y69" s="106">
        <v>1</v>
      </c>
      <c r="Z69" s="106">
        <v>1</v>
      </c>
      <c r="AA69" s="106">
        <v>1</v>
      </c>
      <c r="AB69" s="106">
        <v>1</v>
      </c>
      <c r="AC69" s="106">
        <v>1</v>
      </c>
      <c r="AD69" s="106">
        <v>1</v>
      </c>
      <c r="AE69" s="106">
        <v>1</v>
      </c>
      <c r="AF69" s="106">
        <v>1</v>
      </c>
      <c r="AG69" s="106">
        <v>1</v>
      </c>
      <c r="AH69" s="106">
        <v>1</v>
      </c>
      <c r="AI69" s="106">
        <v>1</v>
      </c>
      <c r="AJ69" s="106">
        <v>1</v>
      </c>
      <c r="AK69" s="106">
        <v>1</v>
      </c>
      <c r="AL69" s="106">
        <v>1</v>
      </c>
      <c r="AM69" s="106">
        <v>1</v>
      </c>
      <c r="AN69" s="106">
        <v>1</v>
      </c>
    </row>
    <row r="70" spans="2:40" x14ac:dyDescent="0.25">
      <c r="B70" s="39" t="s">
        <v>305</v>
      </c>
      <c r="C70" s="12"/>
      <c r="E70" s="106">
        <v>0</v>
      </c>
      <c r="F70" s="106">
        <v>0</v>
      </c>
      <c r="G70" s="106">
        <v>0</v>
      </c>
      <c r="H70" s="106">
        <v>0</v>
      </c>
      <c r="I70" s="106">
        <v>0</v>
      </c>
      <c r="J70" s="106">
        <v>0</v>
      </c>
      <c r="K70" s="106">
        <v>0</v>
      </c>
      <c r="L70" s="106">
        <v>0</v>
      </c>
      <c r="M70" s="106">
        <v>0</v>
      </c>
      <c r="N70" s="106">
        <v>1</v>
      </c>
      <c r="O70" s="106">
        <v>1</v>
      </c>
      <c r="P70" s="106">
        <v>1</v>
      </c>
      <c r="Q70" s="106">
        <v>1</v>
      </c>
      <c r="R70" s="106">
        <v>1</v>
      </c>
      <c r="S70" s="106">
        <v>1</v>
      </c>
      <c r="T70" s="106">
        <v>1</v>
      </c>
      <c r="U70" s="106">
        <v>1</v>
      </c>
      <c r="V70" s="106">
        <v>1</v>
      </c>
      <c r="W70" s="106">
        <v>1</v>
      </c>
      <c r="X70" s="106">
        <v>1</v>
      </c>
      <c r="Y70" s="106">
        <v>1</v>
      </c>
      <c r="Z70" s="106">
        <v>1</v>
      </c>
      <c r="AA70" s="106">
        <v>1</v>
      </c>
      <c r="AB70" s="106">
        <v>1</v>
      </c>
      <c r="AC70" s="106">
        <v>1</v>
      </c>
      <c r="AD70" s="106">
        <v>1</v>
      </c>
      <c r="AE70" s="106">
        <v>1</v>
      </c>
      <c r="AF70" s="106">
        <v>1</v>
      </c>
      <c r="AG70" s="106">
        <v>1</v>
      </c>
      <c r="AH70" s="106">
        <v>1</v>
      </c>
      <c r="AI70" s="106">
        <v>1</v>
      </c>
      <c r="AJ70" s="106">
        <v>1</v>
      </c>
      <c r="AK70" s="106">
        <v>1</v>
      </c>
      <c r="AL70" s="106">
        <v>1</v>
      </c>
      <c r="AM70" s="106">
        <v>1</v>
      </c>
      <c r="AN70" s="106">
        <v>1</v>
      </c>
    </row>
    <row r="71" spans="2:40" x14ac:dyDescent="0.25">
      <c r="B71" s="39"/>
      <c r="C71" s="12"/>
    </row>
    <row r="72" spans="2:40" x14ac:dyDescent="0.25">
      <c r="B72" s="39" t="s">
        <v>23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0</v>
      </c>
      <c r="F72" s="12">
        <v>0</v>
      </c>
      <c r="G72" s="12">
        <v>629.35619066995855</v>
      </c>
      <c r="H72" s="12">
        <v>1258.7123813399171</v>
      </c>
      <c r="I72" s="12">
        <v>1888.0685720098741</v>
      </c>
      <c r="J72" s="12">
        <v>2517.4247626798342</v>
      </c>
      <c r="K72" s="12">
        <v>3146.7809533497898</v>
      </c>
      <c r="L72" s="12">
        <v>3776.1371440197481</v>
      </c>
      <c r="M72" s="12">
        <v>18209.493334689705</v>
      </c>
      <c r="N72" s="12">
        <v>32642.849525359663</v>
      </c>
      <c r="O72" s="12">
        <v>33272.205716029617</v>
      </c>
      <c r="P72" s="12">
        <v>33901.561906699579</v>
      </c>
      <c r="Q72" s="12">
        <v>37984.009907106498</v>
      </c>
      <c r="R72" s="12">
        <v>38676.301716843453</v>
      </c>
      <c r="S72" s="12">
        <v>39368.5935265804</v>
      </c>
      <c r="T72" s="12">
        <v>40060.885336317362</v>
      </c>
      <c r="U72" s="12">
        <v>40060.885336317362</v>
      </c>
      <c r="V72" s="12">
        <v>40060.885336317362</v>
      </c>
      <c r="W72" s="12">
        <v>40060.885336317362</v>
      </c>
      <c r="X72" s="12">
        <v>40060.885336317362</v>
      </c>
      <c r="Y72" s="12">
        <v>40060.885336317362</v>
      </c>
      <c r="Z72" s="12">
        <v>40060.885336317362</v>
      </c>
      <c r="AA72" s="12">
        <v>40060.885336317362</v>
      </c>
      <c r="AB72" s="12">
        <v>40060.885336317362</v>
      </c>
      <c r="AC72" s="12">
        <v>44066.973869949092</v>
      </c>
      <c r="AD72" s="12">
        <v>44066.973869949092</v>
      </c>
      <c r="AE72" s="12">
        <v>44066.973869949092</v>
      </c>
      <c r="AF72" s="12">
        <v>44066.973869949092</v>
      </c>
      <c r="AG72" s="12">
        <v>44066.973869949092</v>
      </c>
      <c r="AH72" s="12">
        <v>44066.973869949092</v>
      </c>
      <c r="AI72" s="12">
        <v>44066.973869949092</v>
      </c>
      <c r="AJ72" s="12">
        <v>44066.973869949092</v>
      </c>
      <c r="AK72" s="12">
        <v>44066.973869949092</v>
      </c>
      <c r="AL72" s="12">
        <v>44066.973869949092</v>
      </c>
      <c r="AM72" s="12">
        <v>44066.973869949092</v>
      </c>
      <c r="AN72" s="12">
        <v>44066.973869949092</v>
      </c>
    </row>
    <row r="73" spans="2:40" x14ac:dyDescent="0.25">
      <c r="B73" s="39" t="s">
        <v>24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306</v>
      </c>
      <c r="E75" s="74" cm="1">
        <f t="array" ref="E75:AN75">_xlfn.ANCHORARRAY(E67)-_xlfn.ANCHORARRAY(E72)-_xlfn.ANCHORARRAY(E73)</f>
        <v>0</v>
      </c>
      <c r="F75" s="74">
        <v>0</v>
      </c>
      <c r="G75" s="74">
        <v>4991.0910667150001</v>
      </c>
      <c r="H75" s="74">
        <v>9982.1821334300002</v>
      </c>
      <c r="I75" s="74">
        <v>14973.273200145006</v>
      </c>
      <c r="J75" s="74">
        <v>19964.36426686</v>
      </c>
      <c r="K75" s="74">
        <v>24955.45533357501</v>
      </c>
      <c r="L75" s="74">
        <v>29946.546400290012</v>
      </c>
      <c r="M75" s="74">
        <v>21133.63746700501</v>
      </c>
      <c r="N75" s="74">
        <v>12320.728533720008</v>
      </c>
      <c r="O75" s="74">
        <v>17311.819600435025</v>
      </c>
      <c r="P75" s="74">
        <v>22302.910667150019</v>
      </c>
      <c r="Q75" s="74">
        <v>25695.657519065091</v>
      </c>
      <c r="R75" s="74">
        <v>30792.42638443465</v>
      </c>
      <c r="S75" s="74">
        <v>35889.195249804208</v>
      </c>
      <c r="T75" s="74">
        <v>40985.964115173752</v>
      </c>
      <c r="U75" s="74">
        <v>40985.964115173752</v>
      </c>
      <c r="V75" s="74">
        <v>40985.964115173752</v>
      </c>
      <c r="W75" s="74">
        <v>40985.964115173752</v>
      </c>
      <c r="X75" s="74">
        <v>40985.964115173752</v>
      </c>
      <c r="Y75" s="74">
        <v>40985.964115173752</v>
      </c>
      <c r="Z75" s="74">
        <v>40985.964115173752</v>
      </c>
      <c r="AA75" s="74">
        <v>40985.964115173752</v>
      </c>
      <c r="AB75" s="74">
        <v>40985.964115173752</v>
      </c>
      <c r="AC75" s="74">
        <v>36979.875581542023</v>
      </c>
      <c r="AD75" s="74">
        <v>36979.875581542023</v>
      </c>
      <c r="AE75" s="74">
        <v>36979.875581542023</v>
      </c>
      <c r="AF75" s="74">
        <v>36979.875581542023</v>
      </c>
      <c r="AG75" s="74">
        <v>36979.875581542023</v>
      </c>
      <c r="AH75" s="74">
        <v>36979.875581542023</v>
      </c>
      <c r="AI75" s="74">
        <v>36979.875581542023</v>
      </c>
      <c r="AJ75" s="74">
        <v>36979.875581542023</v>
      </c>
      <c r="AK75" s="74">
        <v>36979.875581542023</v>
      </c>
      <c r="AL75" s="74">
        <v>36979.875581542023</v>
      </c>
      <c r="AM75" s="74">
        <v>36979.875581542023</v>
      </c>
      <c r="AN75" s="74">
        <v>36979.875581542023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2FAF41-15D8-4F2D-82F0-7B18A0F50FCE}">
  <dimension ref="A1:AX75"/>
  <sheetViews>
    <sheetView workbookViewId="0">
      <pane xSplit="4" ySplit="25" topLeftCell="E41" activePane="bottomRight" state="frozen"/>
      <selection activeCell="E63" sqref="E63:E65"/>
      <selection pane="topRight" activeCell="E63" sqref="E63:E65"/>
      <selection pane="bottomLeft" activeCell="E63" sqref="E63:E65"/>
      <selection pane="bottomRight" activeCell="E63" sqref="E63:E65"/>
    </sheetView>
  </sheetViews>
  <sheetFormatPr defaultRowHeight="15" outlineLevelRow="1" x14ac:dyDescent="0.25"/>
  <cols>
    <col min="2" max="2" width="24.5703125" bestFit="1" customWidth="1"/>
    <col min="3" max="4" width="11.5703125" bestFit="1" customWidth="1"/>
    <col min="5" max="13" width="12.28515625" bestFit="1" customWidth="1"/>
    <col min="14" max="18" width="11.5703125" bestFit="1" customWidth="1"/>
    <col min="19" max="40" width="12.5703125" bestFit="1" customWidth="1"/>
  </cols>
  <sheetData>
    <row r="1" spans="1:40" x14ac:dyDescent="0.25">
      <c r="A1" s="96" t="str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/>
      </c>
      <c r="B1" s="10" t="s">
        <v>424</v>
      </c>
      <c r="C1" s="16" t="s">
        <v>344</v>
      </c>
      <c r="D1" s="3" t="s">
        <v>307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IFERROR(_xlpm.kiddos,0))</f>
        <v>0</v>
      </c>
      <c r="F1" s="69">
        <v>0</v>
      </c>
      <c r="G1" s="69">
        <v>0</v>
      </c>
      <c r="H1" s="69">
        <v>1</v>
      </c>
      <c r="I1" s="69">
        <v>3</v>
      </c>
      <c r="J1" s="69">
        <v>5</v>
      </c>
      <c r="K1" s="69">
        <v>6</v>
      </c>
      <c r="L1" s="69">
        <v>8</v>
      </c>
      <c r="M1" s="69">
        <v>10</v>
      </c>
      <c r="N1" s="69">
        <v>12</v>
      </c>
      <c r="O1" s="69">
        <v>13</v>
      </c>
      <c r="P1" s="69">
        <v>15</v>
      </c>
      <c r="Q1" s="69">
        <v>17</v>
      </c>
      <c r="R1" s="69">
        <v>18</v>
      </c>
      <c r="S1" s="69">
        <v>20</v>
      </c>
      <c r="T1" s="69">
        <v>22</v>
      </c>
      <c r="U1" s="69">
        <v>24</v>
      </c>
      <c r="V1" s="69">
        <v>24</v>
      </c>
      <c r="W1" s="69">
        <v>24</v>
      </c>
      <c r="X1" s="69">
        <v>24</v>
      </c>
      <c r="Y1" s="69">
        <v>24</v>
      </c>
      <c r="Z1" s="69">
        <v>24</v>
      </c>
      <c r="AA1" s="69">
        <v>24</v>
      </c>
      <c r="AB1" s="69">
        <v>24</v>
      </c>
      <c r="AC1" s="69">
        <v>24</v>
      </c>
      <c r="AD1" s="69">
        <v>24</v>
      </c>
      <c r="AE1" s="69">
        <v>24</v>
      </c>
      <c r="AF1" s="69">
        <v>24</v>
      </c>
      <c r="AG1" s="69">
        <v>24</v>
      </c>
      <c r="AH1" s="69">
        <v>24</v>
      </c>
      <c r="AI1" s="69">
        <v>24</v>
      </c>
      <c r="AJ1" s="69">
        <v>24</v>
      </c>
      <c r="AK1" s="69">
        <v>24</v>
      </c>
      <c r="AL1" s="69">
        <v>24</v>
      </c>
      <c r="AM1" s="69">
        <v>24</v>
      </c>
      <c r="AN1" s="69">
        <v>24</v>
      </c>
    </row>
    <row r="2" spans="1:40" x14ac:dyDescent="0.25">
      <c r="A2" s="65"/>
      <c r="B2" s="3" t="str">
        <f>_xlfn.XLOOKUP($B$1&amp;"-"&amp;$C$1,Base!$D$4:$BD$4,Base!$D$2:$BD$2,"",0)</f>
        <v>New Jersey</v>
      </c>
      <c r="C2" s="55"/>
      <c r="D2" s="55" t="s">
        <v>259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0</v>
      </c>
      <c r="F2" s="69">
        <v>0</v>
      </c>
      <c r="G2" s="69">
        <v>0</v>
      </c>
      <c r="H2" s="69">
        <v>0</v>
      </c>
      <c r="I2" s="69">
        <v>1.8809523809523809</v>
      </c>
      <c r="J2" s="69">
        <v>2.0476190476190474</v>
      </c>
      <c r="K2" s="69">
        <v>2.2142857142857144</v>
      </c>
      <c r="L2" s="69">
        <v>2.3809523809523809</v>
      </c>
      <c r="M2" s="69">
        <v>2.5476190476190474</v>
      </c>
      <c r="N2" s="69">
        <v>2.7142857142857144</v>
      </c>
      <c r="O2" s="69">
        <v>2.8809523809523809</v>
      </c>
      <c r="P2" s="69">
        <v>3.0476190476190474</v>
      </c>
      <c r="Q2" s="69">
        <v>3.2142857142857144</v>
      </c>
      <c r="R2" s="69">
        <v>3.3809523809523809</v>
      </c>
      <c r="S2" s="69">
        <v>3.5476190476190474</v>
      </c>
      <c r="T2" s="69">
        <v>3.7142857142857144</v>
      </c>
      <c r="U2" s="69">
        <v>2</v>
      </c>
      <c r="V2" s="69">
        <v>2</v>
      </c>
      <c r="W2" s="69">
        <v>2</v>
      </c>
      <c r="X2" s="69">
        <v>2</v>
      </c>
      <c r="Y2" s="69">
        <v>2</v>
      </c>
      <c r="Z2" s="69">
        <v>2</v>
      </c>
      <c r="AA2" s="69">
        <v>2</v>
      </c>
      <c r="AB2" s="69">
        <v>2</v>
      </c>
      <c r="AC2" s="69">
        <v>2</v>
      </c>
      <c r="AD2" s="69">
        <v>2</v>
      </c>
      <c r="AE2" s="69">
        <v>2</v>
      </c>
      <c r="AF2" s="69">
        <v>2</v>
      </c>
      <c r="AG2" s="69">
        <v>2</v>
      </c>
      <c r="AH2" s="69">
        <v>2</v>
      </c>
      <c r="AI2" s="69">
        <v>2</v>
      </c>
      <c r="AJ2" s="69">
        <v>2</v>
      </c>
      <c r="AK2" s="69">
        <v>2</v>
      </c>
      <c r="AL2" s="69">
        <v>2</v>
      </c>
      <c r="AM2" s="69">
        <v>2</v>
      </c>
      <c r="AN2" s="69">
        <v>2</v>
      </c>
    </row>
    <row r="3" spans="1:40" x14ac:dyDescent="0.25">
      <c r="A3" s="65"/>
      <c r="B3" s="55"/>
      <c r="C3" s="55"/>
      <c r="D3" s="55" t="s">
        <v>62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_xlpm.months_since,DATEDIF(_xlpm.launchdate,_xlfn.ANCHORARRAY($E$25),"m"),_xlfn.BYCOL(_xlpm.months_since,_xlfn.LAMBDA(_xlpm.a,IFERROR(MIN(_xlpm.a/6,_xlpm.max_kiddos),0))))</f>
        <v>0</v>
      </c>
      <c r="F3" s="69">
        <v>0</v>
      </c>
      <c r="G3" s="69">
        <v>0</v>
      </c>
      <c r="H3" s="69">
        <v>0</v>
      </c>
      <c r="I3" s="69">
        <v>0.16666666666666666</v>
      </c>
      <c r="J3" s="69">
        <v>0.33333333333333331</v>
      </c>
      <c r="K3" s="69">
        <v>0.5</v>
      </c>
      <c r="L3" s="69">
        <v>0.66666666666666663</v>
      </c>
      <c r="M3" s="69">
        <v>0.83333333333333337</v>
      </c>
      <c r="N3" s="69">
        <v>1</v>
      </c>
      <c r="O3" s="69">
        <v>1.1666666666666667</v>
      </c>
      <c r="P3" s="69">
        <v>1.3333333333333333</v>
      </c>
      <c r="Q3" s="69">
        <v>1.5</v>
      </c>
      <c r="R3" s="69">
        <v>1.6666666666666667</v>
      </c>
      <c r="S3" s="69">
        <v>1.8333333333333333</v>
      </c>
      <c r="T3" s="69">
        <v>2</v>
      </c>
      <c r="U3" s="69">
        <v>2</v>
      </c>
      <c r="V3" s="69">
        <v>2</v>
      </c>
      <c r="W3" s="69">
        <v>2</v>
      </c>
      <c r="X3" s="69">
        <v>2</v>
      </c>
      <c r="Y3" s="69">
        <v>2</v>
      </c>
      <c r="Z3" s="69">
        <v>2</v>
      </c>
      <c r="AA3" s="69">
        <v>2</v>
      </c>
      <c r="AB3" s="69">
        <v>2</v>
      </c>
      <c r="AC3" s="69">
        <v>2</v>
      </c>
      <c r="AD3" s="69">
        <v>2</v>
      </c>
      <c r="AE3" s="69">
        <v>2</v>
      </c>
      <c r="AF3" s="69">
        <v>2</v>
      </c>
      <c r="AG3" s="69">
        <v>2</v>
      </c>
      <c r="AH3" s="69">
        <v>2</v>
      </c>
      <c r="AI3" s="69">
        <v>2</v>
      </c>
      <c r="AJ3" s="69">
        <v>2</v>
      </c>
      <c r="AK3" s="69">
        <v>2</v>
      </c>
      <c r="AL3" s="69">
        <v>2</v>
      </c>
      <c r="AM3" s="69">
        <v>2</v>
      </c>
      <c r="AN3" s="69">
        <v>2</v>
      </c>
    </row>
    <row r="4" spans="1:40" x14ac:dyDescent="0.25">
      <c r="A4" s="65"/>
      <c r="B4" s="55"/>
      <c r="C4" s="55"/>
      <c r="D4" s="55" t="s">
        <v>260</v>
      </c>
      <c r="E4" s="69" cm="1">
        <f t="array" ref="E4:AN4">_xlfn.BYCOL(_xlfn.VSTACK(_xlfn.ANCHORARRAY($E$1),_xlfn.ANCHORARRAY($E$2)),_xlfn.LAMBDA(_xlpm.a,SUM(_xlpm.a)))</f>
        <v>0</v>
      </c>
      <c r="F4" s="69">
        <v>0</v>
      </c>
      <c r="G4" s="69">
        <v>0</v>
      </c>
      <c r="H4" s="69">
        <v>1</v>
      </c>
      <c r="I4" s="69">
        <v>4.8809523809523814</v>
      </c>
      <c r="J4" s="69">
        <v>7.0476190476190474</v>
      </c>
      <c r="K4" s="69">
        <v>8.2142857142857153</v>
      </c>
      <c r="L4" s="69">
        <v>10.380952380952381</v>
      </c>
      <c r="M4" s="69">
        <v>12.547619047619047</v>
      </c>
      <c r="N4" s="69">
        <v>14.714285714285715</v>
      </c>
      <c r="O4" s="69">
        <v>15.880952380952381</v>
      </c>
      <c r="P4" s="69">
        <v>18.047619047619047</v>
      </c>
      <c r="Q4" s="69">
        <v>20.214285714285715</v>
      </c>
      <c r="R4" s="69">
        <v>21.38095238095238</v>
      </c>
      <c r="S4" s="69">
        <v>23.547619047619047</v>
      </c>
      <c r="T4" s="69">
        <v>25.714285714285715</v>
      </c>
      <c r="U4" s="69">
        <v>26</v>
      </c>
      <c r="V4" s="69">
        <v>26</v>
      </c>
      <c r="W4" s="69">
        <v>26</v>
      </c>
      <c r="X4" s="69">
        <v>26</v>
      </c>
      <c r="Y4" s="69">
        <v>26</v>
      </c>
      <c r="Z4" s="69">
        <v>26</v>
      </c>
      <c r="AA4" s="69">
        <v>26</v>
      </c>
      <c r="AB4" s="69">
        <v>26</v>
      </c>
      <c r="AC4" s="69">
        <v>26</v>
      </c>
      <c r="AD4" s="69">
        <v>26</v>
      </c>
      <c r="AE4" s="69">
        <v>26</v>
      </c>
      <c r="AF4" s="69">
        <v>26</v>
      </c>
      <c r="AG4" s="69">
        <v>26</v>
      </c>
      <c r="AH4" s="69">
        <v>26</v>
      </c>
      <c r="AI4" s="69">
        <v>26</v>
      </c>
      <c r="AJ4" s="69">
        <v>26</v>
      </c>
      <c r="AK4" s="69">
        <v>26</v>
      </c>
      <c r="AL4" s="69">
        <v>26</v>
      </c>
      <c r="AM4" s="69">
        <v>26</v>
      </c>
      <c r="AN4" s="69">
        <v>26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107</v>
      </c>
      <c r="C6" s="3"/>
      <c r="D6" s="3"/>
      <c r="E6" s="66" cm="1">
        <f t="array" ref="E6:AN6">ROUND(_xlfn.BYCOL(_xlfn.ANCHORARRAY(E7),_xlfn.LAMBDA(_xlpm.a,SUM(_xlpm.a))),0)</f>
        <v>0</v>
      </c>
      <c r="F6" s="66">
        <v>0</v>
      </c>
      <c r="G6" s="66">
        <v>0</v>
      </c>
      <c r="H6" s="66">
        <v>2</v>
      </c>
      <c r="I6" s="66">
        <v>4</v>
      </c>
      <c r="J6" s="66">
        <v>5</v>
      </c>
      <c r="K6" s="66">
        <v>6</v>
      </c>
      <c r="L6" s="66">
        <v>7</v>
      </c>
      <c r="M6" s="66">
        <v>8</v>
      </c>
      <c r="N6" s="66">
        <v>9</v>
      </c>
      <c r="O6" s="66">
        <v>10</v>
      </c>
      <c r="P6" s="66">
        <v>11</v>
      </c>
      <c r="Q6" s="66">
        <v>12</v>
      </c>
      <c r="R6" s="66">
        <v>13</v>
      </c>
      <c r="S6" s="66">
        <v>14</v>
      </c>
      <c r="T6" s="66">
        <v>15</v>
      </c>
      <c r="U6" s="66">
        <v>15</v>
      </c>
      <c r="V6" s="66">
        <v>15</v>
      </c>
      <c r="W6" s="66">
        <v>15</v>
      </c>
      <c r="X6" s="66">
        <v>15</v>
      </c>
      <c r="Y6" s="66">
        <v>15</v>
      </c>
      <c r="Z6" s="66">
        <v>15</v>
      </c>
      <c r="AA6" s="66">
        <v>15</v>
      </c>
      <c r="AB6" s="66">
        <v>15</v>
      </c>
      <c r="AC6" s="66">
        <v>15</v>
      </c>
      <c r="AD6" s="66">
        <v>15</v>
      </c>
      <c r="AE6" s="66">
        <v>15</v>
      </c>
      <c r="AF6" s="66">
        <v>15</v>
      </c>
      <c r="AG6" s="66">
        <v>15</v>
      </c>
      <c r="AH6" s="66">
        <v>15</v>
      </c>
      <c r="AI6" s="66">
        <v>15</v>
      </c>
      <c r="AJ6" s="66">
        <v>15</v>
      </c>
      <c r="AK6" s="66">
        <v>15</v>
      </c>
      <c r="AL6" s="66">
        <v>15</v>
      </c>
      <c r="AM6" s="66">
        <v>15</v>
      </c>
      <c r="AN6" s="66">
        <v>15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1"/>
      <c r="E7" s="106" cm="1">
        <f t="array" ref="E7:AN20">_xlfn.LET(_xlpm.Customer_staff,_xlfn._xlws.FILTER(Base!$D$85:$BD$98,ISNUMBER(SEARCH($B$1&amp;"-"&amp;$C$1,Base!$D$4:$BD$4))),_xlpm.Customer,_xlfn.ANCHORARRAY($E$1),_xlpm.headcount,_xlpm.Customer/_xlpm.Customer_staff,
_xlpm.patient_staff,_xlfn.ANCHORARRAY($E$2)/_xlpm.Customer_staff,_xlpm.prim_staff_tr_rec,_xlfn.ANCHORARRAY($E$2)/_xlfn.CHOOSEROWS(_xlpm.Customer_staff,{7,8})+(_xlfn.ANCHORARRAY($E$1)*0.0055),_xlpm.rounding,_xlfn.VSTACK(2,2,0,0,2,2,2,2,2,2,2,0,0,0),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prim_staff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0</v>
      </c>
      <c r="F7" s="106">
        <v>0</v>
      </c>
      <c r="G7" s="106">
        <v>0</v>
      </c>
      <c r="H7" s="106">
        <v>0.44</v>
      </c>
      <c r="I7" s="106">
        <v>1.3</v>
      </c>
      <c r="J7" s="106">
        <v>2.1599999999999997</v>
      </c>
      <c r="K7" s="106">
        <v>2.59</v>
      </c>
      <c r="L7" s="106">
        <v>3.46</v>
      </c>
      <c r="M7" s="106">
        <v>4.3199999999999994</v>
      </c>
      <c r="N7" s="106">
        <v>5.18</v>
      </c>
      <c r="O7" s="106">
        <v>5.6099999999999994</v>
      </c>
      <c r="P7" s="106">
        <v>6.4799999999999995</v>
      </c>
      <c r="Q7" s="106">
        <v>7.34</v>
      </c>
      <c r="R7" s="106">
        <v>7.77</v>
      </c>
      <c r="S7" s="106">
        <v>8.629999999999999</v>
      </c>
      <c r="T7" s="106">
        <v>9.5</v>
      </c>
      <c r="U7" s="106">
        <v>10.36</v>
      </c>
      <c r="V7" s="106">
        <v>10.36</v>
      </c>
      <c r="W7" s="106">
        <v>10.36</v>
      </c>
      <c r="X7" s="106">
        <v>10.36</v>
      </c>
      <c r="Y7" s="106">
        <v>10.36</v>
      </c>
      <c r="Z7" s="106">
        <v>10.36</v>
      </c>
      <c r="AA7" s="106">
        <v>10.36</v>
      </c>
      <c r="AB7" s="106">
        <v>10.36</v>
      </c>
      <c r="AC7" s="106">
        <v>10.36</v>
      </c>
      <c r="AD7" s="106">
        <v>10.36</v>
      </c>
      <c r="AE7" s="106">
        <v>10.36</v>
      </c>
      <c r="AF7" s="106">
        <v>10.36</v>
      </c>
      <c r="AG7" s="106">
        <v>10.36</v>
      </c>
      <c r="AH7" s="106">
        <v>10.36</v>
      </c>
      <c r="AI7" s="106">
        <v>10.36</v>
      </c>
      <c r="AJ7" s="106">
        <v>10.36</v>
      </c>
      <c r="AK7" s="106">
        <v>10.36</v>
      </c>
      <c r="AL7" s="106">
        <v>10.36</v>
      </c>
      <c r="AM7" s="106">
        <v>10.36</v>
      </c>
      <c r="AN7" s="106">
        <v>10.36</v>
      </c>
    </row>
    <row r="8" spans="1:40" hidden="1" outlineLevel="1" x14ac:dyDescent="0.25">
      <c r="B8" s="39" t="str">
        <v>Secondary Direct Staff</v>
      </c>
      <c r="C8" s="3"/>
      <c r="D8" s="3"/>
      <c r="E8" s="106">
        <v>0</v>
      </c>
      <c r="F8" s="106">
        <v>0</v>
      </c>
      <c r="G8" s="106">
        <v>0</v>
      </c>
      <c r="H8" s="106">
        <v>9.9999999999999992E-2</v>
      </c>
      <c r="I8" s="106">
        <v>0.28000000000000003</v>
      </c>
      <c r="J8" s="106">
        <v>0.46</v>
      </c>
      <c r="K8" s="106">
        <v>0.55000000000000004</v>
      </c>
      <c r="L8" s="106">
        <v>0.73</v>
      </c>
      <c r="M8" s="106">
        <v>0.91</v>
      </c>
      <c r="N8" s="106">
        <v>1.1000000000000001</v>
      </c>
      <c r="O8" s="106">
        <v>1.19</v>
      </c>
      <c r="P8" s="106">
        <v>1.37</v>
      </c>
      <c r="Q8" s="106">
        <v>1.55</v>
      </c>
      <c r="R8" s="106">
        <v>1.64</v>
      </c>
      <c r="S8" s="106">
        <v>1.82</v>
      </c>
      <c r="T8" s="106">
        <v>2</v>
      </c>
      <c r="U8" s="106">
        <v>2.19</v>
      </c>
      <c r="V8" s="106">
        <v>2.19</v>
      </c>
      <c r="W8" s="106">
        <v>2.19</v>
      </c>
      <c r="X8" s="106">
        <v>2.19</v>
      </c>
      <c r="Y8" s="106">
        <v>2.19</v>
      </c>
      <c r="Z8" s="106">
        <v>2.19</v>
      </c>
      <c r="AA8" s="106">
        <v>2.19</v>
      </c>
      <c r="AB8" s="106">
        <v>2.19</v>
      </c>
      <c r="AC8" s="106">
        <v>2.19</v>
      </c>
      <c r="AD8" s="106">
        <v>2.19</v>
      </c>
      <c r="AE8" s="106">
        <v>2.19</v>
      </c>
      <c r="AF8" s="106">
        <v>2.19</v>
      </c>
      <c r="AG8" s="106">
        <v>2.19</v>
      </c>
      <c r="AH8" s="106">
        <v>2.19</v>
      </c>
      <c r="AI8" s="106">
        <v>2.19</v>
      </c>
      <c r="AJ8" s="106">
        <v>2.19</v>
      </c>
      <c r="AK8" s="106">
        <v>2.19</v>
      </c>
      <c r="AL8" s="106">
        <v>2.19</v>
      </c>
      <c r="AM8" s="106">
        <v>2.19</v>
      </c>
      <c r="AN8" s="106">
        <v>2.19</v>
      </c>
    </row>
    <row r="9" spans="1:40" hidden="1" outlineLevel="1" x14ac:dyDescent="0.25">
      <c r="B9" s="39" t="str">
        <v>Center Manager</v>
      </c>
      <c r="C9" s="3"/>
      <c r="D9" s="3"/>
      <c r="E9" s="106">
        <v>0</v>
      </c>
      <c r="F9" s="106">
        <v>0</v>
      </c>
      <c r="G9" s="106">
        <v>0</v>
      </c>
      <c r="H9" s="106">
        <v>1</v>
      </c>
      <c r="I9" s="106">
        <v>1</v>
      </c>
      <c r="J9" s="106">
        <v>1</v>
      </c>
      <c r="K9" s="106">
        <v>1</v>
      </c>
      <c r="L9" s="106">
        <v>1</v>
      </c>
      <c r="M9" s="106">
        <v>1</v>
      </c>
      <c r="N9" s="106">
        <v>1</v>
      </c>
      <c r="O9" s="106">
        <v>1</v>
      </c>
      <c r="P9" s="106">
        <v>1</v>
      </c>
      <c r="Q9" s="106">
        <v>1</v>
      </c>
      <c r="R9" s="106">
        <v>1</v>
      </c>
      <c r="S9" s="106">
        <v>1</v>
      </c>
      <c r="T9" s="106">
        <v>1</v>
      </c>
      <c r="U9" s="106">
        <v>1</v>
      </c>
      <c r="V9" s="106">
        <v>1</v>
      </c>
      <c r="W9" s="106">
        <v>1</v>
      </c>
      <c r="X9" s="106">
        <v>1</v>
      </c>
      <c r="Y9" s="106">
        <v>1</v>
      </c>
      <c r="Z9" s="106">
        <v>1</v>
      </c>
      <c r="AA9" s="106">
        <v>1</v>
      </c>
      <c r="AB9" s="106">
        <v>1</v>
      </c>
      <c r="AC9" s="106">
        <v>1</v>
      </c>
      <c r="AD9" s="106">
        <v>1</v>
      </c>
      <c r="AE9" s="106">
        <v>1</v>
      </c>
      <c r="AF9" s="106">
        <v>1</v>
      </c>
      <c r="AG9" s="106">
        <v>1</v>
      </c>
      <c r="AH9" s="106">
        <v>1</v>
      </c>
      <c r="AI9" s="106">
        <v>1</v>
      </c>
      <c r="AJ9" s="106">
        <v>1</v>
      </c>
      <c r="AK9" s="106">
        <v>1</v>
      </c>
      <c r="AL9" s="106">
        <v>1</v>
      </c>
      <c r="AM9" s="106">
        <v>1</v>
      </c>
      <c r="AN9" s="106">
        <v>1</v>
      </c>
    </row>
    <row r="10" spans="1:40" hidden="1" outlineLevel="1" x14ac:dyDescent="0.25">
      <c r="B10" s="39" t="str">
        <v>Intake</v>
      </c>
      <c r="C10" s="3"/>
      <c r="D10" s="3"/>
      <c r="E10" s="106">
        <v>0</v>
      </c>
      <c r="F10" s="106">
        <v>0</v>
      </c>
      <c r="G10" s="106">
        <v>0</v>
      </c>
      <c r="H10" s="106">
        <v>0</v>
      </c>
      <c r="I10" s="106">
        <v>1</v>
      </c>
      <c r="J10" s="106">
        <v>1</v>
      </c>
      <c r="K10" s="106">
        <v>1</v>
      </c>
      <c r="L10" s="106">
        <v>1</v>
      </c>
      <c r="M10" s="106">
        <v>1</v>
      </c>
      <c r="N10" s="106">
        <v>1</v>
      </c>
      <c r="O10" s="106">
        <v>1</v>
      </c>
      <c r="P10" s="106">
        <v>1</v>
      </c>
      <c r="Q10" s="106">
        <v>1</v>
      </c>
      <c r="R10" s="106">
        <v>1</v>
      </c>
      <c r="S10" s="106">
        <v>1</v>
      </c>
      <c r="T10" s="106">
        <v>1</v>
      </c>
      <c r="U10" s="106">
        <v>1</v>
      </c>
      <c r="V10" s="106">
        <v>1</v>
      </c>
      <c r="W10" s="106">
        <v>1</v>
      </c>
      <c r="X10" s="106">
        <v>1</v>
      </c>
      <c r="Y10" s="106">
        <v>1</v>
      </c>
      <c r="Z10" s="106">
        <v>1</v>
      </c>
      <c r="AA10" s="106">
        <v>1</v>
      </c>
      <c r="AB10" s="106">
        <v>1</v>
      </c>
      <c r="AC10" s="106">
        <v>1</v>
      </c>
      <c r="AD10" s="106">
        <v>1</v>
      </c>
      <c r="AE10" s="106">
        <v>1</v>
      </c>
      <c r="AF10" s="106">
        <v>1</v>
      </c>
      <c r="AG10" s="106">
        <v>1</v>
      </c>
      <c r="AH10" s="106">
        <v>1</v>
      </c>
      <c r="AI10" s="106">
        <v>1</v>
      </c>
      <c r="AJ10" s="106">
        <v>1</v>
      </c>
      <c r="AK10" s="106">
        <v>1</v>
      </c>
      <c r="AL10" s="106">
        <v>1</v>
      </c>
      <c r="AM10" s="106">
        <v>1</v>
      </c>
      <c r="AN10" s="106">
        <v>1</v>
      </c>
    </row>
    <row r="11" spans="1:40" hidden="1" outlineLevel="1" x14ac:dyDescent="0.25">
      <c r="B11" s="39" t="str">
        <v>Scheduler</v>
      </c>
      <c r="C11" s="3"/>
      <c r="D11" s="3"/>
      <c r="E11" s="106">
        <v>0</v>
      </c>
      <c r="F11" s="106">
        <v>0</v>
      </c>
      <c r="G11" s="106">
        <v>0</v>
      </c>
      <c r="H11" s="106">
        <v>0</v>
      </c>
      <c r="I11" s="106">
        <v>0</v>
      </c>
      <c r="J11" s="106">
        <v>0</v>
      </c>
      <c r="K11" s="106">
        <v>0</v>
      </c>
      <c r="L11" s="106">
        <v>0</v>
      </c>
      <c r="M11" s="106">
        <v>0</v>
      </c>
      <c r="N11" s="106">
        <v>0</v>
      </c>
      <c r="O11" s="106">
        <v>0</v>
      </c>
      <c r="P11" s="106">
        <v>0</v>
      </c>
      <c r="Q11" s="106">
        <v>0</v>
      </c>
      <c r="R11" s="106">
        <v>0</v>
      </c>
      <c r="S11" s="106">
        <v>0</v>
      </c>
      <c r="T11" s="106">
        <v>0</v>
      </c>
      <c r="U11" s="106">
        <v>0</v>
      </c>
      <c r="V11" s="106">
        <v>0</v>
      </c>
      <c r="W11" s="106">
        <v>0</v>
      </c>
      <c r="X11" s="106">
        <v>0</v>
      </c>
      <c r="Y11" s="106">
        <v>0</v>
      </c>
      <c r="Z11" s="106">
        <v>0</v>
      </c>
      <c r="AA11" s="106">
        <v>0</v>
      </c>
      <c r="AB11" s="106">
        <v>0</v>
      </c>
      <c r="AC11" s="106">
        <v>0</v>
      </c>
      <c r="AD11" s="106">
        <v>0</v>
      </c>
      <c r="AE11" s="106">
        <v>0</v>
      </c>
      <c r="AF11" s="106">
        <v>0</v>
      </c>
      <c r="AG11" s="106">
        <v>0</v>
      </c>
      <c r="AH11" s="106">
        <v>0</v>
      </c>
      <c r="AI11" s="106">
        <v>0</v>
      </c>
      <c r="AJ11" s="106">
        <v>0</v>
      </c>
      <c r="AK11" s="106">
        <v>0</v>
      </c>
      <c r="AL11" s="106">
        <v>0</v>
      </c>
      <c r="AM11" s="106">
        <v>0</v>
      </c>
      <c r="AN11" s="106">
        <v>0</v>
      </c>
    </row>
    <row r="12" spans="1:40" hidden="1" outlineLevel="1" x14ac:dyDescent="0.25">
      <c r="B12" s="39" t="str">
        <v>Initial Consultation Expert</v>
      </c>
      <c r="C12" s="3"/>
      <c r="D12" s="3"/>
      <c r="E12" s="106">
        <v>0</v>
      </c>
      <c r="F12" s="106">
        <v>0</v>
      </c>
      <c r="G12" s="106">
        <v>0</v>
      </c>
      <c r="H12" s="106">
        <v>0</v>
      </c>
      <c r="I12" s="106">
        <v>0.15000000000000002</v>
      </c>
      <c r="J12" s="106">
        <v>0.16</v>
      </c>
      <c r="K12" s="106">
        <v>0.18000000000000002</v>
      </c>
      <c r="L12" s="106">
        <v>0.19</v>
      </c>
      <c r="M12" s="106">
        <v>0.2</v>
      </c>
      <c r="N12" s="106">
        <v>0.21000000000000002</v>
      </c>
      <c r="O12" s="106">
        <v>0.23</v>
      </c>
      <c r="P12" s="106">
        <v>0.24000000000000002</v>
      </c>
      <c r="Q12" s="106">
        <v>0.25</v>
      </c>
      <c r="R12" s="106">
        <v>0.27</v>
      </c>
      <c r="S12" s="106">
        <v>0.28000000000000003</v>
      </c>
      <c r="T12" s="106">
        <v>0.29000000000000004</v>
      </c>
      <c r="U12" s="106">
        <v>0.16</v>
      </c>
      <c r="V12" s="106">
        <v>0.16</v>
      </c>
      <c r="W12" s="106">
        <v>0.16</v>
      </c>
      <c r="X12" s="106">
        <v>0.16</v>
      </c>
      <c r="Y12" s="106">
        <v>0.16</v>
      </c>
      <c r="Z12" s="106">
        <v>0.16</v>
      </c>
      <c r="AA12" s="106">
        <v>0.16</v>
      </c>
      <c r="AB12" s="106">
        <v>0.16</v>
      </c>
      <c r="AC12" s="106">
        <v>0.16</v>
      </c>
      <c r="AD12" s="106">
        <v>0.16</v>
      </c>
      <c r="AE12" s="106">
        <v>0.16</v>
      </c>
      <c r="AF12" s="106">
        <v>0.16</v>
      </c>
      <c r="AG12" s="106">
        <v>0.16</v>
      </c>
      <c r="AH12" s="106">
        <v>0.16</v>
      </c>
      <c r="AI12" s="106">
        <v>0.16</v>
      </c>
      <c r="AJ12" s="106">
        <v>0.16</v>
      </c>
      <c r="AK12" s="106">
        <v>0.16</v>
      </c>
      <c r="AL12" s="106">
        <v>0.16</v>
      </c>
      <c r="AM12" s="106">
        <v>0.16</v>
      </c>
      <c r="AN12" s="106">
        <v>0.16</v>
      </c>
    </row>
    <row r="13" spans="1:40" hidden="1" outlineLevel="1" x14ac:dyDescent="0.25">
      <c r="B13" s="39" t="str">
        <v>Trainer</v>
      </c>
      <c r="C13" s="3"/>
      <c r="D13" s="3"/>
      <c r="E13" s="106">
        <v>0</v>
      </c>
      <c r="F13" s="106">
        <v>0</v>
      </c>
      <c r="G13" s="106">
        <v>0</v>
      </c>
      <c r="H13" s="106">
        <v>0.01</v>
      </c>
      <c r="I13" s="106">
        <v>0.21000000000000002</v>
      </c>
      <c r="J13" s="106">
        <v>0.24000000000000002</v>
      </c>
      <c r="K13" s="106">
        <v>0.26</v>
      </c>
      <c r="L13" s="106">
        <v>0.29000000000000004</v>
      </c>
      <c r="M13" s="106">
        <v>0.31</v>
      </c>
      <c r="N13" s="106">
        <v>0.34</v>
      </c>
      <c r="O13" s="106">
        <v>0.36</v>
      </c>
      <c r="P13" s="106">
        <v>0.39</v>
      </c>
      <c r="Q13" s="106">
        <v>0.42</v>
      </c>
      <c r="R13" s="106">
        <v>0.44</v>
      </c>
      <c r="S13" s="106">
        <v>0.47000000000000003</v>
      </c>
      <c r="T13" s="106">
        <v>0.5</v>
      </c>
      <c r="U13" s="106">
        <v>0.34</v>
      </c>
      <c r="V13" s="106">
        <v>0.34</v>
      </c>
      <c r="W13" s="106">
        <v>0.34</v>
      </c>
      <c r="X13" s="106">
        <v>0.34</v>
      </c>
      <c r="Y13" s="106">
        <v>0.34</v>
      </c>
      <c r="Z13" s="106">
        <v>0.34</v>
      </c>
      <c r="AA13" s="106">
        <v>0.34</v>
      </c>
      <c r="AB13" s="106">
        <v>0.34</v>
      </c>
      <c r="AC13" s="106">
        <v>0.34</v>
      </c>
      <c r="AD13" s="106">
        <v>0.34</v>
      </c>
      <c r="AE13" s="106">
        <v>0.34</v>
      </c>
      <c r="AF13" s="106">
        <v>0.34</v>
      </c>
      <c r="AG13" s="106">
        <v>0.34</v>
      </c>
      <c r="AH13" s="106">
        <v>0.34</v>
      </c>
      <c r="AI13" s="106">
        <v>0.34</v>
      </c>
      <c r="AJ13" s="106">
        <v>0.34</v>
      </c>
      <c r="AK13" s="106">
        <v>0.34</v>
      </c>
      <c r="AL13" s="106">
        <v>0.34</v>
      </c>
      <c r="AM13" s="106">
        <v>0.34</v>
      </c>
      <c r="AN13" s="106">
        <v>0.34</v>
      </c>
    </row>
    <row r="14" spans="1:40" hidden="1" outlineLevel="1" x14ac:dyDescent="0.25">
      <c r="B14" s="39" t="str">
        <v>Recruiter</v>
      </c>
      <c r="C14" s="3"/>
      <c r="D14" s="3"/>
      <c r="E14" s="106">
        <v>0</v>
      </c>
      <c r="F14" s="106">
        <v>0</v>
      </c>
      <c r="G14" s="106">
        <v>0</v>
      </c>
      <c r="H14" s="106">
        <v>0.01</v>
      </c>
      <c r="I14" s="106">
        <v>0.12</v>
      </c>
      <c r="J14" s="106">
        <v>0.13</v>
      </c>
      <c r="K14" s="106">
        <v>0.15000000000000002</v>
      </c>
      <c r="L14" s="106">
        <v>0.17</v>
      </c>
      <c r="M14" s="106">
        <v>0.19</v>
      </c>
      <c r="N14" s="106">
        <v>0.21000000000000002</v>
      </c>
      <c r="O14" s="106">
        <v>0.22</v>
      </c>
      <c r="P14" s="106">
        <v>0.24000000000000002</v>
      </c>
      <c r="Q14" s="106">
        <v>0.26</v>
      </c>
      <c r="R14" s="106">
        <v>0.27</v>
      </c>
      <c r="S14" s="106">
        <v>0.29000000000000004</v>
      </c>
      <c r="T14" s="106">
        <v>0.31</v>
      </c>
      <c r="U14" s="106">
        <v>0.24000000000000002</v>
      </c>
      <c r="V14" s="106">
        <v>0.24000000000000002</v>
      </c>
      <c r="W14" s="106">
        <v>0.24000000000000002</v>
      </c>
      <c r="X14" s="106">
        <v>0.24000000000000002</v>
      </c>
      <c r="Y14" s="106">
        <v>0.24000000000000002</v>
      </c>
      <c r="Z14" s="106">
        <v>0.24000000000000002</v>
      </c>
      <c r="AA14" s="106">
        <v>0.24000000000000002</v>
      </c>
      <c r="AB14" s="106">
        <v>0.24000000000000002</v>
      </c>
      <c r="AC14" s="106">
        <v>0.24000000000000002</v>
      </c>
      <c r="AD14" s="106">
        <v>0.24000000000000002</v>
      </c>
      <c r="AE14" s="106">
        <v>0.24000000000000002</v>
      </c>
      <c r="AF14" s="106">
        <v>0.24000000000000002</v>
      </c>
      <c r="AG14" s="106">
        <v>0.24000000000000002</v>
      </c>
      <c r="AH14" s="106">
        <v>0.24000000000000002</v>
      </c>
      <c r="AI14" s="106">
        <v>0.24000000000000002</v>
      </c>
      <c r="AJ14" s="106">
        <v>0.24000000000000002</v>
      </c>
      <c r="AK14" s="106">
        <v>0.24000000000000002</v>
      </c>
      <c r="AL14" s="106">
        <v>0.24000000000000002</v>
      </c>
      <c r="AM14" s="106">
        <v>0.24000000000000002</v>
      </c>
      <c r="AN14" s="106">
        <v>0.24000000000000002</v>
      </c>
    </row>
    <row r="15" spans="1:40" hidden="1" outlineLevel="1" x14ac:dyDescent="0.25">
      <c r="B15" s="39" t="str">
        <v>Center Director / Remote Site Director</v>
      </c>
      <c r="C15" s="3"/>
      <c r="D15" s="3"/>
      <c r="E15" s="106">
        <v>0</v>
      </c>
      <c r="F15" s="106">
        <v>0</v>
      </c>
      <c r="G15" s="106">
        <v>0</v>
      </c>
      <c r="H15" s="106">
        <v>0.01</v>
      </c>
      <c r="I15" s="106">
        <v>0.02</v>
      </c>
      <c r="J15" s="106">
        <v>0.02</v>
      </c>
      <c r="K15" s="106">
        <v>0.03</v>
      </c>
      <c r="L15" s="106">
        <v>0.04</v>
      </c>
      <c r="M15" s="106">
        <v>0.04</v>
      </c>
      <c r="N15" s="106">
        <v>0.05</v>
      </c>
      <c r="O15" s="106">
        <v>6.0000000000000005E-2</v>
      </c>
      <c r="P15" s="106">
        <v>0.06</v>
      </c>
      <c r="Q15" s="106">
        <v>6.9999999999999993E-2</v>
      </c>
      <c r="R15" s="106">
        <v>0.08</v>
      </c>
      <c r="S15" s="106">
        <v>0.08</v>
      </c>
      <c r="T15" s="106">
        <v>0.09</v>
      </c>
      <c r="U15" s="106">
        <v>9.9999999999999992E-2</v>
      </c>
      <c r="V15" s="106">
        <v>9.9999999999999992E-2</v>
      </c>
      <c r="W15" s="106">
        <v>9.9999999999999992E-2</v>
      </c>
      <c r="X15" s="106">
        <v>9.9999999999999992E-2</v>
      </c>
      <c r="Y15" s="106">
        <v>9.9999999999999992E-2</v>
      </c>
      <c r="Z15" s="106">
        <v>9.9999999999999992E-2</v>
      </c>
      <c r="AA15" s="106">
        <v>9.9999999999999992E-2</v>
      </c>
      <c r="AB15" s="106">
        <v>9.9999999999999992E-2</v>
      </c>
      <c r="AC15" s="106">
        <v>9.9999999999999992E-2</v>
      </c>
      <c r="AD15" s="106">
        <v>9.9999999999999992E-2</v>
      </c>
      <c r="AE15" s="106">
        <v>9.9999999999999992E-2</v>
      </c>
      <c r="AF15" s="106">
        <v>9.9999999999999992E-2</v>
      </c>
      <c r="AG15" s="106">
        <v>9.9999999999999992E-2</v>
      </c>
      <c r="AH15" s="106">
        <v>9.9999999999999992E-2</v>
      </c>
      <c r="AI15" s="106">
        <v>9.9999999999999992E-2</v>
      </c>
      <c r="AJ15" s="106">
        <v>9.9999999999999992E-2</v>
      </c>
      <c r="AK15" s="106">
        <v>9.9999999999999992E-2</v>
      </c>
      <c r="AL15" s="106">
        <v>9.9999999999999992E-2</v>
      </c>
      <c r="AM15" s="106">
        <v>9.9999999999999992E-2</v>
      </c>
      <c r="AN15" s="106">
        <v>9.9999999999999992E-2</v>
      </c>
    </row>
    <row r="16" spans="1:40" hidden="1" outlineLevel="1" x14ac:dyDescent="0.25">
      <c r="B16" s="39" t="str">
        <v>Center Marketing Outreach</v>
      </c>
      <c r="C16" s="3"/>
      <c r="D16" s="3"/>
      <c r="E16" s="106">
        <v>0</v>
      </c>
      <c r="F16" s="106">
        <v>0</v>
      </c>
      <c r="G16" s="106">
        <v>0</v>
      </c>
      <c r="H16" s="106">
        <v>0.01</v>
      </c>
      <c r="I16" s="106">
        <v>0.02</v>
      </c>
      <c r="J16" s="106">
        <v>0.02</v>
      </c>
      <c r="K16" s="106">
        <v>0.03</v>
      </c>
      <c r="L16" s="106">
        <v>0.04</v>
      </c>
      <c r="M16" s="106">
        <v>0.04</v>
      </c>
      <c r="N16" s="106">
        <v>0.05</v>
      </c>
      <c r="O16" s="106">
        <v>6.0000000000000005E-2</v>
      </c>
      <c r="P16" s="106">
        <v>0.06</v>
      </c>
      <c r="Q16" s="106">
        <v>6.9999999999999993E-2</v>
      </c>
      <c r="R16" s="106">
        <v>0.08</v>
      </c>
      <c r="S16" s="106">
        <v>0.08</v>
      </c>
      <c r="T16" s="106">
        <v>0.09</v>
      </c>
      <c r="U16" s="106">
        <v>9.9999999999999992E-2</v>
      </c>
      <c r="V16" s="106">
        <v>9.9999999999999992E-2</v>
      </c>
      <c r="W16" s="106">
        <v>9.9999999999999992E-2</v>
      </c>
      <c r="X16" s="106">
        <v>9.9999999999999992E-2</v>
      </c>
      <c r="Y16" s="106">
        <v>9.9999999999999992E-2</v>
      </c>
      <c r="Z16" s="106">
        <v>9.9999999999999992E-2</v>
      </c>
      <c r="AA16" s="106">
        <v>9.9999999999999992E-2</v>
      </c>
      <c r="AB16" s="106">
        <v>9.9999999999999992E-2</v>
      </c>
      <c r="AC16" s="106">
        <v>9.9999999999999992E-2</v>
      </c>
      <c r="AD16" s="106">
        <v>9.9999999999999992E-2</v>
      </c>
      <c r="AE16" s="106">
        <v>9.9999999999999992E-2</v>
      </c>
      <c r="AF16" s="106">
        <v>9.9999999999999992E-2</v>
      </c>
      <c r="AG16" s="106">
        <v>9.9999999999999992E-2</v>
      </c>
      <c r="AH16" s="106">
        <v>9.9999999999999992E-2</v>
      </c>
      <c r="AI16" s="106">
        <v>9.9999999999999992E-2</v>
      </c>
      <c r="AJ16" s="106">
        <v>9.9999999999999992E-2</v>
      </c>
      <c r="AK16" s="106">
        <v>9.9999999999999992E-2</v>
      </c>
      <c r="AL16" s="106">
        <v>9.9999999999999992E-2</v>
      </c>
      <c r="AM16" s="106">
        <v>9.9999999999999992E-2</v>
      </c>
      <c r="AN16" s="106">
        <v>9.9999999999999992E-2</v>
      </c>
    </row>
    <row r="17" spans="2:50" hidden="1" outlineLevel="1" x14ac:dyDescent="0.25">
      <c r="B17" s="39" t="str">
        <v>Primary Direct Staff Lead</v>
      </c>
      <c r="C17" s="3"/>
      <c r="D17" s="3"/>
      <c r="E17" s="106">
        <v>0</v>
      </c>
      <c r="F17" s="106">
        <v>0</v>
      </c>
      <c r="G17" s="106">
        <v>0</v>
      </c>
      <c r="H17" s="106">
        <v>0</v>
      </c>
      <c r="I17" s="106">
        <v>0</v>
      </c>
      <c r="J17" s="106">
        <v>0</v>
      </c>
      <c r="K17" s="106">
        <v>0</v>
      </c>
      <c r="L17" s="106">
        <v>0</v>
      </c>
      <c r="M17" s="106">
        <v>0</v>
      </c>
      <c r="N17" s="106">
        <v>0</v>
      </c>
      <c r="O17" s="106">
        <v>0</v>
      </c>
      <c r="P17" s="106">
        <v>0</v>
      </c>
      <c r="Q17" s="106">
        <v>0</v>
      </c>
      <c r="R17" s="106">
        <v>0</v>
      </c>
      <c r="S17" s="106">
        <v>0</v>
      </c>
      <c r="T17" s="106">
        <v>0</v>
      </c>
      <c r="U17" s="106">
        <v>0</v>
      </c>
      <c r="V17" s="106">
        <v>0</v>
      </c>
      <c r="W17" s="106">
        <v>0</v>
      </c>
      <c r="X17" s="106">
        <v>0</v>
      </c>
      <c r="Y17" s="106">
        <v>0</v>
      </c>
      <c r="Z17" s="106">
        <v>0</v>
      </c>
      <c r="AA17" s="106">
        <v>0</v>
      </c>
      <c r="AB17" s="106">
        <v>0</v>
      </c>
      <c r="AC17" s="106">
        <v>0</v>
      </c>
      <c r="AD17" s="106">
        <v>0</v>
      </c>
      <c r="AE17" s="106">
        <v>0</v>
      </c>
      <c r="AF17" s="106">
        <v>0</v>
      </c>
      <c r="AG17" s="106">
        <v>0</v>
      </c>
      <c r="AH17" s="106">
        <v>0</v>
      </c>
      <c r="AI17" s="106">
        <v>0</v>
      </c>
      <c r="AJ17" s="106">
        <v>0</v>
      </c>
      <c r="AK17" s="106">
        <v>0</v>
      </c>
      <c r="AL17" s="106">
        <v>0</v>
      </c>
      <c r="AM17" s="106">
        <v>0</v>
      </c>
      <c r="AN17" s="106">
        <v>0</v>
      </c>
    </row>
    <row r="18" spans="2:50" hidden="1" outlineLevel="1" x14ac:dyDescent="0.25">
      <c r="B18" s="39" t="str">
        <v>Tertiary Direct Staff</v>
      </c>
      <c r="C18" s="3"/>
      <c r="D18" s="3"/>
      <c r="E18" s="106">
        <v>0</v>
      </c>
      <c r="F18" s="106">
        <v>0</v>
      </c>
      <c r="G18" s="106">
        <v>0</v>
      </c>
      <c r="H18" s="106">
        <v>0</v>
      </c>
      <c r="I18" s="106">
        <v>0</v>
      </c>
      <c r="J18" s="106">
        <v>0</v>
      </c>
      <c r="K18" s="106">
        <v>0</v>
      </c>
      <c r="L18" s="106">
        <v>0</v>
      </c>
      <c r="M18" s="106">
        <v>0</v>
      </c>
      <c r="N18" s="106">
        <v>0</v>
      </c>
      <c r="O18" s="106">
        <v>0</v>
      </c>
      <c r="P18" s="106">
        <v>0</v>
      </c>
      <c r="Q18" s="106">
        <v>0</v>
      </c>
      <c r="R18" s="106">
        <v>0</v>
      </c>
      <c r="S18" s="106">
        <v>0</v>
      </c>
      <c r="T18" s="106">
        <v>0</v>
      </c>
      <c r="U18" s="106">
        <v>0</v>
      </c>
      <c r="V18" s="106">
        <v>0</v>
      </c>
      <c r="W18" s="106">
        <v>0</v>
      </c>
      <c r="X18" s="106">
        <v>0</v>
      </c>
      <c r="Y18" s="106">
        <v>0</v>
      </c>
      <c r="Z18" s="106">
        <v>0</v>
      </c>
      <c r="AA18" s="106">
        <v>0</v>
      </c>
      <c r="AB18" s="106">
        <v>0</v>
      </c>
      <c r="AC18" s="106">
        <v>0</v>
      </c>
      <c r="AD18" s="106">
        <v>0</v>
      </c>
      <c r="AE18" s="106">
        <v>0</v>
      </c>
      <c r="AF18" s="106">
        <v>0</v>
      </c>
      <c r="AG18" s="106">
        <v>0</v>
      </c>
      <c r="AH18" s="106">
        <v>0</v>
      </c>
      <c r="AI18" s="106">
        <v>0</v>
      </c>
      <c r="AJ18" s="106">
        <v>0</v>
      </c>
      <c r="AK18" s="106">
        <v>0</v>
      </c>
      <c r="AL18" s="106">
        <v>0</v>
      </c>
      <c r="AM18" s="106">
        <v>0</v>
      </c>
      <c r="AN18" s="106">
        <v>0</v>
      </c>
    </row>
    <row r="19" spans="2:50" hidden="1" outlineLevel="1" x14ac:dyDescent="0.25">
      <c r="B19" s="39" t="str">
        <v>Quinary Direct Staff</v>
      </c>
      <c r="C19" s="3"/>
      <c r="D19" s="3"/>
      <c r="E19" s="106">
        <v>0</v>
      </c>
      <c r="F19" s="106">
        <v>0</v>
      </c>
      <c r="G19" s="106">
        <v>0</v>
      </c>
      <c r="H19" s="106">
        <v>0</v>
      </c>
      <c r="I19" s="106">
        <v>0</v>
      </c>
      <c r="J19" s="106">
        <v>0</v>
      </c>
      <c r="K19" s="106">
        <v>0</v>
      </c>
      <c r="L19" s="106">
        <v>0</v>
      </c>
      <c r="M19" s="106">
        <v>0</v>
      </c>
      <c r="N19" s="106">
        <v>0</v>
      </c>
      <c r="O19" s="106">
        <v>0</v>
      </c>
      <c r="P19" s="106">
        <v>0</v>
      </c>
      <c r="Q19" s="106">
        <v>0</v>
      </c>
      <c r="R19" s="106">
        <v>0</v>
      </c>
      <c r="S19" s="106">
        <v>0</v>
      </c>
      <c r="T19" s="106">
        <v>0</v>
      </c>
      <c r="U19" s="106">
        <v>0</v>
      </c>
      <c r="V19" s="106">
        <v>0</v>
      </c>
      <c r="W19" s="106">
        <v>0</v>
      </c>
      <c r="X19" s="106">
        <v>0</v>
      </c>
      <c r="Y19" s="106">
        <v>0</v>
      </c>
      <c r="Z19" s="106">
        <v>0</v>
      </c>
      <c r="AA19" s="106">
        <v>0</v>
      </c>
      <c r="AB19" s="106">
        <v>0</v>
      </c>
      <c r="AC19" s="106">
        <v>0</v>
      </c>
      <c r="AD19" s="106">
        <v>0</v>
      </c>
      <c r="AE19" s="106">
        <v>0</v>
      </c>
      <c r="AF19" s="106">
        <v>0</v>
      </c>
      <c r="AG19" s="106">
        <v>0</v>
      </c>
      <c r="AH19" s="106">
        <v>0</v>
      </c>
      <c r="AI19" s="106">
        <v>0</v>
      </c>
      <c r="AJ19" s="106">
        <v>0</v>
      </c>
      <c r="AK19" s="106">
        <v>0</v>
      </c>
      <c r="AL19" s="106">
        <v>0</v>
      </c>
      <c r="AM19" s="106">
        <v>0</v>
      </c>
      <c r="AN19" s="106">
        <v>0</v>
      </c>
    </row>
    <row r="20" spans="2:50" hidden="1" outlineLevel="1" x14ac:dyDescent="0.25">
      <c r="B20" s="39" t="str">
        <v>Quaternary Direct Staff</v>
      </c>
      <c r="C20" s="3"/>
      <c r="D20" s="3"/>
      <c r="E20" s="106">
        <v>0</v>
      </c>
      <c r="F20" s="106">
        <v>0</v>
      </c>
      <c r="G20" s="106">
        <v>0</v>
      </c>
      <c r="H20" s="106">
        <v>0</v>
      </c>
      <c r="I20" s="106">
        <v>0</v>
      </c>
      <c r="J20" s="106">
        <v>0</v>
      </c>
      <c r="K20" s="106">
        <v>0</v>
      </c>
      <c r="L20" s="106">
        <v>0</v>
      </c>
      <c r="M20" s="106">
        <v>0</v>
      </c>
      <c r="N20" s="106">
        <v>0</v>
      </c>
      <c r="O20" s="106">
        <v>0</v>
      </c>
      <c r="P20" s="106">
        <v>0</v>
      </c>
      <c r="Q20" s="106">
        <v>0</v>
      </c>
      <c r="R20" s="106">
        <v>0</v>
      </c>
      <c r="S20" s="106">
        <v>0</v>
      </c>
      <c r="T20" s="106">
        <v>0</v>
      </c>
      <c r="U20" s="106">
        <v>0</v>
      </c>
      <c r="V20" s="106">
        <v>0</v>
      </c>
      <c r="W20" s="106">
        <v>0</v>
      </c>
      <c r="X20" s="106">
        <v>0</v>
      </c>
      <c r="Y20" s="106">
        <v>0</v>
      </c>
      <c r="Z20" s="106">
        <v>0</v>
      </c>
      <c r="AA20" s="106">
        <v>0</v>
      </c>
      <c r="AB20" s="106">
        <v>0</v>
      </c>
      <c r="AC20" s="106">
        <v>0</v>
      </c>
      <c r="AD20" s="106">
        <v>0</v>
      </c>
      <c r="AE20" s="106">
        <v>0</v>
      </c>
      <c r="AF20" s="106">
        <v>0</v>
      </c>
      <c r="AG20" s="106">
        <v>0</v>
      </c>
      <c r="AH20" s="106">
        <v>0</v>
      </c>
      <c r="AI20" s="106">
        <v>0</v>
      </c>
      <c r="AJ20" s="106">
        <v>0</v>
      </c>
      <c r="AK20" s="106">
        <v>0</v>
      </c>
      <c r="AL20" s="106">
        <v>0</v>
      </c>
      <c r="AM20" s="106">
        <v>0</v>
      </c>
      <c r="AN20" s="106">
        <v>0</v>
      </c>
    </row>
    <row r="21" spans="2:50" collapsed="1" x14ac:dyDescent="0.25">
      <c r="B21" s="39" t="s">
        <v>389</v>
      </c>
      <c r="C21" s="3"/>
      <c r="D21" s="5"/>
      <c r="E21" s="117" cm="1">
        <f t="array" ref="E21:AN21">ROUND(_xlfn.BYCOL(_xlfn.CHOOSEROWS(_xlfn.ANCHORARRAY(E7),1,2),_xlfn.LAMBDA(_xlpm.col,SUM(_xlpm.col))),0)</f>
        <v>0</v>
      </c>
      <c r="F21" s="117">
        <v>0</v>
      </c>
      <c r="G21" s="117">
        <v>0</v>
      </c>
      <c r="H21" s="117">
        <v>1</v>
      </c>
      <c r="I21" s="117">
        <v>2</v>
      </c>
      <c r="J21" s="117">
        <v>3</v>
      </c>
      <c r="K21" s="117">
        <v>3</v>
      </c>
      <c r="L21" s="117">
        <v>4</v>
      </c>
      <c r="M21" s="117">
        <v>5</v>
      </c>
      <c r="N21" s="117">
        <v>6</v>
      </c>
      <c r="O21" s="117">
        <v>7</v>
      </c>
      <c r="P21" s="117">
        <v>8</v>
      </c>
      <c r="Q21" s="117">
        <v>9</v>
      </c>
      <c r="R21" s="117">
        <v>9</v>
      </c>
      <c r="S21" s="117">
        <v>10</v>
      </c>
      <c r="T21" s="117">
        <v>12</v>
      </c>
      <c r="U21" s="117">
        <v>13</v>
      </c>
      <c r="V21" s="117">
        <v>13</v>
      </c>
      <c r="W21" s="117">
        <v>13</v>
      </c>
      <c r="X21" s="117">
        <v>13</v>
      </c>
      <c r="Y21" s="117">
        <v>13</v>
      </c>
      <c r="Z21" s="117">
        <v>13</v>
      </c>
      <c r="AA21" s="117">
        <v>13</v>
      </c>
      <c r="AB21" s="117">
        <v>13</v>
      </c>
      <c r="AC21" s="117">
        <v>13</v>
      </c>
      <c r="AD21" s="117">
        <v>13</v>
      </c>
      <c r="AE21" s="117">
        <v>13</v>
      </c>
      <c r="AF21" s="117">
        <v>13</v>
      </c>
      <c r="AG21" s="117">
        <v>13</v>
      </c>
      <c r="AH21" s="117">
        <v>13</v>
      </c>
      <c r="AI21" s="117">
        <v>13</v>
      </c>
      <c r="AJ21" s="117">
        <v>13</v>
      </c>
      <c r="AK21" s="117">
        <v>13</v>
      </c>
      <c r="AL21" s="117">
        <v>13</v>
      </c>
      <c r="AM21" s="117">
        <v>13</v>
      </c>
      <c r="AN21" s="117">
        <v>13</v>
      </c>
    </row>
    <row r="22" spans="2:50" x14ac:dyDescent="0.25">
      <c r="B22" s="2" t="s">
        <v>394</v>
      </c>
      <c r="C22" s="3"/>
      <c r="D22" s="77">
        <f>MAX(_xlfn.ANCHORARRAY(E22))</f>
        <v>174.57588495575226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0</v>
      </c>
      <c r="F22" s="78">
        <v>0</v>
      </c>
      <c r="G22" s="78">
        <v>0</v>
      </c>
      <c r="H22" s="78">
        <v>169.49115044247782</v>
      </c>
      <c r="I22" s="78">
        <v>169.49115044247787</v>
      </c>
      <c r="J22" s="78">
        <v>169.49115044247787</v>
      </c>
      <c r="K22" s="78">
        <v>169.49115044247787</v>
      </c>
      <c r="L22" s="78">
        <v>169.49115044247782</v>
      </c>
      <c r="M22" s="78">
        <v>169.49115044247787</v>
      </c>
      <c r="N22" s="78">
        <v>169.49115044247787</v>
      </c>
      <c r="O22" s="78">
        <v>169.4911504424779</v>
      </c>
      <c r="P22" s="78">
        <v>169.49115044247787</v>
      </c>
      <c r="Q22" s="78">
        <v>174.57588495575226</v>
      </c>
      <c r="R22" s="78">
        <v>174.57588495575223</v>
      </c>
      <c r="S22" s="78">
        <v>174.57588495575223</v>
      </c>
      <c r="T22" s="78">
        <v>174.5758849557522</v>
      </c>
      <c r="U22" s="78">
        <v>174.57588495575223</v>
      </c>
      <c r="V22" s="78">
        <v>174.57588495575223</v>
      </c>
      <c r="W22" s="78">
        <v>174.57588495575223</v>
      </c>
      <c r="X22" s="78">
        <v>174.57588495575223</v>
      </c>
      <c r="Y22" s="78">
        <v>174.57588495575223</v>
      </c>
      <c r="Z22" s="78">
        <v>174.57588495575223</v>
      </c>
      <c r="AA22" s="78">
        <v>174.57588495575223</v>
      </c>
      <c r="AB22" s="78">
        <v>174.57588495575223</v>
      </c>
      <c r="AC22" s="78">
        <v>174.57588495575223</v>
      </c>
      <c r="AD22" s="78">
        <v>174.57588495575223</v>
      </c>
      <c r="AE22" s="78">
        <v>174.57588495575223</v>
      </c>
      <c r="AF22" s="78">
        <v>174.57588495575223</v>
      </c>
      <c r="AG22" s="78">
        <v>174.57588495575223</v>
      </c>
      <c r="AH22" s="78">
        <v>174.57588495575223</v>
      </c>
      <c r="AI22" s="78">
        <v>174.57588495575223</v>
      </c>
      <c r="AJ22" s="78">
        <v>174.57588495575223</v>
      </c>
      <c r="AK22" s="78">
        <v>174.57588495575223</v>
      </c>
      <c r="AL22" s="78">
        <v>174.57588495575223</v>
      </c>
      <c r="AM22" s="78">
        <v>174.57588495575223</v>
      </c>
      <c r="AN22" s="78">
        <v>174.57588495575223</v>
      </c>
    </row>
    <row r="23" spans="2:50" x14ac:dyDescent="0.25">
      <c r="B23" s="2" t="s">
        <v>53</v>
      </c>
      <c r="C23" s="3"/>
      <c r="D23" s="72"/>
      <c r="E23" s="52" cm="1">
        <f t="array" ref="E23:AN23">_xlfn.LET(_xlpm.site,$B$1&amp;"-"&amp;$C$1,_xlpm.locations,Base!$D$4:$BD$4,_xlpm.Customer,_xlfn.ANCHORARRAY(E1),_xlpm.hours,SUM(_xlfn.XLOOKUP(_xlpm.site,_xlpm.locations,Base!$D$74:$BD$78,0,0)),
_xlpm.collection,1-_xlfn.XLOOKUP(_xlpm.site,_xlpm.locations,Base!$D$26:$BD$26,0,0),
_xlpm.Customer*_xlpm.hours*_xlpm.collection*(52/12))</f>
        <v>0</v>
      </c>
      <c r="F23" s="52">
        <v>0</v>
      </c>
      <c r="G23" s="52">
        <v>0</v>
      </c>
      <c r="H23" s="52">
        <v>49.72</v>
      </c>
      <c r="I23" s="52">
        <v>149.16</v>
      </c>
      <c r="J23" s="52">
        <v>248.59999999999997</v>
      </c>
      <c r="K23" s="52">
        <v>298.32</v>
      </c>
      <c r="L23" s="52">
        <v>397.76</v>
      </c>
      <c r="M23" s="52">
        <v>497.19999999999993</v>
      </c>
      <c r="N23" s="52">
        <v>596.64</v>
      </c>
      <c r="O23" s="52">
        <v>646.3599999999999</v>
      </c>
      <c r="P23" s="52">
        <v>745.8</v>
      </c>
      <c r="Q23" s="52">
        <v>845.2399999999999</v>
      </c>
      <c r="R23" s="52">
        <v>894.95999999999992</v>
      </c>
      <c r="S23" s="52">
        <v>994.39999999999986</v>
      </c>
      <c r="T23" s="52">
        <v>1093.8399999999999</v>
      </c>
      <c r="U23" s="52">
        <v>1193.28</v>
      </c>
      <c r="V23" s="52">
        <v>1193.28</v>
      </c>
      <c r="W23" s="52">
        <v>1193.28</v>
      </c>
      <c r="X23" s="52">
        <v>1193.28</v>
      </c>
      <c r="Y23" s="52">
        <v>1193.28</v>
      </c>
      <c r="Z23" s="52">
        <v>1193.28</v>
      </c>
      <c r="AA23" s="52">
        <v>1193.28</v>
      </c>
      <c r="AB23" s="52">
        <v>1193.28</v>
      </c>
      <c r="AC23" s="52">
        <v>1193.28</v>
      </c>
      <c r="AD23" s="52">
        <v>1193.28</v>
      </c>
      <c r="AE23" s="52">
        <v>1193.28</v>
      </c>
      <c r="AF23" s="52">
        <v>1193.28</v>
      </c>
      <c r="AG23" s="52">
        <v>1193.28</v>
      </c>
      <c r="AH23" s="52">
        <v>1193.28</v>
      </c>
      <c r="AI23" s="52">
        <v>1193.28</v>
      </c>
      <c r="AJ23" s="52">
        <v>1193.28</v>
      </c>
      <c r="AK23" s="52">
        <v>1193.28</v>
      </c>
      <c r="AL23" s="52">
        <v>1193.28</v>
      </c>
      <c r="AM23" s="52">
        <v>1193.28</v>
      </c>
      <c r="AN23" s="52">
        <v>1193.28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21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_xlfn.LET(_xlpm.site,$B$1&amp;"-"&amp;$C$1,_xlpm.locations,Base!$D$4:$BD$4,_xlpm.rates,Base!$D31:$BD31,_xlpm.hours,Base!$D74:$BD74,_xlpm.comp,_xlpm.rates*_xlpm.hours,_xlpm.Customer,_xlfn.ANCHORARRAY($E$1),
_xlpm.Customer_comp,_xlfn.XLOOKUP(_xlpm.site,_xlpm.locations,_xlpm.comp,0,0),_xlpm.ann_incr,_xlfn.XLOOKUP(YEAR(_xlfn.ANCHORARRAY($E$25)),Base!$BJ$4:$BL$4,Base!$BJ74:$BL74,0,0),
_xlpm.bad_debt,_xlfn.XLOOKUP(_xlpm.site,_xlpm.locations,Base!$D$28:$BD$28,0,0),_xlpm.Customer_comp*_xlpm.Customer*_xlpm.bad_debt*_xlpm.ann_incr*(52/12))</f>
        <v>0</v>
      </c>
      <c r="F26" s="12">
        <v>0</v>
      </c>
      <c r="G26" s="12">
        <v>0</v>
      </c>
      <c r="H26" s="12">
        <v>7572.326666666665</v>
      </c>
      <c r="I26" s="12">
        <v>22716.98</v>
      </c>
      <c r="J26" s="12">
        <v>37861.633333333324</v>
      </c>
      <c r="K26" s="12">
        <v>45433.96</v>
      </c>
      <c r="L26" s="12">
        <v>60578.61333333332</v>
      </c>
      <c r="M26" s="12">
        <v>75723.266666666648</v>
      </c>
      <c r="N26" s="12">
        <v>90867.92</v>
      </c>
      <c r="O26" s="12">
        <v>98440.246666666659</v>
      </c>
      <c r="P26" s="12">
        <v>113584.89999999998</v>
      </c>
      <c r="Q26" s="12">
        <v>132591.43993333331</v>
      </c>
      <c r="R26" s="12">
        <v>140390.93640000001</v>
      </c>
      <c r="S26" s="12">
        <v>155989.92933333333</v>
      </c>
      <c r="T26" s="12">
        <v>171588.92226666666</v>
      </c>
      <c r="U26" s="12">
        <v>187187.91520000002</v>
      </c>
      <c r="V26" s="12">
        <v>187187.91520000002</v>
      </c>
      <c r="W26" s="12">
        <v>187187.91520000002</v>
      </c>
      <c r="X26" s="12">
        <v>187187.91520000002</v>
      </c>
      <c r="Y26" s="12">
        <v>187187.91520000002</v>
      </c>
      <c r="Z26" s="12">
        <v>187187.91520000002</v>
      </c>
      <c r="AA26" s="12">
        <v>187187.91520000002</v>
      </c>
      <c r="AB26" s="12">
        <v>187187.91520000002</v>
      </c>
      <c r="AC26" s="12">
        <v>187187.91520000002</v>
      </c>
      <c r="AD26" s="12">
        <v>187187.91520000002</v>
      </c>
      <c r="AE26" s="12">
        <v>187187.91520000002</v>
      </c>
      <c r="AF26" s="12">
        <v>187187.91520000002</v>
      </c>
      <c r="AG26" s="12">
        <v>187187.91520000002</v>
      </c>
      <c r="AH26" s="12">
        <v>187187.91520000002</v>
      </c>
      <c r="AI26" s="12">
        <v>187187.91520000002</v>
      </c>
      <c r="AJ26" s="12">
        <v>187187.91520000002</v>
      </c>
      <c r="AK26" s="12">
        <v>187187.91520000002</v>
      </c>
      <c r="AL26" s="12">
        <v>187187.91520000002</v>
      </c>
      <c r="AM26" s="12">
        <v>187187.91520000002</v>
      </c>
      <c r="AN26" s="12">
        <v>187187.91520000002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_xlfn.LET(_xlpm.site,$B$1&amp;"-"&amp;$C$1,_xlpm.locations,Base!$D$4:$BD$4,_xlpm.rates,Base!$D32:$BD32,_xlpm.hours,Base!$D75:$BD75,_xlpm.comp,_xlpm.rates*_xlpm.hours,_xlpm.Customer,_xlfn.ANCHORARRAY($E$1),
_xlpm.Customer_comp,_xlfn.XLOOKUP(_xlpm.site,_xlpm.locations,_xlpm.comp,0,0),_xlpm.ann_incr,_xlfn.XLOOKUP(YEAR(_xlfn.ANCHORARRAY($E$25)),Base!$BJ$4:$BL$4,Base!$BJ75:$BL75,0,0),
_xlpm.bad_debt,_xlfn.XLOOKUP(_xlpm.site,_xlpm.locations,Base!$D$28:$BD$28,0,0),_xlpm.Customer_comp*_xlpm.Customer*_xlpm.bad_debt*_xlpm.ann_incr*(52/12))</f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12">
        <v>0</v>
      </c>
      <c r="AA27" s="12">
        <v>0</v>
      </c>
      <c r="AB27" s="12">
        <v>0</v>
      </c>
      <c r="AC27" s="12">
        <v>0</v>
      </c>
      <c r="AD27" s="12">
        <v>0</v>
      </c>
      <c r="AE27" s="12">
        <v>0</v>
      </c>
      <c r="AF27" s="12">
        <v>0</v>
      </c>
      <c r="AG27" s="12">
        <v>0</v>
      </c>
      <c r="AH27" s="12">
        <v>0</v>
      </c>
      <c r="AI27" s="12">
        <v>0</v>
      </c>
      <c r="AJ27" s="12">
        <v>0</v>
      </c>
      <c r="AK27" s="12">
        <v>0</v>
      </c>
      <c r="AL27" s="12">
        <v>0</v>
      </c>
      <c r="AM27" s="12">
        <v>0</v>
      </c>
      <c r="AN27" s="12">
        <v>0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_xlfn.LET(_xlpm.site,$B$1&amp;"-"&amp;$C$1,_xlpm.locations,Base!$D$4:$BD$4,_xlpm.rates,Base!$D33:$BD33,_xlpm.hours,Base!$D76:$BD76,_xlpm.comp,_xlpm.rates*_xlpm.hours,_xlpm.Customer,_xlfn.ANCHORARRAY($E$1),
_xlpm.Customer_comp,_xlfn.XLOOKUP(_xlpm.site,_xlpm.locations,_xlpm.comp,0,0),_xlpm.ann_incr,_xlfn.XLOOKUP(YEAR(_xlfn.ANCHORARRAY($E$25)),Base!$BJ$4:$BL$4,Base!$BJ76:$BL76,0,0),
_xlpm.bad_debt,_xlfn.XLOOKUP(_xlpm.site,_xlpm.locations,Base!$D$28:$BD$28,0,0),_xlpm.Customer_comp*_xlpm.Customer*_xlpm.bad_debt*_xlpm.ann_incr*(52/12))</f>
        <v>0</v>
      </c>
      <c r="F28" s="12">
        <v>0</v>
      </c>
      <c r="G28" s="12">
        <v>0</v>
      </c>
      <c r="H28" s="12">
        <v>1055.1969999999997</v>
      </c>
      <c r="I28" s="12">
        <v>3165.590999999999</v>
      </c>
      <c r="J28" s="12">
        <v>5275.9849999999979</v>
      </c>
      <c r="K28" s="12">
        <v>6331.181999999998</v>
      </c>
      <c r="L28" s="12">
        <v>8441.5759999999973</v>
      </c>
      <c r="M28" s="12">
        <v>10551.969999999996</v>
      </c>
      <c r="N28" s="12">
        <v>12662.363999999996</v>
      </c>
      <c r="O28" s="12">
        <v>13717.560999999996</v>
      </c>
      <c r="P28" s="12">
        <v>15827.954999999994</v>
      </c>
      <c r="Q28" s="12">
        <v>18476.499469999999</v>
      </c>
      <c r="R28" s="12">
        <v>19563.352379999993</v>
      </c>
      <c r="S28" s="12">
        <v>21737.058199999992</v>
      </c>
      <c r="T28" s="12">
        <v>23910.764019999991</v>
      </c>
      <c r="U28" s="12">
        <v>26084.469839999991</v>
      </c>
      <c r="V28" s="12">
        <v>26084.469839999991</v>
      </c>
      <c r="W28" s="12">
        <v>26084.469839999991</v>
      </c>
      <c r="X28" s="12">
        <v>26084.469839999991</v>
      </c>
      <c r="Y28" s="12">
        <v>26084.469839999991</v>
      </c>
      <c r="Z28" s="12">
        <v>26084.469839999991</v>
      </c>
      <c r="AA28" s="12">
        <v>26084.469839999991</v>
      </c>
      <c r="AB28" s="12">
        <v>26084.469839999991</v>
      </c>
      <c r="AC28" s="12">
        <v>26084.469839999991</v>
      </c>
      <c r="AD28" s="12">
        <v>26084.469839999991</v>
      </c>
      <c r="AE28" s="12">
        <v>26084.469839999991</v>
      </c>
      <c r="AF28" s="12">
        <v>26084.469839999991</v>
      </c>
      <c r="AG28" s="12">
        <v>26084.469839999991</v>
      </c>
      <c r="AH28" s="12">
        <v>26084.469839999991</v>
      </c>
      <c r="AI28" s="12">
        <v>26084.469839999991</v>
      </c>
      <c r="AJ28" s="12">
        <v>26084.469839999991</v>
      </c>
      <c r="AK28" s="12">
        <v>26084.469839999991</v>
      </c>
      <c r="AL28" s="12">
        <v>26084.469839999991</v>
      </c>
      <c r="AM28" s="12">
        <v>26084.469839999991</v>
      </c>
      <c r="AN28" s="12">
        <v>26084.469839999991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_xlfn.LET(_xlpm.site,$B$1&amp;"-"&amp;$C$1,_xlpm.locations,Base!$D$4:$BD$4,_xlpm.rates,Base!$D34:$BD34,_xlpm.hours,Base!$D77:$BD77,_xlpm.comp,_xlpm.rates*_xlpm.hours,_xlpm.Customer,_xlfn.ANCHORARRAY($E$1),
_xlpm.Customer_comp,_xlfn.XLOOKUP(_xlpm.site,_xlpm.locations,_xlpm.comp,0,0),_xlpm.ann_incr,_xlfn.XLOOKUP(YEAR(_xlfn.ANCHORARRAY($E$25)),Base!$BJ$4:$BL$4,Base!$BJ77:$BL77,0,0),
_xlpm.bad_debt,_xlfn.XLOOKUP(_xlpm.site,_xlpm.locations,Base!$D$28:$BD$28,0,0),_xlpm.Customer_comp*_xlpm.Customer*_xlpm.bad_debt*_xlpm.ann_incr*(52/12))</f>
        <v>0</v>
      </c>
      <c r="F29" s="12">
        <v>0</v>
      </c>
      <c r="G29" s="12">
        <v>0</v>
      </c>
      <c r="H29" s="12">
        <v>162.33799999999999</v>
      </c>
      <c r="I29" s="12">
        <v>487.01399999999995</v>
      </c>
      <c r="J29" s="12">
        <v>811.68999999999994</v>
      </c>
      <c r="K29" s="12">
        <v>974.02799999999991</v>
      </c>
      <c r="L29" s="12">
        <v>1298.704</v>
      </c>
      <c r="M29" s="12">
        <v>1623.3799999999999</v>
      </c>
      <c r="N29" s="12">
        <v>1948.0559999999998</v>
      </c>
      <c r="O29" s="12">
        <v>2110.3939999999998</v>
      </c>
      <c r="P29" s="12">
        <v>2435.0699999999997</v>
      </c>
      <c r="Q29" s="12">
        <v>2842.5383799999995</v>
      </c>
      <c r="R29" s="12">
        <v>3009.7465200000001</v>
      </c>
      <c r="S29" s="12">
        <v>3344.1628000000001</v>
      </c>
      <c r="T29" s="12">
        <v>3678.5790799999995</v>
      </c>
      <c r="U29" s="12">
        <v>4012.9953599999999</v>
      </c>
      <c r="V29" s="12">
        <v>4012.9953599999999</v>
      </c>
      <c r="W29" s="12">
        <v>4012.9953599999999</v>
      </c>
      <c r="X29" s="12">
        <v>4012.9953599999999</v>
      </c>
      <c r="Y29" s="12">
        <v>4012.9953599999999</v>
      </c>
      <c r="Z29" s="12">
        <v>4012.9953599999999</v>
      </c>
      <c r="AA29" s="12">
        <v>4012.9953599999999</v>
      </c>
      <c r="AB29" s="12">
        <v>4012.9953599999999</v>
      </c>
      <c r="AC29" s="12">
        <v>4012.9953599999999</v>
      </c>
      <c r="AD29" s="12">
        <v>4012.9953599999999</v>
      </c>
      <c r="AE29" s="12">
        <v>4012.9953599999999</v>
      </c>
      <c r="AF29" s="12">
        <v>4012.9953599999999</v>
      </c>
      <c r="AG29" s="12">
        <v>4012.9953599999999</v>
      </c>
      <c r="AH29" s="12">
        <v>4012.9953599999999</v>
      </c>
      <c r="AI29" s="12">
        <v>4012.9953599999999</v>
      </c>
      <c r="AJ29" s="12">
        <v>4012.9953599999999</v>
      </c>
      <c r="AK29" s="12">
        <v>4012.9953599999999</v>
      </c>
      <c r="AL29" s="12">
        <v>4012.9953599999999</v>
      </c>
      <c r="AM29" s="12">
        <v>4012.9953599999999</v>
      </c>
      <c r="AN29" s="12">
        <v>4012.9953599999999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_xlfn.LET(_xlpm.site,$B$1&amp;"-"&amp;$C$1,_xlpm.locations,Base!$D$4:$BD$4,_xlpm.rates,Base!$D35:$BD35,_xlpm.hours,Base!$D78:$BD78,_xlpm.comp,_xlpm.rates*_xlpm.hours,_xlpm.Customer,_xlfn.ANCHORARRAY($E$1),
_xlpm.Customer_comp,_xlfn.XLOOKUP(_xlpm.site,_xlpm.locations,_xlpm.comp,0,0),_xlpm.ann_incr,_xlfn.XLOOKUP(YEAR(_xlfn.ANCHORARRAY($E$25)),Base!$BJ$4:$BL$4,Base!$BJ78:$BL78,0,0),
_xlpm.bad_debt,_xlfn.XLOOKUP(_xlpm.site,_xlpm.locations,Base!$D$28:$BD$28,0,0),_xlpm.Customer_comp*_xlpm.Customer*_xlpm.bad_debt*_xlpm.ann_incr*(52/12))</f>
        <v>0</v>
      </c>
      <c r="F30" s="12">
        <v>0</v>
      </c>
      <c r="G30" s="12">
        <v>0</v>
      </c>
      <c r="H30" s="12">
        <v>211.8133333333333</v>
      </c>
      <c r="I30" s="12">
        <v>635.43999999999994</v>
      </c>
      <c r="J30" s="12">
        <v>1059.0666666666666</v>
      </c>
      <c r="K30" s="12">
        <v>1270.8799999999999</v>
      </c>
      <c r="L30" s="12">
        <v>1694.5066666666664</v>
      </c>
      <c r="M30" s="12">
        <v>2118.1333333333332</v>
      </c>
      <c r="N30" s="12">
        <v>2541.7599999999998</v>
      </c>
      <c r="O30" s="12">
        <v>2753.5733333333328</v>
      </c>
      <c r="P30" s="12">
        <v>3177.1999999999994</v>
      </c>
      <c r="Q30" s="12">
        <v>3708.8514666666661</v>
      </c>
      <c r="R30" s="12">
        <v>3927.0191999999997</v>
      </c>
      <c r="S30" s="12">
        <v>4363.3546666666662</v>
      </c>
      <c r="T30" s="12">
        <v>4799.6901333333326</v>
      </c>
      <c r="U30" s="12">
        <v>5236.025599999999</v>
      </c>
      <c r="V30" s="12">
        <v>5236.025599999999</v>
      </c>
      <c r="W30" s="12">
        <v>5236.025599999999</v>
      </c>
      <c r="X30" s="12">
        <v>5236.025599999999</v>
      </c>
      <c r="Y30" s="12">
        <v>5236.025599999999</v>
      </c>
      <c r="Z30" s="12">
        <v>5236.025599999999</v>
      </c>
      <c r="AA30" s="12">
        <v>5236.025599999999</v>
      </c>
      <c r="AB30" s="12">
        <v>5236.025599999999</v>
      </c>
      <c r="AC30" s="12">
        <v>5236.025599999999</v>
      </c>
      <c r="AD30" s="12">
        <v>5236.025599999999</v>
      </c>
      <c r="AE30" s="12">
        <v>5236.025599999999</v>
      </c>
      <c r="AF30" s="12">
        <v>5236.025599999999</v>
      </c>
      <c r="AG30" s="12">
        <v>5236.025599999999</v>
      </c>
      <c r="AH30" s="12">
        <v>5236.025599999999</v>
      </c>
      <c r="AI30" s="12">
        <v>5236.025599999999</v>
      </c>
      <c r="AJ30" s="12">
        <v>5236.025599999999</v>
      </c>
      <c r="AK30" s="12">
        <v>5236.025599999999</v>
      </c>
      <c r="AL30" s="12">
        <v>5236.025599999999</v>
      </c>
      <c r="AM30" s="12">
        <v>5236.025599999999</v>
      </c>
      <c r="AN30" s="12">
        <v>5236.025599999999</v>
      </c>
    </row>
    <row r="31" spans="2:50" x14ac:dyDescent="0.25">
      <c r="B31" s="39" t="str">
        <f>Base!B36</f>
        <v>Tertiary Direct Staff - Service A</v>
      </c>
      <c r="C31" s="4"/>
      <c r="E31" s="183" cm="1">
        <f t="array" ref="E31:AN31">_xlfn.LET(_xlpm.site,$B$1&amp;"-"&amp;$C$1,_xlpm.locations,Base!$D$4:$BD$4,_xlpm.rates,Base!$D36:$BD36,_xlpm.hours,Base!$D79:$BD79,_xlpm.comp,_xlpm.rates*_xlpm.hours,_xlpm.Customer,_xlfn.ANCHORARRAY($E$1)*0,
_xlpm.Customer_comp,_xlfn.XLOOKUP(_xlpm.site,_xlpm.locations,_xlpm.comp,0,0),_xlpm.ann_incr,_xlfn.XLOOKUP(YEAR(_xlfn.ANCHORARRAY($E$25)),Base!$BJ$4:$BL$4,Base!$BJ79:$BL79,0,0),
_xlpm.bad_debt,_xlfn.XLOOKUP(_xlpm.site,_xlpm.locations,Base!$D$28:$BD$28,0,0),_xlpm.Customer_comp*_xlpm.Customer*_xlpm.bad_debt*_xlpm.ann_incr*(52/12))</f>
        <v>0</v>
      </c>
      <c r="F31" s="183">
        <v>0</v>
      </c>
      <c r="G31" s="183">
        <v>0</v>
      </c>
      <c r="H31" s="183">
        <v>0</v>
      </c>
      <c r="I31" s="183">
        <v>0</v>
      </c>
      <c r="J31" s="183">
        <v>0</v>
      </c>
      <c r="K31" s="183">
        <v>0</v>
      </c>
      <c r="L31" s="183">
        <v>0</v>
      </c>
      <c r="M31" s="183">
        <v>0</v>
      </c>
      <c r="N31" s="183">
        <v>0</v>
      </c>
      <c r="O31" s="183">
        <v>0</v>
      </c>
      <c r="P31" s="183">
        <v>0</v>
      </c>
      <c r="Q31" s="183">
        <v>0</v>
      </c>
      <c r="R31" s="183">
        <v>0</v>
      </c>
      <c r="S31" s="183">
        <v>0</v>
      </c>
      <c r="T31" s="183">
        <v>0</v>
      </c>
      <c r="U31" s="183">
        <v>0</v>
      </c>
      <c r="V31" s="183">
        <v>0</v>
      </c>
      <c r="W31" s="183">
        <v>0</v>
      </c>
      <c r="X31" s="183">
        <v>0</v>
      </c>
      <c r="Y31" s="183">
        <v>0</v>
      </c>
      <c r="Z31" s="183">
        <v>0</v>
      </c>
      <c r="AA31" s="183">
        <v>0</v>
      </c>
      <c r="AB31" s="183">
        <v>0</v>
      </c>
      <c r="AC31" s="183">
        <v>0</v>
      </c>
      <c r="AD31" s="183">
        <v>0</v>
      </c>
      <c r="AE31" s="183">
        <v>0</v>
      </c>
      <c r="AF31" s="183">
        <v>0</v>
      </c>
      <c r="AG31" s="183">
        <v>0</v>
      </c>
      <c r="AH31" s="183">
        <v>0</v>
      </c>
      <c r="AI31" s="183">
        <v>0</v>
      </c>
      <c r="AJ31" s="183">
        <v>0</v>
      </c>
      <c r="AK31" s="183">
        <v>0</v>
      </c>
      <c r="AL31" s="183">
        <v>0</v>
      </c>
      <c r="AM31" s="183">
        <v>0</v>
      </c>
      <c r="AN31" s="183">
        <v>0</v>
      </c>
    </row>
    <row r="32" spans="2:50" x14ac:dyDescent="0.25">
      <c r="B32" s="39" t="str">
        <f>Base!B37</f>
        <v>Tertiary Direct Staff - Service B</v>
      </c>
      <c r="C32" s="4"/>
      <c r="E32" s="183" cm="1">
        <f t="array" ref="E32:AN32">_xlfn.LET(_xlpm.site,$B$1&amp;"-"&amp;$C$1,_xlpm.locations,Base!$D$4:$BD$4,_xlpm.rates,Base!$D37:$BD37,_xlpm.hours,Base!$D80:$BD80,_xlpm.comp,_xlpm.rates*_xlpm.hours,_xlpm.Customer,_xlfn.ANCHORARRAY($E$1)*0,
_xlpm.Customer_comp,_xlfn.XLOOKUP(_xlpm.site,_xlpm.locations,_xlpm.comp,0,0),_xlpm.ann_incr,_xlfn.XLOOKUP(YEAR(_xlfn.ANCHORARRAY($E$25)),Base!$BJ$4:$BL$4,Base!$BJ80:$BL80,0,0),
_xlpm.bad_debt,_xlfn.XLOOKUP(_xlpm.site,_xlpm.locations,Base!$D$28:$BD$28,0,0),_xlpm.Customer_comp*_xlpm.Customer*_xlpm.bad_debt*_xlpm.ann_incr*(52/12))</f>
        <v>0</v>
      </c>
      <c r="F32" s="183">
        <v>0</v>
      </c>
      <c r="G32" s="183">
        <v>0</v>
      </c>
      <c r="H32" s="183">
        <v>0</v>
      </c>
      <c r="I32" s="183">
        <v>0</v>
      </c>
      <c r="J32" s="183">
        <v>0</v>
      </c>
      <c r="K32" s="183">
        <v>0</v>
      </c>
      <c r="L32" s="183">
        <v>0</v>
      </c>
      <c r="M32" s="183">
        <v>0</v>
      </c>
      <c r="N32" s="183">
        <v>0</v>
      </c>
      <c r="O32" s="183">
        <v>0</v>
      </c>
      <c r="P32" s="183">
        <v>0</v>
      </c>
      <c r="Q32" s="183">
        <v>0</v>
      </c>
      <c r="R32" s="183">
        <v>0</v>
      </c>
      <c r="S32" s="183">
        <v>0</v>
      </c>
      <c r="T32" s="183">
        <v>0</v>
      </c>
      <c r="U32" s="183">
        <v>0</v>
      </c>
      <c r="V32" s="183">
        <v>0</v>
      </c>
      <c r="W32" s="183">
        <v>0</v>
      </c>
      <c r="X32" s="183">
        <v>0</v>
      </c>
      <c r="Y32" s="183">
        <v>0</v>
      </c>
      <c r="Z32" s="183">
        <v>0</v>
      </c>
      <c r="AA32" s="183">
        <v>0</v>
      </c>
      <c r="AB32" s="183">
        <v>0</v>
      </c>
      <c r="AC32" s="183">
        <v>0</v>
      </c>
      <c r="AD32" s="183">
        <v>0</v>
      </c>
      <c r="AE32" s="183">
        <v>0</v>
      </c>
      <c r="AF32" s="183">
        <v>0</v>
      </c>
      <c r="AG32" s="183">
        <v>0</v>
      </c>
      <c r="AH32" s="183">
        <v>0</v>
      </c>
      <c r="AI32" s="183">
        <v>0</v>
      </c>
      <c r="AJ32" s="183">
        <v>0</v>
      </c>
      <c r="AK32" s="183">
        <v>0</v>
      </c>
      <c r="AL32" s="183">
        <v>0</v>
      </c>
      <c r="AM32" s="183">
        <v>0</v>
      </c>
      <c r="AN32" s="183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_xlpm.Customer,_xlfn.ANCHORARRAY($E$2),_xlpm.ann_incr,_xlfn.XLOOKUP(YEAR(_xlfn.ANCHORARRAY($E$25)),Base!$BJ$4:$BL$4,Base!$BJ$81:$BL$81,0,0),
_xlpm.bad_debt,_xlfn.XLOOKUP(_xlpm.site,_xlpm.locations,Base!$D$28:$BD$28,0,0),
_xlpm.comp*_xlpm.bad_debt*_xlpm.ann_incr*(52/12))</f>
        <v>0</v>
      </c>
      <c r="F33" s="12">
        <v>0</v>
      </c>
      <c r="G33" s="12">
        <v>0</v>
      </c>
      <c r="H33" s="12">
        <v>0</v>
      </c>
      <c r="I33" s="12">
        <v>0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2">
        <v>0</v>
      </c>
      <c r="Y33" s="12">
        <v>0</v>
      </c>
      <c r="Z33" s="12">
        <v>0</v>
      </c>
      <c r="AA33" s="12">
        <v>0</v>
      </c>
      <c r="AB33" s="12">
        <v>0</v>
      </c>
      <c r="AC33" s="12">
        <v>0</v>
      </c>
      <c r="AD33" s="12">
        <v>0</v>
      </c>
      <c r="AE33" s="12">
        <v>0</v>
      </c>
      <c r="AF33" s="12">
        <v>0</v>
      </c>
      <c r="AG33" s="12">
        <v>0</v>
      </c>
      <c r="AH33" s="12">
        <v>0</v>
      </c>
      <c r="AI33" s="12">
        <v>0</v>
      </c>
      <c r="AJ33" s="12">
        <v>0</v>
      </c>
      <c r="AK33" s="12">
        <v>0</v>
      </c>
      <c r="AL33" s="12">
        <v>0</v>
      </c>
      <c r="AM33" s="12">
        <v>0</v>
      </c>
      <c r="AN33" s="12">
        <v>0</v>
      </c>
    </row>
    <row r="34" spans="2:40" x14ac:dyDescent="0.25">
      <c r="B34" s="39" t="str">
        <f>Base!B39</f>
        <v>Quinary Direct Staff - Service A</v>
      </c>
      <c r="C34" s="4"/>
      <c r="E34" s="183" cm="1">
        <f t="array" ref="E34:AN34">_xlfn.LET(_xlpm.site,$B$1&amp;"-"&amp;$C$1,_xlpm.locations,Base!$D$4:$BD$4,_xlpm.rates,Base!$D39:$BD39,_xlpm.hours,Base!$D82:$BD82,_xlpm.comp,_xlpm.rates*_xlpm.hours,_xlpm.Customer,_xlfn.ANCHORARRAY($E$1)*0,
_xlpm.Customer_comp,_xlfn.XLOOKUP(_xlpm.site,_xlpm.locations,_xlpm.comp,0,0),_xlpm.ann_incr,_xlfn.XLOOKUP(YEAR(_xlfn.ANCHORARRAY($E$25)),Base!$BJ$4:$BL$4,Base!$BJ82:$BL82,0,0),
_xlpm.bad_debt,_xlfn.XLOOKUP(_xlpm.site,_xlpm.locations,Base!$D$28:$BD$28,0,0),_xlpm.Customer_comp*_xlpm.Customer*_xlpm.bad_debt*_xlpm.ann_incr*(52/12))</f>
        <v>0</v>
      </c>
      <c r="F34" s="183">
        <v>0</v>
      </c>
      <c r="G34" s="183">
        <v>0</v>
      </c>
      <c r="H34" s="183">
        <v>0</v>
      </c>
      <c r="I34" s="183">
        <v>0</v>
      </c>
      <c r="J34" s="183">
        <v>0</v>
      </c>
      <c r="K34" s="183">
        <v>0</v>
      </c>
      <c r="L34" s="183">
        <v>0</v>
      </c>
      <c r="M34" s="183">
        <v>0</v>
      </c>
      <c r="N34" s="183">
        <v>0</v>
      </c>
      <c r="O34" s="183">
        <v>0</v>
      </c>
      <c r="P34" s="183">
        <v>0</v>
      </c>
      <c r="Q34" s="183">
        <v>0</v>
      </c>
      <c r="R34" s="183">
        <v>0</v>
      </c>
      <c r="S34" s="183">
        <v>0</v>
      </c>
      <c r="T34" s="183">
        <v>0</v>
      </c>
      <c r="U34" s="183">
        <v>0</v>
      </c>
      <c r="V34" s="183">
        <v>0</v>
      </c>
      <c r="W34" s="183">
        <v>0</v>
      </c>
      <c r="X34" s="183">
        <v>0</v>
      </c>
      <c r="Y34" s="183">
        <v>0</v>
      </c>
      <c r="Z34" s="183">
        <v>0</v>
      </c>
      <c r="AA34" s="183">
        <v>0</v>
      </c>
      <c r="AB34" s="183">
        <v>0</v>
      </c>
      <c r="AC34" s="183">
        <v>0</v>
      </c>
      <c r="AD34" s="183">
        <v>0</v>
      </c>
      <c r="AE34" s="183">
        <v>0</v>
      </c>
      <c r="AF34" s="183">
        <v>0</v>
      </c>
      <c r="AG34" s="183">
        <v>0</v>
      </c>
      <c r="AH34" s="183">
        <v>0</v>
      </c>
      <c r="AI34" s="183">
        <v>0</v>
      </c>
      <c r="AJ34" s="183">
        <v>0</v>
      </c>
      <c r="AK34" s="183">
        <v>0</v>
      </c>
      <c r="AL34" s="183">
        <v>0</v>
      </c>
      <c r="AM34" s="183">
        <v>0</v>
      </c>
      <c r="AN34" s="183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0</v>
      </c>
      <c r="F35" s="12">
        <v>0</v>
      </c>
      <c r="G35" s="12">
        <v>0</v>
      </c>
      <c r="H35" s="12">
        <v>-1080.2009999999996</v>
      </c>
      <c r="I35" s="12">
        <v>-3240.6029999999996</v>
      </c>
      <c r="J35" s="12">
        <v>-5401.0049999999992</v>
      </c>
      <c r="K35" s="12">
        <v>-6481.2059999999992</v>
      </c>
      <c r="L35" s="12">
        <v>-8641.6079999999965</v>
      </c>
      <c r="M35" s="12">
        <v>-10802.009999999998</v>
      </c>
      <c r="N35" s="12">
        <v>-12962.411999999998</v>
      </c>
      <c r="O35" s="12">
        <v>-14042.612999999999</v>
      </c>
      <c r="P35" s="12">
        <v>-16203.014999999999</v>
      </c>
      <c r="Q35" s="12">
        <v>-18914.319510000001</v>
      </c>
      <c r="R35" s="12">
        <v>-20026.92654</v>
      </c>
      <c r="S35" s="12">
        <v>-22252.140599999999</v>
      </c>
      <c r="T35" s="12">
        <v>-24477.354659999997</v>
      </c>
      <c r="U35" s="12">
        <v>-26702.568719999999</v>
      </c>
      <c r="V35" s="12">
        <v>-26702.568719999999</v>
      </c>
      <c r="W35" s="12">
        <v>-26702.568719999999</v>
      </c>
      <c r="X35" s="12">
        <v>-26702.568719999999</v>
      </c>
      <c r="Y35" s="12">
        <v>-26702.568719999999</v>
      </c>
      <c r="Z35" s="12">
        <v>-26702.568719999999</v>
      </c>
      <c r="AA35" s="12">
        <v>-26702.568719999999</v>
      </c>
      <c r="AB35" s="12">
        <v>-26702.568719999999</v>
      </c>
      <c r="AC35" s="12">
        <v>-26702.568719999999</v>
      </c>
      <c r="AD35" s="12">
        <v>-26702.568719999999</v>
      </c>
      <c r="AE35" s="12">
        <v>-26702.568719999999</v>
      </c>
      <c r="AF35" s="12">
        <v>-26702.568719999999</v>
      </c>
      <c r="AG35" s="12">
        <v>-26702.568719999999</v>
      </c>
      <c r="AH35" s="12">
        <v>-26702.568719999999</v>
      </c>
      <c r="AI35" s="12">
        <v>-26702.568719999999</v>
      </c>
      <c r="AJ35" s="12">
        <v>-26702.568719999999</v>
      </c>
      <c r="AK35" s="12">
        <v>-26702.568719999999</v>
      </c>
      <c r="AL35" s="12">
        <v>-26702.568719999999</v>
      </c>
      <c r="AM35" s="12">
        <v>-26702.568719999999</v>
      </c>
      <c r="AN35" s="12">
        <v>-26702.568719999999</v>
      </c>
    </row>
    <row r="36" spans="2:40" x14ac:dyDescent="0.25">
      <c r="B36" s="39" t="s">
        <v>261</v>
      </c>
      <c r="C36" s="15"/>
      <c r="E36" s="183" cm="1">
        <f t="array" ref="E36:AN36">_xlfn.BYCOL(_xlfn.ANCHORARRAY($E$25),_xlfn.LAMBDA(_xlpm.a,0))</f>
        <v>0</v>
      </c>
      <c r="F36" s="183">
        <v>0</v>
      </c>
      <c r="G36" s="183">
        <v>0</v>
      </c>
      <c r="H36" s="183">
        <v>0</v>
      </c>
      <c r="I36" s="183">
        <v>0</v>
      </c>
      <c r="J36" s="183">
        <v>0</v>
      </c>
      <c r="K36" s="183">
        <v>0</v>
      </c>
      <c r="L36" s="183">
        <v>0</v>
      </c>
      <c r="M36" s="183">
        <v>0</v>
      </c>
      <c r="N36" s="183">
        <v>0</v>
      </c>
      <c r="O36" s="183">
        <v>0</v>
      </c>
      <c r="P36" s="183">
        <v>0</v>
      </c>
      <c r="Q36" s="183">
        <v>0</v>
      </c>
      <c r="R36" s="183">
        <v>0</v>
      </c>
      <c r="S36" s="183">
        <v>0</v>
      </c>
      <c r="T36" s="183">
        <v>0</v>
      </c>
      <c r="U36" s="183">
        <v>0</v>
      </c>
      <c r="V36" s="183">
        <v>0</v>
      </c>
      <c r="W36" s="183">
        <v>0</v>
      </c>
      <c r="X36" s="183">
        <v>0</v>
      </c>
      <c r="Y36" s="183">
        <v>0</v>
      </c>
      <c r="Z36" s="183">
        <v>0</v>
      </c>
      <c r="AA36" s="183">
        <v>0</v>
      </c>
      <c r="AB36" s="183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271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0</v>
      </c>
      <c r="F37" s="13">
        <v>0</v>
      </c>
      <c r="G37" s="13">
        <v>0</v>
      </c>
      <c r="H37" s="13">
        <v>7921.4739999999983</v>
      </c>
      <c r="I37" s="13">
        <v>23764.421999999999</v>
      </c>
      <c r="J37" s="13">
        <v>39607.369999999995</v>
      </c>
      <c r="K37" s="13">
        <v>47528.843999999997</v>
      </c>
      <c r="L37" s="13">
        <v>63371.791999999987</v>
      </c>
      <c r="M37" s="13">
        <v>79214.739999999991</v>
      </c>
      <c r="N37" s="13">
        <v>95057.687999999995</v>
      </c>
      <c r="O37" s="13">
        <v>102979.162</v>
      </c>
      <c r="P37" s="13">
        <v>118822.11</v>
      </c>
      <c r="Q37" s="13">
        <v>138705.00974000001</v>
      </c>
      <c r="R37" s="13">
        <v>146864.12796000001</v>
      </c>
      <c r="S37" s="13">
        <v>163182.36440000002</v>
      </c>
      <c r="T37" s="13">
        <v>179500.60083999997</v>
      </c>
      <c r="U37" s="13">
        <v>195818.83728000001</v>
      </c>
      <c r="V37" s="13">
        <v>195818.83728000001</v>
      </c>
      <c r="W37" s="13">
        <v>195818.83728000001</v>
      </c>
      <c r="X37" s="13">
        <v>195818.83728000001</v>
      </c>
      <c r="Y37" s="13">
        <v>195818.83728000001</v>
      </c>
      <c r="Z37" s="13">
        <v>195818.83728000001</v>
      </c>
      <c r="AA37" s="13">
        <v>195818.83728000001</v>
      </c>
      <c r="AB37" s="13">
        <v>195818.83728000001</v>
      </c>
      <c r="AC37" s="13">
        <v>195818.83728000001</v>
      </c>
      <c r="AD37" s="13">
        <v>195818.83728000001</v>
      </c>
      <c r="AE37" s="13">
        <v>195818.83728000001</v>
      </c>
      <c r="AF37" s="13">
        <v>195818.83728000001</v>
      </c>
      <c r="AG37" s="13">
        <v>195818.83728000001</v>
      </c>
      <c r="AH37" s="13">
        <v>195818.83728000001</v>
      </c>
      <c r="AI37" s="13">
        <v>195818.83728000001</v>
      </c>
      <c r="AJ37" s="13">
        <v>195818.83728000001</v>
      </c>
      <c r="AK37" s="13">
        <v>195818.83728000001</v>
      </c>
      <c r="AL37" s="13">
        <v>195818.83728000001</v>
      </c>
      <c r="AM37" s="13">
        <v>195818.83728000001</v>
      </c>
      <c r="AN37" s="13">
        <v>195818.83728000001</v>
      </c>
    </row>
    <row r="38" spans="2:40" x14ac:dyDescent="0.25">
      <c r="E38" s="67"/>
      <c r="F38" s="67"/>
    </row>
    <row r="39" spans="2:40" x14ac:dyDescent="0.25">
      <c r="B39" s="1" t="s">
        <v>118</v>
      </c>
    </row>
    <row r="40" spans="2:40" x14ac:dyDescent="0.25">
      <c r="B40" s="39" t="s">
        <v>23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0</v>
      </c>
      <c r="F40" s="12">
        <v>0</v>
      </c>
      <c r="G40" s="12">
        <v>0</v>
      </c>
      <c r="H40" s="12">
        <v>11921.724471067168</v>
      </c>
      <c r="I40" s="12">
        <v>25397.813257645947</v>
      </c>
      <c r="J40" s="12">
        <v>29360.935377558049</v>
      </c>
      <c r="K40" s="12">
        <v>31816.646437514104</v>
      </c>
      <c r="L40" s="12">
        <v>36068.731968537322</v>
      </c>
      <c r="M40" s="12">
        <v>40034.75408844943</v>
      </c>
      <c r="N40" s="12">
        <v>44359.892875028221</v>
      </c>
      <c r="O40" s="12">
        <v>46751.803934984266</v>
      </c>
      <c r="P40" s="12">
        <v>50800.88946600748</v>
      </c>
      <c r="Q40" s="12">
        <v>60533.892744511555</v>
      </c>
      <c r="R40" s="12">
        <v>63164.994910463211</v>
      </c>
      <c r="S40" s="12">
        <v>67594.60924236654</v>
      </c>
      <c r="T40" s="12">
        <v>72271.903326492073</v>
      </c>
      <c r="U40" s="12">
        <v>73636.459325062082</v>
      </c>
      <c r="V40" s="12">
        <v>73636.459325062082</v>
      </c>
      <c r="W40" s="12">
        <v>73636.459325062082</v>
      </c>
      <c r="X40" s="12">
        <v>73636.459325062082</v>
      </c>
      <c r="Y40" s="12">
        <v>73636.459325062082</v>
      </c>
      <c r="Z40" s="12">
        <v>73636.459325062082</v>
      </c>
      <c r="AA40" s="12">
        <v>73636.459325062082</v>
      </c>
      <c r="AB40" s="12">
        <v>73636.459325062082</v>
      </c>
      <c r="AC40" s="12">
        <v>81000.105257568284</v>
      </c>
      <c r="AD40" s="12">
        <v>81000.105257568284</v>
      </c>
      <c r="AE40" s="12">
        <v>81000.105257568284</v>
      </c>
      <c r="AF40" s="12">
        <v>81000.105257568284</v>
      </c>
      <c r="AG40" s="12">
        <v>81000.105257568284</v>
      </c>
      <c r="AH40" s="12">
        <v>81000.105257568284</v>
      </c>
      <c r="AI40" s="12">
        <v>81000.105257568284</v>
      </c>
      <c r="AJ40" s="12">
        <v>81000.105257568284</v>
      </c>
      <c r="AK40" s="12">
        <v>81000.105257568284</v>
      </c>
      <c r="AL40" s="12">
        <v>81000.105257568284</v>
      </c>
      <c r="AM40" s="12">
        <v>81000.105257568284</v>
      </c>
      <c r="AN40" s="12">
        <v>81000.105257568284</v>
      </c>
    </row>
    <row r="41" spans="2:40" x14ac:dyDescent="0.25">
      <c r="B41" s="39" t="s">
        <v>388</v>
      </c>
      <c r="C41" s="142">
        <f>_xlfn.XLOOKUP($B$1&amp;"-"&amp;$C$1,Base!$D$4:$BD$4,Base!$D$12:$BD$12,0,0)</f>
        <v>0</v>
      </c>
      <c r="E41" s="183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28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0</v>
      </c>
      <c r="AJ42" s="12">
        <v>0</v>
      </c>
      <c r="AK42" s="12">
        <v>0</v>
      </c>
      <c r="AL42" s="12">
        <v>0</v>
      </c>
      <c r="AM42" s="12">
        <v>0</v>
      </c>
      <c r="AN42" s="12">
        <v>0</v>
      </c>
    </row>
    <row r="43" spans="2:40" x14ac:dyDescent="0.25">
      <c r="B43" s="39" t="s">
        <v>31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0</v>
      </c>
      <c r="X43" s="12">
        <v>0</v>
      </c>
      <c r="Y43" s="12">
        <v>0</v>
      </c>
      <c r="Z43" s="12">
        <v>0</v>
      </c>
      <c r="AA43" s="12">
        <v>0</v>
      </c>
      <c r="AB43" s="12">
        <v>0</v>
      </c>
      <c r="AC43" s="12">
        <v>0</v>
      </c>
      <c r="AD43" s="12">
        <v>0</v>
      </c>
      <c r="AE43" s="12">
        <v>0</v>
      </c>
      <c r="AF43" s="12">
        <v>0</v>
      </c>
      <c r="AG43" s="12">
        <v>0</v>
      </c>
      <c r="AH43" s="12">
        <v>0</v>
      </c>
      <c r="AI43" s="12">
        <v>0</v>
      </c>
      <c r="AJ43" s="12">
        <v>0</v>
      </c>
      <c r="AK43" s="12">
        <v>0</v>
      </c>
      <c r="AL43" s="12">
        <v>0</v>
      </c>
      <c r="AM43" s="12">
        <v>0</v>
      </c>
      <c r="AN43" s="12">
        <v>0</v>
      </c>
    </row>
    <row r="44" spans="2:40" x14ac:dyDescent="0.25">
      <c r="B44" s="39" t="s">
        <v>34</v>
      </c>
      <c r="C44" s="96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0</v>
      </c>
      <c r="F44" s="12">
        <v>0</v>
      </c>
      <c r="G44" s="12">
        <v>0</v>
      </c>
      <c r="H44" s="12">
        <v>350.41759999999999</v>
      </c>
      <c r="I44" s="12">
        <v>849.08879999999999</v>
      </c>
      <c r="J44" s="12">
        <v>865.93580000000009</v>
      </c>
      <c r="K44" s="12">
        <v>892.89099999999996</v>
      </c>
      <c r="L44" s="12">
        <v>919.84619999999995</v>
      </c>
      <c r="M44" s="12">
        <v>936.69320000000005</v>
      </c>
      <c r="N44" s="12">
        <v>963.64839999999981</v>
      </c>
      <c r="O44" s="12">
        <v>987.2342000000001</v>
      </c>
      <c r="P44" s="12">
        <v>1007.4506000000002</v>
      </c>
      <c r="Q44" s="12">
        <v>1075.7820319999998</v>
      </c>
      <c r="R44" s="12">
        <v>1100.3112639999999</v>
      </c>
      <c r="S44" s="12">
        <v>1121.3363200000001</v>
      </c>
      <c r="T44" s="12">
        <v>1149.3697279999999</v>
      </c>
      <c r="U44" s="12">
        <v>1030.227744</v>
      </c>
      <c r="V44" s="12">
        <v>1030.227744</v>
      </c>
      <c r="W44" s="12">
        <v>1030.227744</v>
      </c>
      <c r="X44" s="12">
        <v>1030.227744</v>
      </c>
      <c r="Y44" s="12">
        <v>1030.227744</v>
      </c>
      <c r="Z44" s="12">
        <v>1030.227744</v>
      </c>
      <c r="AA44" s="12">
        <v>1030.227744</v>
      </c>
      <c r="AB44" s="12">
        <v>1030.227744</v>
      </c>
      <c r="AC44" s="12">
        <v>1071.4368537600003</v>
      </c>
      <c r="AD44" s="12">
        <v>1071.4368537600003</v>
      </c>
      <c r="AE44" s="12">
        <v>1071.4368537600003</v>
      </c>
      <c r="AF44" s="12">
        <v>1071.4368537600003</v>
      </c>
      <c r="AG44" s="12">
        <v>1071.4368537600003</v>
      </c>
      <c r="AH44" s="12">
        <v>1071.4368537600003</v>
      </c>
      <c r="AI44" s="12">
        <v>1071.4368537600003</v>
      </c>
      <c r="AJ44" s="12">
        <v>1071.4368537600003</v>
      </c>
      <c r="AK44" s="12">
        <v>1071.4368537600003</v>
      </c>
      <c r="AL44" s="12">
        <v>1071.4368537600003</v>
      </c>
      <c r="AM44" s="12">
        <v>1071.4368537600003</v>
      </c>
      <c r="AN44" s="12">
        <v>1071.4368537600003</v>
      </c>
    </row>
    <row r="45" spans="2:40" x14ac:dyDescent="0.25">
      <c r="B45" s="39" t="s">
        <v>36</v>
      </c>
      <c r="C45" s="96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0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12">
        <v>0</v>
      </c>
      <c r="R45" s="12">
        <v>0</v>
      </c>
      <c r="S45" s="12">
        <v>0</v>
      </c>
      <c r="T45" s="12">
        <v>0</v>
      </c>
      <c r="U45" s="12">
        <v>0</v>
      </c>
      <c r="V45" s="12">
        <v>0</v>
      </c>
      <c r="W45" s="12">
        <v>0</v>
      </c>
      <c r="X45" s="12">
        <v>0</v>
      </c>
      <c r="Y45" s="12">
        <v>0</v>
      </c>
      <c r="Z45" s="12">
        <v>0</v>
      </c>
      <c r="AA45" s="12">
        <v>0</v>
      </c>
      <c r="AB45" s="12">
        <v>0</v>
      </c>
      <c r="AC45" s="12">
        <v>0</v>
      </c>
      <c r="AD45" s="12">
        <v>0</v>
      </c>
      <c r="AE45" s="12">
        <v>0</v>
      </c>
      <c r="AF45" s="12">
        <v>0</v>
      </c>
      <c r="AG45" s="12">
        <v>0</v>
      </c>
      <c r="AH45" s="12">
        <v>0</v>
      </c>
      <c r="AI45" s="12">
        <v>0</v>
      </c>
      <c r="AJ45" s="12">
        <v>0</v>
      </c>
      <c r="AK45" s="12">
        <v>0</v>
      </c>
      <c r="AL45" s="12">
        <v>0</v>
      </c>
      <c r="AM45" s="12">
        <v>0</v>
      </c>
      <c r="AN45" s="12">
        <v>0</v>
      </c>
    </row>
    <row r="46" spans="2:40" x14ac:dyDescent="0.25">
      <c r="B46" s="39" t="s">
        <v>38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0</v>
      </c>
      <c r="F46" s="12">
        <v>0</v>
      </c>
      <c r="G46" s="12">
        <v>0</v>
      </c>
      <c r="H46" s="12">
        <v>2150</v>
      </c>
      <c r="I46" s="12">
        <v>3409.9999999999995</v>
      </c>
      <c r="J46" s="12">
        <v>3954.9999999999991</v>
      </c>
      <c r="K46" s="12">
        <v>4255</v>
      </c>
      <c r="L46" s="12">
        <v>4820</v>
      </c>
      <c r="M46" s="12">
        <v>5365</v>
      </c>
      <c r="N46" s="12">
        <v>5930.0000000000009</v>
      </c>
      <c r="O46" s="12">
        <v>6225</v>
      </c>
      <c r="P46" s="12">
        <v>6780.0000000000009</v>
      </c>
      <c r="Q46" s="12">
        <v>7486.8</v>
      </c>
      <c r="R46" s="12">
        <v>7787.6999999999989</v>
      </c>
      <c r="S46" s="12">
        <v>8348.6999999999989</v>
      </c>
      <c r="T46" s="12">
        <v>8925</v>
      </c>
      <c r="U46" s="12">
        <v>9287.1</v>
      </c>
      <c r="V46" s="12">
        <v>9287.1</v>
      </c>
      <c r="W46" s="12">
        <v>9287.1</v>
      </c>
      <c r="X46" s="12">
        <v>9287.1</v>
      </c>
      <c r="Y46" s="12">
        <v>9287.1</v>
      </c>
      <c r="Z46" s="12">
        <v>9287.1</v>
      </c>
      <c r="AA46" s="12">
        <v>9287.1</v>
      </c>
      <c r="AB46" s="12">
        <v>9287.1</v>
      </c>
      <c r="AC46" s="12">
        <v>9472.8420000000006</v>
      </c>
      <c r="AD46" s="12">
        <v>9472.8420000000006</v>
      </c>
      <c r="AE46" s="12">
        <v>9472.8420000000006</v>
      </c>
      <c r="AF46" s="12">
        <v>9472.8420000000006</v>
      </c>
      <c r="AG46" s="12">
        <v>9472.8420000000006</v>
      </c>
      <c r="AH46" s="12">
        <v>9472.8420000000006</v>
      </c>
      <c r="AI46" s="12">
        <v>9472.8420000000006</v>
      </c>
      <c r="AJ46" s="12">
        <v>9472.8420000000006</v>
      </c>
      <c r="AK46" s="12">
        <v>9472.8420000000006</v>
      </c>
      <c r="AL46" s="12">
        <v>9472.8420000000006</v>
      </c>
      <c r="AM46" s="12">
        <v>9472.8420000000006</v>
      </c>
      <c r="AN46" s="12">
        <v>9472.8420000000006</v>
      </c>
    </row>
    <row r="47" spans="2:40" x14ac:dyDescent="0.25">
      <c r="B47" s="39" t="s">
        <v>40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  <c r="O47" s="12">
        <v>0</v>
      </c>
      <c r="P47" s="12">
        <v>0</v>
      </c>
      <c r="Q47" s="12">
        <v>0</v>
      </c>
      <c r="R47" s="12">
        <v>0</v>
      </c>
      <c r="S47" s="12">
        <v>0</v>
      </c>
      <c r="T47" s="12">
        <v>0</v>
      </c>
      <c r="U47" s="12">
        <v>0</v>
      </c>
      <c r="V47" s="12">
        <v>0</v>
      </c>
      <c r="W47" s="12">
        <v>0</v>
      </c>
      <c r="X47" s="12">
        <v>0</v>
      </c>
      <c r="Y47" s="12">
        <v>0</v>
      </c>
      <c r="Z47" s="12">
        <v>0</v>
      </c>
      <c r="AA47" s="12">
        <v>0</v>
      </c>
      <c r="AB47" s="12">
        <v>0</v>
      </c>
      <c r="AC47" s="12">
        <v>0</v>
      </c>
      <c r="AD47" s="12">
        <v>0</v>
      </c>
      <c r="AE47" s="12">
        <v>0</v>
      </c>
      <c r="AF47" s="12">
        <v>0</v>
      </c>
      <c r="AG47" s="12">
        <v>0</v>
      </c>
      <c r="AH47" s="12">
        <v>0</v>
      </c>
      <c r="AI47" s="12">
        <v>0</v>
      </c>
      <c r="AJ47" s="12">
        <v>0</v>
      </c>
      <c r="AK47" s="12">
        <v>0</v>
      </c>
      <c r="AL47" s="12">
        <v>0</v>
      </c>
      <c r="AM47" s="12">
        <v>0</v>
      </c>
      <c r="AN47" s="12">
        <v>0</v>
      </c>
    </row>
    <row r="48" spans="2:40" x14ac:dyDescent="0.25">
      <c r="B48" s="39" t="s">
        <v>41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42</v>
      </c>
      <c r="E49" s="12">
        <f>'Corp.'!E$50*(E$37-(E31-E32-E34)*$C$35)/(SUM('MDA1:NCA9'!E$37)-SUM('MDA1:NCA9'!E$31)-SUM('MDA1:NCA9'!E$32)-SUM('MDA1:NCA9'!E$34))</f>
        <v>0</v>
      </c>
      <c r="F49" s="12">
        <f>'Corp.'!F$50*(F$37-(F31-F32-F34)*$C$35)/(SUM('MDA1:NCA9'!F$37)-SUM('MDA1:NCA9'!F$31)-SUM('MDA1:NCA9'!F$32)-SUM('MDA1:NCA9'!F$34))</f>
        <v>0</v>
      </c>
      <c r="G49" s="12">
        <f>'Corp.'!G$50*(G$37-(G31-G32-G34)*$C$35)/(SUM('MDA1:NCA9'!G$37)-SUM('MDA1:NCA9'!G$31)-SUM('MDA1:NCA9'!G$32)-SUM('MDA1:NCA9'!G$34))</f>
        <v>0</v>
      </c>
      <c r="H49" s="12">
        <f>'Corp.'!H$50*(H$37-(H31-H32-H34)*$C$35)/(SUM('MDA1:NCA9'!H$37)-SUM('MDA1:NCA9'!H$31)-SUM('MDA1:NCA9'!H$32)-SUM('MDA1:NCA9'!H$34))</f>
        <v>2050.8283162867874</v>
      </c>
      <c r="I49" s="12">
        <f>'Corp.'!I$50*(I$37-(I31-I32-I34)*$C$35)/(SUM('MDA1:NCA9'!I$37)-SUM('MDA1:NCA9'!I$31)-SUM('MDA1:NCA9'!I$32)-SUM('MDA1:NCA9'!I$34))</f>
        <v>5789.5272646905923</v>
      </c>
      <c r="J49" s="12">
        <f>'Corp.'!J$50*(J$37-(J31-J32-J34)*$C$35)/(SUM('MDA1:NCA9'!J$37)-SUM('MDA1:NCA9'!J$31)-SUM('MDA1:NCA9'!J$32)-SUM('MDA1:NCA9'!J$34))</f>
        <v>9018.7998086214393</v>
      </c>
      <c r="K49" s="12">
        <f>'Corp.'!K$50*(K$37-(K31-K32-K34)*$C$35)/(SUM('MDA1:NCA9'!K$37)-SUM('MDA1:NCA9'!K$31)-SUM('MDA1:NCA9'!K$32)-SUM('MDA1:NCA9'!K$34))</f>
        <v>9940.3942672485973</v>
      </c>
      <c r="L49" s="12">
        <f>'Corp.'!L$50*(L$37-(L31-L32-L34)*$C$35)/(SUM('MDA1:NCA9'!L$37)-SUM('MDA1:NCA9'!L$31)-SUM('MDA1:NCA9'!L$32)-SUM('MDA1:NCA9'!L$34))</f>
        <v>12524.868212348829</v>
      </c>
      <c r="M49" s="12">
        <f>'Corp.'!M$50*(M$37-(M31-M32-M34)*$C$35)/(SUM('MDA1:NCA9'!M$37)-SUM('MDA1:NCA9'!M$31)-SUM('MDA1:NCA9'!M$32)-SUM('MDA1:NCA9'!M$34))</f>
        <v>14672.135034130175</v>
      </c>
      <c r="N49" s="12">
        <f>'Corp.'!N$50*(N$37-(N31-N32-N34)*$C$35)/(SUM('MDA1:NCA9'!N$37)-SUM('MDA1:NCA9'!N$31)-SUM('MDA1:NCA9'!N$32)-SUM('MDA1:NCA9'!N$34))</f>
        <v>16590.329913730686</v>
      </c>
      <c r="O49" s="12">
        <f>'Corp.'!O$50*(O$37-(O31-O32-O34)*$C$35)/(SUM('MDA1:NCA9'!O$37)-SUM('MDA1:NCA9'!O$31)-SUM('MDA1:NCA9'!O$32)-SUM('MDA1:NCA9'!O$34))</f>
        <v>16820.780222304373</v>
      </c>
      <c r="P49" s="12">
        <f>'Corp.'!P$50*(P$37-(P31-P32-P34)*$C$35)/(SUM('MDA1:NCA9'!P$37)-SUM('MDA1:NCA9'!P$31)-SUM('MDA1:NCA9'!P$32)-SUM('MDA1:NCA9'!P$34))</f>
        <v>18314.867017894125</v>
      </c>
      <c r="Q49" s="12">
        <f>'Corp.'!Q$50*(Q$37-(Q31-Q32-Q34)*$C$35)/(SUM('MDA1:NCA9'!Q$37)-SUM('MDA1:NCA9'!Q$31)-SUM('MDA1:NCA9'!Q$32)-SUM('MDA1:NCA9'!Q$34))</f>
        <v>21457.972631348304</v>
      </c>
      <c r="R49" s="12">
        <f>'Corp.'!R$50*(R$37-(R31-R32-R34)*$C$35)/(SUM('MDA1:NCA9'!R$37)-SUM('MDA1:NCA9'!R$31)-SUM('MDA1:NCA9'!R$32)-SUM('MDA1:NCA9'!R$34))</f>
        <v>21859.639550102882</v>
      </c>
      <c r="S49" s="12">
        <f>'Corp.'!S$50*(S$37-(S31-S32-S34)*$C$35)/(SUM('MDA1:NCA9'!S$37)-SUM('MDA1:NCA9'!S$31)-SUM('MDA1:NCA9'!S$32)-SUM('MDA1:NCA9'!S$34))</f>
        <v>23237.44705992048</v>
      </c>
      <c r="T49" s="12">
        <f>'Corp.'!T$50*(T$37-(T31-T32-T34)*$C$35)/(SUM('MDA1:NCA9'!T$37)-SUM('MDA1:NCA9'!T$31)-SUM('MDA1:NCA9'!T$32)-SUM('MDA1:NCA9'!T$34))</f>
        <v>24582.560701713068</v>
      </c>
      <c r="U49" s="12">
        <f>'Corp.'!U$50*(U$37-(U31-U32-U34)*$C$35)/(SUM('MDA1:NCA9'!U$37)-SUM('MDA1:NCA9'!U$31)-SUM('MDA1:NCA9'!U$32)-SUM('MDA1:NCA9'!U$34))</f>
        <v>26085.379845659838</v>
      </c>
      <c r="V49" s="12">
        <f>'Corp.'!V$50*(V$37-(V31-V32-V34)*$C$35)/(SUM('MDA1:NCA9'!V$37)-SUM('MDA1:NCA9'!V$31)-SUM('MDA1:NCA9'!V$32)-SUM('MDA1:NCA9'!V$34))</f>
        <v>25488.61531780893</v>
      </c>
      <c r="W49" s="12">
        <f>'Corp.'!W$50*(W$37-(W31-W32-W34)*$C$35)/(SUM('MDA1:NCA9'!W$37)-SUM('MDA1:NCA9'!W$31)-SUM('MDA1:NCA9'!W$32)-SUM('MDA1:NCA9'!W$34))</f>
        <v>24713.95242228506</v>
      </c>
      <c r="X49" s="12">
        <f>'Corp.'!X$50*(X$37-(X31-X32-X34)*$C$35)/(SUM('MDA1:NCA9'!X$37)-SUM('MDA1:NCA9'!X$31)-SUM('MDA1:NCA9'!X$32)-SUM('MDA1:NCA9'!X$34))</f>
        <v>23939.821030799641</v>
      </c>
      <c r="Y49" s="12">
        <f>'Corp.'!Y$50*(Y$37-(Y31-Y32-Y34)*$C$35)/(SUM('MDA1:NCA9'!Y$37)-SUM('MDA1:NCA9'!Y$31)-SUM('MDA1:NCA9'!Y$32)-SUM('MDA1:NCA9'!Y$34))</f>
        <v>23432.621973041521</v>
      </c>
      <c r="Z49" s="12">
        <f>'Corp.'!Z$50*(Z$37-(Z31-Z32-Z34)*$C$35)/(SUM('MDA1:NCA9'!Z$37)-SUM('MDA1:NCA9'!Z$31)-SUM('MDA1:NCA9'!Z$32)-SUM('MDA1:NCA9'!Z$34))</f>
        <v>22923.721660277752</v>
      </c>
      <c r="AA49" s="12">
        <f>'Corp.'!AA$50*(AA$37-(AA31-AA32-AA34)*$C$35)/(SUM('MDA1:NCA9'!AA$37)-SUM('MDA1:NCA9'!AA$31)-SUM('MDA1:NCA9'!AA$32)-SUM('MDA1:NCA9'!AA$34))</f>
        <v>22399.60889435008</v>
      </c>
      <c r="AB49" s="12">
        <f>'Corp.'!AB$50*(AB$37-(AB31-AB32-AB34)*$C$35)/(SUM('MDA1:NCA9'!AB$37)-SUM('MDA1:NCA9'!AB$31)-SUM('MDA1:NCA9'!AB$32)-SUM('MDA1:NCA9'!AB$34))</f>
        <v>21891.272393451491</v>
      </c>
      <c r="AC49" s="12">
        <f>'Corp.'!AC$50*(AC$37-(AC31-AC32-AC34)*$C$35)/(SUM('MDA1:NCA9'!AC$37)-SUM('MDA1:NCA9'!AC$31)-SUM('MDA1:NCA9'!AC$32)-SUM('MDA1:NCA9'!AC$34))</f>
        <v>23494.748554156136</v>
      </c>
      <c r="AD49" s="12">
        <f>'Corp.'!AD$50*(AD$37-(AD31-AD32-AD34)*$C$35)/(SUM('MDA1:NCA9'!AD$37)-SUM('MDA1:NCA9'!AD$31)-SUM('MDA1:NCA9'!AD$32)-SUM('MDA1:NCA9'!AD$34))</f>
        <v>23108.774993822044</v>
      </c>
      <c r="AE49" s="12">
        <f>'Corp.'!AE$50*(AE$37-(AE31-AE32-AE34)*$C$35)/(SUM('MDA1:NCA9'!AE$37)-SUM('MDA1:NCA9'!AE$31)-SUM('MDA1:NCA9'!AE$32)-SUM('MDA1:NCA9'!AE$34))</f>
        <v>22744.838460557119</v>
      </c>
      <c r="AF49" s="12">
        <f>'Corp.'!AF$50*(AF$37-(AF31-AF32-AF34)*$C$35)/(SUM('MDA1:NCA9'!AF$37)-SUM('MDA1:NCA9'!AF$31)-SUM('MDA1:NCA9'!AF$32)-SUM('MDA1:NCA9'!AF$34))</f>
        <v>22403.817997313166</v>
      </c>
      <c r="AG49" s="12">
        <f>'Corp.'!AG$50*(AG$37-(AG31-AG32-AG34)*$C$35)/(SUM('MDA1:NCA9'!AG$37)-SUM('MDA1:NCA9'!AG$31)-SUM('MDA1:NCA9'!AG$32)-SUM('MDA1:NCA9'!AG$34))</f>
        <v>22130.335450478735</v>
      </c>
      <c r="AH49" s="12">
        <f>'Corp.'!AH$50*(AH$37-(AH31-AH32-AH34)*$C$35)/(SUM('MDA1:NCA9'!AH$37)-SUM('MDA1:NCA9'!AH$31)-SUM('MDA1:NCA9'!AH$32)-SUM('MDA1:NCA9'!AH$34))</f>
        <v>21770.603793523194</v>
      </c>
      <c r="AI49" s="12">
        <f>'Corp.'!AI$50*(AI$37-(AI31-AI32-AI34)*$C$35)/(SUM('MDA1:NCA9'!AI$37)-SUM('MDA1:NCA9'!AI$31)-SUM('MDA1:NCA9'!AI$32)-SUM('MDA1:NCA9'!AI$34))</f>
        <v>21395.721324472277</v>
      </c>
      <c r="AJ49" s="12">
        <f>'Corp.'!AJ$50*(AJ$37-(AJ31-AJ32-AJ34)*$C$35)/(SUM('MDA1:NCA9'!AJ$37)-SUM('MDA1:NCA9'!AJ$31)-SUM('MDA1:NCA9'!AJ$32)-SUM('MDA1:NCA9'!AJ$34))</f>
        <v>21011.630182167897</v>
      </c>
      <c r="AK49" s="12">
        <f>'Corp.'!AK$50*(AK$37-(AK31-AK32-AK34)*$C$35)/(SUM('MDA1:NCA9'!AK$37)-SUM('MDA1:NCA9'!AK$31)-SUM('MDA1:NCA9'!AK$32)-SUM('MDA1:NCA9'!AK$34))</f>
        <v>20656.969758886436</v>
      </c>
      <c r="AL49" s="12">
        <f>'Corp.'!AL$50*(AL$37-(AL31-AL32-AL34)*$C$35)/(SUM('MDA1:NCA9'!AL$37)-SUM('MDA1:NCA9'!AL$31)-SUM('MDA1:NCA9'!AL$32)-SUM('MDA1:NCA9'!AL$34))</f>
        <v>20331.511815913873</v>
      </c>
      <c r="AM49" s="12">
        <f>'Corp.'!AM$50*(AM$37-(AM31-AM32-AM34)*$C$35)/(SUM('MDA1:NCA9'!AM$37)-SUM('MDA1:NCA9'!AM$31)-SUM('MDA1:NCA9'!AM$32)-SUM('MDA1:NCA9'!AM$34))</f>
        <v>19981.009837424681</v>
      </c>
      <c r="AN49" s="12">
        <f>'Corp.'!AN$50*(AN$37-(AN31-AN32-AN34)*$C$35)/(SUM('MDA1:NCA9'!AN$37)-SUM('MDA1:NCA9'!AN$31)-SUM('MDA1:NCA9'!AN$32)-SUM('MDA1:NCA9'!AN$34))</f>
        <v>19682.235535904914</v>
      </c>
    </row>
    <row r="50" spans="2:40" x14ac:dyDescent="0.25">
      <c r="B50" s="1" t="s">
        <v>272</v>
      </c>
      <c r="E50" s="13" cm="1">
        <f t="array" ref="E50:AN50">_xlfn.BYCOL(_xlfn.VSTACK(_xlfn.ANCHORARRAY(E40),_xlfn.ANCHORARRAY(E42),_xlfn.ANCHORARRAY(E43),_xlfn.ANCHORARRAY(E45),_xlfn.ANCHORARRAY(E46),_xlfn.ANCHORARRAY(E47),_xlfn.ANCHORARRAY(E48),_xlfn.HSTACK(E49:AN49)),_xlfn.LAMBDA(_xlpm.a,SUM(_xlpm.a)))</f>
        <v>0</v>
      </c>
      <c r="F50" s="13">
        <v>0</v>
      </c>
      <c r="G50" s="13">
        <v>0</v>
      </c>
      <c r="H50" s="13">
        <v>16122.552787353954</v>
      </c>
      <c r="I50" s="13">
        <v>34597.340522336541</v>
      </c>
      <c r="J50" s="13">
        <v>42334.735186179489</v>
      </c>
      <c r="K50" s="13">
        <v>46012.040704762709</v>
      </c>
      <c r="L50" s="13">
        <v>53413.600180886147</v>
      </c>
      <c r="M50" s="13">
        <v>60071.889122579603</v>
      </c>
      <c r="N50" s="13">
        <v>66880.222788758911</v>
      </c>
      <c r="O50" s="13">
        <v>69797.584157288642</v>
      </c>
      <c r="P50" s="13">
        <v>75895.756483901612</v>
      </c>
      <c r="Q50" s="13">
        <v>89478.665375859855</v>
      </c>
      <c r="R50" s="13">
        <v>92812.334460566082</v>
      </c>
      <c r="S50" s="13">
        <v>99180.756302287016</v>
      </c>
      <c r="T50" s="13">
        <v>105779.46402820514</v>
      </c>
      <c r="U50" s="13">
        <v>109008.93917072192</v>
      </c>
      <c r="V50" s="13">
        <v>108412.17464287102</v>
      </c>
      <c r="W50" s="13">
        <v>107637.51174734715</v>
      </c>
      <c r="X50" s="13">
        <v>106863.38035586174</v>
      </c>
      <c r="Y50" s="13">
        <v>106356.18129810361</v>
      </c>
      <c r="Z50" s="13">
        <v>105847.28098533984</v>
      </c>
      <c r="AA50" s="13">
        <v>105323.16821941217</v>
      </c>
      <c r="AB50" s="13">
        <v>104814.83171851358</v>
      </c>
      <c r="AC50" s="13">
        <v>113967.69581172442</v>
      </c>
      <c r="AD50" s="13">
        <v>113581.72225139034</v>
      </c>
      <c r="AE50" s="13">
        <v>113217.78571812541</v>
      </c>
      <c r="AF50" s="13">
        <v>112876.76525488145</v>
      </c>
      <c r="AG50" s="13">
        <v>112603.28270804702</v>
      </c>
      <c r="AH50" s="13">
        <v>112243.55105109149</v>
      </c>
      <c r="AI50" s="13">
        <v>111868.66858204057</v>
      </c>
      <c r="AJ50" s="13">
        <v>111484.57743973618</v>
      </c>
      <c r="AK50" s="13">
        <v>111129.91701645472</v>
      </c>
      <c r="AL50" s="13">
        <v>110804.45907348217</v>
      </c>
      <c r="AM50" s="13">
        <v>110453.95709499298</v>
      </c>
      <c r="AN50" s="13">
        <v>110155.1827934732</v>
      </c>
    </row>
    <row r="52" spans="2:40" x14ac:dyDescent="0.25">
      <c r="B52" s="1" t="s">
        <v>48</v>
      </c>
      <c r="E52" s="74">
        <f>E37-E50</f>
        <v>0</v>
      </c>
      <c r="F52" s="74">
        <f t="shared" ref="F52:AN52" si="0">F37-F50</f>
        <v>0</v>
      </c>
      <c r="G52" s="74">
        <f t="shared" si="0"/>
        <v>0</v>
      </c>
      <c r="H52" s="74">
        <f t="shared" si="0"/>
        <v>-8201.0787873539557</v>
      </c>
      <c r="I52" s="74">
        <f t="shared" si="0"/>
        <v>-10832.918522336542</v>
      </c>
      <c r="J52" s="74">
        <f t="shared" si="0"/>
        <v>-2727.3651861794933</v>
      </c>
      <c r="K52" s="74">
        <f t="shared" si="0"/>
        <v>1516.8032952372887</v>
      </c>
      <c r="L52" s="74">
        <f t="shared" si="0"/>
        <v>9958.1918191138393</v>
      </c>
      <c r="M52" s="74">
        <f t="shared" si="0"/>
        <v>19142.850877420387</v>
      </c>
      <c r="N52" s="74">
        <f t="shared" si="0"/>
        <v>28177.465211241084</v>
      </c>
      <c r="O52" s="74">
        <f t="shared" si="0"/>
        <v>33181.577842711355</v>
      </c>
      <c r="P52" s="74">
        <f t="shared" si="0"/>
        <v>42926.353516098388</v>
      </c>
      <c r="Q52" s="74">
        <f t="shared" si="0"/>
        <v>49226.344364140154</v>
      </c>
      <c r="R52" s="74">
        <f t="shared" si="0"/>
        <v>54051.79349943393</v>
      </c>
      <c r="S52" s="74">
        <f t="shared" si="0"/>
        <v>64001.608097713004</v>
      </c>
      <c r="T52" s="74">
        <f t="shared" si="0"/>
        <v>73721.13681179483</v>
      </c>
      <c r="U52" s="74">
        <f t="shared" si="0"/>
        <v>86809.898109278089</v>
      </c>
      <c r="V52" s="74">
        <f t="shared" si="0"/>
        <v>87406.662637128989</v>
      </c>
      <c r="W52" s="74">
        <f t="shared" si="0"/>
        <v>88181.32553265286</v>
      </c>
      <c r="X52" s="74">
        <f t="shared" si="0"/>
        <v>88955.456924138271</v>
      </c>
      <c r="Y52" s="74">
        <f t="shared" si="0"/>
        <v>89462.655981896401</v>
      </c>
      <c r="Z52" s="74">
        <f t="shared" si="0"/>
        <v>89971.556294660171</v>
      </c>
      <c r="AA52" s="74">
        <f t="shared" si="0"/>
        <v>90495.669060587839</v>
      </c>
      <c r="AB52" s="74">
        <f t="shared" si="0"/>
        <v>91004.005561486425</v>
      </c>
      <c r="AC52" s="74">
        <f t="shared" si="0"/>
        <v>81851.141468275586</v>
      </c>
      <c r="AD52" s="74">
        <f t="shared" si="0"/>
        <v>82237.115028609667</v>
      </c>
      <c r="AE52" s="74">
        <f t="shared" si="0"/>
        <v>82601.051561874599</v>
      </c>
      <c r="AF52" s="74">
        <f t="shared" si="0"/>
        <v>82942.072025118556</v>
      </c>
      <c r="AG52" s="74">
        <f t="shared" si="0"/>
        <v>83215.554571952991</v>
      </c>
      <c r="AH52" s="74">
        <f t="shared" si="0"/>
        <v>83575.286228908517</v>
      </c>
      <c r="AI52" s="74">
        <f t="shared" si="0"/>
        <v>83950.168697959438</v>
      </c>
      <c r="AJ52" s="74">
        <f t="shared" si="0"/>
        <v>84334.259840263825</v>
      </c>
      <c r="AK52" s="74">
        <f t="shared" si="0"/>
        <v>84688.920263545282</v>
      </c>
      <c r="AL52" s="74">
        <f t="shared" si="0"/>
        <v>85014.378206517838</v>
      </c>
      <c r="AM52" s="74">
        <f t="shared" si="0"/>
        <v>85364.88018500703</v>
      </c>
      <c r="AN52" s="74">
        <f t="shared" si="0"/>
        <v>85663.654486526808</v>
      </c>
    </row>
    <row r="53" spans="2:40" x14ac:dyDescent="0.25">
      <c r="E53" s="105" t="str">
        <f>IFERROR(E52/E37,"")</f>
        <v/>
      </c>
      <c r="F53" s="105" t="str">
        <f t="shared" ref="F53:AN53" si="1">IFERROR(F52/F37,"")</f>
        <v/>
      </c>
      <c r="G53" s="105" t="str">
        <f t="shared" si="1"/>
        <v/>
      </c>
      <c r="H53" s="105">
        <f t="shared" si="1"/>
        <v>-1.0352970655908178</v>
      </c>
      <c r="I53" s="105">
        <f t="shared" si="1"/>
        <v>-0.45584607622001255</v>
      </c>
      <c r="J53" s="105">
        <f t="shared" si="1"/>
        <v>-6.8860042617813144E-2</v>
      </c>
      <c r="K53" s="105">
        <f t="shared" si="1"/>
        <v>3.1913321839624142E-2</v>
      </c>
      <c r="L53" s="105">
        <f t="shared" si="1"/>
        <v>0.15713918614000755</v>
      </c>
      <c r="M53" s="105">
        <f t="shared" si="1"/>
        <v>0.24165768741297883</v>
      </c>
      <c r="N53" s="105">
        <f t="shared" si="1"/>
        <v>0.29642489528296845</v>
      </c>
      <c r="O53" s="105">
        <f t="shared" si="1"/>
        <v>0.3222164290161087</v>
      </c>
      <c r="P53" s="105">
        <f t="shared" si="1"/>
        <v>0.36126570649265854</v>
      </c>
      <c r="Q53" s="105">
        <f t="shared" si="1"/>
        <v>0.35489954152639497</v>
      </c>
      <c r="R53" s="105">
        <f t="shared" si="1"/>
        <v>0.36803945422367201</v>
      </c>
      <c r="S53" s="105">
        <f t="shared" si="1"/>
        <v>0.39220909890010758</v>
      </c>
      <c r="T53" s="105">
        <f t="shared" si="1"/>
        <v>0.41070133730363978</v>
      </c>
      <c r="U53" s="105">
        <f t="shared" si="1"/>
        <v>0.44331740150795201</v>
      </c>
      <c r="V53" s="105">
        <f t="shared" si="1"/>
        <v>0.44636493532104271</v>
      </c>
      <c r="W53" s="105">
        <f t="shared" si="1"/>
        <v>0.45032095357896029</v>
      </c>
      <c r="X53" s="105">
        <f t="shared" si="1"/>
        <v>0.45427425757278639</v>
      </c>
      <c r="Y53" s="105">
        <f t="shared" si="1"/>
        <v>0.45686440193684924</v>
      </c>
      <c r="Z53" s="105">
        <f t="shared" si="1"/>
        <v>0.45946323420361473</v>
      </c>
      <c r="AA53" s="105">
        <f t="shared" si="1"/>
        <v>0.462139752832812</v>
      </c>
      <c r="AB53" s="105">
        <f t="shared" si="1"/>
        <v>0.4647357058471368</v>
      </c>
      <c r="AC53" s="105">
        <f t="shared" si="1"/>
        <v>0.41799421651777657</v>
      </c>
      <c r="AD53" s="105">
        <f t="shared" si="1"/>
        <v>0.41996529124018533</v>
      </c>
      <c r="AE53" s="105">
        <f t="shared" si="1"/>
        <v>0.42182382813234626</v>
      </c>
      <c r="AF53" s="105">
        <f t="shared" si="1"/>
        <v>0.42356533813200137</v>
      </c>
      <c r="AG53" s="105">
        <f t="shared" si="1"/>
        <v>0.4249619481345589</v>
      </c>
      <c r="AH53" s="105">
        <f t="shared" si="1"/>
        <v>0.42679901172840073</v>
      </c>
      <c r="AI53" s="105">
        <f t="shared" si="1"/>
        <v>0.42871344689847007</v>
      </c>
      <c r="AJ53" s="105">
        <f t="shared" si="1"/>
        <v>0.43067490856191148</v>
      </c>
      <c r="AK53" s="105">
        <f t="shared" si="1"/>
        <v>0.43248607457743804</v>
      </c>
      <c r="AL53" s="105">
        <f t="shared" si="1"/>
        <v>0.4341481105056117</v>
      </c>
      <c r="AM53" s="105">
        <f t="shared" si="1"/>
        <v>0.43593804033747979</v>
      </c>
      <c r="AN53" s="105">
        <f t="shared" si="1"/>
        <v>0.43746380928631978</v>
      </c>
    </row>
    <row r="55" spans="2:40" x14ac:dyDescent="0.25">
      <c r="B55" t="s">
        <v>57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0</v>
      </c>
      <c r="D55" s="12">
        <f>C55-SUM(_xlfn.ANCHORARRAY(E55))</f>
        <v>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</row>
    <row r="56" spans="2:40" x14ac:dyDescent="0.25">
      <c r="B56" t="s">
        <v>285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0</v>
      </c>
      <c r="F56" s="90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0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0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0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0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-1188.2210999999998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-3564.6632999999997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-5941.1054999999988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-7129.3265999999994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-9505.768799999998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-11882.210999999998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-14258.653199999999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-15446.874299999999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-17823.316500000001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-20805.751461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-22029.619194000003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-24477.354660000001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-26925.090125999996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-29372.825592000001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-29372.825592000001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-29372.825592000001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-29372.825592000001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-29372.825592000001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-29372.825592000001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-29372.825592000001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-29372.825592000001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-29372.825592000001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-29372.825592000001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-29372.825592000001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-29372.825592000001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-29372.825592000001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-29372.825592000001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-29372.825592000001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276</v>
      </c>
      <c r="E58" s="13">
        <f>E37-E50-E55+E56</f>
        <v>0</v>
      </c>
      <c r="F58" s="13">
        <f t="shared" ref="F58:AN58" si="2">F37-F50-F55+F56</f>
        <v>0</v>
      </c>
      <c r="G58" s="13">
        <f t="shared" si="2"/>
        <v>0</v>
      </c>
      <c r="H58" s="13">
        <f t="shared" si="2"/>
        <v>-8201.0787873539557</v>
      </c>
      <c r="I58" s="13">
        <f t="shared" si="2"/>
        <v>-10832.918522336542</v>
      </c>
      <c r="J58" s="13">
        <f t="shared" si="2"/>
        <v>-2727.3651861794933</v>
      </c>
      <c r="K58" s="13">
        <f t="shared" si="2"/>
        <v>1516.8032952372887</v>
      </c>
      <c r="L58" s="13">
        <f t="shared" si="2"/>
        <v>9958.1918191138393</v>
      </c>
      <c r="M58" s="13">
        <f t="shared" si="2"/>
        <v>17954.629777420389</v>
      </c>
      <c r="N58" s="13">
        <f t="shared" si="2"/>
        <v>24612.801911241084</v>
      </c>
      <c r="O58" s="13">
        <f t="shared" si="2"/>
        <v>27240.472342711357</v>
      </c>
      <c r="P58" s="13">
        <f t="shared" si="2"/>
        <v>35797.026916098388</v>
      </c>
      <c r="Q58" s="13">
        <f t="shared" si="2"/>
        <v>39720.575564140156</v>
      </c>
      <c r="R58" s="13">
        <f t="shared" si="2"/>
        <v>42169.582499433935</v>
      </c>
      <c r="S58" s="13">
        <f t="shared" si="2"/>
        <v>49742.954897713003</v>
      </c>
      <c r="T58" s="13">
        <f t="shared" si="2"/>
        <v>58274.262511794834</v>
      </c>
      <c r="U58" s="13">
        <f t="shared" si="2"/>
        <v>68986.581609278088</v>
      </c>
      <c r="V58" s="13">
        <f t="shared" si="2"/>
        <v>66600.911176128982</v>
      </c>
      <c r="W58" s="13">
        <f t="shared" si="2"/>
        <v>66151.706338652861</v>
      </c>
      <c r="X58" s="13">
        <f t="shared" si="2"/>
        <v>64478.102264138273</v>
      </c>
      <c r="Y58" s="13">
        <f t="shared" si="2"/>
        <v>62537.565855896406</v>
      </c>
      <c r="Z58" s="13">
        <f t="shared" si="2"/>
        <v>60598.73070266017</v>
      </c>
      <c r="AA58" s="13">
        <f t="shared" si="2"/>
        <v>61122.843468587838</v>
      </c>
      <c r="AB58" s="13">
        <f t="shared" si="2"/>
        <v>61631.179969486424</v>
      </c>
      <c r="AC58" s="13">
        <f t="shared" si="2"/>
        <v>52478.315876275585</v>
      </c>
      <c r="AD58" s="13">
        <f t="shared" si="2"/>
        <v>52864.289436609666</v>
      </c>
      <c r="AE58" s="13">
        <f t="shared" si="2"/>
        <v>53228.225969874598</v>
      </c>
      <c r="AF58" s="13">
        <f t="shared" si="2"/>
        <v>53569.246433118555</v>
      </c>
      <c r="AG58" s="13">
        <f t="shared" si="2"/>
        <v>53842.72897995299</v>
      </c>
      <c r="AH58" s="13">
        <f t="shared" si="2"/>
        <v>54202.460636908516</v>
      </c>
      <c r="AI58" s="13">
        <f t="shared" si="2"/>
        <v>54577.343105959437</v>
      </c>
      <c r="AJ58" s="13">
        <f t="shared" si="2"/>
        <v>54961.434248263824</v>
      </c>
      <c r="AK58" s="13">
        <f t="shared" si="2"/>
        <v>55316.094671545281</v>
      </c>
      <c r="AL58" s="13">
        <f t="shared" si="2"/>
        <v>55641.552614517837</v>
      </c>
      <c r="AM58" s="13">
        <f t="shared" si="2"/>
        <v>55992.054593007029</v>
      </c>
      <c r="AN58" s="13">
        <f t="shared" si="2"/>
        <v>56290.828894526807</v>
      </c>
    </row>
    <row r="59" spans="2:40" x14ac:dyDescent="0.25">
      <c r="B59" t="s">
        <v>277</v>
      </c>
      <c r="E59" s="12" cm="1">
        <f t="array" ref="E59:AN59">_xlfn.SCAN(-D55,E58:AN58,_xlfn.LAMBDA(_xlpm.capex,_xlpm.fcf,_xlpm.capex+_xlpm.fcf))</f>
        <v>0</v>
      </c>
      <c r="F59" s="12">
        <v>0</v>
      </c>
      <c r="G59" s="12">
        <v>0</v>
      </c>
      <c r="H59" s="12">
        <v>-8201.0787873539557</v>
      </c>
      <c r="I59" s="12">
        <v>-19033.997309690498</v>
      </c>
      <c r="J59" s="12">
        <v>-21761.362495869991</v>
      </c>
      <c r="K59" s="12">
        <v>-20244.559200632702</v>
      </c>
      <c r="L59" s="12">
        <v>-10286.367381518863</v>
      </c>
      <c r="M59" s="12">
        <v>7668.2623959015255</v>
      </c>
      <c r="N59" s="12">
        <v>32281.064307142609</v>
      </c>
      <c r="O59" s="12">
        <v>59521.536649853966</v>
      </c>
      <c r="P59" s="12">
        <v>95318.563565952354</v>
      </c>
      <c r="Q59" s="12">
        <v>135039.13913009252</v>
      </c>
      <c r="R59" s="12">
        <v>177208.72162952647</v>
      </c>
      <c r="S59" s="12">
        <v>226951.67652723947</v>
      </c>
      <c r="T59" s="12">
        <v>285225.9390390343</v>
      </c>
      <c r="U59" s="12">
        <v>354212.52064831241</v>
      </c>
      <c r="V59" s="12">
        <v>420813.43182444142</v>
      </c>
      <c r="W59" s="12">
        <v>486965.13816309429</v>
      </c>
      <c r="X59" s="12">
        <v>551443.24042723258</v>
      </c>
      <c r="Y59" s="12">
        <v>613980.80628312903</v>
      </c>
      <c r="Z59" s="12">
        <v>674579.53698578919</v>
      </c>
      <c r="AA59" s="12">
        <v>735702.38045437704</v>
      </c>
      <c r="AB59" s="12">
        <v>797333.56042386347</v>
      </c>
      <c r="AC59" s="12">
        <v>849811.876300139</v>
      </c>
      <c r="AD59" s="12">
        <v>902676.16573674872</v>
      </c>
      <c r="AE59" s="12">
        <v>955904.39170662337</v>
      </c>
      <c r="AF59" s="12">
        <v>1009473.638139742</v>
      </c>
      <c r="AG59" s="12">
        <v>1063316.3671196951</v>
      </c>
      <c r="AH59" s="12">
        <v>1117518.8277566035</v>
      </c>
      <c r="AI59" s="12">
        <v>1172096.170862563</v>
      </c>
      <c r="AJ59" s="12">
        <v>1227057.6051108267</v>
      </c>
      <c r="AK59" s="12">
        <v>1282373.699782372</v>
      </c>
      <c r="AL59" s="12">
        <v>1338015.2523968897</v>
      </c>
      <c r="AM59" s="12">
        <v>1394007.3069898968</v>
      </c>
      <c r="AN59" s="12">
        <v>1450298.1358844235</v>
      </c>
    </row>
    <row r="61" spans="2:40" x14ac:dyDescent="0.25">
      <c r="B61" s="1" t="s">
        <v>302</v>
      </c>
    </row>
    <row r="63" spans="2:40" x14ac:dyDescent="0.25">
      <c r="B63" s="39" t="s">
        <v>103</v>
      </c>
      <c r="E63" s="12" cm="1">
        <f t="array" ref="E63:AN63">_xlfn.LET(_xlpm.site,$B$1&amp;"-"&amp;$C$1,_xlpm.locations,Base!$D$4:$BD$4,_xlpm.rates,Base!$D$36:$BD$36,_xlpm.hours,Base!$D$79:$BD$79,_xlpm.comp,_xlpm.rates*_xlpm.hours,_xlpm.Customer,_xlfn.ANCHORARRAY($E$1),
_xlpm.Customer_comp,_xlfn.XLOOKUP(_xlpm.site,_xlpm.locations,_xlpm.comp,0,0),_xlpm.ann_incr,_xlfn.XLOOKUP(YEAR(_xlfn.ANCHORARRAY($E$25)),Base!$BJ$4:$BL$4,Base!$BJ$79:$BL$79,0,0),
_xlpm.bad_debt,_xlfn.XLOOKUP(_xlpm.site,_xlpm.locations,Base!$D$28:$BD$28,0,0),_xlpm.Customer_comp*_xlpm.Customer*_xlpm.bad_debt*_xlpm.ann_incr*(52/12)*(1-$C$35))</f>
        <v>0</v>
      </c>
      <c r="F63" s="12">
        <v>0</v>
      </c>
      <c r="G63" s="12">
        <v>0</v>
      </c>
      <c r="H63" s="12">
        <v>0</v>
      </c>
      <c r="I63" s="12">
        <v>0</v>
      </c>
      <c r="J63" s="12">
        <v>0</v>
      </c>
      <c r="K63" s="12">
        <v>0</v>
      </c>
      <c r="L63" s="12">
        <v>0</v>
      </c>
      <c r="M63" s="12">
        <v>0</v>
      </c>
      <c r="N63" s="12">
        <v>0</v>
      </c>
      <c r="O63" s="12">
        <v>0</v>
      </c>
      <c r="P63" s="12">
        <v>0</v>
      </c>
      <c r="Q63" s="12">
        <v>0</v>
      </c>
      <c r="R63" s="12">
        <v>0</v>
      </c>
      <c r="S63" s="12">
        <v>0</v>
      </c>
      <c r="T63" s="12">
        <v>0</v>
      </c>
      <c r="U63" s="12">
        <v>0</v>
      </c>
      <c r="V63" s="12">
        <v>0</v>
      </c>
      <c r="W63" s="12">
        <v>0</v>
      </c>
      <c r="X63" s="12">
        <v>0</v>
      </c>
      <c r="Y63" s="12">
        <v>0</v>
      </c>
      <c r="Z63" s="12">
        <v>0</v>
      </c>
      <c r="AA63" s="12">
        <v>0</v>
      </c>
      <c r="AB63" s="12">
        <v>0</v>
      </c>
      <c r="AC63" s="12">
        <v>0</v>
      </c>
      <c r="AD63" s="12">
        <v>0</v>
      </c>
      <c r="AE63" s="12">
        <v>0</v>
      </c>
      <c r="AF63" s="12">
        <v>0</v>
      </c>
      <c r="AG63" s="12">
        <v>0</v>
      </c>
      <c r="AH63" s="12">
        <v>0</v>
      </c>
      <c r="AI63" s="12">
        <v>0</v>
      </c>
      <c r="AJ63" s="12">
        <v>0</v>
      </c>
      <c r="AK63" s="12">
        <v>0</v>
      </c>
      <c r="AL63" s="12">
        <v>0</v>
      </c>
      <c r="AM63" s="12">
        <v>0</v>
      </c>
      <c r="AN63" s="12">
        <v>0</v>
      </c>
    </row>
    <row r="64" spans="2:40" x14ac:dyDescent="0.25">
      <c r="B64" s="39" t="s">
        <v>104</v>
      </c>
      <c r="E64" s="12" cm="1">
        <f t="array" ref="E64:AN64">_xlfn.LET(_xlpm.site,$B$1&amp;"-"&amp;$C$1,_xlpm.locations,Base!$D$4:$BD$4,_xlpm.rates,Base!$D$37:$BD$37,_xlpm.hours,Base!$D$80:$BD$80,_xlpm.comp,_xlpm.rates*_xlpm.hours,_xlpm.Customer,_xlfn.ANCHORARRAY($E$1),
_xlpm.Customer_comp,_xlfn.XLOOKUP(_xlpm.site,_xlpm.locations,_xlpm.comp,0,0),_xlpm.ann_incr,_xlfn.XLOOKUP(YEAR(_xlfn.ANCHORARRAY($E$25)),Base!$BJ$4:$BL$4,Base!$BJ$80:$BL$80,0,0),
_xlpm.bad_debt,_xlfn.XLOOKUP(_xlpm.site,_xlpm.locations,Base!$D$28:$BD$28,0,0),_xlpm.Customer_comp*_xlpm.Customer*_xlpm.bad_debt*_xlpm.ann_incr*(52/12)*(1-$C$35))</f>
        <v>0</v>
      </c>
      <c r="F64" s="12">
        <v>0</v>
      </c>
      <c r="G64" s="12">
        <v>0</v>
      </c>
      <c r="H64" s="12">
        <v>0</v>
      </c>
      <c r="I64" s="12">
        <v>0</v>
      </c>
      <c r="J64" s="12">
        <v>0</v>
      </c>
      <c r="K64" s="12">
        <v>0</v>
      </c>
      <c r="L64" s="12">
        <v>0</v>
      </c>
      <c r="M64" s="12">
        <v>0</v>
      </c>
      <c r="N64" s="12">
        <v>0</v>
      </c>
      <c r="O64" s="12">
        <v>0</v>
      </c>
      <c r="P64" s="12">
        <v>0</v>
      </c>
      <c r="Q64" s="12">
        <v>0</v>
      </c>
      <c r="R64" s="12">
        <v>0</v>
      </c>
      <c r="S64" s="12">
        <v>0</v>
      </c>
      <c r="T64" s="12">
        <v>0</v>
      </c>
      <c r="U64" s="12">
        <v>0</v>
      </c>
      <c r="V64" s="12">
        <v>0</v>
      </c>
      <c r="W64" s="12">
        <v>0</v>
      </c>
      <c r="X64" s="12">
        <v>0</v>
      </c>
      <c r="Y64" s="12">
        <v>0</v>
      </c>
      <c r="Z64" s="12">
        <v>0</v>
      </c>
      <c r="AA64" s="12">
        <v>0</v>
      </c>
      <c r="AB64" s="12">
        <v>0</v>
      </c>
      <c r="AC64" s="12">
        <v>0</v>
      </c>
      <c r="AD64" s="12">
        <v>0</v>
      </c>
      <c r="AE64" s="12">
        <v>0</v>
      </c>
      <c r="AF64" s="12">
        <v>0</v>
      </c>
      <c r="AG64" s="12">
        <v>0</v>
      </c>
      <c r="AH64" s="12">
        <v>0</v>
      </c>
      <c r="AI64" s="12">
        <v>0</v>
      </c>
      <c r="AJ64" s="12">
        <v>0</v>
      </c>
      <c r="AK64" s="12">
        <v>0</v>
      </c>
      <c r="AL64" s="12">
        <v>0</v>
      </c>
      <c r="AM64" s="12">
        <v>0</v>
      </c>
      <c r="AN64" s="12">
        <v>0</v>
      </c>
    </row>
    <row r="65" spans="2:40" x14ac:dyDescent="0.25">
      <c r="B65" s="39" t="s">
        <v>56</v>
      </c>
      <c r="E65" s="12" cm="1">
        <f t="array" ref="E65:AN65">_xlfn.LET(_xlpm.site,$B$1&amp;"-"&amp;$C$1,_xlpm.locations,Base!$D$4:$BD$4,_xlpm.rates,Base!$D$39:$BD$39,_xlpm.hours,Base!$D$82:$BD$82,_xlpm.comp,_xlpm.rates*_xlpm.hours,_xlpm.Customer,_xlfn.ANCHORARRAY($E$1),
_xlpm.Customer_comp,_xlfn.XLOOKUP(_xlpm.site,_xlpm.locations,_xlpm.comp,0,0),_xlpm.ann_incr,_xlfn.XLOOKUP(YEAR(_xlfn.ANCHORARRAY($E$25)),Base!$BJ$4:$BL$4,Base!$BJ$82:$BL$82,0,0),
_xlpm.bad_debt,_xlfn.XLOOKUP(_xlpm.site,_xlpm.locations,Base!$D$28:$BD$28,0,0),_xlpm.Customer_comp*_xlpm.Customer*_xlpm.bad_debt*_xlpm.ann_incr*(52/12)*(1-$C$35))</f>
        <v>0</v>
      </c>
      <c r="F65" s="12">
        <v>0</v>
      </c>
      <c r="G65" s="12">
        <v>0</v>
      </c>
      <c r="H65" s="12">
        <v>0</v>
      </c>
      <c r="I65" s="12">
        <v>0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  <c r="O65" s="12">
        <v>0</v>
      </c>
      <c r="P65" s="12">
        <v>0</v>
      </c>
      <c r="Q65" s="12">
        <v>0</v>
      </c>
      <c r="R65" s="12">
        <v>0</v>
      </c>
      <c r="S65" s="12">
        <v>0</v>
      </c>
      <c r="T65" s="12">
        <v>0</v>
      </c>
      <c r="U65" s="12">
        <v>0</v>
      </c>
      <c r="V65" s="12">
        <v>0</v>
      </c>
      <c r="W65" s="12">
        <v>0</v>
      </c>
      <c r="X65" s="12">
        <v>0</v>
      </c>
      <c r="Y65" s="12">
        <v>0</v>
      </c>
      <c r="Z65" s="12">
        <v>0</v>
      </c>
      <c r="AA65" s="12">
        <v>0</v>
      </c>
      <c r="AB65" s="12">
        <v>0</v>
      </c>
      <c r="AC65" s="12">
        <v>0</v>
      </c>
      <c r="AD65" s="12">
        <v>0</v>
      </c>
      <c r="AE65" s="12">
        <v>0</v>
      </c>
      <c r="AF65" s="12">
        <v>0</v>
      </c>
      <c r="AG65" s="12">
        <v>0</v>
      </c>
      <c r="AH65" s="12">
        <v>0</v>
      </c>
      <c r="AI65" s="12">
        <v>0</v>
      </c>
      <c r="AJ65" s="12">
        <v>0</v>
      </c>
      <c r="AK65" s="12">
        <v>0</v>
      </c>
      <c r="AL65" s="12">
        <v>0</v>
      </c>
      <c r="AM65" s="12">
        <v>0</v>
      </c>
      <c r="AN65" s="12">
        <v>0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303</v>
      </c>
      <c r="C67" s="12"/>
      <c r="E67" s="13" cm="1">
        <f t="array" ref="E67:AN67">_xlfn.BYCOL(_xlfn.VSTACK(_xlfn.ANCHORARRAY($E$63),_xlfn.ANCHORARRAY($E$64),_xlfn.ANCHORARRAY($E$65)),_xlfn.LAMBDA(_xlpm.a,SUM(_xlpm.a)))</f>
        <v>0</v>
      </c>
      <c r="F67" s="13">
        <v>0</v>
      </c>
      <c r="G67" s="13">
        <v>0</v>
      </c>
      <c r="H67" s="13">
        <v>0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  <c r="W67" s="13">
        <v>0</v>
      </c>
      <c r="X67" s="13">
        <v>0</v>
      </c>
      <c r="Y67" s="13">
        <v>0</v>
      </c>
      <c r="Z67" s="13">
        <v>0</v>
      </c>
      <c r="AA67" s="13">
        <v>0</v>
      </c>
      <c r="AB67" s="13">
        <v>0</v>
      </c>
      <c r="AC67" s="13">
        <v>0</v>
      </c>
      <c r="AD67" s="13">
        <v>0</v>
      </c>
      <c r="AE67" s="13">
        <v>0</v>
      </c>
      <c r="AF67" s="13">
        <v>0</v>
      </c>
      <c r="AG67" s="13">
        <v>0</v>
      </c>
      <c r="AH67" s="13">
        <v>0</v>
      </c>
      <c r="AI67" s="13">
        <v>0</v>
      </c>
      <c r="AJ67" s="13">
        <v>0</v>
      </c>
      <c r="AK67" s="13">
        <v>0</v>
      </c>
      <c r="AL67" s="13">
        <v>0</v>
      </c>
      <c r="AM67" s="13">
        <v>0</v>
      </c>
      <c r="AN67" s="13">
        <v>0</v>
      </c>
    </row>
    <row r="68" spans="2:40" x14ac:dyDescent="0.25">
      <c r="B68" s="39"/>
      <c r="C68" s="12"/>
    </row>
    <row r="69" spans="2:40" x14ac:dyDescent="0.25">
      <c r="B69" s="39" t="s">
        <v>304</v>
      </c>
      <c r="C69" s="12"/>
      <c r="E69" s="106" cm="1">
        <f t="array" ref="E69:AN70">_xlfn.LET(_xlpm.Customer_staff,_xlfn._xlws.FILTER(Base!$D$96:$BD$97,ISNUMBER(SEARCH($B$1&amp;"-"&amp;$C$1,Base!$D$4:$BD$4))),_xlpm.Customer,_xlfn.ANCHORARRAY($E$1),_xlpm.headcount,_xlpm.Customer/_xlpm.Customer_staff,
_xlpm.rounding,_xlfn.VSTACK(0,0),IFERROR(ROUND(_xlpm.headcount,_xlpm.rounding),0))</f>
        <v>0</v>
      </c>
      <c r="F69" s="106">
        <v>0</v>
      </c>
      <c r="G69" s="106">
        <v>0</v>
      </c>
      <c r="H69" s="106">
        <v>0</v>
      </c>
      <c r="I69" s="106">
        <v>0</v>
      </c>
      <c r="J69" s="106">
        <v>0</v>
      </c>
      <c r="K69" s="106">
        <v>0</v>
      </c>
      <c r="L69" s="106">
        <v>0</v>
      </c>
      <c r="M69" s="106">
        <v>0</v>
      </c>
      <c r="N69" s="106">
        <v>0</v>
      </c>
      <c r="O69" s="106">
        <v>0</v>
      </c>
      <c r="P69" s="106">
        <v>0</v>
      </c>
      <c r="Q69" s="106">
        <v>0</v>
      </c>
      <c r="R69" s="106">
        <v>0</v>
      </c>
      <c r="S69" s="106">
        <v>0</v>
      </c>
      <c r="T69" s="106">
        <v>0</v>
      </c>
      <c r="U69" s="106">
        <v>0</v>
      </c>
      <c r="V69" s="106">
        <v>0</v>
      </c>
      <c r="W69" s="106">
        <v>0</v>
      </c>
      <c r="X69" s="106">
        <v>0</v>
      </c>
      <c r="Y69" s="106">
        <v>0</v>
      </c>
      <c r="Z69" s="106">
        <v>0</v>
      </c>
      <c r="AA69" s="106">
        <v>0</v>
      </c>
      <c r="AB69" s="106">
        <v>0</v>
      </c>
      <c r="AC69" s="106">
        <v>0</v>
      </c>
      <c r="AD69" s="106">
        <v>0</v>
      </c>
      <c r="AE69" s="106">
        <v>0</v>
      </c>
      <c r="AF69" s="106">
        <v>0</v>
      </c>
      <c r="AG69" s="106">
        <v>0</v>
      </c>
      <c r="AH69" s="106">
        <v>0</v>
      </c>
      <c r="AI69" s="106">
        <v>0</v>
      </c>
      <c r="AJ69" s="106">
        <v>0</v>
      </c>
      <c r="AK69" s="106">
        <v>0</v>
      </c>
      <c r="AL69" s="106">
        <v>0</v>
      </c>
      <c r="AM69" s="106">
        <v>0</v>
      </c>
      <c r="AN69" s="106">
        <v>0</v>
      </c>
    </row>
    <row r="70" spans="2:40" x14ac:dyDescent="0.25">
      <c r="B70" s="39" t="s">
        <v>305</v>
      </c>
      <c r="C70" s="12"/>
      <c r="E70" s="106">
        <v>0</v>
      </c>
      <c r="F70" s="106">
        <v>0</v>
      </c>
      <c r="G70" s="106">
        <v>0</v>
      </c>
      <c r="H70" s="106">
        <v>0</v>
      </c>
      <c r="I70" s="106">
        <v>0</v>
      </c>
      <c r="J70" s="106">
        <v>0</v>
      </c>
      <c r="K70" s="106">
        <v>0</v>
      </c>
      <c r="L70" s="106">
        <v>0</v>
      </c>
      <c r="M70" s="106">
        <v>0</v>
      </c>
      <c r="N70" s="106">
        <v>0</v>
      </c>
      <c r="O70" s="106">
        <v>0</v>
      </c>
      <c r="P70" s="106">
        <v>0</v>
      </c>
      <c r="Q70" s="106">
        <v>0</v>
      </c>
      <c r="R70" s="106">
        <v>0</v>
      </c>
      <c r="S70" s="106">
        <v>0</v>
      </c>
      <c r="T70" s="106">
        <v>0</v>
      </c>
      <c r="U70" s="106">
        <v>0</v>
      </c>
      <c r="V70" s="106">
        <v>0</v>
      </c>
      <c r="W70" s="106">
        <v>0</v>
      </c>
      <c r="X70" s="106">
        <v>0</v>
      </c>
      <c r="Y70" s="106">
        <v>0</v>
      </c>
      <c r="Z70" s="106">
        <v>0</v>
      </c>
      <c r="AA70" s="106">
        <v>0</v>
      </c>
      <c r="AB70" s="106">
        <v>0</v>
      </c>
      <c r="AC70" s="106">
        <v>0</v>
      </c>
      <c r="AD70" s="106">
        <v>0</v>
      </c>
      <c r="AE70" s="106">
        <v>0</v>
      </c>
      <c r="AF70" s="106">
        <v>0</v>
      </c>
      <c r="AG70" s="106">
        <v>0</v>
      </c>
      <c r="AH70" s="106">
        <v>0</v>
      </c>
      <c r="AI70" s="106">
        <v>0</v>
      </c>
      <c r="AJ70" s="106">
        <v>0</v>
      </c>
      <c r="AK70" s="106">
        <v>0</v>
      </c>
      <c r="AL70" s="106">
        <v>0</v>
      </c>
      <c r="AM70" s="106">
        <v>0</v>
      </c>
      <c r="AN70" s="106">
        <v>0</v>
      </c>
    </row>
    <row r="71" spans="2:40" x14ac:dyDescent="0.25">
      <c r="B71" s="39"/>
      <c r="C71" s="12"/>
    </row>
    <row r="72" spans="2:40" x14ac:dyDescent="0.25">
      <c r="B72" s="39" t="s">
        <v>23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0</v>
      </c>
      <c r="F72" s="12">
        <v>0</v>
      </c>
      <c r="G72" s="12">
        <v>0</v>
      </c>
      <c r="H72" s="12">
        <v>1.0488449438217826E-3</v>
      </c>
      <c r="I72" s="12">
        <v>3.1465348314653478E-3</v>
      </c>
      <c r="J72" s="12">
        <v>5.2442247191089144E-3</v>
      </c>
      <c r="K72" s="12">
        <v>6.2930696629306957E-3</v>
      </c>
      <c r="L72" s="12">
        <v>8.3907595505742609E-3</v>
      </c>
      <c r="M72" s="12">
        <v>1.0488449438217829E-2</v>
      </c>
      <c r="N72" s="12">
        <v>1.2586139325861391E-2</v>
      </c>
      <c r="O72" s="12">
        <v>1.3634984269683173E-2</v>
      </c>
      <c r="P72" s="12">
        <v>1.573267415732674E-2</v>
      </c>
      <c r="Q72" s="12">
        <v>1.9613400449467334E-2</v>
      </c>
      <c r="R72" s="12">
        <v>2.0767129887671303E-2</v>
      </c>
      <c r="S72" s="12">
        <v>2.307458876407922E-2</v>
      </c>
      <c r="T72" s="12">
        <v>2.5382047640487147E-2</v>
      </c>
      <c r="U72" s="12">
        <v>2.7689506516895061E-2</v>
      </c>
      <c r="V72" s="12">
        <v>2.7689506516895061E-2</v>
      </c>
      <c r="W72" s="12">
        <v>2.7689506516895061E-2</v>
      </c>
      <c r="X72" s="12">
        <v>2.7689506516895061E-2</v>
      </c>
      <c r="Y72" s="12">
        <v>2.7689506516895061E-2</v>
      </c>
      <c r="Z72" s="12">
        <v>2.7689506516895061E-2</v>
      </c>
      <c r="AA72" s="12">
        <v>2.7689506516895061E-2</v>
      </c>
      <c r="AB72" s="12">
        <v>2.7689506516895061E-2</v>
      </c>
      <c r="AC72" s="12">
        <v>3.0458457168584575E-2</v>
      </c>
      <c r="AD72" s="12">
        <v>3.0458457168584575E-2</v>
      </c>
      <c r="AE72" s="12">
        <v>3.0458457168584575E-2</v>
      </c>
      <c r="AF72" s="12">
        <v>3.0458457168584575E-2</v>
      </c>
      <c r="AG72" s="12">
        <v>3.0458457168584575E-2</v>
      </c>
      <c r="AH72" s="12">
        <v>3.0458457168584575E-2</v>
      </c>
      <c r="AI72" s="12">
        <v>3.0458457168584575E-2</v>
      </c>
      <c r="AJ72" s="12">
        <v>3.0458457168584575E-2</v>
      </c>
      <c r="AK72" s="12">
        <v>3.0458457168584575E-2</v>
      </c>
      <c r="AL72" s="12">
        <v>3.0458457168584575E-2</v>
      </c>
      <c r="AM72" s="12">
        <v>3.0458457168584575E-2</v>
      </c>
      <c r="AN72" s="12">
        <v>3.0458457168584575E-2</v>
      </c>
    </row>
    <row r="73" spans="2:40" x14ac:dyDescent="0.25">
      <c r="B73" s="39" t="s">
        <v>24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306</v>
      </c>
      <c r="E75" s="74" cm="1">
        <f t="array" ref="E75:AN75">_xlfn.ANCHORARRAY(E67)-_xlfn.ANCHORARRAY(E72)-_xlfn.ANCHORARRAY(E73)</f>
        <v>0</v>
      </c>
      <c r="F75" s="74">
        <v>0</v>
      </c>
      <c r="G75" s="74">
        <v>0</v>
      </c>
      <c r="H75" s="74">
        <v>-1.0488449438217826E-3</v>
      </c>
      <c r="I75" s="74">
        <v>-3.1465348314653478E-3</v>
      </c>
      <c r="J75" s="74">
        <v>-5.2442247191089144E-3</v>
      </c>
      <c r="K75" s="74">
        <v>-6.2930696629306957E-3</v>
      </c>
      <c r="L75" s="74">
        <v>-8.3907595505742609E-3</v>
      </c>
      <c r="M75" s="74">
        <v>-1.0488449438217829E-2</v>
      </c>
      <c r="N75" s="74">
        <v>-1.2586139325861391E-2</v>
      </c>
      <c r="O75" s="74">
        <v>-1.3634984269683173E-2</v>
      </c>
      <c r="P75" s="74">
        <v>-1.573267415732674E-2</v>
      </c>
      <c r="Q75" s="74">
        <v>-1.9613400449467334E-2</v>
      </c>
      <c r="R75" s="74">
        <v>-2.0767129887671303E-2</v>
      </c>
      <c r="S75" s="74">
        <v>-2.307458876407922E-2</v>
      </c>
      <c r="T75" s="74">
        <v>-2.5382047640487147E-2</v>
      </c>
      <c r="U75" s="74">
        <v>-2.7689506516895061E-2</v>
      </c>
      <c r="V75" s="74">
        <v>-2.7689506516895061E-2</v>
      </c>
      <c r="W75" s="74">
        <v>-2.7689506516895061E-2</v>
      </c>
      <c r="X75" s="74">
        <v>-2.7689506516895061E-2</v>
      </c>
      <c r="Y75" s="74">
        <v>-2.7689506516895061E-2</v>
      </c>
      <c r="Z75" s="74">
        <v>-2.7689506516895061E-2</v>
      </c>
      <c r="AA75" s="74">
        <v>-2.7689506516895061E-2</v>
      </c>
      <c r="AB75" s="74">
        <v>-2.7689506516895061E-2</v>
      </c>
      <c r="AC75" s="74">
        <v>-3.0458457168584575E-2</v>
      </c>
      <c r="AD75" s="74">
        <v>-3.0458457168584575E-2</v>
      </c>
      <c r="AE75" s="74">
        <v>-3.0458457168584575E-2</v>
      </c>
      <c r="AF75" s="74">
        <v>-3.0458457168584575E-2</v>
      </c>
      <c r="AG75" s="74">
        <v>-3.0458457168584575E-2</v>
      </c>
      <c r="AH75" s="74">
        <v>-3.0458457168584575E-2</v>
      </c>
      <c r="AI75" s="74">
        <v>-3.0458457168584575E-2</v>
      </c>
      <c r="AJ75" s="74">
        <v>-3.0458457168584575E-2</v>
      </c>
      <c r="AK75" s="74">
        <v>-3.0458457168584575E-2</v>
      </c>
      <c r="AL75" s="74">
        <v>-3.0458457168584575E-2</v>
      </c>
      <c r="AM75" s="74">
        <v>-3.0458457168584575E-2</v>
      </c>
      <c r="AN75" s="74">
        <v>-3.0458457168584575E-2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DCD22D-F692-42F7-91B8-C20724C3110D}">
  <dimension ref="A1:AX75"/>
  <sheetViews>
    <sheetView workbookViewId="0">
      <pane xSplit="4" ySplit="25" topLeftCell="E26" activePane="bottomRight" state="frozen"/>
      <selection activeCell="E63" sqref="E63:E65"/>
      <selection pane="topRight" activeCell="E63" sqref="E63:E65"/>
      <selection pane="bottomLeft" activeCell="E63" sqref="E63:E65"/>
      <selection pane="bottomRight" activeCell="E63" sqref="E63:E65"/>
    </sheetView>
  </sheetViews>
  <sheetFormatPr defaultRowHeight="15" outlineLevelRow="1" x14ac:dyDescent="0.25"/>
  <cols>
    <col min="2" max="2" width="24.5703125" bestFit="1" customWidth="1"/>
    <col min="3" max="3" width="11.5703125" bestFit="1" customWidth="1"/>
    <col min="4" max="4" width="10" bestFit="1" customWidth="1"/>
    <col min="5" max="5" width="11.42578125" bestFit="1" customWidth="1"/>
    <col min="6" max="6" width="11.7109375" bestFit="1" customWidth="1"/>
    <col min="7" max="13" width="12.28515625" bestFit="1" customWidth="1"/>
    <col min="14" max="18" width="11.5703125" bestFit="1" customWidth="1"/>
    <col min="19" max="40" width="12.5703125" bestFit="1" customWidth="1"/>
  </cols>
  <sheetData>
    <row r="1" spans="1:40" x14ac:dyDescent="0.25">
      <c r="A1" s="96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>2025</v>
      </c>
      <c r="B1" s="10" t="s">
        <v>425</v>
      </c>
      <c r="C1" s="16" t="s">
        <v>61</v>
      </c>
      <c r="D1" s="3" t="s">
        <v>307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IFERROR(_xlpm.kiddos,0))</f>
        <v>31</v>
      </c>
      <c r="F1" s="69">
        <v>35</v>
      </c>
      <c r="G1" s="69">
        <v>38</v>
      </c>
      <c r="H1" s="69">
        <v>42</v>
      </c>
      <c r="I1" s="69">
        <v>42</v>
      </c>
      <c r="J1" s="69">
        <v>42</v>
      </c>
      <c r="K1" s="69">
        <v>42</v>
      </c>
      <c r="L1" s="69">
        <v>42</v>
      </c>
      <c r="M1" s="69">
        <v>42</v>
      </c>
      <c r="N1" s="69">
        <v>42</v>
      </c>
      <c r="O1" s="69">
        <v>42</v>
      </c>
      <c r="P1" s="69">
        <v>42</v>
      </c>
      <c r="Q1" s="69">
        <v>42</v>
      </c>
      <c r="R1" s="69">
        <v>42</v>
      </c>
      <c r="S1" s="69">
        <v>42</v>
      </c>
      <c r="T1" s="69">
        <v>42</v>
      </c>
      <c r="U1" s="69">
        <v>42</v>
      </c>
      <c r="V1" s="69">
        <v>42</v>
      </c>
      <c r="W1" s="69">
        <v>42</v>
      </c>
      <c r="X1" s="69">
        <v>42</v>
      </c>
      <c r="Y1" s="69">
        <v>42</v>
      </c>
      <c r="Z1" s="69">
        <v>42</v>
      </c>
      <c r="AA1" s="69">
        <v>42</v>
      </c>
      <c r="AB1" s="69">
        <v>42</v>
      </c>
      <c r="AC1" s="69">
        <v>42</v>
      </c>
      <c r="AD1" s="69">
        <v>42</v>
      </c>
      <c r="AE1" s="69">
        <v>42</v>
      </c>
      <c r="AF1" s="69">
        <v>42</v>
      </c>
      <c r="AG1" s="69">
        <v>42</v>
      </c>
      <c r="AH1" s="69">
        <v>42</v>
      </c>
      <c r="AI1" s="69">
        <v>42</v>
      </c>
      <c r="AJ1" s="69">
        <v>42</v>
      </c>
      <c r="AK1" s="69">
        <v>42</v>
      </c>
      <c r="AL1" s="69">
        <v>42</v>
      </c>
      <c r="AM1" s="69">
        <v>42</v>
      </c>
      <c r="AN1" s="69">
        <v>42</v>
      </c>
    </row>
    <row r="2" spans="1:40" x14ac:dyDescent="0.25">
      <c r="A2" s="65"/>
      <c r="B2" s="3" t="str">
        <f>_xlfn.XLOOKUP($B$1&amp;"-"&amp;$C$1,Base!$D$4:$BD$4,Base!$D$2:$BD$2,"",0)</f>
        <v>New Jersey</v>
      </c>
      <c r="C2" s="55"/>
      <c r="D2" s="55" t="s">
        <v>259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4.833333333333333</v>
      </c>
      <c r="F2" s="69">
        <v>5</v>
      </c>
      <c r="G2" s="69">
        <v>5.166666666666667</v>
      </c>
      <c r="H2" s="69">
        <v>1.8333333333333333</v>
      </c>
      <c r="I2" s="69">
        <v>2</v>
      </c>
      <c r="J2" s="69">
        <v>2.1666666666666665</v>
      </c>
      <c r="K2" s="69">
        <v>2.3333333333333335</v>
      </c>
      <c r="L2" s="69">
        <v>2.5</v>
      </c>
      <c r="M2" s="69">
        <v>2.6666666666666665</v>
      </c>
      <c r="N2" s="69">
        <v>2.8333333333333335</v>
      </c>
      <c r="O2" s="69">
        <v>3</v>
      </c>
      <c r="P2" s="69">
        <v>3.1666666666666665</v>
      </c>
      <c r="Q2" s="69">
        <v>3.3333333333333335</v>
      </c>
      <c r="R2" s="69">
        <v>3.5</v>
      </c>
      <c r="S2" s="69">
        <v>3.6666666666666665</v>
      </c>
      <c r="T2" s="69">
        <v>3.8333333333333335</v>
      </c>
      <c r="U2" s="69">
        <v>4</v>
      </c>
      <c r="V2" s="69">
        <v>4</v>
      </c>
      <c r="W2" s="69">
        <v>4</v>
      </c>
      <c r="X2" s="69">
        <v>4</v>
      </c>
      <c r="Y2" s="69">
        <v>4</v>
      </c>
      <c r="Z2" s="69">
        <v>4</v>
      </c>
      <c r="AA2" s="69">
        <v>4</v>
      </c>
      <c r="AB2" s="69">
        <v>4</v>
      </c>
      <c r="AC2" s="69">
        <v>4</v>
      </c>
      <c r="AD2" s="69">
        <v>4</v>
      </c>
      <c r="AE2" s="69">
        <v>4</v>
      </c>
      <c r="AF2" s="69">
        <v>4</v>
      </c>
      <c r="AG2" s="69">
        <v>4</v>
      </c>
      <c r="AH2" s="69">
        <v>4</v>
      </c>
      <c r="AI2" s="69">
        <v>4</v>
      </c>
      <c r="AJ2" s="69">
        <v>4</v>
      </c>
      <c r="AK2" s="69">
        <v>4</v>
      </c>
      <c r="AL2" s="69">
        <v>4</v>
      </c>
      <c r="AM2" s="69">
        <v>4</v>
      </c>
      <c r="AN2" s="69">
        <v>4</v>
      </c>
    </row>
    <row r="3" spans="1:40" x14ac:dyDescent="0.25">
      <c r="A3" s="65"/>
      <c r="B3" s="55"/>
      <c r="C3" s="55"/>
      <c r="D3" s="55" t="s">
        <v>62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_xlpm.months_since,DATEDIF(_xlpm.launchdate,_xlfn.ANCHORARRAY($E$25),"m"),_xlfn.BYCOL(_xlpm.months_since,_xlfn.LAMBDA(_xlpm.a,IFERROR(MIN(_xlpm.a/6,_xlpm.max_kiddos),0))))</f>
        <v>1.3333333333333333</v>
      </c>
      <c r="F3" s="69">
        <v>1.5</v>
      </c>
      <c r="G3" s="69">
        <v>1.6666666666666667</v>
      </c>
      <c r="H3" s="69">
        <v>1.8333333333333333</v>
      </c>
      <c r="I3" s="69">
        <v>2</v>
      </c>
      <c r="J3" s="69">
        <v>2.1666666666666665</v>
      </c>
      <c r="K3" s="69">
        <v>2.3333333333333335</v>
      </c>
      <c r="L3" s="69">
        <v>2.5</v>
      </c>
      <c r="M3" s="69">
        <v>2.6666666666666665</v>
      </c>
      <c r="N3" s="69">
        <v>2.8333333333333335</v>
      </c>
      <c r="O3" s="69">
        <v>3</v>
      </c>
      <c r="P3" s="69">
        <v>3.1666666666666665</v>
      </c>
      <c r="Q3" s="69">
        <v>3.3333333333333335</v>
      </c>
      <c r="R3" s="69">
        <v>3.5</v>
      </c>
      <c r="S3" s="69">
        <v>3.6666666666666665</v>
      </c>
      <c r="T3" s="69">
        <v>3.8333333333333335</v>
      </c>
      <c r="U3" s="69">
        <v>4</v>
      </c>
      <c r="V3" s="69">
        <v>4</v>
      </c>
      <c r="W3" s="69">
        <v>4</v>
      </c>
      <c r="X3" s="69">
        <v>4</v>
      </c>
      <c r="Y3" s="69">
        <v>4</v>
      </c>
      <c r="Z3" s="69">
        <v>4</v>
      </c>
      <c r="AA3" s="69">
        <v>4</v>
      </c>
      <c r="AB3" s="69">
        <v>4</v>
      </c>
      <c r="AC3" s="69">
        <v>4</v>
      </c>
      <c r="AD3" s="69">
        <v>4</v>
      </c>
      <c r="AE3" s="69">
        <v>4</v>
      </c>
      <c r="AF3" s="69">
        <v>4</v>
      </c>
      <c r="AG3" s="69">
        <v>4</v>
      </c>
      <c r="AH3" s="69">
        <v>4</v>
      </c>
      <c r="AI3" s="69">
        <v>4</v>
      </c>
      <c r="AJ3" s="69">
        <v>4</v>
      </c>
      <c r="AK3" s="69">
        <v>4</v>
      </c>
      <c r="AL3" s="69">
        <v>4</v>
      </c>
      <c r="AM3" s="69">
        <v>4</v>
      </c>
      <c r="AN3" s="69">
        <v>4</v>
      </c>
    </row>
    <row r="4" spans="1:40" x14ac:dyDescent="0.25">
      <c r="A4" s="65"/>
      <c r="B4" s="55"/>
      <c r="C4" s="55"/>
      <c r="D4" s="55" t="s">
        <v>260</v>
      </c>
      <c r="E4" s="69" cm="1">
        <f t="array" ref="E4:AN4">_xlfn.BYCOL(_xlfn.VSTACK(_xlfn.ANCHORARRAY($E$1),_xlfn.ANCHORARRAY($E$2)),_xlfn.LAMBDA(_xlpm.a,SUM(_xlpm.a)))</f>
        <v>35.833333333333336</v>
      </c>
      <c r="F4" s="69">
        <v>40</v>
      </c>
      <c r="G4" s="69">
        <v>43.166666666666664</v>
      </c>
      <c r="H4" s="69">
        <v>43.833333333333336</v>
      </c>
      <c r="I4" s="69">
        <v>44</v>
      </c>
      <c r="J4" s="69">
        <v>44.166666666666664</v>
      </c>
      <c r="K4" s="69">
        <v>44.333333333333336</v>
      </c>
      <c r="L4" s="69">
        <v>44.5</v>
      </c>
      <c r="M4" s="69">
        <v>44.666666666666664</v>
      </c>
      <c r="N4" s="69">
        <v>44.833333333333336</v>
      </c>
      <c r="O4" s="69">
        <v>45</v>
      </c>
      <c r="P4" s="69">
        <v>45.166666666666664</v>
      </c>
      <c r="Q4" s="69">
        <v>45.333333333333336</v>
      </c>
      <c r="R4" s="69">
        <v>45.5</v>
      </c>
      <c r="S4" s="69">
        <v>45.666666666666664</v>
      </c>
      <c r="T4" s="69">
        <v>45.833333333333336</v>
      </c>
      <c r="U4" s="69">
        <v>46</v>
      </c>
      <c r="V4" s="69">
        <v>46</v>
      </c>
      <c r="W4" s="69">
        <v>46</v>
      </c>
      <c r="X4" s="69">
        <v>46</v>
      </c>
      <c r="Y4" s="69">
        <v>46</v>
      </c>
      <c r="Z4" s="69">
        <v>46</v>
      </c>
      <c r="AA4" s="69">
        <v>46</v>
      </c>
      <c r="AB4" s="69">
        <v>46</v>
      </c>
      <c r="AC4" s="69">
        <v>46</v>
      </c>
      <c r="AD4" s="69">
        <v>46</v>
      </c>
      <c r="AE4" s="69">
        <v>46</v>
      </c>
      <c r="AF4" s="69">
        <v>46</v>
      </c>
      <c r="AG4" s="69">
        <v>46</v>
      </c>
      <c r="AH4" s="69">
        <v>46</v>
      </c>
      <c r="AI4" s="69">
        <v>46</v>
      </c>
      <c r="AJ4" s="69">
        <v>46</v>
      </c>
      <c r="AK4" s="69">
        <v>46</v>
      </c>
      <c r="AL4" s="69">
        <v>46</v>
      </c>
      <c r="AM4" s="69">
        <v>46</v>
      </c>
      <c r="AN4" s="69">
        <v>46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107</v>
      </c>
      <c r="C6" s="3"/>
      <c r="D6" s="3"/>
      <c r="E6" s="66" cm="1">
        <f t="array" ref="E6:AN6">ROUND(_xlfn.BYCOL(_xlfn.ANCHORARRAY(E7),_xlfn.LAMBDA(_xlpm.a,SUM(_xlpm.a))),0)</f>
        <v>41</v>
      </c>
      <c r="F6" s="66">
        <v>46</v>
      </c>
      <c r="G6" s="66">
        <v>50</v>
      </c>
      <c r="H6" s="66">
        <v>54</v>
      </c>
      <c r="I6" s="66">
        <v>54</v>
      </c>
      <c r="J6" s="66">
        <v>54</v>
      </c>
      <c r="K6" s="66">
        <v>54</v>
      </c>
      <c r="L6" s="66">
        <v>54</v>
      </c>
      <c r="M6" s="66">
        <v>54</v>
      </c>
      <c r="N6" s="66">
        <v>54</v>
      </c>
      <c r="O6" s="66">
        <v>54</v>
      </c>
      <c r="P6" s="66">
        <v>54</v>
      </c>
      <c r="Q6" s="66">
        <v>54</v>
      </c>
      <c r="R6" s="66">
        <v>54</v>
      </c>
      <c r="S6" s="66">
        <v>54</v>
      </c>
      <c r="T6" s="66">
        <v>54</v>
      </c>
      <c r="U6" s="66">
        <v>54</v>
      </c>
      <c r="V6" s="66">
        <v>54</v>
      </c>
      <c r="W6" s="66">
        <v>54</v>
      </c>
      <c r="X6" s="66">
        <v>54</v>
      </c>
      <c r="Y6" s="66">
        <v>54</v>
      </c>
      <c r="Z6" s="66">
        <v>54</v>
      </c>
      <c r="AA6" s="66">
        <v>54</v>
      </c>
      <c r="AB6" s="66">
        <v>54</v>
      </c>
      <c r="AC6" s="66">
        <v>54</v>
      </c>
      <c r="AD6" s="66">
        <v>54</v>
      </c>
      <c r="AE6" s="66">
        <v>54</v>
      </c>
      <c r="AF6" s="66">
        <v>54</v>
      </c>
      <c r="AG6" s="66">
        <v>54</v>
      </c>
      <c r="AH6" s="66">
        <v>54</v>
      </c>
      <c r="AI6" s="66">
        <v>54</v>
      </c>
      <c r="AJ6" s="66">
        <v>54</v>
      </c>
      <c r="AK6" s="66">
        <v>54</v>
      </c>
      <c r="AL6" s="66">
        <v>54</v>
      </c>
      <c r="AM6" s="66">
        <v>54</v>
      </c>
      <c r="AN6" s="66">
        <v>54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1"/>
      <c r="E7" s="106" cm="1">
        <f t="array" ref="E7:AN20">_xlfn.LET(_xlpm.Customer_staff,_xlfn._xlws.FILTER(Base!$D$85:$BD$98,ISNUMBER(SEARCH($B$1&amp;"-"&amp;$C$1,Base!$D$4:$BD$4))),_xlpm.Customer,_xlfn.ANCHORARRAY($E$1),_xlpm.headcount,_xlpm.Customer/_xlpm.Customer_staff,
_xlpm.patient_staff,_xlfn.ANCHORARRAY($E$2)/_xlpm.Customer_staff,_xlpm.prim_staff_tr_rec,_xlfn.ANCHORARRAY($E$2)/_xlfn.CHOOSEROWS(_xlpm.Customer_staff,{7,8})+(_xlfn.ANCHORARRAY($E$1)*0.0055),_xlpm.rounding,_xlfn.VSTACK(2,2,0,0,2,2,2,2,2,2,2,0,0,0),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prim_staff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29.180000000000003</v>
      </c>
      <c r="F7" s="106">
        <v>32.949999999999996</v>
      </c>
      <c r="G7" s="106">
        <v>35.769999999999996</v>
      </c>
      <c r="H7" s="106">
        <v>39.53</v>
      </c>
      <c r="I7" s="106">
        <v>39.53</v>
      </c>
      <c r="J7" s="106">
        <v>39.53</v>
      </c>
      <c r="K7" s="106">
        <v>39.53</v>
      </c>
      <c r="L7" s="106">
        <v>39.53</v>
      </c>
      <c r="M7" s="106">
        <v>39.53</v>
      </c>
      <c r="N7" s="106">
        <v>39.53</v>
      </c>
      <c r="O7" s="106">
        <v>39.53</v>
      </c>
      <c r="P7" s="106">
        <v>39.53</v>
      </c>
      <c r="Q7" s="106">
        <v>39.53</v>
      </c>
      <c r="R7" s="106">
        <v>39.53</v>
      </c>
      <c r="S7" s="106">
        <v>39.53</v>
      </c>
      <c r="T7" s="106">
        <v>39.53</v>
      </c>
      <c r="U7" s="106">
        <v>39.53</v>
      </c>
      <c r="V7" s="106">
        <v>39.53</v>
      </c>
      <c r="W7" s="106">
        <v>39.53</v>
      </c>
      <c r="X7" s="106">
        <v>39.53</v>
      </c>
      <c r="Y7" s="106">
        <v>39.53</v>
      </c>
      <c r="Z7" s="106">
        <v>39.53</v>
      </c>
      <c r="AA7" s="106">
        <v>39.53</v>
      </c>
      <c r="AB7" s="106">
        <v>39.53</v>
      </c>
      <c r="AC7" s="106">
        <v>39.53</v>
      </c>
      <c r="AD7" s="106">
        <v>39.53</v>
      </c>
      <c r="AE7" s="106">
        <v>39.53</v>
      </c>
      <c r="AF7" s="106">
        <v>39.53</v>
      </c>
      <c r="AG7" s="106">
        <v>39.53</v>
      </c>
      <c r="AH7" s="106">
        <v>39.53</v>
      </c>
      <c r="AI7" s="106">
        <v>39.53</v>
      </c>
      <c r="AJ7" s="106">
        <v>39.53</v>
      </c>
      <c r="AK7" s="106">
        <v>39.53</v>
      </c>
      <c r="AL7" s="106">
        <v>39.53</v>
      </c>
      <c r="AM7" s="106">
        <v>39.53</v>
      </c>
      <c r="AN7" s="106">
        <v>39.53</v>
      </c>
    </row>
    <row r="8" spans="1:40" hidden="1" outlineLevel="1" x14ac:dyDescent="0.25">
      <c r="B8" s="39" t="str">
        <v>Secondary Direct Staff</v>
      </c>
      <c r="C8" s="3"/>
      <c r="D8" s="3"/>
      <c r="E8" s="106">
        <v>4.43</v>
      </c>
      <c r="F8" s="106">
        <v>5</v>
      </c>
      <c r="G8" s="106">
        <v>5.43</v>
      </c>
      <c r="H8" s="106">
        <v>6</v>
      </c>
      <c r="I8" s="106">
        <v>6</v>
      </c>
      <c r="J8" s="106">
        <v>6</v>
      </c>
      <c r="K8" s="106">
        <v>6</v>
      </c>
      <c r="L8" s="106">
        <v>6</v>
      </c>
      <c r="M8" s="106">
        <v>6</v>
      </c>
      <c r="N8" s="106">
        <v>6</v>
      </c>
      <c r="O8" s="106">
        <v>6</v>
      </c>
      <c r="P8" s="106">
        <v>6</v>
      </c>
      <c r="Q8" s="106">
        <v>6</v>
      </c>
      <c r="R8" s="106">
        <v>6</v>
      </c>
      <c r="S8" s="106">
        <v>6</v>
      </c>
      <c r="T8" s="106">
        <v>6</v>
      </c>
      <c r="U8" s="106">
        <v>6</v>
      </c>
      <c r="V8" s="106">
        <v>6</v>
      </c>
      <c r="W8" s="106">
        <v>6</v>
      </c>
      <c r="X8" s="106">
        <v>6</v>
      </c>
      <c r="Y8" s="106">
        <v>6</v>
      </c>
      <c r="Z8" s="106">
        <v>6</v>
      </c>
      <c r="AA8" s="106">
        <v>6</v>
      </c>
      <c r="AB8" s="106">
        <v>6</v>
      </c>
      <c r="AC8" s="106">
        <v>6</v>
      </c>
      <c r="AD8" s="106">
        <v>6</v>
      </c>
      <c r="AE8" s="106">
        <v>6</v>
      </c>
      <c r="AF8" s="106">
        <v>6</v>
      </c>
      <c r="AG8" s="106">
        <v>6</v>
      </c>
      <c r="AH8" s="106">
        <v>6</v>
      </c>
      <c r="AI8" s="106">
        <v>6</v>
      </c>
      <c r="AJ8" s="106">
        <v>6</v>
      </c>
      <c r="AK8" s="106">
        <v>6</v>
      </c>
      <c r="AL8" s="106">
        <v>6</v>
      </c>
      <c r="AM8" s="106">
        <v>6</v>
      </c>
      <c r="AN8" s="106">
        <v>6</v>
      </c>
    </row>
    <row r="9" spans="1:40" hidden="1" outlineLevel="1" x14ac:dyDescent="0.25">
      <c r="B9" s="39" t="str">
        <v>Center Manager</v>
      </c>
      <c r="C9" s="3"/>
      <c r="D9" s="3"/>
      <c r="E9" s="106">
        <v>1</v>
      </c>
      <c r="F9" s="106">
        <v>1</v>
      </c>
      <c r="G9" s="106">
        <v>1</v>
      </c>
      <c r="H9" s="106">
        <v>1</v>
      </c>
      <c r="I9" s="106">
        <v>1</v>
      </c>
      <c r="J9" s="106">
        <v>1</v>
      </c>
      <c r="K9" s="106">
        <v>1</v>
      </c>
      <c r="L9" s="106">
        <v>1</v>
      </c>
      <c r="M9" s="106">
        <v>1</v>
      </c>
      <c r="N9" s="106">
        <v>1</v>
      </c>
      <c r="O9" s="106">
        <v>1</v>
      </c>
      <c r="P9" s="106">
        <v>1</v>
      </c>
      <c r="Q9" s="106">
        <v>1</v>
      </c>
      <c r="R9" s="106">
        <v>1</v>
      </c>
      <c r="S9" s="106">
        <v>1</v>
      </c>
      <c r="T9" s="106">
        <v>1</v>
      </c>
      <c r="U9" s="106">
        <v>1</v>
      </c>
      <c r="V9" s="106">
        <v>1</v>
      </c>
      <c r="W9" s="106">
        <v>1</v>
      </c>
      <c r="X9" s="106">
        <v>1</v>
      </c>
      <c r="Y9" s="106">
        <v>1</v>
      </c>
      <c r="Z9" s="106">
        <v>1</v>
      </c>
      <c r="AA9" s="106">
        <v>1</v>
      </c>
      <c r="AB9" s="106">
        <v>1</v>
      </c>
      <c r="AC9" s="106">
        <v>1</v>
      </c>
      <c r="AD9" s="106">
        <v>1</v>
      </c>
      <c r="AE9" s="106">
        <v>1</v>
      </c>
      <c r="AF9" s="106">
        <v>1</v>
      </c>
      <c r="AG9" s="106">
        <v>1</v>
      </c>
      <c r="AH9" s="106">
        <v>1</v>
      </c>
      <c r="AI9" s="106">
        <v>1</v>
      </c>
      <c r="AJ9" s="106">
        <v>1</v>
      </c>
      <c r="AK9" s="106">
        <v>1</v>
      </c>
      <c r="AL9" s="106">
        <v>1</v>
      </c>
      <c r="AM9" s="106">
        <v>1</v>
      </c>
      <c r="AN9" s="106">
        <v>1</v>
      </c>
    </row>
    <row r="10" spans="1:40" hidden="1" outlineLevel="1" x14ac:dyDescent="0.25">
      <c r="B10" s="39" t="str">
        <v>Intake</v>
      </c>
      <c r="C10" s="3"/>
      <c r="D10" s="3"/>
      <c r="E10" s="106">
        <v>1</v>
      </c>
      <c r="F10" s="106">
        <v>1</v>
      </c>
      <c r="G10" s="106">
        <v>1</v>
      </c>
      <c r="H10" s="106">
        <v>1</v>
      </c>
      <c r="I10" s="106">
        <v>1</v>
      </c>
      <c r="J10" s="106">
        <v>1</v>
      </c>
      <c r="K10" s="106">
        <v>1</v>
      </c>
      <c r="L10" s="106">
        <v>1</v>
      </c>
      <c r="M10" s="106">
        <v>1</v>
      </c>
      <c r="N10" s="106">
        <v>1</v>
      </c>
      <c r="O10" s="106">
        <v>1</v>
      </c>
      <c r="P10" s="106">
        <v>1</v>
      </c>
      <c r="Q10" s="106">
        <v>1</v>
      </c>
      <c r="R10" s="106">
        <v>1</v>
      </c>
      <c r="S10" s="106">
        <v>1</v>
      </c>
      <c r="T10" s="106">
        <v>1</v>
      </c>
      <c r="U10" s="106">
        <v>1</v>
      </c>
      <c r="V10" s="106">
        <v>1</v>
      </c>
      <c r="W10" s="106">
        <v>1</v>
      </c>
      <c r="X10" s="106">
        <v>1</v>
      </c>
      <c r="Y10" s="106">
        <v>1</v>
      </c>
      <c r="Z10" s="106">
        <v>1</v>
      </c>
      <c r="AA10" s="106">
        <v>1</v>
      </c>
      <c r="AB10" s="106">
        <v>1</v>
      </c>
      <c r="AC10" s="106">
        <v>1</v>
      </c>
      <c r="AD10" s="106">
        <v>1</v>
      </c>
      <c r="AE10" s="106">
        <v>1</v>
      </c>
      <c r="AF10" s="106">
        <v>1</v>
      </c>
      <c r="AG10" s="106">
        <v>1</v>
      </c>
      <c r="AH10" s="106">
        <v>1</v>
      </c>
      <c r="AI10" s="106">
        <v>1</v>
      </c>
      <c r="AJ10" s="106">
        <v>1</v>
      </c>
      <c r="AK10" s="106">
        <v>1</v>
      </c>
      <c r="AL10" s="106">
        <v>1</v>
      </c>
      <c r="AM10" s="106">
        <v>1</v>
      </c>
      <c r="AN10" s="106">
        <v>1</v>
      </c>
    </row>
    <row r="11" spans="1:40" hidden="1" outlineLevel="1" x14ac:dyDescent="0.25">
      <c r="B11" s="39" t="str">
        <v>Scheduler</v>
      </c>
      <c r="C11" s="3"/>
      <c r="D11" s="3"/>
      <c r="E11" s="106">
        <v>0</v>
      </c>
      <c r="F11" s="106">
        <v>0</v>
      </c>
      <c r="G11" s="106">
        <v>0</v>
      </c>
      <c r="H11" s="106">
        <v>0</v>
      </c>
      <c r="I11" s="106">
        <v>0</v>
      </c>
      <c r="J11" s="106">
        <v>0</v>
      </c>
      <c r="K11" s="106">
        <v>0</v>
      </c>
      <c r="L11" s="106">
        <v>0</v>
      </c>
      <c r="M11" s="106">
        <v>0</v>
      </c>
      <c r="N11" s="106">
        <v>0</v>
      </c>
      <c r="O11" s="106">
        <v>0</v>
      </c>
      <c r="P11" s="106">
        <v>0</v>
      </c>
      <c r="Q11" s="106">
        <v>0</v>
      </c>
      <c r="R11" s="106">
        <v>0</v>
      </c>
      <c r="S11" s="106">
        <v>0</v>
      </c>
      <c r="T11" s="106">
        <v>0</v>
      </c>
      <c r="U11" s="106">
        <v>0</v>
      </c>
      <c r="V11" s="106">
        <v>0</v>
      </c>
      <c r="W11" s="106">
        <v>0</v>
      </c>
      <c r="X11" s="106">
        <v>0</v>
      </c>
      <c r="Y11" s="106">
        <v>0</v>
      </c>
      <c r="Z11" s="106">
        <v>0</v>
      </c>
      <c r="AA11" s="106">
        <v>0</v>
      </c>
      <c r="AB11" s="106">
        <v>0</v>
      </c>
      <c r="AC11" s="106">
        <v>0</v>
      </c>
      <c r="AD11" s="106">
        <v>0</v>
      </c>
      <c r="AE11" s="106">
        <v>0</v>
      </c>
      <c r="AF11" s="106">
        <v>0</v>
      </c>
      <c r="AG11" s="106">
        <v>0</v>
      </c>
      <c r="AH11" s="106">
        <v>0</v>
      </c>
      <c r="AI11" s="106">
        <v>0</v>
      </c>
      <c r="AJ11" s="106">
        <v>0</v>
      </c>
      <c r="AK11" s="106">
        <v>0</v>
      </c>
      <c r="AL11" s="106">
        <v>0</v>
      </c>
      <c r="AM11" s="106">
        <v>0</v>
      </c>
      <c r="AN11" s="106">
        <v>0</v>
      </c>
    </row>
    <row r="12" spans="1:40" hidden="1" outlineLevel="1" x14ac:dyDescent="0.25">
      <c r="B12" s="39" t="str">
        <v>Initial Consultation Expert</v>
      </c>
      <c r="C12" s="3"/>
      <c r="D12" s="3"/>
      <c r="E12" s="106">
        <v>0.38</v>
      </c>
      <c r="F12" s="106">
        <v>0.39</v>
      </c>
      <c r="G12" s="106">
        <v>0.4</v>
      </c>
      <c r="H12" s="106">
        <v>0.15000000000000002</v>
      </c>
      <c r="I12" s="106">
        <v>0.16</v>
      </c>
      <c r="J12" s="106">
        <v>0.17</v>
      </c>
      <c r="K12" s="106">
        <v>0.18000000000000002</v>
      </c>
      <c r="L12" s="106">
        <v>0.2</v>
      </c>
      <c r="M12" s="106">
        <v>0.21000000000000002</v>
      </c>
      <c r="N12" s="106">
        <v>0.22</v>
      </c>
      <c r="O12" s="106">
        <v>0.24000000000000002</v>
      </c>
      <c r="P12" s="106">
        <v>0.25</v>
      </c>
      <c r="Q12" s="106">
        <v>0.26</v>
      </c>
      <c r="R12" s="106">
        <v>0.27</v>
      </c>
      <c r="S12" s="106">
        <v>0.29000000000000004</v>
      </c>
      <c r="T12" s="106">
        <v>0.3</v>
      </c>
      <c r="U12" s="106">
        <v>0.31</v>
      </c>
      <c r="V12" s="106">
        <v>0.31</v>
      </c>
      <c r="W12" s="106">
        <v>0.31</v>
      </c>
      <c r="X12" s="106">
        <v>0.31</v>
      </c>
      <c r="Y12" s="106">
        <v>0.31</v>
      </c>
      <c r="Z12" s="106">
        <v>0.31</v>
      </c>
      <c r="AA12" s="106">
        <v>0.31</v>
      </c>
      <c r="AB12" s="106">
        <v>0.31</v>
      </c>
      <c r="AC12" s="106">
        <v>0.31</v>
      </c>
      <c r="AD12" s="106">
        <v>0.31</v>
      </c>
      <c r="AE12" s="106">
        <v>0.31</v>
      </c>
      <c r="AF12" s="106">
        <v>0.31</v>
      </c>
      <c r="AG12" s="106">
        <v>0.31</v>
      </c>
      <c r="AH12" s="106">
        <v>0.31</v>
      </c>
      <c r="AI12" s="106">
        <v>0.31</v>
      </c>
      <c r="AJ12" s="106">
        <v>0.31</v>
      </c>
      <c r="AK12" s="106">
        <v>0.31</v>
      </c>
      <c r="AL12" s="106">
        <v>0.31</v>
      </c>
      <c r="AM12" s="106">
        <v>0.31</v>
      </c>
      <c r="AN12" s="106">
        <v>0.31</v>
      </c>
    </row>
    <row r="13" spans="1:40" hidden="1" outlineLevel="1" x14ac:dyDescent="0.25">
      <c r="B13" s="39" t="str">
        <v>Trainer</v>
      </c>
      <c r="C13" s="3"/>
      <c r="D13" s="3"/>
      <c r="E13" s="106">
        <v>0.66</v>
      </c>
      <c r="F13" s="106">
        <v>0.7</v>
      </c>
      <c r="G13" s="106">
        <v>0.73</v>
      </c>
      <c r="H13" s="106">
        <v>0.42</v>
      </c>
      <c r="I13" s="106">
        <v>0.44</v>
      </c>
      <c r="J13" s="106">
        <v>0.45</v>
      </c>
      <c r="K13" s="106">
        <v>0.47000000000000003</v>
      </c>
      <c r="L13" s="106">
        <v>0.49</v>
      </c>
      <c r="M13" s="106">
        <v>0.5</v>
      </c>
      <c r="N13" s="106">
        <v>0.52</v>
      </c>
      <c r="O13" s="106">
        <v>0.54</v>
      </c>
      <c r="P13" s="106">
        <v>0.55000000000000004</v>
      </c>
      <c r="Q13" s="106">
        <v>0.57000000000000006</v>
      </c>
      <c r="R13" s="106">
        <v>0.59</v>
      </c>
      <c r="S13" s="106">
        <v>0.6</v>
      </c>
      <c r="T13" s="106">
        <v>0.62</v>
      </c>
      <c r="U13" s="106">
        <v>0.64</v>
      </c>
      <c r="V13" s="106">
        <v>0.64</v>
      </c>
      <c r="W13" s="106">
        <v>0.64</v>
      </c>
      <c r="X13" s="106">
        <v>0.64</v>
      </c>
      <c r="Y13" s="106">
        <v>0.64</v>
      </c>
      <c r="Z13" s="106">
        <v>0.64</v>
      </c>
      <c r="AA13" s="106">
        <v>0.64</v>
      </c>
      <c r="AB13" s="106">
        <v>0.64</v>
      </c>
      <c r="AC13" s="106">
        <v>0.64</v>
      </c>
      <c r="AD13" s="106">
        <v>0.64</v>
      </c>
      <c r="AE13" s="106">
        <v>0.64</v>
      </c>
      <c r="AF13" s="106">
        <v>0.64</v>
      </c>
      <c r="AG13" s="106">
        <v>0.64</v>
      </c>
      <c r="AH13" s="106">
        <v>0.64</v>
      </c>
      <c r="AI13" s="106">
        <v>0.64</v>
      </c>
      <c r="AJ13" s="106">
        <v>0.64</v>
      </c>
      <c r="AK13" s="106">
        <v>0.64</v>
      </c>
      <c r="AL13" s="106">
        <v>0.64</v>
      </c>
      <c r="AM13" s="106">
        <v>0.64</v>
      </c>
      <c r="AN13" s="106">
        <v>0.64</v>
      </c>
    </row>
    <row r="14" spans="1:40" hidden="1" outlineLevel="1" x14ac:dyDescent="0.25">
      <c r="B14" s="39" t="str">
        <v>Recruiter</v>
      </c>
      <c r="C14" s="3"/>
      <c r="D14" s="3"/>
      <c r="E14" s="106">
        <v>0.42</v>
      </c>
      <c r="F14" s="106">
        <v>0.45</v>
      </c>
      <c r="G14" s="106">
        <v>0.47000000000000003</v>
      </c>
      <c r="H14" s="106">
        <v>0.33</v>
      </c>
      <c r="I14" s="106">
        <v>0.34</v>
      </c>
      <c r="J14" s="106">
        <v>0.34</v>
      </c>
      <c r="K14" s="106">
        <v>0.35000000000000003</v>
      </c>
      <c r="L14" s="106">
        <v>0.36</v>
      </c>
      <c r="M14" s="106">
        <v>0.37</v>
      </c>
      <c r="N14" s="106">
        <v>0.38</v>
      </c>
      <c r="O14" s="106">
        <v>0.39</v>
      </c>
      <c r="P14" s="106">
        <v>0.39</v>
      </c>
      <c r="Q14" s="106">
        <v>0.4</v>
      </c>
      <c r="R14" s="106">
        <v>0.41000000000000003</v>
      </c>
      <c r="S14" s="106">
        <v>0.42</v>
      </c>
      <c r="T14" s="106">
        <v>0.43</v>
      </c>
      <c r="U14" s="106">
        <v>0.44</v>
      </c>
      <c r="V14" s="106">
        <v>0.44</v>
      </c>
      <c r="W14" s="106">
        <v>0.44</v>
      </c>
      <c r="X14" s="106">
        <v>0.44</v>
      </c>
      <c r="Y14" s="106">
        <v>0.44</v>
      </c>
      <c r="Z14" s="106">
        <v>0.44</v>
      </c>
      <c r="AA14" s="106">
        <v>0.44</v>
      </c>
      <c r="AB14" s="106">
        <v>0.44</v>
      </c>
      <c r="AC14" s="106">
        <v>0.44</v>
      </c>
      <c r="AD14" s="106">
        <v>0.44</v>
      </c>
      <c r="AE14" s="106">
        <v>0.44</v>
      </c>
      <c r="AF14" s="106">
        <v>0.44</v>
      </c>
      <c r="AG14" s="106">
        <v>0.44</v>
      </c>
      <c r="AH14" s="106">
        <v>0.44</v>
      </c>
      <c r="AI14" s="106">
        <v>0.44</v>
      </c>
      <c r="AJ14" s="106">
        <v>0.44</v>
      </c>
      <c r="AK14" s="106">
        <v>0.44</v>
      </c>
      <c r="AL14" s="106">
        <v>0.44</v>
      </c>
      <c r="AM14" s="106">
        <v>0.44</v>
      </c>
      <c r="AN14" s="106">
        <v>0.44</v>
      </c>
    </row>
    <row r="15" spans="1:40" hidden="1" outlineLevel="1" x14ac:dyDescent="0.25">
      <c r="B15" s="39" t="str">
        <v>Center Director / Remote Site Director</v>
      </c>
      <c r="C15" s="3"/>
      <c r="D15" s="3"/>
      <c r="E15" s="106">
        <v>0.13</v>
      </c>
      <c r="F15" s="106">
        <v>0.14000000000000001</v>
      </c>
      <c r="G15" s="106">
        <v>0.16</v>
      </c>
      <c r="H15" s="106">
        <v>0.17</v>
      </c>
      <c r="I15" s="106">
        <v>0.17</v>
      </c>
      <c r="J15" s="106">
        <v>0.17</v>
      </c>
      <c r="K15" s="106">
        <v>0.17</v>
      </c>
      <c r="L15" s="106">
        <v>0.17</v>
      </c>
      <c r="M15" s="106">
        <v>0.17</v>
      </c>
      <c r="N15" s="106">
        <v>0.17</v>
      </c>
      <c r="O15" s="106">
        <v>0.17</v>
      </c>
      <c r="P15" s="106">
        <v>0.17</v>
      </c>
      <c r="Q15" s="106">
        <v>0.17</v>
      </c>
      <c r="R15" s="106">
        <v>0.17</v>
      </c>
      <c r="S15" s="106">
        <v>0.17</v>
      </c>
      <c r="T15" s="106">
        <v>0.17</v>
      </c>
      <c r="U15" s="106">
        <v>0.17</v>
      </c>
      <c r="V15" s="106">
        <v>0.17</v>
      </c>
      <c r="W15" s="106">
        <v>0.17</v>
      </c>
      <c r="X15" s="106">
        <v>0.17</v>
      </c>
      <c r="Y15" s="106">
        <v>0.17</v>
      </c>
      <c r="Z15" s="106">
        <v>0.17</v>
      </c>
      <c r="AA15" s="106">
        <v>0.17</v>
      </c>
      <c r="AB15" s="106">
        <v>0.17</v>
      </c>
      <c r="AC15" s="106">
        <v>0.17</v>
      </c>
      <c r="AD15" s="106">
        <v>0.17</v>
      </c>
      <c r="AE15" s="106">
        <v>0.17</v>
      </c>
      <c r="AF15" s="106">
        <v>0.17</v>
      </c>
      <c r="AG15" s="106">
        <v>0.17</v>
      </c>
      <c r="AH15" s="106">
        <v>0.17</v>
      </c>
      <c r="AI15" s="106">
        <v>0.17</v>
      </c>
      <c r="AJ15" s="106">
        <v>0.17</v>
      </c>
      <c r="AK15" s="106">
        <v>0.17</v>
      </c>
      <c r="AL15" s="106">
        <v>0.17</v>
      </c>
      <c r="AM15" s="106">
        <v>0.17</v>
      </c>
      <c r="AN15" s="106">
        <v>0.17</v>
      </c>
    </row>
    <row r="16" spans="1:40" hidden="1" outlineLevel="1" x14ac:dyDescent="0.25">
      <c r="B16" s="39" t="str">
        <v>Center Marketing Outreach</v>
      </c>
      <c r="C16" s="3"/>
      <c r="D16" s="3"/>
      <c r="E16" s="106">
        <v>0.13</v>
      </c>
      <c r="F16" s="106">
        <v>0.14000000000000001</v>
      </c>
      <c r="G16" s="106">
        <v>0.16</v>
      </c>
      <c r="H16" s="106">
        <v>0.17</v>
      </c>
      <c r="I16" s="106">
        <v>0.17</v>
      </c>
      <c r="J16" s="106">
        <v>0.17</v>
      </c>
      <c r="K16" s="106">
        <v>0.17</v>
      </c>
      <c r="L16" s="106">
        <v>0.17</v>
      </c>
      <c r="M16" s="106">
        <v>0.17</v>
      </c>
      <c r="N16" s="106">
        <v>0.17</v>
      </c>
      <c r="O16" s="106">
        <v>0.17</v>
      </c>
      <c r="P16" s="106">
        <v>0.17</v>
      </c>
      <c r="Q16" s="106">
        <v>0.17</v>
      </c>
      <c r="R16" s="106">
        <v>0.17</v>
      </c>
      <c r="S16" s="106">
        <v>0.17</v>
      </c>
      <c r="T16" s="106">
        <v>0.17</v>
      </c>
      <c r="U16" s="106">
        <v>0.17</v>
      </c>
      <c r="V16" s="106">
        <v>0.17</v>
      </c>
      <c r="W16" s="106">
        <v>0.17</v>
      </c>
      <c r="X16" s="106">
        <v>0.17</v>
      </c>
      <c r="Y16" s="106">
        <v>0.17</v>
      </c>
      <c r="Z16" s="106">
        <v>0.17</v>
      </c>
      <c r="AA16" s="106">
        <v>0.17</v>
      </c>
      <c r="AB16" s="106">
        <v>0.17</v>
      </c>
      <c r="AC16" s="106">
        <v>0.17</v>
      </c>
      <c r="AD16" s="106">
        <v>0.17</v>
      </c>
      <c r="AE16" s="106">
        <v>0.17</v>
      </c>
      <c r="AF16" s="106">
        <v>0.17</v>
      </c>
      <c r="AG16" s="106">
        <v>0.17</v>
      </c>
      <c r="AH16" s="106">
        <v>0.17</v>
      </c>
      <c r="AI16" s="106">
        <v>0.17</v>
      </c>
      <c r="AJ16" s="106">
        <v>0.17</v>
      </c>
      <c r="AK16" s="106">
        <v>0.17</v>
      </c>
      <c r="AL16" s="106">
        <v>0.17</v>
      </c>
      <c r="AM16" s="106">
        <v>0.17</v>
      </c>
      <c r="AN16" s="106">
        <v>0.17</v>
      </c>
    </row>
    <row r="17" spans="2:50" hidden="1" outlineLevel="1" x14ac:dyDescent="0.25">
      <c r="B17" s="39" t="str">
        <v>Primary Direct Staff Lead</v>
      </c>
      <c r="C17" s="3"/>
      <c r="D17" s="3"/>
      <c r="E17" s="106">
        <v>3.1</v>
      </c>
      <c r="F17" s="106">
        <v>3.5</v>
      </c>
      <c r="G17" s="106">
        <v>3.8</v>
      </c>
      <c r="H17" s="106">
        <v>4.2</v>
      </c>
      <c r="I17" s="106">
        <v>4.2</v>
      </c>
      <c r="J17" s="106">
        <v>4.2</v>
      </c>
      <c r="K17" s="106">
        <v>4.2</v>
      </c>
      <c r="L17" s="106">
        <v>4.2</v>
      </c>
      <c r="M17" s="106">
        <v>4.2</v>
      </c>
      <c r="N17" s="106">
        <v>4.2</v>
      </c>
      <c r="O17" s="106">
        <v>4.2</v>
      </c>
      <c r="P17" s="106">
        <v>4.2</v>
      </c>
      <c r="Q17" s="106">
        <v>4.2</v>
      </c>
      <c r="R17" s="106">
        <v>4.2</v>
      </c>
      <c r="S17" s="106">
        <v>4.2</v>
      </c>
      <c r="T17" s="106">
        <v>4.2</v>
      </c>
      <c r="U17" s="106">
        <v>4.2</v>
      </c>
      <c r="V17" s="106">
        <v>4.2</v>
      </c>
      <c r="W17" s="106">
        <v>4.2</v>
      </c>
      <c r="X17" s="106">
        <v>4.2</v>
      </c>
      <c r="Y17" s="106">
        <v>4.2</v>
      </c>
      <c r="Z17" s="106">
        <v>4.2</v>
      </c>
      <c r="AA17" s="106">
        <v>4.2</v>
      </c>
      <c r="AB17" s="106">
        <v>4.2</v>
      </c>
      <c r="AC17" s="106">
        <v>4.2</v>
      </c>
      <c r="AD17" s="106">
        <v>4.2</v>
      </c>
      <c r="AE17" s="106">
        <v>4.2</v>
      </c>
      <c r="AF17" s="106">
        <v>4.2</v>
      </c>
      <c r="AG17" s="106">
        <v>4.2</v>
      </c>
      <c r="AH17" s="106">
        <v>4.2</v>
      </c>
      <c r="AI17" s="106">
        <v>4.2</v>
      </c>
      <c r="AJ17" s="106">
        <v>4.2</v>
      </c>
      <c r="AK17" s="106">
        <v>4.2</v>
      </c>
      <c r="AL17" s="106">
        <v>4.2</v>
      </c>
      <c r="AM17" s="106">
        <v>4.2</v>
      </c>
      <c r="AN17" s="106">
        <v>4.2</v>
      </c>
    </row>
    <row r="18" spans="2:50" hidden="1" outlineLevel="1" x14ac:dyDescent="0.25">
      <c r="B18" s="39" t="str">
        <v>Tertiary Direct Staff</v>
      </c>
      <c r="C18" s="3"/>
      <c r="D18" s="3"/>
      <c r="E18" s="106">
        <v>0</v>
      </c>
      <c r="F18" s="106">
        <v>0</v>
      </c>
      <c r="G18" s="106">
        <v>0</v>
      </c>
      <c r="H18" s="106">
        <v>0</v>
      </c>
      <c r="I18" s="106">
        <v>0</v>
      </c>
      <c r="J18" s="106">
        <v>0</v>
      </c>
      <c r="K18" s="106">
        <v>0</v>
      </c>
      <c r="L18" s="106">
        <v>0</v>
      </c>
      <c r="M18" s="106">
        <v>0</v>
      </c>
      <c r="N18" s="106">
        <v>0</v>
      </c>
      <c r="O18" s="106">
        <v>0</v>
      </c>
      <c r="P18" s="106">
        <v>0</v>
      </c>
      <c r="Q18" s="106">
        <v>0</v>
      </c>
      <c r="R18" s="106">
        <v>0</v>
      </c>
      <c r="S18" s="106">
        <v>0</v>
      </c>
      <c r="T18" s="106">
        <v>0</v>
      </c>
      <c r="U18" s="106">
        <v>0</v>
      </c>
      <c r="V18" s="106">
        <v>0</v>
      </c>
      <c r="W18" s="106">
        <v>0</v>
      </c>
      <c r="X18" s="106">
        <v>0</v>
      </c>
      <c r="Y18" s="106">
        <v>0</v>
      </c>
      <c r="Z18" s="106">
        <v>0</v>
      </c>
      <c r="AA18" s="106">
        <v>0</v>
      </c>
      <c r="AB18" s="106">
        <v>0</v>
      </c>
      <c r="AC18" s="106">
        <v>0</v>
      </c>
      <c r="AD18" s="106">
        <v>0</v>
      </c>
      <c r="AE18" s="106">
        <v>0</v>
      </c>
      <c r="AF18" s="106">
        <v>0</v>
      </c>
      <c r="AG18" s="106">
        <v>0</v>
      </c>
      <c r="AH18" s="106">
        <v>0</v>
      </c>
      <c r="AI18" s="106">
        <v>0</v>
      </c>
      <c r="AJ18" s="106">
        <v>0</v>
      </c>
      <c r="AK18" s="106">
        <v>0</v>
      </c>
      <c r="AL18" s="106">
        <v>0</v>
      </c>
      <c r="AM18" s="106">
        <v>0</v>
      </c>
      <c r="AN18" s="106">
        <v>0</v>
      </c>
    </row>
    <row r="19" spans="2:50" hidden="1" outlineLevel="1" x14ac:dyDescent="0.25">
      <c r="B19" s="39" t="str">
        <v>Quinary Direct Staff</v>
      </c>
      <c r="C19" s="3"/>
      <c r="D19" s="3"/>
      <c r="E19" s="106">
        <v>0</v>
      </c>
      <c r="F19" s="106">
        <v>0</v>
      </c>
      <c r="G19" s="106">
        <v>0</v>
      </c>
      <c r="H19" s="106">
        <v>0</v>
      </c>
      <c r="I19" s="106">
        <v>0</v>
      </c>
      <c r="J19" s="106">
        <v>0</v>
      </c>
      <c r="K19" s="106">
        <v>0</v>
      </c>
      <c r="L19" s="106">
        <v>0</v>
      </c>
      <c r="M19" s="106">
        <v>0</v>
      </c>
      <c r="N19" s="106">
        <v>0</v>
      </c>
      <c r="O19" s="106">
        <v>0</v>
      </c>
      <c r="P19" s="106">
        <v>0</v>
      </c>
      <c r="Q19" s="106">
        <v>0</v>
      </c>
      <c r="R19" s="106">
        <v>0</v>
      </c>
      <c r="S19" s="106">
        <v>0</v>
      </c>
      <c r="T19" s="106">
        <v>0</v>
      </c>
      <c r="U19" s="106">
        <v>0</v>
      </c>
      <c r="V19" s="106">
        <v>0</v>
      </c>
      <c r="W19" s="106">
        <v>0</v>
      </c>
      <c r="X19" s="106">
        <v>0</v>
      </c>
      <c r="Y19" s="106">
        <v>0</v>
      </c>
      <c r="Z19" s="106">
        <v>0</v>
      </c>
      <c r="AA19" s="106">
        <v>0</v>
      </c>
      <c r="AB19" s="106">
        <v>0</v>
      </c>
      <c r="AC19" s="106">
        <v>0</v>
      </c>
      <c r="AD19" s="106">
        <v>0</v>
      </c>
      <c r="AE19" s="106">
        <v>0</v>
      </c>
      <c r="AF19" s="106">
        <v>0</v>
      </c>
      <c r="AG19" s="106">
        <v>0</v>
      </c>
      <c r="AH19" s="106">
        <v>0</v>
      </c>
      <c r="AI19" s="106">
        <v>0</v>
      </c>
      <c r="AJ19" s="106">
        <v>0</v>
      </c>
      <c r="AK19" s="106">
        <v>0</v>
      </c>
      <c r="AL19" s="106">
        <v>0</v>
      </c>
      <c r="AM19" s="106">
        <v>0</v>
      </c>
      <c r="AN19" s="106">
        <v>0</v>
      </c>
    </row>
    <row r="20" spans="2:50" hidden="1" outlineLevel="1" x14ac:dyDescent="0.25">
      <c r="B20" s="39" t="str">
        <v>Quaternary Direct Staff</v>
      </c>
      <c r="C20" s="3"/>
      <c r="D20" s="3"/>
      <c r="E20" s="106">
        <v>1</v>
      </c>
      <c r="F20" s="106">
        <v>1</v>
      </c>
      <c r="G20" s="106">
        <v>1</v>
      </c>
      <c r="H20" s="106">
        <v>1</v>
      </c>
      <c r="I20" s="106">
        <v>1</v>
      </c>
      <c r="J20" s="106">
        <v>1</v>
      </c>
      <c r="K20" s="106">
        <v>1</v>
      </c>
      <c r="L20" s="106">
        <v>1</v>
      </c>
      <c r="M20" s="106">
        <v>1</v>
      </c>
      <c r="N20" s="106">
        <v>1</v>
      </c>
      <c r="O20" s="106">
        <v>1</v>
      </c>
      <c r="P20" s="106">
        <v>1</v>
      </c>
      <c r="Q20" s="106">
        <v>1</v>
      </c>
      <c r="R20" s="106">
        <v>1</v>
      </c>
      <c r="S20" s="106">
        <v>1</v>
      </c>
      <c r="T20" s="106">
        <v>1</v>
      </c>
      <c r="U20" s="106">
        <v>1</v>
      </c>
      <c r="V20" s="106">
        <v>1</v>
      </c>
      <c r="W20" s="106">
        <v>1</v>
      </c>
      <c r="X20" s="106">
        <v>1</v>
      </c>
      <c r="Y20" s="106">
        <v>1</v>
      </c>
      <c r="Z20" s="106">
        <v>1</v>
      </c>
      <c r="AA20" s="106">
        <v>1</v>
      </c>
      <c r="AB20" s="106">
        <v>1</v>
      </c>
      <c r="AC20" s="106">
        <v>1</v>
      </c>
      <c r="AD20" s="106">
        <v>1</v>
      </c>
      <c r="AE20" s="106">
        <v>1</v>
      </c>
      <c r="AF20" s="106">
        <v>1</v>
      </c>
      <c r="AG20" s="106">
        <v>1</v>
      </c>
      <c r="AH20" s="106">
        <v>1</v>
      </c>
      <c r="AI20" s="106">
        <v>1</v>
      </c>
      <c r="AJ20" s="106">
        <v>1</v>
      </c>
      <c r="AK20" s="106">
        <v>1</v>
      </c>
      <c r="AL20" s="106">
        <v>1</v>
      </c>
      <c r="AM20" s="106">
        <v>1</v>
      </c>
      <c r="AN20" s="106">
        <v>1</v>
      </c>
    </row>
    <row r="21" spans="2:50" collapsed="1" x14ac:dyDescent="0.25">
      <c r="B21" s="39" t="s">
        <v>389</v>
      </c>
      <c r="C21" s="3"/>
      <c r="D21" s="5"/>
      <c r="E21" s="117" cm="1">
        <f t="array" ref="E21:AN21">ROUND(_xlfn.BYCOL(_xlfn.CHOOSEROWS(_xlfn.ANCHORARRAY(E7),1,2),_xlfn.LAMBDA(_xlpm.col,SUM(_xlpm.col))),0)</f>
        <v>34</v>
      </c>
      <c r="F21" s="117">
        <v>38</v>
      </c>
      <c r="G21" s="117">
        <v>41</v>
      </c>
      <c r="H21" s="117">
        <v>46</v>
      </c>
      <c r="I21" s="117">
        <v>46</v>
      </c>
      <c r="J21" s="117">
        <v>46</v>
      </c>
      <c r="K21" s="117">
        <v>46</v>
      </c>
      <c r="L21" s="117">
        <v>46</v>
      </c>
      <c r="M21" s="117">
        <v>46</v>
      </c>
      <c r="N21" s="117">
        <v>46</v>
      </c>
      <c r="O21" s="117">
        <v>46</v>
      </c>
      <c r="P21" s="117">
        <v>46</v>
      </c>
      <c r="Q21" s="117">
        <v>46</v>
      </c>
      <c r="R21" s="117">
        <v>46</v>
      </c>
      <c r="S21" s="117">
        <v>46</v>
      </c>
      <c r="T21" s="117">
        <v>46</v>
      </c>
      <c r="U21" s="117">
        <v>46</v>
      </c>
      <c r="V21" s="117">
        <v>46</v>
      </c>
      <c r="W21" s="117">
        <v>46</v>
      </c>
      <c r="X21" s="117">
        <v>46</v>
      </c>
      <c r="Y21" s="117">
        <v>46</v>
      </c>
      <c r="Z21" s="117">
        <v>46</v>
      </c>
      <c r="AA21" s="117">
        <v>46</v>
      </c>
      <c r="AB21" s="117">
        <v>46</v>
      </c>
      <c r="AC21" s="117">
        <v>46</v>
      </c>
      <c r="AD21" s="117">
        <v>46</v>
      </c>
      <c r="AE21" s="117">
        <v>46</v>
      </c>
      <c r="AF21" s="117">
        <v>46</v>
      </c>
      <c r="AG21" s="117">
        <v>46</v>
      </c>
      <c r="AH21" s="117">
        <v>46</v>
      </c>
      <c r="AI21" s="117">
        <v>46</v>
      </c>
      <c r="AJ21" s="117">
        <v>46</v>
      </c>
      <c r="AK21" s="117">
        <v>46</v>
      </c>
      <c r="AL21" s="117">
        <v>46</v>
      </c>
      <c r="AM21" s="117">
        <v>46</v>
      </c>
      <c r="AN21" s="117">
        <v>46</v>
      </c>
    </row>
    <row r="22" spans="2:50" x14ac:dyDescent="0.25">
      <c r="B22" s="2" t="s">
        <v>394</v>
      </c>
      <c r="C22" s="3"/>
      <c r="D22" s="77">
        <f>MAX(_xlfn.ANCHORARRAY(E22))</f>
        <v>170.02883240223463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165.07653631284916</v>
      </c>
      <c r="F22" s="78">
        <v>165.07653631284916</v>
      </c>
      <c r="G22" s="78">
        <v>165.07653631284916</v>
      </c>
      <c r="H22" s="78">
        <v>165.07653631284916</v>
      </c>
      <c r="I22" s="78">
        <v>165.07653631284916</v>
      </c>
      <c r="J22" s="78">
        <v>165.07653631284916</v>
      </c>
      <c r="K22" s="78">
        <v>165.07653631284916</v>
      </c>
      <c r="L22" s="78">
        <v>165.07653631284916</v>
      </c>
      <c r="M22" s="78">
        <v>165.07653631284916</v>
      </c>
      <c r="N22" s="78">
        <v>165.07653631284916</v>
      </c>
      <c r="O22" s="78">
        <v>165.07653631284916</v>
      </c>
      <c r="P22" s="78">
        <v>165.07653631284916</v>
      </c>
      <c r="Q22" s="78">
        <v>170.02883240223463</v>
      </c>
      <c r="R22" s="78">
        <v>170.02883240223463</v>
      </c>
      <c r="S22" s="78">
        <v>170.02883240223463</v>
      </c>
      <c r="T22" s="78">
        <v>170.02883240223463</v>
      </c>
      <c r="U22" s="78">
        <v>170.02883240223463</v>
      </c>
      <c r="V22" s="78">
        <v>170.02883240223463</v>
      </c>
      <c r="W22" s="78">
        <v>170.02883240223463</v>
      </c>
      <c r="X22" s="78">
        <v>170.02883240223463</v>
      </c>
      <c r="Y22" s="78">
        <v>170.02883240223463</v>
      </c>
      <c r="Z22" s="78">
        <v>170.02883240223463</v>
      </c>
      <c r="AA22" s="78">
        <v>170.02883240223463</v>
      </c>
      <c r="AB22" s="78">
        <v>170.02883240223463</v>
      </c>
      <c r="AC22" s="78">
        <v>170.02883240223463</v>
      </c>
      <c r="AD22" s="78">
        <v>170.02883240223463</v>
      </c>
      <c r="AE22" s="78">
        <v>170.02883240223463</v>
      </c>
      <c r="AF22" s="78">
        <v>170.02883240223463</v>
      </c>
      <c r="AG22" s="78">
        <v>170.02883240223463</v>
      </c>
      <c r="AH22" s="78">
        <v>170.02883240223463</v>
      </c>
      <c r="AI22" s="78">
        <v>170.02883240223463</v>
      </c>
      <c r="AJ22" s="78">
        <v>170.02883240223463</v>
      </c>
      <c r="AK22" s="78">
        <v>170.02883240223463</v>
      </c>
      <c r="AL22" s="78">
        <v>170.02883240223463</v>
      </c>
      <c r="AM22" s="78">
        <v>170.02883240223463</v>
      </c>
      <c r="AN22" s="78">
        <v>170.02883240223463</v>
      </c>
    </row>
    <row r="23" spans="2:50" x14ac:dyDescent="0.25">
      <c r="B23" s="2" t="s">
        <v>53</v>
      </c>
      <c r="C23" s="3"/>
      <c r="D23" s="72"/>
      <c r="E23" s="52" cm="1">
        <f t="array" ref="E23:AN23">_xlfn.LET(_xlpm.site,$B$1&amp;"-"&amp;$C$1,_xlpm.locations,Base!$D$4:$BD$4,_xlpm.Customer,_xlfn.ANCHORARRAY(E1),_xlpm.hours,SUM(_xlfn.XLOOKUP(_xlpm.site,_xlpm.locations,Base!$D$74:$BD$78,0,0)),
_xlpm.collection,1-_xlfn.XLOOKUP(_xlpm.site,_xlpm.locations,Base!$D$26:$BD$26,0,0),
_xlpm.Customer*_xlpm.hours*_xlpm.collection*(52/12))</f>
        <v>3255.413333333333</v>
      </c>
      <c r="F23" s="52">
        <v>3675.4666666666662</v>
      </c>
      <c r="G23" s="52">
        <v>3990.5066666666662</v>
      </c>
      <c r="H23" s="52">
        <v>4410.5599999999995</v>
      </c>
      <c r="I23" s="52">
        <v>4410.5599999999995</v>
      </c>
      <c r="J23" s="52">
        <v>4410.5599999999995</v>
      </c>
      <c r="K23" s="52">
        <v>4410.5599999999995</v>
      </c>
      <c r="L23" s="52">
        <v>4410.5599999999995</v>
      </c>
      <c r="M23" s="52">
        <v>4410.5599999999995</v>
      </c>
      <c r="N23" s="52">
        <v>4410.5599999999995</v>
      </c>
      <c r="O23" s="52">
        <v>4410.5599999999995</v>
      </c>
      <c r="P23" s="52">
        <v>4410.5599999999995</v>
      </c>
      <c r="Q23" s="52">
        <v>4410.5599999999995</v>
      </c>
      <c r="R23" s="52">
        <v>4410.5599999999995</v>
      </c>
      <c r="S23" s="52">
        <v>4410.5599999999995</v>
      </c>
      <c r="T23" s="52">
        <v>4410.5599999999995</v>
      </c>
      <c r="U23" s="52">
        <v>4410.5599999999995</v>
      </c>
      <c r="V23" s="52">
        <v>4410.5599999999995</v>
      </c>
      <c r="W23" s="52">
        <v>4410.5599999999995</v>
      </c>
      <c r="X23" s="52">
        <v>4410.5599999999995</v>
      </c>
      <c r="Y23" s="52">
        <v>4410.5599999999995</v>
      </c>
      <c r="Z23" s="52">
        <v>4410.5599999999995</v>
      </c>
      <c r="AA23" s="52">
        <v>4410.5599999999995</v>
      </c>
      <c r="AB23" s="52">
        <v>4410.5599999999995</v>
      </c>
      <c r="AC23" s="52">
        <v>4410.5599999999995</v>
      </c>
      <c r="AD23" s="52">
        <v>4410.5599999999995</v>
      </c>
      <c r="AE23" s="52">
        <v>4410.5599999999995</v>
      </c>
      <c r="AF23" s="52">
        <v>4410.5599999999995</v>
      </c>
      <c r="AG23" s="52">
        <v>4410.5599999999995</v>
      </c>
      <c r="AH23" s="52">
        <v>4410.5599999999995</v>
      </c>
      <c r="AI23" s="52">
        <v>4410.5599999999995</v>
      </c>
      <c r="AJ23" s="52">
        <v>4410.5599999999995</v>
      </c>
      <c r="AK23" s="52">
        <v>4410.5599999999995</v>
      </c>
      <c r="AL23" s="52">
        <v>4410.5599999999995</v>
      </c>
      <c r="AM23" s="52">
        <v>4410.5599999999995</v>
      </c>
      <c r="AN23" s="52">
        <v>4410.5599999999995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21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_xlfn.LET(_xlpm.site,$B$1&amp;"-"&amp;$C$1,_xlpm.locations,Base!$D$4:$BD$4,_xlpm.rates,Base!$D31:$BD31,_xlpm.hours,Base!$D74:$BD74,_xlpm.comp,_xlpm.rates*_xlpm.hours,_xlpm.Customer,_xlfn.ANCHORARRAY($E$1),
_xlpm.Customer_comp,_xlfn.XLOOKUP(_xlpm.site,_xlpm.locations,_xlpm.comp,0,0),_xlpm.ann_incr,_xlfn.XLOOKUP(YEAR(_xlfn.ANCHORARRAY($E$25)),Base!$BJ$4:$BL$4,Base!$BJ74:$BL74,0,0),
_xlpm.bad_debt,_xlfn.XLOOKUP(_xlpm.site,_xlpm.locations,Base!$D$28:$BD$28,0,0),_xlpm.Customer_comp*_xlpm.Customer*_xlpm.bad_debt*_xlpm.ann_incr*(52/12))</f>
        <v>469484.25333333324</v>
      </c>
      <c r="F26" s="12">
        <v>530062.86666666658</v>
      </c>
      <c r="G26" s="12">
        <v>575496.82666666654</v>
      </c>
      <c r="H26" s="12">
        <v>636075.43999999994</v>
      </c>
      <c r="I26" s="12">
        <v>636075.43999999994</v>
      </c>
      <c r="J26" s="12">
        <v>636075.43999999994</v>
      </c>
      <c r="K26" s="12">
        <v>636075.43999999994</v>
      </c>
      <c r="L26" s="12">
        <v>636075.43999999994</v>
      </c>
      <c r="M26" s="12">
        <v>636075.43999999994</v>
      </c>
      <c r="N26" s="12">
        <v>636075.43999999994</v>
      </c>
      <c r="O26" s="12">
        <v>636075.43999999994</v>
      </c>
      <c r="P26" s="12">
        <v>636075.43999999994</v>
      </c>
      <c r="Q26" s="12">
        <v>655157.70319999987</v>
      </c>
      <c r="R26" s="12">
        <v>655157.70319999987</v>
      </c>
      <c r="S26" s="12">
        <v>655157.70319999987</v>
      </c>
      <c r="T26" s="12">
        <v>655157.70319999987</v>
      </c>
      <c r="U26" s="12">
        <v>655157.70319999987</v>
      </c>
      <c r="V26" s="12">
        <v>655157.70319999987</v>
      </c>
      <c r="W26" s="12">
        <v>655157.70319999987</v>
      </c>
      <c r="X26" s="12">
        <v>655157.70319999987</v>
      </c>
      <c r="Y26" s="12">
        <v>655157.70319999987</v>
      </c>
      <c r="Z26" s="12">
        <v>655157.70319999987</v>
      </c>
      <c r="AA26" s="12">
        <v>655157.70319999987</v>
      </c>
      <c r="AB26" s="12">
        <v>655157.70319999987</v>
      </c>
      <c r="AC26" s="12">
        <v>655157.70319999987</v>
      </c>
      <c r="AD26" s="12">
        <v>655157.70319999987</v>
      </c>
      <c r="AE26" s="12">
        <v>655157.70319999987</v>
      </c>
      <c r="AF26" s="12">
        <v>655157.70319999987</v>
      </c>
      <c r="AG26" s="12">
        <v>655157.70319999987</v>
      </c>
      <c r="AH26" s="12">
        <v>655157.70319999987</v>
      </c>
      <c r="AI26" s="12">
        <v>655157.70319999987</v>
      </c>
      <c r="AJ26" s="12">
        <v>655157.70319999987</v>
      </c>
      <c r="AK26" s="12">
        <v>655157.70319999987</v>
      </c>
      <c r="AL26" s="12">
        <v>655157.70319999987</v>
      </c>
      <c r="AM26" s="12">
        <v>655157.70319999987</v>
      </c>
      <c r="AN26" s="12">
        <v>655157.70319999987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_xlfn.LET(_xlpm.site,$B$1&amp;"-"&amp;$C$1,_xlpm.locations,Base!$D$4:$BD$4,_xlpm.rates,Base!$D32:$BD32,_xlpm.hours,Base!$D75:$BD75,_xlpm.comp,_xlpm.rates*_xlpm.hours,_xlpm.Customer,_xlfn.ANCHORARRAY($E$1),
_xlpm.Customer_comp,_xlfn.XLOOKUP(_xlpm.site,_xlpm.locations,_xlpm.comp,0,0),_xlpm.ann_incr,_xlfn.XLOOKUP(YEAR(_xlfn.ANCHORARRAY($E$25)),Base!$BJ$4:$BL$4,Base!$BJ75:$BL75,0,0),
_xlpm.bad_debt,_xlfn.XLOOKUP(_xlpm.site,_xlpm.locations,Base!$D$28:$BD$28,0,0),_xlpm.Customer_comp*_xlpm.Customer*_xlpm.bad_debt*_xlpm.ann_incr*(52/12))</f>
        <v>27527.586666666662</v>
      </c>
      <c r="F27" s="12">
        <v>31079.533333333329</v>
      </c>
      <c r="G27" s="12">
        <v>33743.493333333325</v>
      </c>
      <c r="H27" s="12">
        <v>37295.439999999995</v>
      </c>
      <c r="I27" s="12">
        <v>37295.439999999995</v>
      </c>
      <c r="J27" s="12">
        <v>37295.439999999995</v>
      </c>
      <c r="K27" s="12">
        <v>37295.439999999995</v>
      </c>
      <c r="L27" s="12">
        <v>37295.439999999995</v>
      </c>
      <c r="M27" s="12">
        <v>37295.439999999995</v>
      </c>
      <c r="N27" s="12">
        <v>37295.439999999995</v>
      </c>
      <c r="O27" s="12">
        <v>37295.439999999995</v>
      </c>
      <c r="P27" s="12">
        <v>37295.439999999995</v>
      </c>
      <c r="Q27" s="12">
        <v>38414.303200000002</v>
      </c>
      <c r="R27" s="12">
        <v>38414.303200000002</v>
      </c>
      <c r="S27" s="12">
        <v>38414.303200000002</v>
      </c>
      <c r="T27" s="12">
        <v>38414.303200000002</v>
      </c>
      <c r="U27" s="12">
        <v>38414.303200000002</v>
      </c>
      <c r="V27" s="12">
        <v>38414.303200000002</v>
      </c>
      <c r="W27" s="12">
        <v>38414.303200000002</v>
      </c>
      <c r="X27" s="12">
        <v>38414.303200000002</v>
      </c>
      <c r="Y27" s="12">
        <v>38414.303200000002</v>
      </c>
      <c r="Z27" s="12">
        <v>38414.303200000002</v>
      </c>
      <c r="AA27" s="12">
        <v>38414.303200000002</v>
      </c>
      <c r="AB27" s="12">
        <v>38414.303200000002</v>
      </c>
      <c r="AC27" s="12">
        <v>38414.303200000002</v>
      </c>
      <c r="AD27" s="12">
        <v>38414.303200000002</v>
      </c>
      <c r="AE27" s="12">
        <v>38414.303200000002</v>
      </c>
      <c r="AF27" s="12">
        <v>38414.303200000002</v>
      </c>
      <c r="AG27" s="12">
        <v>38414.303200000002</v>
      </c>
      <c r="AH27" s="12">
        <v>38414.303200000002</v>
      </c>
      <c r="AI27" s="12">
        <v>38414.303200000002</v>
      </c>
      <c r="AJ27" s="12">
        <v>38414.303200000002</v>
      </c>
      <c r="AK27" s="12">
        <v>38414.303200000002</v>
      </c>
      <c r="AL27" s="12">
        <v>38414.303200000002</v>
      </c>
      <c r="AM27" s="12">
        <v>38414.303200000002</v>
      </c>
      <c r="AN27" s="12">
        <v>38414.303200000002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_xlfn.LET(_xlpm.site,$B$1&amp;"-"&amp;$C$1,_xlpm.locations,Base!$D$4:$BD$4,_xlpm.rates,Base!$D33:$BD33,_xlpm.hours,Base!$D76:$BD76,_xlpm.comp,_xlpm.rates*_xlpm.hours,_xlpm.Customer,_xlfn.ANCHORARRAY($E$1),
_xlpm.Customer_comp,_xlfn.XLOOKUP(_xlpm.site,_xlpm.locations,_xlpm.comp,0,0),_xlpm.ann_incr,_xlfn.XLOOKUP(YEAR(_xlfn.ANCHORARRAY($E$25)),Base!$BJ$4:$BL$4,Base!$BJ76:$BL76,0,0),
_xlpm.bad_debt,_xlfn.XLOOKUP(_xlpm.site,_xlpm.locations,Base!$D$28:$BD$28,0,0),_xlpm.Customer_comp*_xlpm.Customer*_xlpm.bad_debt*_xlpm.ann_incr*(52/12))</f>
        <v>65422.213999999978</v>
      </c>
      <c r="F28" s="12">
        <v>73863.789999999964</v>
      </c>
      <c r="G28" s="12">
        <v>80194.97199999998</v>
      </c>
      <c r="H28" s="12">
        <v>88636.547999999981</v>
      </c>
      <c r="I28" s="12">
        <v>88636.547999999981</v>
      </c>
      <c r="J28" s="12">
        <v>88636.547999999981</v>
      </c>
      <c r="K28" s="12">
        <v>88636.547999999981</v>
      </c>
      <c r="L28" s="12">
        <v>88636.547999999981</v>
      </c>
      <c r="M28" s="12">
        <v>88636.547999999981</v>
      </c>
      <c r="N28" s="12">
        <v>88636.547999999981</v>
      </c>
      <c r="O28" s="12">
        <v>88636.547999999981</v>
      </c>
      <c r="P28" s="12">
        <v>88636.547999999981</v>
      </c>
      <c r="Q28" s="12">
        <v>91295.644439999975</v>
      </c>
      <c r="R28" s="12">
        <v>91295.644439999975</v>
      </c>
      <c r="S28" s="12">
        <v>91295.644439999975</v>
      </c>
      <c r="T28" s="12">
        <v>91295.644439999975</v>
      </c>
      <c r="U28" s="12">
        <v>91295.644439999975</v>
      </c>
      <c r="V28" s="12">
        <v>91295.644439999975</v>
      </c>
      <c r="W28" s="12">
        <v>91295.644439999975</v>
      </c>
      <c r="X28" s="12">
        <v>91295.644439999975</v>
      </c>
      <c r="Y28" s="12">
        <v>91295.644439999975</v>
      </c>
      <c r="Z28" s="12">
        <v>91295.644439999975</v>
      </c>
      <c r="AA28" s="12">
        <v>91295.644439999975</v>
      </c>
      <c r="AB28" s="12">
        <v>91295.644439999975</v>
      </c>
      <c r="AC28" s="12">
        <v>91295.644439999975</v>
      </c>
      <c r="AD28" s="12">
        <v>91295.644439999975</v>
      </c>
      <c r="AE28" s="12">
        <v>91295.644439999975</v>
      </c>
      <c r="AF28" s="12">
        <v>91295.644439999975</v>
      </c>
      <c r="AG28" s="12">
        <v>91295.644439999975</v>
      </c>
      <c r="AH28" s="12">
        <v>91295.644439999975</v>
      </c>
      <c r="AI28" s="12">
        <v>91295.644439999975</v>
      </c>
      <c r="AJ28" s="12">
        <v>91295.644439999975</v>
      </c>
      <c r="AK28" s="12">
        <v>91295.644439999975</v>
      </c>
      <c r="AL28" s="12">
        <v>91295.644439999975</v>
      </c>
      <c r="AM28" s="12">
        <v>91295.644439999975</v>
      </c>
      <c r="AN28" s="12">
        <v>91295.644439999975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_xlfn.LET(_xlpm.site,$B$1&amp;"-"&amp;$C$1,_xlpm.locations,Base!$D$4:$BD$4,_xlpm.rates,Base!$D34:$BD34,_xlpm.hours,Base!$D77:$BD77,_xlpm.comp,_xlpm.rates*_xlpm.hours,_xlpm.Customer,_xlfn.ANCHORARRAY($E$1),
_xlpm.Customer_comp,_xlfn.XLOOKUP(_xlpm.site,_xlpm.locations,_xlpm.comp,0,0),_xlpm.ann_incr,_xlfn.XLOOKUP(YEAR(_xlfn.ANCHORARRAY($E$25)),Base!$BJ$4:$BL$4,Base!$BJ77:$BL77,0,0),
_xlpm.bad_debt,_xlfn.XLOOKUP(_xlpm.site,_xlpm.locations,Base!$D$28:$BD$28,0,0),_xlpm.Customer_comp*_xlpm.Customer*_xlpm.bad_debt*_xlpm.ann_incr*(52/12))</f>
        <v>5032.4779999999992</v>
      </c>
      <c r="F29" s="12">
        <v>5681.829999999999</v>
      </c>
      <c r="G29" s="12">
        <v>6168.8440000000001</v>
      </c>
      <c r="H29" s="12">
        <v>6818.1959999999999</v>
      </c>
      <c r="I29" s="12">
        <v>6818.1959999999999</v>
      </c>
      <c r="J29" s="12">
        <v>6818.1959999999999</v>
      </c>
      <c r="K29" s="12">
        <v>6818.1959999999999</v>
      </c>
      <c r="L29" s="12">
        <v>6818.1959999999999</v>
      </c>
      <c r="M29" s="12">
        <v>6818.1959999999999</v>
      </c>
      <c r="N29" s="12">
        <v>6818.1959999999999</v>
      </c>
      <c r="O29" s="12">
        <v>6818.1959999999999</v>
      </c>
      <c r="P29" s="12">
        <v>6818.1959999999999</v>
      </c>
      <c r="Q29" s="12">
        <v>7022.7418800000005</v>
      </c>
      <c r="R29" s="12">
        <v>7022.7418800000005</v>
      </c>
      <c r="S29" s="12">
        <v>7022.7418800000005</v>
      </c>
      <c r="T29" s="12">
        <v>7022.7418800000005</v>
      </c>
      <c r="U29" s="12">
        <v>7022.7418800000005</v>
      </c>
      <c r="V29" s="12">
        <v>7022.7418800000005</v>
      </c>
      <c r="W29" s="12">
        <v>7022.7418800000005</v>
      </c>
      <c r="X29" s="12">
        <v>7022.7418800000005</v>
      </c>
      <c r="Y29" s="12">
        <v>7022.7418800000005</v>
      </c>
      <c r="Z29" s="12">
        <v>7022.7418800000005</v>
      </c>
      <c r="AA29" s="12">
        <v>7022.7418800000005</v>
      </c>
      <c r="AB29" s="12">
        <v>7022.7418800000005</v>
      </c>
      <c r="AC29" s="12">
        <v>7022.7418800000005</v>
      </c>
      <c r="AD29" s="12">
        <v>7022.7418800000005</v>
      </c>
      <c r="AE29" s="12">
        <v>7022.7418800000005</v>
      </c>
      <c r="AF29" s="12">
        <v>7022.7418800000005</v>
      </c>
      <c r="AG29" s="12">
        <v>7022.7418800000005</v>
      </c>
      <c r="AH29" s="12">
        <v>7022.7418800000005</v>
      </c>
      <c r="AI29" s="12">
        <v>7022.7418800000005</v>
      </c>
      <c r="AJ29" s="12">
        <v>7022.7418800000005</v>
      </c>
      <c r="AK29" s="12">
        <v>7022.7418800000005</v>
      </c>
      <c r="AL29" s="12">
        <v>7022.7418800000005</v>
      </c>
      <c r="AM29" s="12">
        <v>7022.7418800000005</v>
      </c>
      <c r="AN29" s="12">
        <v>7022.7418800000005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_xlfn.LET(_xlpm.site,$B$1&amp;"-"&amp;$C$1,_xlpm.locations,Base!$D$4:$BD$4,_xlpm.rates,Base!$D35:$BD35,_xlpm.hours,Base!$D78:$BD78,_xlpm.comp,_xlpm.rates*_xlpm.hours,_xlpm.Customer,_xlfn.ANCHORARRAY($E$1),
_xlpm.Customer_comp,_xlfn.XLOOKUP(_xlpm.site,_xlpm.locations,_xlpm.comp,0,0),_xlpm.ann_incr,_xlfn.XLOOKUP(YEAR(_xlfn.ANCHORARRAY($E$25)),Base!$BJ$4:$BL$4,Base!$BJ78:$BL78,0,0),
_xlpm.bad_debt,_xlfn.XLOOKUP(_xlpm.site,_xlpm.locations,Base!$D$28:$BD$28,0,0),_xlpm.Customer_comp*_xlpm.Customer*_xlpm.bad_debt*_xlpm.ann_incr*(52/12))</f>
        <v>6566.2133333333331</v>
      </c>
      <c r="F30" s="12">
        <v>7413.4666666666662</v>
      </c>
      <c r="G30" s="12">
        <v>8048.9066666666649</v>
      </c>
      <c r="H30" s="12">
        <v>8896.16</v>
      </c>
      <c r="I30" s="12">
        <v>8896.16</v>
      </c>
      <c r="J30" s="12">
        <v>8896.16</v>
      </c>
      <c r="K30" s="12">
        <v>8896.16</v>
      </c>
      <c r="L30" s="12">
        <v>8896.16</v>
      </c>
      <c r="M30" s="12">
        <v>8896.16</v>
      </c>
      <c r="N30" s="12">
        <v>8896.16</v>
      </c>
      <c r="O30" s="12">
        <v>8896.16</v>
      </c>
      <c r="P30" s="12">
        <v>8896.16</v>
      </c>
      <c r="Q30" s="12">
        <v>9163.0447999999997</v>
      </c>
      <c r="R30" s="12">
        <v>9163.0447999999997</v>
      </c>
      <c r="S30" s="12">
        <v>9163.0447999999997</v>
      </c>
      <c r="T30" s="12">
        <v>9163.0447999999997</v>
      </c>
      <c r="U30" s="12">
        <v>9163.0447999999997</v>
      </c>
      <c r="V30" s="12">
        <v>9163.0447999999997</v>
      </c>
      <c r="W30" s="12">
        <v>9163.0447999999997</v>
      </c>
      <c r="X30" s="12">
        <v>9163.0447999999997</v>
      </c>
      <c r="Y30" s="12">
        <v>9163.0447999999997</v>
      </c>
      <c r="Z30" s="12">
        <v>9163.0447999999997</v>
      </c>
      <c r="AA30" s="12">
        <v>9163.0447999999997</v>
      </c>
      <c r="AB30" s="12">
        <v>9163.0447999999997</v>
      </c>
      <c r="AC30" s="12">
        <v>9163.0447999999997</v>
      </c>
      <c r="AD30" s="12">
        <v>9163.0447999999997</v>
      </c>
      <c r="AE30" s="12">
        <v>9163.0447999999997</v>
      </c>
      <c r="AF30" s="12">
        <v>9163.0447999999997</v>
      </c>
      <c r="AG30" s="12">
        <v>9163.0447999999997</v>
      </c>
      <c r="AH30" s="12">
        <v>9163.0447999999997</v>
      </c>
      <c r="AI30" s="12">
        <v>9163.0447999999997</v>
      </c>
      <c r="AJ30" s="12">
        <v>9163.0447999999997</v>
      </c>
      <c r="AK30" s="12">
        <v>9163.0447999999997</v>
      </c>
      <c r="AL30" s="12">
        <v>9163.0447999999997</v>
      </c>
      <c r="AM30" s="12">
        <v>9163.0447999999997</v>
      </c>
      <c r="AN30" s="12">
        <v>9163.0447999999997</v>
      </c>
    </row>
    <row r="31" spans="2:50" x14ac:dyDescent="0.25">
      <c r="B31" s="39" t="str">
        <f>Base!B36</f>
        <v>Tertiary Direct Staff - Service A</v>
      </c>
      <c r="C31" s="4"/>
      <c r="E31" s="183" cm="1">
        <f t="array" ref="E31:AN31">_xlfn.LET(_xlpm.site,$B$1&amp;"-"&amp;$C$1,_xlpm.locations,Base!$D$4:$BD$4,_xlpm.rates,Base!$D36:$BD36,_xlpm.hours,Base!$D79:$BD79,_xlpm.comp,_xlpm.rates*_xlpm.hours,_xlpm.Customer,_xlfn.ANCHORARRAY($E$1)*0,
_xlpm.Customer_comp,_xlfn.XLOOKUP(_xlpm.site,_xlpm.locations,_xlpm.comp,0,0),_xlpm.ann_incr,_xlfn.XLOOKUP(YEAR(_xlfn.ANCHORARRAY($E$25)),Base!$BJ$4:$BL$4,Base!$BJ79:$BL79,0,0),
_xlpm.bad_debt,_xlfn.XLOOKUP(_xlpm.site,_xlpm.locations,Base!$D$28:$BD$28,0,0),_xlpm.Customer_comp*_xlpm.Customer*_xlpm.bad_debt*_xlpm.ann_incr*(52/12))</f>
        <v>0</v>
      </c>
      <c r="F31" s="183">
        <v>0</v>
      </c>
      <c r="G31" s="183">
        <v>0</v>
      </c>
      <c r="H31" s="183">
        <v>0</v>
      </c>
      <c r="I31" s="183">
        <v>0</v>
      </c>
      <c r="J31" s="183">
        <v>0</v>
      </c>
      <c r="K31" s="183">
        <v>0</v>
      </c>
      <c r="L31" s="183">
        <v>0</v>
      </c>
      <c r="M31" s="183">
        <v>0</v>
      </c>
      <c r="N31" s="183">
        <v>0</v>
      </c>
      <c r="O31" s="183">
        <v>0</v>
      </c>
      <c r="P31" s="183">
        <v>0</v>
      </c>
      <c r="Q31" s="183">
        <v>0</v>
      </c>
      <c r="R31" s="183">
        <v>0</v>
      </c>
      <c r="S31" s="183">
        <v>0</v>
      </c>
      <c r="T31" s="183">
        <v>0</v>
      </c>
      <c r="U31" s="183">
        <v>0</v>
      </c>
      <c r="V31" s="183">
        <v>0</v>
      </c>
      <c r="W31" s="183">
        <v>0</v>
      </c>
      <c r="X31" s="183">
        <v>0</v>
      </c>
      <c r="Y31" s="183">
        <v>0</v>
      </c>
      <c r="Z31" s="183">
        <v>0</v>
      </c>
      <c r="AA31" s="183">
        <v>0</v>
      </c>
      <c r="AB31" s="183">
        <v>0</v>
      </c>
      <c r="AC31" s="183">
        <v>0</v>
      </c>
      <c r="AD31" s="183">
        <v>0</v>
      </c>
      <c r="AE31" s="183">
        <v>0</v>
      </c>
      <c r="AF31" s="183">
        <v>0</v>
      </c>
      <c r="AG31" s="183">
        <v>0</v>
      </c>
      <c r="AH31" s="183">
        <v>0</v>
      </c>
      <c r="AI31" s="183">
        <v>0</v>
      </c>
      <c r="AJ31" s="183">
        <v>0</v>
      </c>
      <c r="AK31" s="183">
        <v>0</v>
      </c>
      <c r="AL31" s="183">
        <v>0</v>
      </c>
      <c r="AM31" s="183">
        <v>0</v>
      </c>
      <c r="AN31" s="183">
        <v>0</v>
      </c>
    </row>
    <row r="32" spans="2:50" x14ac:dyDescent="0.25">
      <c r="B32" s="39" t="str">
        <f>Base!B37</f>
        <v>Tertiary Direct Staff - Service B</v>
      </c>
      <c r="C32" s="4"/>
      <c r="E32" s="183" cm="1">
        <f t="array" ref="E32:AN32">_xlfn.LET(_xlpm.site,$B$1&amp;"-"&amp;$C$1,_xlpm.locations,Base!$D$4:$BD$4,_xlpm.rates,Base!$D37:$BD37,_xlpm.hours,Base!$D80:$BD80,_xlpm.comp,_xlpm.rates*_xlpm.hours,_xlpm.Customer,_xlfn.ANCHORARRAY($E$1)*0,
_xlpm.Customer_comp,_xlfn.XLOOKUP(_xlpm.site,_xlpm.locations,_xlpm.comp,0,0),_xlpm.ann_incr,_xlfn.XLOOKUP(YEAR(_xlfn.ANCHORARRAY($E$25)),Base!$BJ$4:$BL$4,Base!$BJ80:$BL80,0,0),
_xlpm.bad_debt,_xlfn.XLOOKUP(_xlpm.site,_xlpm.locations,Base!$D$28:$BD$28,0,0),_xlpm.Customer_comp*_xlpm.Customer*_xlpm.bad_debt*_xlpm.ann_incr*(52/12))</f>
        <v>0</v>
      </c>
      <c r="F32" s="183">
        <v>0</v>
      </c>
      <c r="G32" s="183">
        <v>0</v>
      </c>
      <c r="H32" s="183">
        <v>0</v>
      </c>
      <c r="I32" s="183">
        <v>0</v>
      </c>
      <c r="J32" s="183">
        <v>0</v>
      </c>
      <c r="K32" s="183">
        <v>0</v>
      </c>
      <c r="L32" s="183">
        <v>0</v>
      </c>
      <c r="M32" s="183">
        <v>0</v>
      </c>
      <c r="N32" s="183">
        <v>0</v>
      </c>
      <c r="O32" s="183">
        <v>0</v>
      </c>
      <c r="P32" s="183">
        <v>0</v>
      </c>
      <c r="Q32" s="183">
        <v>0</v>
      </c>
      <c r="R32" s="183">
        <v>0</v>
      </c>
      <c r="S32" s="183">
        <v>0</v>
      </c>
      <c r="T32" s="183">
        <v>0</v>
      </c>
      <c r="U32" s="183">
        <v>0</v>
      </c>
      <c r="V32" s="183">
        <v>0</v>
      </c>
      <c r="W32" s="183">
        <v>0</v>
      </c>
      <c r="X32" s="183">
        <v>0</v>
      </c>
      <c r="Y32" s="183">
        <v>0</v>
      </c>
      <c r="Z32" s="183">
        <v>0</v>
      </c>
      <c r="AA32" s="183">
        <v>0</v>
      </c>
      <c r="AB32" s="183">
        <v>0</v>
      </c>
      <c r="AC32" s="183">
        <v>0</v>
      </c>
      <c r="AD32" s="183">
        <v>0</v>
      </c>
      <c r="AE32" s="183">
        <v>0</v>
      </c>
      <c r="AF32" s="183">
        <v>0</v>
      </c>
      <c r="AG32" s="183">
        <v>0</v>
      </c>
      <c r="AH32" s="183">
        <v>0</v>
      </c>
      <c r="AI32" s="183">
        <v>0</v>
      </c>
      <c r="AJ32" s="183">
        <v>0</v>
      </c>
      <c r="AK32" s="183">
        <v>0</v>
      </c>
      <c r="AL32" s="183">
        <v>0</v>
      </c>
      <c r="AM32" s="183">
        <v>0</v>
      </c>
      <c r="AN32" s="183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_xlpm.Customer,_xlfn.ANCHORARRAY($E$2),_xlpm.ann_incr,_xlfn.XLOOKUP(YEAR(_xlfn.ANCHORARRAY($E$25)),Base!$BJ$4:$BL$4,Base!$BJ$81:$BL$81,0,0),
_xlpm.bad_debt,_xlfn.XLOOKUP(_xlpm.site,_xlpm.locations,Base!$D$28:$BD$28,0,0),
_xlpm.comp*_xlpm.bad_debt*_xlpm.ann_incr*(52/12))</f>
        <v>25911.491666666665</v>
      </c>
      <c r="F33" s="12">
        <v>25911.491666666665</v>
      </c>
      <c r="G33" s="12">
        <v>25911.491666666665</v>
      </c>
      <c r="H33" s="12">
        <v>25911.491666666665</v>
      </c>
      <c r="I33" s="12">
        <v>25911.491666666665</v>
      </c>
      <c r="J33" s="12">
        <v>25911.491666666665</v>
      </c>
      <c r="K33" s="12">
        <v>25911.491666666665</v>
      </c>
      <c r="L33" s="12">
        <v>25911.491666666665</v>
      </c>
      <c r="M33" s="12">
        <v>25911.491666666665</v>
      </c>
      <c r="N33" s="12">
        <v>25911.491666666665</v>
      </c>
      <c r="O33" s="12">
        <v>25911.491666666665</v>
      </c>
      <c r="P33" s="12">
        <v>25911.491666666665</v>
      </c>
      <c r="Q33" s="12">
        <v>26688.836416666662</v>
      </c>
      <c r="R33" s="12">
        <v>26688.836416666662</v>
      </c>
      <c r="S33" s="12">
        <v>26688.836416666662</v>
      </c>
      <c r="T33" s="12">
        <v>26688.836416666662</v>
      </c>
      <c r="U33" s="12">
        <v>26688.836416666662</v>
      </c>
      <c r="V33" s="12">
        <v>26688.836416666662</v>
      </c>
      <c r="W33" s="12">
        <v>26688.836416666662</v>
      </c>
      <c r="X33" s="12">
        <v>26688.836416666662</v>
      </c>
      <c r="Y33" s="12">
        <v>26688.836416666662</v>
      </c>
      <c r="Z33" s="12">
        <v>26688.836416666662</v>
      </c>
      <c r="AA33" s="12">
        <v>26688.836416666662</v>
      </c>
      <c r="AB33" s="12">
        <v>26688.836416666662</v>
      </c>
      <c r="AC33" s="12">
        <v>26688.836416666662</v>
      </c>
      <c r="AD33" s="12">
        <v>26688.836416666662</v>
      </c>
      <c r="AE33" s="12">
        <v>26688.836416666662</v>
      </c>
      <c r="AF33" s="12">
        <v>26688.836416666662</v>
      </c>
      <c r="AG33" s="12">
        <v>26688.836416666662</v>
      </c>
      <c r="AH33" s="12">
        <v>26688.836416666662</v>
      </c>
      <c r="AI33" s="12">
        <v>26688.836416666662</v>
      </c>
      <c r="AJ33" s="12">
        <v>26688.836416666662</v>
      </c>
      <c r="AK33" s="12">
        <v>26688.836416666662</v>
      </c>
      <c r="AL33" s="12">
        <v>26688.836416666662</v>
      </c>
      <c r="AM33" s="12">
        <v>26688.836416666662</v>
      </c>
      <c r="AN33" s="12">
        <v>26688.836416666662</v>
      </c>
    </row>
    <row r="34" spans="2:40" x14ac:dyDescent="0.25">
      <c r="B34" s="39" t="str">
        <f>Base!B39</f>
        <v>Quinary Direct Staff - Service A</v>
      </c>
      <c r="C34" s="4"/>
      <c r="E34" s="183" cm="1">
        <f t="array" ref="E34:AN34">_xlfn.LET(_xlpm.site,$B$1&amp;"-"&amp;$C$1,_xlpm.locations,Base!$D$4:$BD$4,_xlpm.rates,Base!$D39:$BD39,_xlpm.hours,Base!$D82:$BD82,_xlpm.comp,_xlpm.rates*_xlpm.hours,_xlpm.Customer,_xlfn.ANCHORARRAY($E$1)*0,
_xlpm.Customer_comp,_xlfn.XLOOKUP(_xlpm.site,_xlpm.locations,_xlpm.comp,0,0),_xlpm.ann_incr,_xlfn.XLOOKUP(YEAR(_xlfn.ANCHORARRAY($E$25)),Base!$BJ$4:$BL$4,Base!$BJ82:$BL82,0,0),
_xlpm.bad_debt,_xlfn.XLOOKUP(_xlpm.site,_xlpm.locations,Base!$D$28:$BD$28,0,0),_xlpm.Customer_comp*_xlpm.Customer*_xlpm.bad_debt*_xlpm.ann_incr*(52/12))</f>
        <v>0</v>
      </c>
      <c r="F34" s="183">
        <v>0</v>
      </c>
      <c r="G34" s="183">
        <v>0</v>
      </c>
      <c r="H34" s="183">
        <v>0</v>
      </c>
      <c r="I34" s="183">
        <v>0</v>
      </c>
      <c r="J34" s="183">
        <v>0</v>
      </c>
      <c r="K34" s="183">
        <v>0</v>
      </c>
      <c r="L34" s="183">
        <v>0</v>
      </c>
      <c r="M34" s="183">
        <v>0</v>
      </c>
      <c r="N34" s="183">
        <v>0</v>
      </c>
      <c r="O34" s="183">
        <v>0</v>
      </c>
      <c r="P34" s="183">
        <v>0</v>
      </c>
      <c r="Q34" s="183">
        <v>0</v>
      </c>
      <c r="R34" s="183">
        <v>0</v>
      </c>
      <c r="S34" s="183">
        <v>0</v>
      </c>
      <c r="T34" s="183">
        <v>0</v>
      </c>
      <c r="U34" s="183">
        <v>0</v>
      </c>
      <c r="V34" s="183">
        <v>0</v>
      </c>
      <c r="W34" s="183">
        <v>0</v>
      </c>
      <c r="X34" s="183">
        <v>0</v>
      </c>
      <c r="Y34" s="183">
        <v>0</v>
      </c>
      <c r="Z34" s="183">
        <v>0</v>
      </c>
      <c r="AA34" s="183">
        <v>0</v>
      </c>
      <c r="AB34" s="183">
        <v>0</v>
      </c>
      <c r="AC34" s="183">
        <v>0</v>
      </c>
      <c r="AD34" s="183">
        <v>0</v>
      </c>
      <c r="AE34" s="183">
        <v>0</v>
      </c>
      <c r="AF34" s="183">
        <v>0</v>
      </c>
      <c r="AG34" s="183">
        <v>0</v>
      </c>
      <c r="AH34" s="183">
        <v>0</v>
      </c>
      <c r="AI34" s="183">
        <v>0</v>
      </c>
      <c r="AJ34" s="183">
        <v>0</v>
      </c>
      <c r="AK34" s="183">
        <v>0</v>
      </c>
      <c r="AL34" s="183">
        <v>0</v>
      </c>
      <c r="AM34" s="183">
        <v>0</v>
      </c>
      <c r="AN34" s="183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-71993.308439999993</v>
      </c>
      <c r="F35" s="12">
        <v>-80881.557399999976</v>
      </c>
      <c r="G35" s="12">
        <v>-87547.744119999974</v>
      </c>
      <c r="H35" s="12">
        <v>-96435.993079999986</v>
      </c>
      <c r="I35" s="12">
        <v>-96435.993079999986</v>
      </c>
      <c r="J35" s="12">
        <v>-96435.993079999986</v>
      </c>
      <c r="K35" s="12">
        <v>-96435.993079999986</v>
      </c>
      <c r="L35" s="12">
        <v>-96435.993079999986</v>
      </c>
      <c r="M35" s="12">
        <v>-96435.993079999986</v>
      </c>
      <c r="N35" s="12">
        <v>-96435.993079999986</v>
      </c>
      <c r="O35" s="12">
        <v>-96435.993079999986</v>
      </c>
      <c r="P35" s="12">
        <v>-96435.993079999986</v>
      </c>
      <c r="Q35" s="12">
        <v>-99329.072872399964</v>
      </c>
      <c r="R35" s="12">
        <v>-99329.072872399964</v>
      </c>
      <c r="S35" s="12">
        <v>-99329.072872399964</v>
      </c>
      <c r="T35" s="12">
        <v>-99329.072872399964</v>
      </c>
      <c r="U35" s="12">
        <v>-99329.072872399964</v>
      </c>
      <c r="V35" s="12">
        <v>-99329.072872399964</v>
      </c>
      <c r="W35" s="12">
        <v>-99329.072872399964</v>
      </c>
      <c r="X35" s="12">
        <v>-99329.072872399964</v>
      </c>
      <c r="Y35" s="12">
        <v>-99329.072872399964</v>
      </c>
      <c r="Z35" s="12">
        <v>-99329.072872399964</v>
      </c>
      <c r="AA35" s="12">
        <v>-99329.072872399964</v>
      </c>
      <c r="AB35" s="12">
        <v>-99329.072872399964</v>
      </c>
      <c r="AC35" s="12">
        <v>-99329.072872399964</v>
      </c>
      <c r="AD35" s="12">
        <v>-99329.072872399964</v>
      </c>
      <c r="AE35" s="12">
        <v>-99329.072872399964</v>
      </c>
      <c r="AF35" s="12">
        <v>-99329.072872399964</v>
      </c>
      <c r="AG35" s="12">
        <v>-99329.072872399964</v>
      </c>
      <c r="AH35" s="12">
        <v>-99329.072872399964</v>
      </c>
      <c r="AI35" s="12">
        <v>-99329.072872399964</v>
      </c>
      <c r="AJ35" s="12">
        <v>-99329.072872399964</v>
      </c>
      <c r="AK35" s="12">
        <v>-99329.072872399964</v>
      </c>
      <c r="AL35" s="12">
        <v>-99329.072872399964</v>
      </c>
      <c r="AM35" s="12">
        <v>-99329.072872399964</v>
      </c>
      <c r="AN35" s="12">
        <v>-99329.072872399964</v>
      </c>
    </row>
    <row r="36" spans="2:40" x14ac:dyDescent="0.25">
      <c r="B36" s="39" t="s">
        <v>261</v>
      </c>
      <c r="C36" s="15"/>
      <c r="E36" s="183" cm="1">
        <f t="array" ref="E36:AN36">_xlfn.BYCOL(_xlfn.ANCHORARRAY($E$25),_xlfn.LAMBDA(_xlpm.a,0))</f>
        <v>0</v>
      </c>
      <c r="F36" s="183">
        <v>0</v>
      </c>
      <c r="G36" s="183">
        <v>0</v>
      </c>
      <c r="H36" s="183">
        <v>0</v>
      </c>
      <c r="I36" s="183">
        <v>0</v>
      </c>
      <c r="J36" s="183">
        <v>0</v>
      </c>
      <c r="K36" s="183">
        <v>0</v>
      </c>
      <c r="L36" s="183">
        <v>0</v>
      </c>
      <c r="M36" s="183">
        <v>0</v>
      </c>
      <c r="N36" s="183">
        <v>0</v>
      </c>
      <c r="O36" s="183">
        <v>0</v>
      </c>
      <c r="P36" s="183">
        <v>0</v>
      </c>
      <c r="Q36" s="183">
        <v>0</v>
      </c>
      <c r="R36" s="183">
        <v>0</v>
      </c>
      <c r="S36" s="183">
        <v>0</v>
      </c>
      <c r="T36" s="183">
        <v>0</v>
      </c>
      <c r="U36" s="183">
        <v>0</v>
      </c>
      <c r="V36" s="183">
        <v>0</v>
      </c>
      <c r="W36" s="183">
        <v>0</v>
      </c>
      <c r="X36" s="183">
        <v>0</v>
      </c>
      <c r="Y36" s="183">
        <v>0</v>
      </c>
      <c r="Z36" s="183">
        <v>0</v>
      </c>
      <c r="AA36" s="183">
        <v>0</v>
      </c>
      <c r="AB36" s="183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271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500423.3418933333</v>
      </c>
      <c r="F37" s="13">
        <v>562051.8875999999</v>
      </c>
      <c r="G37" s="13">
        <v>608273.29687999992</v>
      </c>
      <c r="H37" s="13">
        <v>669901.84258666658</v>
      </c>
      <c r="I37" s="13">
        <v>669901.84258666658</v>
      </c>
      <c r="J37" s="13">
        <v>669901.84258666658</v>
      </c>
      <c r="K37" s="13">
        <v>669901.84258666658</v>
      </c>
      <c r="L37" s="13">
        <v>669901.84258666658</v>
      </c>
      <c r="M37" s="13">
        <v>669901.84258666658</v>
      </c>
      <c r="N37" s="13">
        <v>669901.84258666658</v>
      </c>
      <c r="O37" s="13">
        <v>669901.84258666658</v>
      </c>
      <c r="P37" s="13">
        <v>669901.84258666658</v>
      </c>
      <c r="Q37" s="13">
        <v>689998.89786426653</v>
      </c>
      <c r="R37" s="13">
        <v>689998.89786426653</v>
      </c>
      <c r="S37" s="13">
        <v>689998.89786426653</v>
      </c>
      <c r="T37" s="13">
        <v>689998.89786426653</v>
      </c>
      <c r="U37" s="13">
        <v>689998.89786426653</v>
      </c>
      <c r="V37" s="13">
        <v>689998.89786426653</v>
      </c>
      <c r="W37" s="13">
        <v>689998.89786426653</v>
      </c>
      <c r="X37" s="13">
        <v>689998.89786426653</v>
      </c>
      <c r="Y37" s="13">
        <v>689998.89786426653</v>
      </c>
      <c r="Z37" s="13">
        <v>689998.89786426653</v>
      </c>
      <c r="AA37" s="13">
        <v>689998.89786426653</v>
      </c>
      <c r="AB37" s="13">
        <v>689998.89786426653</v>
      </c>
      <c r="AC37" s="13">
        <v>689998.89786426653</v>
      </c>
      <c r="AD37" s="13">
        <v>689998.89786426653</v>
      </c>
      <c r="AE37" s="13">
        <v>689998.89786426653</v>
      </c>
      <c r="AF37" s="13">
        <v>689998.89786426653</v>
      </c>
      <c r="AG37" s="13">
        <v>689998.89786426653</v>
      </c>
      <c r="AH37" s="13">
        <v>689998.89786426653</v>
      </c>
      <c r="AI37" s="13">
        <v>689998.89786426653</v>
      </c>
      <c r="AJ37" s="13">
        <v>689998.89786426653</v>
      </c>
      <c r="AK37" s="13">
        <v>689998.89786426653</v>
      </c>
      <c r="AL37" s="13">
        <v>689998.89786426653</v>
      </c>
      <c r="AM37" s="13">
        <v>689998.89786426653</v>
      </c>
      <c r="AN37" s="13">
        <v>689998.89786426653</v>
      </c>
    </row>
    <row r="38" spans="2:40" x14ac:dyDescent="0.25">
      <c r="E38" s="67"/>
      <c r="F38" s="67"/>
    </row>
    <row r="39" spans="2:40" x14ac:dyDescent="0.25">
      <c r="B39" s="1" t="s">
        <v>118</v>
      </c>
    </row>
    <row r="40" spans="2:40" x14ac:dyDescent="0.25">
      <c r="B40" s="39" t="s">
        <v>23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310700.76903692284</v>
      </c>
      <c r="F40" s="12">
        <v>336443.88489114941</v>
      </c>
      <c r="G40" s="12">
        <v>356004.64601515274</v>
      </c>
      <c r="H40" s="12">
        <v>375975.19973604602</v>
      </c>
      <c r="I40" s="12">
        <v>376257.46640271274</v>
      </c>
      <c r="J40" s="12">
        <v>376415.03306937939</v>
      </c>
      <c r="K40" s="12">
        <v>376697.29973604606</v>
      </c>
      <c r="L40" s="12">
        <v>377076.23306937935</v>
      </c>
      <c r="M40" s="12">
        <v>377297.59973604605</v>
      </c>
      <c r="N40" s="12">
        <v>377579.86640271271</v>
      </c>
      <c r="O40" s="12">
        <v>377958.79973604606</v>
      </c>
      <c r="P40" s="12">
        <v>378116.36640271271</v>
      </c>
      <c r="Q40" s="12">
        <v>416238.49637631729</v>
      </c>
      <c r="R40" s="12">
        <v>416548.98970965063</v>
      </c>
      <c r="S40" s="12">
        <v>416898.8263763173</v>
      </c>
      <c r="T40" s="12">
        <v>417209.31970965065</v>
      </c>
      <c r="U40" s="12">
        <v>417519.81304298399</v>
      </c>
      <c r="V40" s="12">
        <v>417519.81304298399</v>
      </c>
      <c r="W40" s="12">
        <v>417519.81304298399</v>
      </c>
      <c r="X40" s="12">
        <v>417519.81304298399</v>
      </c>
      <c r="Y40" s="12">
        <v>417519.81304298399</v>
      </c>
      <c r="Z40" s="12">
        <v>417519.81304298399</v>
      </c>
      <c r="AA40" s="12">
        <v>417519.81304298399</v>
      </c>
      <c r="AB40" s="12">
        <v>417519.81304298399</v>
      </c>
      <c r="AC40" s="12">
        <v>459271.7943472825</v>
      </c>
      <c r="AD40" s="12">
        <v>459271.7943472825</v>
      </c>
      <c r="AE40" s="12">
        <v>459271.7943472825</v>
      </c>
      <c r="AF40" s="12">
        <v>459271.7943472825</v>
      </c>
      <c r="AG40" s="12">
        <v>459271.7943472825</v>
      </c>
      <c r="AH40" s="12">
        <v>459271.7943472825</v>
      </c>
      <c r="AI40" s="12">
        <v>459271.7943472825</v>
      </c>
      <c r="AJ40" s="12">
        <v>459271.7943472825</v>
      </c>
      <c r="AK40" s="12">
        <v>459271.7943472825</v>
      </c>
      <c r="AL40" s="12">
        <v>459271.7943472825</v>
      </c>
      <c r="AM40" s="12">
        <v>459271.7943472825</v>
      </c>
      <c r="AN40" s="12">
        <v>459271.7943472825</v>
      </c>
    </row>
    <row r="41" spans="2:40" x14ac:dyDescent="0.25">
      <c r="B41" s="39" t="s">
        <v>388</v>
      </c>
      <c r="C41" s="142">
        <f>_xlfn.XLOOKUP($B$1&amp;"-"&amp;$C$1,Base!$D$4:$BD$4,Base!$D$12:$BD$12,0,0)</f>
        <v>0</v>
      </c>
      <c r="E41" s="183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28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22411.49</v>
      </c>
      <c r="F42" s="12">
        <v>22411.49</v>
      </c>
      <c r="G42" s="12">
        <v>22411.49</v>
      </c>
      <c r="H42" s="12">
        <v>22411.49</v>
      </c>
      <c r="I42" s="12">
        <v>22411.49</v>
      </c>
      <c r="J42" s="12">
        <v>22411.49</v>
      </c>
      <c r="K42" s="12">
        <v>22411.49</v>
      </c>
      <c r="L42" s="12">
        <v>22411.49</v>
      </c>
      <c r="M42" s="12">
        <v>22411.49</v>
      </c>
      <c r="N42" s="12">
        <v>22411.49</v>
      </c>
      <c r="O42" s="12">
        <v>22411.49</v>
      </c>
      <c r="P42" s="12">
        <v>22411.49</v>
      </c>
      <c r="Q42" s="12">
        <v>23083.834700000003</v>
      </c>
      <c r="R42" s="12">
        <v>23083.834700000003</v>
      </c>
      <c r="S42" s="12">
        <v>23083.834700000003</v>
      </c>
      <c r="T42" s="12">
        <v>23083.834700000003</v>
      </c>
      <c r="U42" s="12">
        <v>23083.834700000003</v>
      </c>
      <c r="V42" s="12">
        <v>23083.834700000003</v>
      </c>
      <c r="W42" s="12">
        <v>23083.834700000003</v>
      </c>
      <c r="X42" s="12">
        <v>23083.834700000003</v>
      </c>
      <c r="Y42" s="12">
        <v>23083.834700000003</v>
      </c>
      <c r="Z42" s="12">
        <v>23083.834700000003</v>
      </c>
      <c r="AA42" s="12">
        <v>23083.834700000003</v>
      </c>
      <c r="AB42" s="12">
        <v>23083.834700000003</v>
      </c>
      <c r="AC42" s="12">
        <v>23776.349741000002</v>
      </c>
      <c r="AD42" s="12">
        <v>23776.349741000002</v>
      </c>
      <c r="AE42" s="12">
        <v>23776.349741000002</v>
      </c>
      <c r="AF42" s="12">
        <v>23776.349741000002</v>
      </c>
      <c r="AG42" s="12">
        <v>23776.349741000002</v>
      </c>
      <c r="AH42" s="12">
        <v>23776.349741000002</v>
      </c>
      <c r="AI42" s="12">
        <v>23776.349741000002</v>
      </c>
      <c r="AJ42" s="12">
        <v>23776.349741000002</v>
      </c>
      <c r="AK42" s="12">
        <v>23776.349741000002</v>
      </c>
      <c r="AL42" s="12">
        <v>23776.349741000002</v>
      </c>
      <c r="AM42" s="12">
        <v>23776.349741000002</v>
      </c>
      <c r="AN42" s="12">
        <v>23776.349741000002</v>
      </c>
    </row>
    <row r="43" spans="2:40" x14ac:dyDescent="0.25">
      <c r="B43" s="39" t="s">
        <v>31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7661.67</v>
      </c>
      <c r="F43" s="12">
        <v>7661.67</v>
      </c>
      <c r="G43" s="12">
        <v>7661.67</v>
      </c>
      <c r="H43" s="12">
        <v>7661.67</v>
      </c>
      <c r="I43" s="12">
        <v>7661.67</v>
      </c>
      <c r="J43" s="12">
        <v>7661.67</v>
      </c>
      <c r="K43" s="12">
        <v>7661.67</v>
      </c>
      <c r="L43" s="12">
        <v>7661.67</v>
      </c>
      <c r="M43" s="12">
        <v>7661.67</v>
      </c>
      <c r="N43" s="12">
        <v>7661.67</v>
      </c>
      <c r="O43" s="12">
        <v>7661.67</v>
      </c>
      <c r="P43" s="12">
        <v>7661.67</v>
      </c>
      <c r="Q43" s="12">
        <v>7968.1368000000002</v>
      </c>
      <c r="R43" s="12">
        <v>7968.1368000000002</v>
      </c>
      <c r="S43" s="12">
        <v>7968.1368000000002</v>
      </c>
      <c r="T43" s="12">
        <v>7968.1368000000002</v>
      </c>
      <c r="U43" s="12">
        <v>7968.1368000000002</v>
      </c>
      <c r="V43" s="12">
        <v>7968.1368000000002</v>
      </c>
      <c r="W43" s="12">
        <v>7968.1368000000002</v>
      </c>
      <c r="X43" s="12">
        <v>7968.1368000000002</v>
      </c>
      <c r="Y43" s="12">
        <v>7968.1368000000002</v>
      </c>
      <c r="Z43" s="12">
        <v>7968.1368000000002</v>
      </c>
      <c r="AA43" s="12">
        <v>7968.1368000000002</v>
      </c>
      <c r="AB43" s="12">
        <v>7968.1368000000002</v>
      </c>
      <c r="AC43" s="12">
        <v>8286.8622720000003</v>
      </c>
      <c r="AD43" s="12">
        <v>8286.8622720000003</v>
      </c>
      <c r="AE43" s="12">
        <v>8286.8622720000003</v>
      </c>
      <c r="AF43" s="12">
        <v>8286.8622720000003</v>
      </c>
      <c r="AG43" s="12">
        <v>8286.8622720000003</v>
      </c>
      <c r="AH43" s="12">
        <v>8286.8622720000003</v>
      </c>
      <c r="AI43" s="12">
        <v>8286.8622720000003</v>
      </c>
      <c r="AJ43" s="12">
        <v>8286.8622720000003</v>
      </c>
      <c r="AK43" s="12">
        <v>8286.8622720000003</v>
      </c>
      <c r="AL43" s="12">
        <v>8286.8622720000003</v>
      </c>
      <c r="AM43" s="12">
        <v>8286.8622720000003</v>
      </c>
      <c r="AN43" s="12">
        <v>8286.8622720000003</v>
      </c>
    </row>
    <row r="44" spans="2:40" x14ac:dyDescent="0.25">
      <c r="B44" s="39" t="s">
        <v>34</v>
      </c>
      <c r="C44" s="96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1253.4168</v>
      </c>
      <c r="F44" s="12">
        <v>1287.1108000000002</v>
      </c>
      <c r="G44" s="12">
        <v>1320.8048000000001</v>
      </c>
      <c r="H44" s="12">
        <v>1091.6856</v>
      </c>
      <c r="I44" s="12">
        <v>1105.1632</v>
      </c>
      <c r="J44" s="12">
        <v>1111.902</v>
      </c>
      <c r="K44" s="12">
        <v>1125.3796</v>
      </c>
      <c r="L44" s="12">
        <v>1142.2266</v>
      </c>
      <c r="M44" s="12">
        <v>1152.3347999999999</v>
      </c>
      <c r="N44" s="12">
        <v>1165.8124</v>
      </c>
      <c r="O44" s="12">
        <v>1182.6594</v>
      </c>
      <c r="P44" s="12">
        <v>1189.3981999999999</v>
      </c>
      <c r="Q44" s="12">
        <v>1250.990832</v>
      </c>
      <c r="R44" s="12">
        <v>1265.0075359999998</v>
      </c>
      <c r="S44" s="12">
        <v>1279.02424</v>
      </c>
      <c r="T44" s="12">
        <v>1293.0409439999999</v>
      </c>
      <c r="U44" s="12">
        <v>1307.057648</v>
      </c>
      <c r="V44" s="12">
        <v>1307.057648</v>
      </c>
      <c r="W44" s="12">
        <v>1307.057648</v>
      </c>
      <c r="X44" s="12">
        <v>1307.057648</v>
      </c>
      <c r="Y44" s="12">
        <v>1307.057648</v>
      </c>
      <c r="Z44" s="12">
        <v>1307.057648</v>
      </c>
      <c r="AA44" s="12">
        <v>1307.057648</v>
      </c>
      <c r="AB44" s="12">
        <v>1307.057648</v>
      </c>
      <c r="AC44" s="12">
        <v>1359.3399539200002</v>
      </c>
      <c r="AD44" s="12">
        <v>1359.3399539200002</v>
      </c>
      <c r="AE44" s="12">
        <v>1359.3399539200002</v>
      </c>
      <c r="AF44" s="12">
        <v>1359.3399539200002</v>
      </c>
      <c r="AG44" s="12">
        <v>1359.3399539200002</v>
      </c>
      <c r="AH44" s="12">
        <v>1359.3399539200002</v>
      </c>
      <c r="AI44" s="12">
        <v>1359.3399539200002</v>
      </c>
      <c r="AJ44" s="12">
        <v>1359.3399539200002</v>
      </c>
      <c r="AK44" s="12">
        <v>1359.3399539200002</v>
      </c>
      <c r="AL44" s="12">
        <v>1359.3399539200002</v>
      </c>
      <c r="AM44" s="12">
        <v>1359.3399539200002</v>
      </c>
      <c r="AN44" s="12">
        <v>1359.3399539200002</v>
      </c>
    </row>
    <row r="45" spans="2:40" x14ac:dyDescent="0.25">
      <c r="B45" s="39" t="s">
        <v>36</v>
      </c>
      <c r="C45" s="96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7500</v>
      </c>
      <c r="F45" s="12">
        <v>7500</v>
      </c>
      <c r="G45" s="12">
        <v>7500</v>
      </c>
      <c r="H45" s="12">
        <v>7500</v>
      </c>
      <c r="I45" s="12">
        <v>7500</v>
      </c>
      <c r="J45" s="12">
        <v>7500</v>
      </c>
      <c r="K45" s="12">
        <v>7500</v>
      </c>
      <c r="L45" s="12">
        <v>7500</v>
      </c>
      <c r="M45" s="12">
        <v>7500</v>
      </c>
      <c r="N45" s="12">
        <v>7500</v>
      </c>
      <c r="O45" s="12">
        <v>7500</v>
      </c>
      <c r="P45" s="12">
        <v>7500</v>
      </c>
      <c r="Q45" s="12">
        <v>7650</v>
      </c>
      <c r="R45" s="12">
        <v>7650</v>
      </c>
      <c r="S45" s="12">
        <v>7650</v>
      </c>
      <c r="T45" s="12">
        <v>7650</v>
      </c>
      <c r="U45" s="12">
        <v>7650</v>
      </c>
      <c r="V45" s="12">
        <v>7650</v>
      </c>
      <c r="W45" s="12">
        <v>7650</v>
      </c>
      <c r="X45" s="12">
        <v>7650</v>
      </c>
      <c r="Y45" s="12">
        <v>7650</v>
      </c>
      <c r="Z45" s="12">
        <v>7650</v>
      </c>
      <c r="AA45" s="12">
        <v>7650</v>
      </c>
      <c r="AB45" s="12">
        <v>7650</v>
      </c>
      <c r="AC45" s="12">
        <v>7803</v>
      </c>
      <c r="AD45" s="12">
        <v>7803</v>
      </c>
      <c r="AE45" s="12">
        <v>7803</v>
      </c>
      <c r="AF45" s="12">
        <v>7803</v>
      </c>
      <c r="AG45" s="12">
        <v>7803</v>
      </c>
      <c r="AH45" s="12">
        <v>7803</v>
      </c>
      <c r="AI45" s="12">
        <v>7803</v>
      </c>
      <c r="AJ45" s="12">
        <v>7803</v>
      </c>
      <c r="AK45" s="12">
        <v>7803</v>
      </c>
      <c r="AL45" s="12">
        <v>7803</v>
      </c>
      <c r="AM45" s="12">
        <v>7803</v>
      </c>
      <c r="AN45" s="12">
        <v>7803</v>
      </c>
    </row>
    <row r="46" spans="2:40" x14ac:dyDescent="0.25">
      <c r="B46" s="39" t="s">
        <v>38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16060.500000000002</v>
      </c>
      <c r="F46" s="12">
        <v>17754.5</v>
      </c>
      <c r="G46" s="12">
        <v>19031.999999999993</v>
      </c>
      <c r="H46" s="12">
        <v>20449.500000000004</v>
      </c>
      <c r="I46" s="12">
        <v>20463.5</v>
      </c>
      <c r="J46" s="12">
        <v>20470.500000000004</v>
      </c>
      <c r="K46" s="12">
        <v>20484.500000000004</v>
      </c>
      <c r="L46" s="12">
        <v>20502.000000000004</v>
      </c>
      <c r="M46" s="12">
        <v>20512.500000000004</v>
      </c>
      <c r="N46" s="12">
        <v>20526.500000000004</v>
      </c>
      <c r="O46" s="12">
        <v>20544.000000000004</v>
      </c>
      <c r="P46" s="12">
        <v>20551</v>
      </c>
      <c r="Q46" s="12">
        <v>20976.300000000003</v>
      </c>
      <c r="R46" s="12">
        <v>20990.580000000005</v>
      </c>
      <c r="S46" s="12">
        <v>21004.860000000004</v>
      </c>
      <c r="T46" s="12">
        <v>21019.140000000003</v>
      </c>
      <c r="U46" s="12">
        <v>21033.420000000002</v>
      </c>
      <c r="V46" s="12">
        <v>21033.420000000002</v>
      </c>
      <c r="W46" s="12">
        <v>21033.420000000002</v>
      </c>
      <c r="X46" s="12">
        <v>21033.420000000002</v>
      </c>
      <c r="Y46" s="12">
        <v>21033.420000000002</v>
      </c>
      <c r="Z46" s="12">
        <v>21033.420000000002</v>
      </c>
      <c r="AA46" s="12">
        <v>21033.420000000002</v>
      </c>
      <c r="AB46" s="12">
        <v>21033.420000000002</v>
      </c>
      <c r="AC46" s="12">
        <v>21454.088400000004</v>
      </c>
      <c r="AD46" s="12">
        <v>21454.088400000004</v>
      </c>
      <c r="AE46" s="12">
        <v>21454.088400000004</v>
      </c>
      <c r="AF46" s="12">
        <v>21454.088400000004</v>
      </c>
      <c r="AG46" s="12">
        <v>21454.088400000004</v>
      </c>
      <c r="AH46" s="12">
        <v>21454.088400000004</v>
      </c>
      <c r="AI46" s="12">
        <v>21454.088400000004</v>
      </c>
      <c r="AJ46" s="12">
        <v>21454.088400000004</v>
      </c>
      <c r="AK46" s="12">
        <v>21454.088400000004</v>
      </c>
      <c r="AL46" s="12">
        <v>21454.088400000004</v>
      </c>
      <c r="AM46" s="12">
        <v>21454.088400000004</v>
      </c>
      <c r="AN46" s="12">
        <v>21454.088400000004</v>
      </c>
    </row>
    <row r="47" spans="2:40" x14ac:dyDescent="0.25">
      <c r="B47" s="39" t="s">
        <v>40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6000</v>
      </c>
      <c r="F47" s="12">
        <v>6000</v>
      </c>
      <c r="G47" s="12">
        <v>6000</v>
      </c>
      <c r="H47" s="12">
        <v>6000</v>
      </c>
      <c r="I47" s="12">
        <v>6000</v>
      </c>
      <c r="J47" s="12">
        <v>6000</v>
      </c>
      <c r="K47" s="12">
        <v>6000</v>
      </c>
      <c r="L47" s="12">
        <v>6000</v>
      </c>
      <c r="M47" s="12">
        <v>6000</v>
      </c>
      <c r="N47" s="12">
        <v>6000</v>
      </c>
      <c r="O47" s="12">
        <v>6000</v>
      </c>
      <c r="P47" s="12">
        <v>6000</v>
      </c>
      <c r="Q47" s="12">
        <v>6300</v>
      </c>
      <c r="R47" s="12">
        <v>6300</v>
      </c>
      <c r="S47" s="12">
        <v>6300</v>
      </c>
      <c r="T47" s="12">
        <v>6300</v>
      </c>
      <c r="U47" s="12">
        <v>6300</v>
      </c>
      <c r="V47" s="12">
        <v>6300</v>
      </c>
      <c r="W47" s="12">
        <v>6300</v>
      </c>
      <c r="X47" s="12">
        <v>6300</v>
      </c>
      <c r="Y47" s="12">
        <v>6300</v>
      </c>
      <c r="Z47" s="12">
        <v>6300</v>
      </c>
      <c r="AA47" s="12">
        <v>6300</v>
      </c>
      <c r="AB47" s="12">
        <v>6300</v>
      </c>
      <c r="AC47" s="12">
        <v>6615</v>
      </c>
      <c r="AD47" s="12">
        <v>6615</v>
      </c>
      <c r="AE47" s="12">
        <v>6615</v>
      </c>
      <c r="AF47" s="12">
        <v>6615</v>
      </c>
      <c r="AG47" s="12">
        <v>6615</v>
      </c>
      <c r="AH47" s="12">
        <v>6615</v>
      </c>
      <c r="AI47" s="12">
        <v>6615</v>
      </c>
      <c r="AJ47" s="12">
        <v>6615</v>
      </c>
      <c r="AK47" s="12">
        <v>6615</v>
      </c>
      <c r="AL47" s="12">
        <v>6615</v>
      </c>
      <c r="AM47" s="12">
        <v>6615</v>
      </c>
      <c r="AN47" s="12">
        <v>6615</v>
      </c>
    </row>
    <row r="48" spans="2:40" x14ac:dyDescent="0.25">
      <c r="B48" s="39" t="s">
        <v>41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42</v>
      </c>
      <c r="E49" s="12">
        <f>'Corp.'!E$50*(E$37-(E31-E32-E34)*$C$35)/(SUM('MDA1:NCA9'!E$37)-SUM('MDA1:NCA9'!E$31)-SUM('MDA1:NCA9'!E$32)-SUM('MDA1:NCA9'!E$34))</f>
        <v>165873.62203145606</v>
      </c>
      <c r="F49" s="12">
        <f>'Corp.'!F$50*(F$37-(F31-F32-F34)*$C$35)/(SUM('MDA1:NCA9'!F$37)-SUM('MDA1:NCA9'!F$31)-SUM('MDA1:NCA9'!F$32)-SUM('MDA1:NCA9'!F$34))</f>
        <v>174872.48896175294</v>
      </c>
      <c r="G49" s="12">
        <f>'Corp.'!G$50*(G$37-(G31-G32-G34)*$C$35)/(SUM('MDA1:NCA9'!G$37)-SUM('MDA1:NCA9'!G$31)-SUM('MDA1:NCA9'!G$32)-SUM('MDA1:NCA9'!G$34))</f>
        <v>172243.068495657</v>
      </c>
      <c r="H49" s="12">
        <f>'Corp.'!H$50*(H$37-(H31-H32-H34)*$C$35)/(SUM('MDA1:NCA9'!H$37)-SUM('MDA1:NCA9'!H$31)-SUM('MDA1:NCA9'!H$32)-SUM('MDA1:NCA9'!H$34))</f>
        <v>173434.09419881072</v>
      </c>
      <c r="I49" s="12">
        <f>'Corp.'!I$50*(I$37-(I31-I32-I34)*$C$35)/(SUM('MDA1:NCA9'!I$37)-SUM('MDA1:NCA9'!I$31)-SUM('MDA1:NCA9'!I$32)-SUM('MDA1:NCA9'!I$34))</f>
        <v>163202.57998793203</v>
      </c>
      <c r="J49" s="12">
        <f>'Corp.'!J$50*(J$37-(J31-J32-J34)*$C$35)/(SUM('MDA1:NCA9'!J$37)-SUM('MDA1:NCA9'!J$31)-SUM('MDA1:NCA9'!J$32)-SUM('MDA1:NCA9'!J$34))</f>
        <v>152540.06034017861</v>
      </c>
      <c r="K49" s="12">
        <f>'Corp.'!K$50*(K$37-(K31-K32-K34)*$C$35)/(SUM('MDA1:NCA9'!K$37)-SUM('MDA1:NCA9'!K$31)-SUM('MDA1:NCA9'!K$32)-SUM('MDA1:NCA9'!K$34))</f>
        <v>140106.25706923933</v>
      </c>
      <c r="L49" s="12">
        <f>'Corp.'!L$50*(L$37-(L31-L32-L34)*$C$35)/(SUM('MDA1:NCA9'!L$37)-SUM('MDA1:NCA9'!L$31)-SUM('MDA1:NCA9'!L$32)-SUM('MDA1:NCA9'!L$34))</f>
        <v>132400.11097694145</v>
      </c>
      <c r="M49" s="12">
        <f>'Corp.'!M$50*(M$37-(M31-M32-M34)*$C$35)/(SUM('MDA1:NCA9'!M$37)-SUM('MDA1:NCA9'!M$31)-SUM('MDA1:NCA9'!M$32)-SUM('MDA1:NCA9'!M$34))</f>
        <v>124079.05768603408</v>
      </c>
      <c r="N49" s="12">
        <f>'Corp.'!N$50*(N$37-(N31-N32-N34)*$C$35)/(SUM('MDA1:NCA9'!N$37)-SUM('MDA1:NCA9'!N$31)-SUM('MDA1:NCA9'!N$32)-SUM('MDA1:NCA9'!N$34))</f>
        <v>116917.34579457561</v>
      </c>
      <c r="O49" s="12">
        <f>'Corp.'!O$50*(O$37-(O31-O32-O34)*$C$35)/(SUM('MDA1:NCA9'!O$37)-SUM('MDA1:NCA9'!O$31)-SUM('MDA1:NCA9'!O$32)-SUM('MDA1:NCA9'!O$34))</f>
        <v>109422.83318121251</v>
      </c>
      <c r="P49" s="12">
        <f>'Corp.'!P$50*(P$37-(P31-P32-P34)*$C$35)/(SUM('MDA1:NCA9'!P$37)-SUM('MDA1:NCA9'!P$31)-SUM('MDA1:NCA9'!P$32)-SUM('MDA1:NCA9'!P$34))</f>
        <v>103256.56699764918</v>
      </c>
      <c r="Q49" s="12">
        <f>'Corp.'!Q$50*(Q$37-(Q31-Q32-Q34)*$C$35)/(SUM('MDA1:NCA9'!Q$37)-SUM('MDA1:NCA9'!Q$31)-SUM('MDA1:NCA9'!Q$32)-SUM('MDA1:NCA9'!Q$34))</f>
        <v>106744.3598020393</v>
      </c>
      <c r="R49" s="12">
        <f>'Corp.'!R$50*(R$37-(R31-R32-R34)*$C$35)/(SUM('MDA1:NCA9'!R$37)-SUM('MDA1:NCA9'!R$31)-SUM('MDA1:NCA9'!R$32)-SUM('MDA1:NCA9'!R$34))</f>
        <v>102701.23417332493</v>
      </c>
      <c r="S49" s="12">
        <f>'Corp.'!S$50*(S$37-(S31-S32-S34)*$C$35)/(SUM('MDA1:NCA9'!S$37)-SUM('MDA1:NCA9'!S$31)-SUM('MDA1:NCA9'!S$32)-SUM('MDA1:NCA9'!S$34))</f>
        <v>98257.0201104671</v>
      </c>
      <c r="T49" s="12">
        <f>'Corp.'!T$50*(T$37-(T31-T32-T34)*$C$35)/(SUM('MDA1:NCA9'!T$37)-SUM('MDA1:NCA9'!T$31)-SUM('MDA1:NCA9'!T$32)-SUM('MDA1:NCA9'!T$34))</f>
        <v>94495.169996576646</v>
      </c>
      <c r="U49" s="12">
        <f>'Corp.'!U$50*(U$37-(U31-U32-U34)*$C$35)/(SUM('MDA1:NCA9'!U$37)-SUM('MDA1:NCA9'!U$31)-SUM('MDA1:NCA9'!U$32)-SUM('MDA1:NCA9'!U$34))</f>
        <v>91915.99538577364</v>
      </c>
      <c r="V49" s="12">
        <f>'Corp.'!V$50*(V$37-(V31-V32-V34)*$C$35)/(SUM('MDA1:NCA9'!V$37)-SUM('MDA1:NCA9'!V$31)-SUM('MDA1:NCA9'!V$32)-SUM('MDA1:NCA9'!V$34))</f>
        <v>89813.200413536979</v>
      </c>
      <c r="W49" s="12">
        <f>'Corp.'!W$50*(W$37-(W31-W32-W34)*$C$35)/(SUM('MDA1:NCA9'!W$37)-SUM('MDA1:NCA9'!W$31)-SUM('MDA1:NCA9'!W$32)-SUM('MDA1:NCA9'!W$34))</f>
        <v>87083.552175642923</v>
      </c>
      <c r="X49" s="12">
        <f>'Corp.'!X$50*(X$37-(X31-X32-X34)*$C$35)/(SUM('MDA1:NCA9'!X$37)-SUM('MDA1:NCA9'!X$31)-SUM('MDA1:NCA9'!X$32)-SUM('MDA1:NCA9'!X$34))</f>
        <v>84355.776776980463</v>
      </c>
      <c r="Y49" s="12">
        <f>'Corp.'!Y$50*(Y$37-(Y31-Y32-Y34)*$C$35)/(SUM('MDA1:NCA9'!Y$37)-SUM('MDA1:NCA9'!Y$31)-SUM('MDA1:NCA9'!Y$32)-SUM('MDA1:NCA9'!Y$34))</f>
        <v>82568.580020467809</v>
      </c>
      <c r="Z49" s="12">
        <f>'Corp.'!Z$50*(Z$37-(Z31-Z32-Z34)*$C$35)/(SUM('MDA1:NCA9'!Z$37)-SUM('MDA1:NCA9'!Z$31)-SUM('MDA1:NCA9'!Z$32)-SUM('MDA1:NCA9'!Z$34))</f>
        <v>80775.388620665501</v>
      </c>
      <c r="AA49" s="12">
        <f>'Corp.'!AA$50*(AA$37-(AA31-AA32-AA34)*$C$35)/(SUM('MDA1:NCA9'!AA$37)-SUM('MDA1:NCA9'!AA$31)-SUM('MDA1:NCA9'!AA$32)-SUM('MDA1:NCA9'!AA$34))</f>
        <v>78928.593716406205</v>
      </c>
      <c r="AB49" s="12">
        <f>'Corp.'!AB$50*(AB$37-(AB31-AB32-AB34)*$C$35)/(SUM('MDA1:NCA9'!AB$37)-SUM('MDA1:NCA9'!AB$31)-SUM('MDA1:NCA9'!AB$32)-SUM('MDA1:NCA9'!AB$34))</f>
        <v>77137.388997614675</v>
      </c>
      <c r="AC49" s="12">
        <f>'Corp.'!AC$50*(AC$37-(AC31-AC32-AC34)*$C$35)/(SUM('MDA1:NCA9'!AC$37)-SUM('MDA1:NCA9'!AC$31)-SUM('MDA1:NCA9'!AC$32)-SUM('MDA1:NCA9'!AC$34))</f>
        <v>82787.492935550952</v>
      </c>
      <c r="AD49" s="12">
        <f>'Corp.'!AD$50*(AD$37-(AD31-AD32-AD34)*$C$35)/(SUM('MDA1:NCA9'!AD$37)-SUM('MDA1:NCA9'!AD$31)-SUM('MDA1:NCA9'!AD$32)-SUM('MDA1:NCA9'!AD$34))</f>
        <v>81427.453549480764</v>
      </c>
      <c r="AE49" s="12">
        <f>'Corp.'!AE$50*(AE$37-(AE31-AE32-AE34)*$C$35)/(SUM('MDA1:NCA9'!AE$37)-SUM('MDA1:NCA9'!AE$31)-SUM('MDA1:NCA9'!AE$32)-SUM('MDA1:NCA9'!AE$34))</f>
        <v>80145.065142249689</v>
      </c>
      <c r="AF49" s="12">
        <f>'Corp.'!AF$50*(AF$37-(AF31-AF32-AF34)*$C$35)/(SUM('MDA1:NCA9'!AF$37)-SUM('MDA1:NCA9'!AF$31)-SUM('MDA1:NCA9'!AF$32)-SUM('MDA1:NCA9'!AF$34))</f>
        <v>78943.425161868086</v>
      </c>
      <c r="AG49" s="12">
        <f>'Corp.'!AG$50*(AG$37-(AG31-AG32-AG34)*$C$35)/(SUM('MDA1:NCA9'!AG$37)-SUM('MDA1:NCA9'!AG$31)-SUM('MDA1:NCA9'!AG$32)-SUM('MDA1:NCA9'!AG$34))</f>
        <v>77979.765799357177</v>
      </c>
      <c r="AH49" s="12">
        <f>'Corp.'!AH$50*(AH$37-(AH31-AH32-AH34)*$C$35)/(SUM('MDA1:NCA9'!AH$37)-SUM('MDA1:NCA9'!AH$31)-SUM('MDA1:NCA9'!AH$32)-SUM('MDA1:NCA9'!AH$34))</f>
        <v>76712.193944299695</v>
      </c>
      <c r="AI49" s="12">
        <f>'Corp.'!AI$50*(AI$37-(AI31-AI32-AI34)*$C$35)/(SUM('MDA1:NCA9'!AI$37)-SUM('MDA1:NCA9'!AI$31)-SUM('MDA1:NCA9'!AI$32)-SUM('MDA1:NCA9'!AI$34))</f>
        <v>75391.235786919249</v>
      </c>
      <c r="AJ49" s="12">
        <f>'Corp.'!AJ$50*(AJ$37-(AJ31-AJ32-AJ34)*$C$35)/(SUM('MDA1:NCA9'!AJ$37)-SUM('MDA1:NCA9'!AJ$31)-SUM('MDA1:NCA9'!AJ$32)-SUM('MDA1:NCA9'!AJ$34))</f>
        <v>74037.829400941715</v>
      </c>
      <c r="AK49" s="12">
        <f>'Corp.'!AK$50*(AK$37-(AK31-AK32-AK34)*$C$35)/(SUM('MDA1:NCA9'!AK$37)-SUM('MDA1:NCA9'!AK$31)-SUM('MDA1:NCA9'!AK$32)-SUM('MDA1:NCA9'!AK$34))</f>
        <v>72788.126846379178</v>
      </c>
      <c r="AL49" s="12">
        <f>'Corp.'!AL$50*(AL$37-(AL31-AL32-AL34)*$C$35)/(SUM('MDA1:NCA9'!AL$37)-SUM('MDA1:NCA9'!AL$31)-SUM('MDA1:NCA9'!AL$32)-SUM('MDA1:NCA9'!AL$34))</f>
        <v>71641.323887728504</v>
      </c>
      <c r="AM49" s="12">
        <f>'Corp.'!AM$50*(AM$37-(AM31-AM32-AM34)*$C$35)/(SUM('MDA1:NCA9'!AM$37)-SUM('MDA1:NCA9'!AM$31)-SUM('MDA1:NCA9'!AM$32)-SUM('MDA1:NCA9'!AM$34))</f>
        <v>70406.274276485157</v>
      </c>
      <c r="AN49" s="12">
        <f>'Corp.'!AN$50*(AN$37-(AN31-AN32-AN34)*$C$35)/(SUM('MDA1:NCA9'!AN$37)-SUM('MDA1:NCA9'!AN$31)-SUM('MDA1:NCA9'!AN$32)-SUM('MDA1:NCA9'!AN$34))</f>
        <v>69353.495383390065</v>
      </c>
    </row>
    <row r="50" spans="2:40" x14ac:dyDescent="0.25">
      <c r="B50" s="1" t="s">
        <v>272</v>
      </c>
      <c r="E50" s="13" cm="1">
        <f t="array" ref="E50:AN50">_xlfn.BYCOL(_xlfn.VSTACK(_xlfn.ANCHORARRAY(E40),_xlfn.ANCHORARRAY(E42),_xlfn.ANCHORARRAY(E43),_xlfn.ANCHORARRAY(E45),_xlfn.ANCHORARRAY(E46),_xlfn.ANCHORARRAY(E47),_xlfn.ANCHORARRAY(E48),_xlfn.HSTACK(E49:AN49)),_xlfn.LAMBDA(_xlpm.a,SUM(_xlpm.a)))</f>
        <v>536208.05106837885</v>
      </c>
      <c r="F50" s="13">
        <v>572644.03385290236</v>
      </c>
      <c r="G50" s="13">
        <v>590852.87451080978</v>
      </c>
      <c r="H50" s="13">
        <v>613431.95393485669</v>
      </c>
      <c r="I50" s="13">
        <v>603496.70639064477</v>
      </c>
      <c r="J50" s="13">
        <v>592998.75340955798</v>
      </c>
      <c r="K50" s="13">
        <v>580861.21680528531</v>
      </c>
      <c r="L50" s="13">
        <v>573551.5040463208</v>
      </c>
      <c r="M50" s="13">
        <v>565462.31742208009</v>
      </c>
      <c r="N50" s="13">
        <v>558596.87219728832</v>
      </c>
      <c r="O50" s="13">
        <v>551498.79291725857</v>
      </c>
      <c r="P50" s="13">
        <v>545497.09340036183</v>
      </c>
      <c r="Q50" s="13">
        <v>588961.1276783566</v>
      </c>
      <c r="R50" s="13">
        <v>585242.77538297558</v>
      </c>
      <c r="S50" s="13">
        <v>581162.67798678437</v>
      </c>
      <c r="T50" s="13">
        <v>577725.60120622732</v>
      </c>
      <c r="U50" s="13">
        <v>575471.19992875762</v>
      </c>
      <c r="V50" s="13">
        <v>573368.404956521</v>
      </c>
      <c r="W50" s="13">
        <v>570638.75671862694</v>
      </c>
      <c r="X50" s="13">
        <v>567910.9813199644</v>
      </c>
      <c r="Y50" s="13">
        <v>566123.78456345177</v>
      </c>
      <c r="Z50" s="13">
        <v>564330.59316364944</v>
      </c>
      <c r="AA50" s="13">
        <v>562483.79825939017</v>
      </c>
      <c r="AB50" s="13">
        <v>560692.59354059864</v>
      </c>
      <c r="AC50" s="13">
        <v>609994.58769583341</v>
      </c>
      <c r="AD50" s="13">
        <v>608634.54830976319</v>
      </c>
      <c r="AE50" s="13">
        <v>607352.15990253212</v>
      </c>
      <c r="AF50" s="13">
        <v>606150.51992215053</v>
      </c>
      <c r="AG50" s="13">
        <v>605186.86055963964</v>
      </c>
      <c r="AH50" s="13">
        <v>603919.28870458214</v>
      </c>
      <c r="AI50" s="13">
        <v>602598.33054720168</v>
      </c>
      <c r="AJ50" s="13">
        <v>601244.92416122416</v>
      </c>
      <c r="AK50" s="13">
        <v>599995.22160666157</v>
      </c>
      <c r="AL50" s="13">
        <v>598848.41864801093</v>
      </c>
      <c r="AM50" s="13">
        <v>597613.36903676763</v>
      </c>
      <c r="AN50" s="13">
        <v>596560.59014367254</v>
      </c>
    </row>
    <row r="52" spans="2:40" x14ac:dyDescent="0.25">
      <c r="B52" s="1" t="s">
        <v>48</v>
      </c>
      <c r="E52" s="74">
        <f>E37-E50</f>
        <v>-35784.709175045544</v>
      </c>
      <c r="F52" s="74">
        <f t="shared" ref="F52:AN52" si="0">F37-F50</f>
        <v>-10592.146252902457</v>
      </c>
      <c r="G52" s="74">
        <f t="shared" si="0"/>
        <v>17420.422369190142</v>
      </c>
      <c r="H52" s="74">
        <f t="shared" si="0"/>
        <v>56469.888651809888</v>
      </c>
      <c r="I52" s="74">
        <f t="shared" si="0"/>
        <v>66405.136196021806</v>
      </c>
      <c r="J52" s="74">
        <f t="shared" si="0"/>
        <v>76903.089177108603</v>
      </c>
      <c r="K52" s="74">
        <f t="shared" si="0"/>
        <v>89040.62578138127</v>
      </c>
      <c r="L52" s="74">
        <f t="shared" si="0"/>
        <v>96350.33854034578</v>
      </c>
      <c r="M52" s="74">
        <f t="shared" si="0"/>
        <v>104439.52516458649</v>
      </c>
      <c r="N52" s="74">
        <f t="shared" si="0"/>
        <v>111304.97038937826</v>
      </c>
      <c r="O52" s="74">
        <f t="shared" si="0"/>
        <v>118403.04966940801</v>
      </c>
      <c r="P52" s="74">
        <f t="shared" si="0"/>
        <v>124404.74918630475</v>
      </c>
      <c r="Q52" s="74">
        <f t="shared" si="0"/>
        <v>101037.77018590993</v>
      </c>
      <c r="R52" s="74">
        <f t="shared" si="0"/>
        <v>104756.12248129095</v>
      </c>
      <c r="S52" s="74">
        <f t="shared" si="0"/>
        <v>108836.21987748216</v>
      </c>
      <c r="T52" s="74">
        <f t="shared" si="0"/>
        <v>112273.29665803921</v>
      </c>
      <c r="U52" s="74">
        <f t="shared" si="0"/>
        <v>114527.69793550891</v>
      </c>
      <c r="V52" s="74">
        <f t="shared" si="0"/>
        <v>116630.49290774553</v>
      </c>
      <c r="W52" s="74">
        <f t="shared" si="0"/>
        <v>119360.14114563959</v>
      </c>
      <c r="X52" s="74">
        <f t="shared" si="0"/>
        <v>122087.91654430213</v>
      </c>
      <c r="Y52" s="74">
        <f t="shared" si="0"/>
        <v>123875.11330081476</v>
      </c>
      <c r="Z52" s="74">
        <f t="shared" si="0"/>
        <v>125668.3047006171</v>
      </c>
      <c r="AA52" s="74">
        <f t="shared" si="0"/>
        <v>127515.09960487636</v>
      </c>
      <c r="AB52" s="74">
        <f t="shared" si="0"/>
        <v>129306.30432366789</v>
      </c>
      <c r="AC52" s="74">
        <f t="shared" si="0"/>
        <v>80004.31016843312</v>
      </c>
      <c r="AD52" s="74">
        <f t="shared" si="0"/>
        <v>81364.349554503337</v>
      </c>
      <c r="AE52" s="74">
        <f t="shared" si="0"/>
        <v>82646.737961734412</v>
      </c>
      <c r="AF52" s="74">
        <f t="shared" si="0"/>
        <v>83848.377942116</v>
      </c>
      <c r="AG52" s="74">
        <f t="shared" si="0"/>
        <v>84812.037304626894</v>
      </c>
      <c r="AH52" s="74">
        <f t="shared" si="0"/>
        <v>86079.609159684391</v>
      </c>
      <c r="AI52" s="74">
        <f t="shared" si="0"/>
        <v>87400.567317064852</v>
      </c>
      <c r="AJ52" s="74">
        <f t="shared" si="0"/>
        <v>88753.973703042371</v>
      </c>
      <c r="AK52" s="74">
        <f t="shared" si="0"/>
        <v>90003.676257604966</v>
      </c>
      <c r="AL52" s="74">
        <f t="shared" si="0"/>
        <v>91150.479216255597</v>
      </c>
      <c r="AM52" s="74">
        <f t="shared" si="0"/>
        <v>92385.5288274989</v>
      </c>
      <c r="AN52" s="74">
        <f t="shared" si="0"/>
        <v>93438.307720593992</v>
      </c>
    </row>
    <row r="53" spans="2:40" x14ac:dyDescent="0.25">
      <c r="E53" s="105">
        <f>IFERROR(E52/E37,"")</f>
        <v>-7.1508872946764265E-2</v>
      </c>
      <c r="F53" s="105">
        <f t="shared" ref="F53:AN53" si="1">IFERROR(F52/F37,"")</f>
        <v>-1.8845495383231693E-2</v>
      </c>
      <c r="G53" s="105">
        <f t="shared" si="1"/>
        <v>2.8639137142044954E-2</v>
      </c>
      <c r="H53" s="105">
        <f t="shared" si="1"/>
        <v>8.4295765531506597E-2</v>
      </c>
      <c r="I53" s="105">
        <f t="shared" si="1"/>
        <v>9.9126665989772725E-2</v>
      </c>
      <c r="J53" s="105">
        <f t="shared" si="1"/>
        <v>0.11479754836942323</v>
      </c>
      <c r="K53" s="105">
        <f t="shared" si="1"/>
        <v>0.13291592905248936</v>
      </c>
      <c r="L53" s="105">
        <f t="shared" si="1"/>
        <v>0.14382754668700698</v>
      </c>
      <c r="M53" s="105">
        <f t="shared" si="1"/>
        <v>0.15590272861665541</v>
      </c>
      <c r="N53" s="105">
        <f t="shared" si="1"/>
        <v>0.16615116322057064</v>
      </c>
      <c r="O53" s="105">
        <f t="shared" si="1"/>
        <v>0.17674686370800655</v>
      </c>
      <c r="P53" s="105">
        <f t="shared" si="1"/>
        <v>0.18570593671745311</v>
      </c>
      <c r="Q53" s="105">
        <f t="shared" si="1"/>
        <v>0.14643178488929359</v>
      </c>
      <c r="R53" s="105">
        <f t="shared" si="1"/>
        <v>0.15182070986713098</v>
      </c>
      <c r="S53" s="105">
        <f t="shared" si="1"/>
        <v>0.15773390394442618</v>
      </c>
      <c r="T53" s="105">
        <f t="shared" si="1"/>
        <v>0.16271518259747295</v>
      </c>
      <c r="U53" s="105">
        <f t="shared" si="1"/>
        <v>0.16598243604446783</v>
      </c>
      <c r="V53" s="105">
        <f t="shared" si="1"/>
        <v>0.16902996985755847</v>
      </c>
      <c r="W53" s="105">
        <f t="shared" si="1"/>
        <v>0.17298598811547605</v>
      </c>
      <c r="X53" s="105">
        <f t="shared" si="1"/>
        <v>0.17693929210930234</v>
      </c>
      <c r="Y53" s="105">
        <f t="shared" si="1"/>
        <v>0.17952943647336508</v>
      </c>
      <c r="Z53" s="105">
        <f t="shared" si="1"/>
        <v>0.18212826874013066</v>
      </c>
      <c r="AA53" s="105">
        <f t="shared" si="1"/>
        <v>0.18480478736932787</v>
      </c>
      <c r="AB53" s="105">
        <f t="shared" si="1"/>
        <v>0.18740074038365268</v>
      </c>
      <c r="AC53" s="105">
        <f t="shared" si="1"/>
        <v>0.11594846081068844</v>
      </c>
      <c r="AD53" s="105">
        <f t="shared" si="1"/>
        <v>0.11791953553309728</v>
      </c>
      <c r="AE53" s="105">
        <f t="shared" si="1"/>
        <v>0.11977807242525815</v>
      </c>
      <c r="AF53" s="105">
        <f t="shared" si="1"/>
        <v>0.1215195824249132</v>
      </c>
      <c r="AG53" s="105">
        <f t="shared" si="1"/>
        <v>0.12291619242747071</v>
      </c>
      <c r="AH53" s="105">
        <f t="shared" si="1"/>
        <v>0.12475325602131264</v>
      </c>
      <c r="AI53" s="105">
        <f t="shared" si="1"/>
        <v>0.12666769119138202</v>
      </c>
      <c r="AJ53" s="105">
        <f t="shared" si="1"/>
        <v>0.12862915285482332</v>
      </c>
      <c r="AK53" s="105">
        <f t="shared" si="1"/>
        <v>0.13044031887034996</v>
      </c>
      <c r="AL53" s="105">
        <f t="shared" si="1"/>
        <v>0.13210235479852361</v>
      </c>
      <c r="AM53" s="105">
        <f t="shared" si="1"/>
        <v>0.13389228463039163</v>
      </c>
      <c r="AN53" s="105">
        <f t="shared" si="1"/>
        <v>0.13541805357923159</v>
      </c>
    </row>
    <row r="55" spans="2:40" x14ac:dyDescent="0.25">
      <c r="B55" t="s">
        <v>57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1411000</v>
      </c>
      <c r="D55" s="12">
        <f>C55-SUM(_xlfn.ANCHORARRAY(E55))</f>
        <v>1411000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</row>
    <row r="56" spans="2:40" x14ac:dyDescent="0.25">
      <c r="B56" t="s">
        <v>285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-75063.501283999998</v>
      </c>
      <c r="F56" s="90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-75063.501283999998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-75063.501283999998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-75063.501283999998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-75063.501283999998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-75063.501283999998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-84307.783139999985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-91240.994531999982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-100485.27638799998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-100485.27638799998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-100485.27638799998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-100485.27638799998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-100485.27638799998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-100485.27638799998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-100485.27638799998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-100485.27638799998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-100485.27638799998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276</v>
      </c>
      <c r="E58" s="13">
        <f>E37-E50-E55+E56</f>
        <v>-110848.21045904554</v>
      </c>
      <c r="F58" s="13">
        <f t="shared" ref="F58:AN58" si="2">F37-F50-F55+F56</f>
        <v>-85655.647536902456</v>
      </c>
      <c r="G58" s="13">
        <f t="shared" si="2"/>
        <v>-57643.078914809856</v>
      </c>
      <c r="H58" s="13">
        <f t="shared" si="2"/>
        <v>-18593.61263219011</v>
      </c>
      <c r="I58" s="13">
        <f t="shared" si="2"/>
        <v>-8658.3650879781926</v>
      </c>
      <c r="J58" s="13">
        <f t="shared" si="2"/>
        <v>1839.5878931086045</v>
      </c>
      <c r="K58" s="13">
        <f t="shared" si="2"/>
        <v>4732.8426413812849</v>
      </c>
      <c r="L58" s="13">
        <f t="shared" si="2"/>
        <v>5109.3440083457972</v>
      </c>
      <c r="M58" s="13">
        <f t="shared" si="2"/>
        <v>3954.248776586508</v>
      </c>
      <c r="N58" s="13">
        <f t="shared" si="2"/>
        <v>10819.694001378273</v>
      </c>
      <c r="O58" s="13">
        <f t="shared" si="2"/>
        <v>17917.773281408023</v>
      </c>
      <c r="P58" s="13">
        <f t="shared" si="2"/>
        <v>23919.472798304763</v>
      </c>
      <c r="Q58" s="13">
        <f t="shared" si="2"/>
        <v>552.49379790994863</v>
      </c>
      <c r="R58" s="13">
        <f t="shared" si="2"/>
        <v>4270.8460932909657</v>
      </c>
      <c r="S58" s="13">
        <f t="shared" si="2"/>
        <v>8350.9434894821752</v>
      </c>
      <c r="T58" s="13">
        <f t="shared" si="2"/>
        <v>11788.020270039226</v>
      </c>
      <c r="U58" s="13">
        <f t="shared" si="2"/>
        <v>14042.42154750893</v>
      </c>
      <c r="V58" s="13">
        <f t="shared" si="2"/>
        <v>13130.65822810556</v>
      </c>
      <c r="W58" s="13">
        <f t="shared" si="2"/>
        <v>15860.306465999616</v>
      </c>
      <c r="X58" s="13">
        <f t="shared" si="2"/>
        <v>18588.081864662163</v>
      </c>
      <c r="Y58" s="13">
        <f t="shared" si="2"/>
        <v>20375.278621174788</v>
      </c>
      <c r="Z58" s="13">
        <f t="shared" si="2"/>
        <v>22168.470020977125</v>
      </c>
      <c r="AA58" s="13">
        <f t="shared" si="2"/>
        <v>24015.264925236392</v>
      </c>
      <c r="AB58" s="13">
        <f t="shared" si="2"/>
        <v>25806.469644027922</v>
      </c>
      <c r="AC58" s="13">
        <f t="shared" si="2"/>
        <v>-23495.524511206851</v>
      </c>
      <c r="AD58" s="13">
        <f t="shared" si="2"/>
        <v>-22135.485125136634</v>
      </c>
      <c r="AE58" s="13">
        <f t="shared" si="2"/>
        <v>-20853.096717905559</v>
      </c>
      <c r="AF58" s="13">
        <f t="shared" si="2"/>
        <v>-19651.456737523971</v>
      </c>
      <c r="AG58" s="13">
        <f t="shared" si="2"/>
        <v>-18687.797375013077</v>
      </c>
      <c r="AH58" s="13">
        <f t="shared" si="2"/>
        <v>-17420.22551995558</v>
      </c>
      <c r="AI58" s="13">
        <f t="shared" si="2"/>
        <v>-16099.267362575119</v>
      </c>
      <c r="AJ58" s="13">
        <f t="shared" si="2"/>
        <v>-14745.8609765976</v>
      </c>
      <c r="AK58" s="13">
        <f t="shared" si="2"/>
        <v>-13496.158422035005</v>
      </c>
      <c r="AL58" s="13">
        <f t="shared" si="2"/>
        <v>-12349.355463384374</v>
      </c>
      <c r="AM58" s="13">
        <f t="shared" si="2"/>
        <v>-11114.305852141071</v>
      </c>
      <c r="AN58" s="13">
        <f t="shared" si="2"/>
        <v>-10061.526959045979</v>
      </c>
    </row>
    <row r="59" spans="2:40" x14ac:dyDescent="0.25">
      <c r="B59" t="s">
        <v>277</v>
      </c>
      <c r="E59" s="12" cm="1">
        <f t="array" ref="E59:AN59">_xlfn.SCAN(-D55,E58:AN58,_xlfn.LAMBDA(_xlpm.capex,_xlpm.fcf,_xlpm.capex+_xlpm.fcf))</f>
        <v>-1521848.2104590456</v>
      </c>
      <c r="F59" s="12">
        <v>-1607503.8579959481</v>
      </c>
      <c r="G59" s="12">
        <v>-1665146.9369107578</v>
      </c>
      <c r="H59" s="12">
        <v>-1683740.5495429479</v>
      </c>
      <c r="I59" s="12">
        <v>-1692398.9146309262</v>
      </c>
      <c r="J59" s="12">
        <v>-1690559.3267378176</v>
      </c>
      <c r="K59" s="12">
        <v>-1685826.4840964363</v>
      </c>
      <c r="L59" s="12">
        <v>-1680717.1400880904</v>
      </c>
      <c r="M59" s="12">
        <v>-1676762.8913115039</v>
      </c>
      <c r="N59" s="12">
        <v>-1665943.1973101257</v>
      </c>
      <c r="O59" s="12">
        <v>-1648025.4240287177</v>
      </c>
      <c r="P59" s="12">
        <v>-1624105.9512304128</v>
      </c>
      <c r="Q59" s="12">
        <v>-1623553.4574325029</v>
      </c>
      <c r="R59" s="12">
        <v>-1619282.6113392119</v>
      </c>
      <c r="S59" s="12">
        <v>-1610931.6678497298</v>
      </c>
      <c r="T59" s="12">
        <v>-1599143.6475796904</v>
      </c>
      <c r="U59" s="12">
        <v>-1585101.2260321814</v>
      </c>
      <c r="V59" s="12">
        <v>-1571970.5678040758</v>
      </c>
      <c r="W59" s="12">
        <v>-1556110.2613380761</v>
      </c>
      <c r="X59" s="12">
        <v>-1537522.1794734139</v>
      </c>
      <c r="Y59" s="12">
        <v>-1517146.900852239</v>
      </c>
      <c r="Z59" s="12">
        <v>-1494978.4308312619</v>
      </c>
      <c r="AA59" s="12">
        <v>-1470963.1659060256</v>
      </c>
      <c r="AB59" s="12">
        <v>-1445156.6962619976</v>
      </c>
      <c r="AC59" s="12">
        <v>-1468652.2207732045</v>
      </c>
      <c r="AD59" s="12">
        <v>-1490787.705898341</v>
      </c>
      <c r="AE59" s="12">
        <v>-1511640.8026162465</v>
      </c>
      <c r="AF59" s="12">
        <v>-1531292.2593537704</v>
      </c>
      <c r="AG59" s="12">
        <v>-1549980.0567287835</v>
      </c>
      <c r="AH59" s="12">
        <v>-1567400.2822487392</v>
      </c>
      <c r="AI59" s="12">
        <v>-1583499.5496113142</v>
      </c>
      <c r="AJ59" s="12">
        <v>-1598245.4105879117</v>
      </c>
      <c r="AK59" s="12">
        <v>-1611741.5690099467</v>
      </c>
      <c r="AL59" s="12">
        <v>-1624090.9244733311</v>
      </c>
      <c r="AM59" s="12">
        <v>-1635205.2303254721</v>
      </c>
      <c r="AN59" s="12">
        <v>-1645266.7572845181</v>
      </c>
    </row>
    <row r="61" spans="2:40" x14ac:dyDescent="0.25">
      <c r="B61" s="1" t="s">
        <v>302</v>
      </c>
    </row>
    <row r="63" spans="2:40" x14ac:dyDescent="0.25">
      <c r="B63" s="39" t="s">
        <v>103</v>
      </c>
      <c r="E63" s="12" cm="1">
        <f t="array" ref="E63:AN63">_xlfn.LET(_xlpm.site,$B$1&amp;"-"&amp;$C$1,_xlpm.locations,Base!$D$4:$BD$4,_xlpm.rates,Base!$D$36:$BD$36,_xlpm.hours,Base!$D$79:$BD$79,_xlpm.comp,_xlpm.rates*_xlpm.hours,_xlpm.Customer,_xlfn.ANCHORARRAY($E$1),
_xlpm.Customer_comp,_xlfn.XLOOKUP(_xlpm.site,_xlpm.locations,_xlpm.comp,0,0),_xlpm.ann_incr,_xlfn.XLOOKUP(YEAR(_xlfn.ANCHORARRAY($E$25)),Base!$BJ$4:$BL$4,Base!$BJ$79:$BL$79,0,0),
_xlpm.bad_debt,_xlfn.XLOOKUP(_xlpm.site,_xlpm.locations,Base!$D$28:$BD$28,0,0),_xlpm.Customer_comp*_xlpm.Customer*_xlpm.bad_debt*_xlpm.ann_incr*(52/12)*(1-$C$35))</f>
        <v>29840.872158056958</v>
      </c>
      <c r="F63" s="12">
        <v>33691.307275225598</v>
      </c>
      <c r="G63" s="12">
        <v>36579.13361310208</v>
      </c>
      <c r="H63" s="12">
        <v>40429.568730270716</v>
      </c>
      <c r="I63" s="12">
        <v>40429.568730270716</v>
      </c>
      <c r="J63" s="12">
        <v>40429.568730270716</v>
      </c>
      <c r="K63" s="12">
        <v>40429.568730270716</v>
      </c>
      <c r="L63" s="12">
        <v>40429.568730270716</v>
      </c>
      <c r="M63" s="12">
        <v>40429.568730270716</v>
      </c>
      <c r="N63" s="12">
        <v>40429.568730270716</v>
      </c>
      <c r="O63" s="12">
        <v>40429.568730270716</v>
      </c>
      <c r="P63" s="12">
        <v>40429.568730270716</v>
      </c>
      <c r="Q63" s="12">
        <v>41642.455792178836</v>
      </c>
      <c r="R63" s="12">
        <v>41642.455792178836</v>
      </c>
      <c r="S63" s="12">
        <v>41642.455792178836</v>
      </c>
      <c r="T63" s="12">
        <v>41642.455792178836</v>
      </c>
      <c r="U63" s="12">
        <v>41642.455792178836</v>
      </c>
      <c r="V63" s="12">
        <v>41642.455792178836</v>
      </c>
      <c r="W63" s="12">
        <v>41642.455792178836</v>
      </c>
      <c r="X63" s="12">
        <v>41642.455792178836</v>
      </c>
      <c r="Y63" s="12">
        <v>41642.455792178836</v>
      </c>
      <c r="Z63" s="12">
        <v>41642.455792178836</v>
      </c>
      <c r="AA63" s="12">
        <v>41642.455792178836</v>
      </c>
      <c r="AB63" s="12">
        <v>41642.455792178836</v>
      </c>
      <c r="AC63" s="12">
        <v>41642.455792178836</v>
      </c>
      <c r="AD63" s="12">
        <v>41642.455792178836</v>
      </c>
      <c r="AE63" s="12">
        <v>41642.455792178836</v>
      </c>
      <c r="AF63" s="12">
        <v>41642.455792178836</v>
      </c>
      <c r="AG63" s="12">
        <v>41642.455792178836</v>
      </c>
      <c r="AH63" s="12">
        <v>41642.455792178836</v>
      </c>
      <c r="AI63" s="12">
        <v>41642.455792178836</v>
      </c>
      <c r="AJ63" s="12">
        <v>41642.455792178836</v>
      </c>
      <c r="AK63" s="12">
        <v>41642.455792178836</v>
      </c>
      <c r="AL63" s="12">
        <v>41642.455792178836</v>
      </c>
      <c r="AM63" s="12">
        <v>41642.455792178836</v>
      </c>
      <c r="AN63" s="12">
        <v>41642.455792178836</v>
      </c>
    </row>
    <row r="64" spans="2:40" x14ac:dyDescent="0.25">
      <c r="B64" s="39" t="s">
        <v>104</v>
      </c>
      <c r="E64" s="12" cm="1">
        <f t="array" ref="E64:AN64">_xlfn.LET(_xlpm.site,$B$1&amp;"-"&amp;$C$1,_xlpm.locations,Base!$D$4:$BD$4,_xlpm.rates,Base!$D$37:$BD$37,_xlpm.hours,Base!$D$80:$BD$80,_xlpm.comp,_xlpm.rates*_xlpm.hours,_xlpm.Customer,_xlfn.ANCHORARRAY($E$1),
_xlpm.Customer_comp,_xlfn.XLOOKUP(_xlpm.site,_xlpm.locations,_xlpm.comp,0,0),_xlpm.ann_incr,_xlfn.XLOOKUP(YEAR(_xlfn.ANCHORARRAY($E$25)),Base!$BJ$4:$BL$4,Base!$BJ$80:$BL$80,0,0),
_xlpm.bad_debt,_xlfn.XLOOKUP(_xlpm.site,_xlpm.locations,Base!$D$28:$BD$28,0,0),_xlpm.Customer_comp*_xlpm.Customer*_xlpm.bad_debt*_xlpm.ann_incr*(52/12)*(1-$C$35))</f>
        <v>3987.3364974643214</v>
      </c>
      <c r="F64" s="12">
        <v>4501.831529395201</v>
      </c>
      <c r="G64" s="12">
        <v>4887.7028033433608</v>
      </c>
      <c r="H64" s="12">
        <v>5402.1978352742408</v>
      </c>
      <c r="I64" s="12">
        <v>5402.1978352742408</v>
      </c>
      <c r="J64" s="12">
        <v>5402.1978352742408</v>
      </c>
      <c r="K64" s="12">
        <v>5402.1978352742408</v>
      </c>
      <c r="L64" s="12">
        <v>5402.1978352742408</v>
      </c>
      <c r="M64" s="12">
        <v>5402.1978352742408</v>
      </c>
      <c r="N64" s="12">
        <v>5402.1978352742408</v>
      </c>
      <c r="O64" s="12">
        <v>5402.1978352742408</v>
      </c>
      <c r="P64" s="12">
        <v>5402.1978352742408</v>
      </c>
      <c r="Q64" s="12">
        <v>5564.2637703324681</v>
      </c>
      <c r="R64" s="12">
        <v>5564.2637703324681</v>
      </c>
      <c r="S64" s="12">
        <v>5564.2637703324681</v>
      </c>
      <c r="T64" s="12">
        <v>5564.2637703324681</v>
      </c>
      <c r="U64" s="12">
        <v>5564.2637703324681</v>
      </c>
      <c r="V64" s="12">
        <v>5564.2637703324681</v>
      </c>
      <c r="W64" s="12">
        <v>5564.2637703324681</v>
      </c>
      <c r="X64" s="12">
        <v>5564.2637703324681</v>
      </c>
      <c r="Y64" s="12">
        <v>5564.2637703324681</v>
      </c>
      <c r="Z64" s="12">
        <v>5564.2637703324681</v>
      </c>
      <c r="AA64" s="12">
        <v>5564.2637703324681</v>
      </c>
      <c r="AB64" s="12">
        <v>5564.2637703324681</v>
      </c>
      <c r="AC64" s="12">
        <v>5564.2637703324681</v>
      </c>
      <c r="AD64" s="12">
        <v>5564.2637703324681</v>
      </c>
      <c r="AE64" s="12">
        <v>5564.2637703324681</v>
      </c>
      <c r="AF64" s="12">
        <v>5564.2637703324681</v>
      </c>
      <c r="AG64" s="12">
        <v>5564.2637703324681</v>
      </c>
      <c r="AH64" s="12">
        <v>5564.2637703324681</v>
      </c>
      <c r="AI64" s="12">
        <v>5564.2637703324681</v>
      </c>
      <c r="AJ64" s="12">
        <v>5564.2637703324681</v>
      </c>
      <c r="AK64" s="12">
        <v>5564.2637703324681</v>
      </c>
      <c r="AL64" s="12">
        <v>5564.2637703324681</v>
      </c>
      <c r="AM64" s="12">
        <v>5564.2637703324681</v>
      </c>
      <c r="AN64" s="12">
        <v>5564.2637703324681</v>
      </c>
    </row>
    <row r="65" spans="2:40" x14ac:dyDescent="0.25">
      <c r="B65" s="39" t="s">
        <v>56</v>
      </c>
      <c r="E65" s="12" cm="1">
        <f t="array" ref="E65:AN65">_xlfn.LET(_xlpm.site,$B$1&amp;"-"&amp;$C$1,_xlpm.locations,Base!$D$4:$BD$4,_xlpm.rates,Base!$D$39:$BD$39,_xlpm.hours,Base!$D$82:$BD$82,_xlpm.comp,_xlpm.rates*_xlpm.hours,_xlpm.Customer,_xlfn.ANCHORARRAY($E$1),
_xlpm.Customer_comp,_xlfn.XLOOKUP(_xlpm.site,_xlpm.locations,_xlpm.comp,0,0),_xlpm.ann_incr,_xlfn.XLOOKUP(YEAR(_xlfn.ANCHORARRAY($E$25)),Base!$BJ$4:$BL$4,Base!$BJ$82:$BL$82,0,0),
_xlpm.bad_debt,_xlfn.XLOOKUP(_xlpm.site,_xlpm.locations,Base!$D$28:$BD$28,0,0),_xlpm.Customer_comp*_xlpm.Customer*_xlpm.bad_debt*_xlpm.ann_incr*(52/12)*(1-$C$35))</f>
        <v>24249.74633745664</v>
      </c>
      <c r="F65" s="12">
        <v>27378.745864870401</v>
      </c>
      <c r="G65" s="12">
        <v>29725.495510430719</v>
      </c>
      <c r="H65" s="12">
        <v>32854.49503784447</v>
      </c>
      <c r="I65" s="12">
        <v>32854.49503784447</v>
      </c>
      <c r="J65" s="12">
        <v>32854.49503784447</v>
      </c>
      <c r="K65" s="12">
        <v>32854.49503784447</v>
      </c>
      <c r="L65" s="12">
        <v>32854.49503784447</v>
      </c>
      <c r="M65" s="12">
        <v>32854.49503784447</v>
      </c>
      <c r="N65" s="12">
        <v>32854.49503784447</v>
      </c>
      <c r="O65" s="12">
        <v>32854.49503784447</v>
      </c>
      <c r="P65" s="12">
        <v>32854.49503784447</v>
      </c>
      <c r="Q65" s="12">
        <v>33840.129888979805</v>
      </c>
      <c r="R65" s="12">
        <v>33840.129888979805</v>
      </c>
      <c r="S65" s="12">
        <v>33840.129888979805</v>
      </c>
      <c r="T65" s="12">
        <v>33840.129888979805</v>
      </c>
      <c r="U65" s="12">
        <v>33840.129888979805</v>
      </c>
      <c r="V65" s="12">
        <v>33840.129888979805</v>
      </c>
      <c r="W65" s="12">
        <v>33840.129888979805</v>
      </c>
      <c r="X65" s="12">
        <v>33840.129888979805</v>
      </c>
      <c r="Y65" s="12">
        <v>33840.129888979805</v>
      </c>
      <c r="Z65" s="12">
        <v>33840.129888979805</v>
      </c>
      <c r="AA65" s="12">
        <v>33840.129888979805</v>
      </c>
      <c r="AB65" s="12">
        <v>33840.129888979805</v>
      </c>
      <c r="AC65" s="12">
        <v>33840.129888979805</v>
      </c>
      <c r="AD65" s="12">
        <v>33840.129888979805</v>
      </c>
      <c r="AE65" s="12">
        <v>33840.129888979805</v>
      </c>
      <c r="AF65" s="12">
        <v>33840.129888979805</v>
      </c>
      <c r="AG65" s="12">
        <v>33840.129888979805</v>
      </c>
      <c r="AH65" s="12">
        <v>33840.129888979805</v>
      </c>
      <c r="AI65" s="12">
        <v>33840.129888979805</v>
      </c>
      <c r="AJ65" s="12">
        <v>33840.129888979805</v>
      </c>
      <c r="AK65" s="12">
        <v>33840.129888979805</v>
      </c>
      <c r="AL65" s="12">
        <v>33840.129888979805</v>
      </c>
      <c r="AM65" s="12">
        <v>33840.129888979805</v>
      </c>
      <c r="AN65" s="12">
        <v>33840.129888979805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303</v>
      </c>
      <c r="C67" s="12"/>
      <c r="E67" s="13" cm="1">
        <f t="array" ref="E67:AN67">_xlfn.BYCOL(_xlfn.VSTACK(_xlfn.ANCHORARRAY($E$63),_xlfn.ANCHORARRAY($E$64),_xlfn.ANCHORARRAY($E$65)),_xlfn.LAMBDA(_xlpm.a,SUM(_xlpm.a)))</f>
        <v>58077.954992977917</v>
      </c>
      <c r="F67" s="13">
        <v>65571.884669491206</v>
      </c>
      <c r="G67" s="13">
        <v>71192.331926876155</v>
      </c>
      <c r="H67" s="13">
        <v>78686.26160338943</v>
      </c>
      <c r="I67" s="13">
        <v>78686.26160338943</v>
      </c>
      <c r="J67" s="13">
        <v>78686.26160338943</v>
      </c>
      <c r="K67" s="13">
        <v>78686.26160338943</v>
      </c>
      <c r="L67" s="13">
        <v>78686.26160338943</v>
      </c>
      <c r="M67" s="13">
        <v>78686.26160338943</v>
      </c>
      <c r="N67" s="13">
        <v>78686.26160338943</v>
      </c>
      <c r="O67" s="13">
        <v>78686.26160338943</v>
      </c>
      <c r="P67" s="13">
        <v>78686.26160338943</v>
      </c>
      <c r="Q67" s="13">
        <v>81046.849451491114</v>
      </c>
      <c r="R67" s="13">
        <v>81046.849451491114</v>
      </c>
      <c r="S67" s="13">
        <v>81046.849451491114</v>
      </c>
      <c r="T67" s="13">
        <v>81046.849451491114</v>
      </c>
      <c r="U67" s="13">
        <v>81046.849451491114</v>
      </c>
      <c r="V67" s="13">
        <v>81046.849451491114</v>
      </c>
      <c r="W67" s="13">
        <v>81046.849451491114</v>
      </c>
      <c r="X67" s="13">
        <v>81046.849451491114</v>
      </c>
      <c r="Y67" s="13">
        <v>81046.849451491114</v>
      </c>
      <c r="Z67" s="13">
        <v>81046.849451491114</v>
      </c>
      <c r="AA67" s="13">
        <v>81046.849451491114</v>
      </c>
      <c r="AB67" s="13">
        <v>81046.849451491114</v>
      </c>
      <c r="AC67" s="13">
        <v>81046.849451491114</v>
      </c>
      <c r="AD67" s="13">
        <v>81046.849451491114</v>
      </c>
      <c r="AE67" s="13">
        <v>81046.849451491114</v>
      </c>
      <c r="AF67" s="13">
        <v>81046.849451491114</v>
      </c>
      <c r="AG67" s="13">
        <v>81046.849451491114</v>
      </c>
      <c r="AH67" s="13">
        <v>81046.849451491114</v>
      </c>
      <c r="AI67" s="13">
        <v>81046.849451491114</v>
      </c>
      <c r="AJ67" s="13">
        <v>81046.849451491114</v>
      </c>
      <c r="AK67" s="13">
        <v>81046.849451491114</v>
      </c>
      <c r="AL67" s="13">
        <v>81046.849451491114</v>
      </c>
      <c r="AM67" s="13">
        <v>81046.849451491114</v>
      </c>
      <c r="AN67" s="13">
        <v>81046.849451491114</v>
      </c>
    </row>
    <row r="68" spans="2:40" x14ac:dyDescent="0.25">
      <c r="B68" s="39"/>
      <c r="C68" s="12"/>
    </row>
    <row r="69" spans="2:40" x14ac:dyDescent="0.25">
      <c r="B69" s="39" t="s">
        <v>304</v>
      </c>
      <c r="C69" s="12"/>
      <c r="E69" s="106" cm="1">
        <f t="array" ref="E69:AN70">_xlfn.LET(_xlpm.Customer_staff,_xlfn._xlws.FILTER(Base!$D$96:$BD$97,ISNUMBER(SEARCH($B$1&amp;"-"&amp;$C$1,Base!$D$4:$BD$4))),_xlpm.Customer,_xlfn.ANCHORARRAY($E$1),_xlpm.headcount,_xlpm.Customer/_xlpm.Customer_staff,
_xlpm.rounding,_xlfn.VSTACK(0,0),IFERROR(ROUND(_xlpm.headcount,_xlpm.rounding),0))</f>
        <v>1</v>
      </c>
      <c r="F69" s="106">
        <v>1</v>
      </c>
      <c r="G69" s="106">
        <v>1</v>
      </c>
      <c r="H69" s="106">
        <v>1</v>
      </c>
      <c r="I69" s="106">
        <v>1</v>
      </c>
      <c r="J69" s="106">
        <v>1</v>
      </c>
      <c r="K69" s="106">
        <v>1</v>
      </c>
      <c r="L69" s="106">
        <v>1</v>
      </c>
      <c r="M69" s="106">
        <v>1</v>
      </c>
      <c r="N69" s="106">
        <v>1</v>
      </c>
      <c r="O69" s="106">
        <v>1</v>
      </c>
      <c r="P69" s="106">
        <v>1</v>
      </c>
      <c r="Q69" s="106">
        <v>1</v>
      </c>
      <c r="R69" s="106">
        <v>1</v>
      </c>
      <c r="S69" s="106">
        <v>1</v>
      </c>
      <c r="T69" s="106">
        <v>1</v>
      </c>
      <c r="U69" s="106">
        <v>1</v>
      </c>
      <c r="V69" s="106">
        <v>1</v>
      </c>
      <c r="W69" s="106">
        <v>1</v>
      </c>
      <c r="X69" s="106">
        <v>1</v>
      </c>
      <c r="Y69" s="106">
        <v>1</v>
      </c>
      <c r="Z69" s="106">
        <v>1</v>
      </c>
      <c r="AA69" s="106">
        <v>1</v>
      </c>
      <c r="AB69" s="106">
        <v>1</v>
      </c>
      <c r="AC69" s="106">
        <v>1</v>
      </c>
      <c r="AD69" s="106">
        <v>1</v>
      </c>
      <c r="AE69" s="106">
        <v>1</v>
      </c>
      <c r="AF69" s="106">
        <v>1</v>
      </c>
      <c r="AG69" s="106">
        <v>1</v>
      </c>
      <c r="AH69" s="106">
        <v>1</v>
      </c>
      <c r="AI69" s="106">
        <v>1</v>
      </c>
      <c r="AJ69" s="106">
        <v>1</v>
      </c>
      <c r="AK69" s="106">
        <v>1</v>
      </c>
      <c r="AL69" s="106">
        <v>1</v>
      </c>
      <c r="AM69" s="106">
        <v>1</v>
      </c>
      <c r="AN69" s="106">
        <v>1</v>
      </c>
    </row>
    <row r="70" spans="2:40" x14ac:dyDescent="0.25">
      <c r="B70" s="39" t="s">
        <v>305</v>
      </c>
      <c r="C70" s="12"/>
      <c r="E70" s="106">
        <v>1</v>
      </c>
      <c r="F70" s="106">
        <v>1</v>
      </c>
      <c r="G70" s="106">
        <v>1</v>
      </c>
      <c r="H70" s="106">
        <v>1</v>
      </c>
      <c r="I70" s="106">
        <v>1</v>
      </c>
      <c r="J70" s="106">
        <v>1</v>
      </c>
      <c r="K70" s="106">
        <v>1</v>
      </c>
      <c r="L70" s="106">
        <v>1</v>
      </c>
      <c r="M70" s="106">
        <v>1</v>
      </c>
      <c r="N70" s="106">
        <v>1</v>
      </c>
      <c r="O70" s="106">
        <v>1</v>
      </c>
      <c r="P70" s="106">
        <v>1</v>
      </c>
      <c r="Q70" s="106">
        <v>1</v>
      </c>
      <c r="R70" s="106">
        <v>1</v>
      </c>
      <c r="S70" s="106">
        <v>1</v>
      </c>
      <c r="T70" s="106">
        <v>1</v>
      </c>
      <c r="U70" s="106">
        <v>1</v>
      </c>
      <c r="V70" s="106">
        <v>1</v>
      </c>
      <c r="W70" s="106">
        <v>1</v>
      </c>
      <c r="X70" s="106">
        <v>1</v>
      </c>
      <c r="Y70" s="106">
        <v>1</v>
      </c>
      <c r="Z70" s="106">
        <v>1</v>
      </c>
      <c r="AA70" s="106">
        <v>1</v>
      </c>
      <c r="AB70" s="106">
        <v>1</v>
      </c>
      <c r="AC70" s="106">
        <v>1</v>
      </c>
      <c r="AD70" s="106">
        <v>1</v>
      </c>
      <c r="AE70" s="106">
        <v>1</v>
      </c>
      <c r="AF70" s="106">
        <v>1</v>
      </c>
      <c r="AG70" s="106">
        <v>1</v>
      </c>
      <c r="AH70" s="106">
        <v>1</v>
      </c>
      <c r="AI70" s="106">
        <v>1</v>
      </c>
      <c r="AJ70" s="106">
        <v>1</v>
      </c>
      <c r="AK70" s="106">
        <v>1</v>
      </c>
      <c r="AL70" s="106">
        <v>1</v>
      </c>
      <c r="AM70" s="106">
        <v>1</v>
      </c>
      <c r="AN70" s="106">
        <v>1</v>
      </c>
    </row>
    <row r="71" spans="2:40" x14ac:dyDescent="0.25">
      <c r="B71" s="39"/>
      <c r="C71" s="12"/>
    </row>
    <row r="72" spans="2:40" x14ac:dyDescent="0.25">
      <c r="B72" s="39" t="s">
        <v>23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34111.347303589566</v>
      </c>
      <c r="F72" s="12">
        <v>34950.488891149507</v>
      </c>
      <c r="G72" s="12">
        <v>35579.845081819469</v>
      </c>
      <c r="H72" s="12">
        <v>36418.98666937941</v>
      </c>
      <c r="I72" s="12">
        <v>36418.98666937941</v>
      </c>
      <c r="J72" s="12">
        <v>36418.98666937941</v>
      </c>
      <c r="K72" s="12">
        <v>36418.98666937941</v>
      </c>
      <c r="L72" s="12">
        <v>36418.98666937941</v>
      </c>
      <c r="M72" s="12">
        <v>36418.98666937941</v>
      </c>
      <c r="N72" s="12">
        <v>36418.98666937941</v>
      </c>
      <c r="O72" s="12">
        <v>36418.98666937941</v>
      </c>
      <c r="P72" s="12">
        <v>36418.98666937941</v>
      </c>
      <c r="Q72" s="12">
        <v>40060.885336317362</v>
      </c>
      <c r="R72" s="12">
        <v>40060.885336317362</v>
      </c>
      <c r="S72" s="12">
        <v>40060.885336317362</v>
      </c>
      <c r="T72" s="12">
        <v>40060.885336317362</v>
      </c>
      <c r="U72" s="12">
        <v>40060.885336317362</v>
      </c>
      <c r="V72" s="12">
        <v>40060.885336317362</v>
      </c>
      <c r="W72" s="12">
        <v>40060.885336317362</v>
      </c>
      <c r="X72" s="12">
        <v>40060.885336317362</v>
      </c>
      <c r="Y72" s="12">
        <v>40060.885336317362</v>
      </c>
      <c r="Z72" s="12">
        <v>40060.885336317362</v>
      </c>
      <c r="AA72" s="12">
        <v>40060.885336317362</v>
      </c>
      <c r="AB72" s="12">
        <v>40060.885336317362</v>
      </c>
      <c r="AC72" s="12">
        <v>44066.973869949092</v>
      </c>
      <c r="AD72" s="12">
        <v>44066.973869949092</v>
      </c>
      <c r="AE72" s="12">
        <v>44066.973869949092</v>
      </c>
      <c r="AF72" s="12">
        <v>44066.973869949092</v>
      </c>
      <c r="AG72" s="12">
        <v>44066.973869949092</v>
      </c>
      <c r="AH72" s="12">
        <v>44066.973869949092</v>
      </c>
      <c r="AI72" s="12">
        <v>44066.973869949092</v>
      </c>
      <c r="AJ72" s="12">
        <v>44066.973869949092</v>
      </c>
      <c r="AK72" s="12">
        <v>44066.973869949092</v>
      </c>
      <c r="AL72" s="12">
        <v>44066.973869949092</v>
      </c>
      <c r="AM72" s="12">
        <v>44066.973869949092</v>
      </c>
      <c r="AN72" s="12">
        <v>44066.973869949092</v>
      </c>
    </row>
    <row r="73" spans="2:40" x14ac:dyDescent="0.25">
      <c r="B73" s="39" t="s">
        <v>24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306</v>
      </c>
      <c r="E75" s="74" cm="1">
        <f t="array" ref="E75:AN75">_xlfn.ANCHORARRAY(E67)-_xlfn.ANCHORARRAY(E72)-_xlfn.ANCHORARRAY(E73)</f>
        <v>23966.607689388351</v>
      </c>
      <c r="F75" s="74">
        <v>30621.395778341699</v>
      </c>
      <c r="G75" s="74">
        <v>35612.486845056686</v>
      </c>
      <c r="H75" s="74">
        <v>42267.27493401002</v>
      </c>
      <c r="I75" s="74">
        <v>42267.27493401002</v>
      </c>
      <c r="J75" s="74">
        <v>42267.27493401002</v>
      </c>
      <c r="K75" s="74">
        <v>42267.27493401002</v>
      </c>
      <c r="L75" s="74">
        <v>42267.27493401002</v>
      </c>
      <c r="M75" s="74">
        <v>42267.27493401002</v>
      </c>
      <c r="N75" s="74">
        <v>42267.27493401002</v>
      </c>
      <c r="O75" s="74">
        <v>42267.27493401002</v>
      </c>
      <c r="P75" s="74">
        <v>42267.27493401002</v>
      </c>
      <c r="Q75" s="74">
        <v>40985.964115173752</v>
      </c>
      <c r="R75" s="74">
        <v>40985.964115173752</v>
      </c>
      <c r="S75" s="74">
        <v>40985.964115173752</v>
      </c>
      <c r="T75" s="74">
        <v>40985.964115173752</v>
      </c>
      <c r="U75" s="74">
        <v>40985.964115173752</v>
      </c>
      <c r="V75" s="74">
        <v>40985.964115173752</v>
      </c>
      <c r="W75" s="74">
        <v>40985.964115173752</v>
      </c>
      <c r="X75" s="74">
        <v>40985.964115173752</v>
      </c>
      <c r="Y75" s="74">
        <v>40985.964115173752</v>
      </c>
      <c r="Z75" s="74">
        <v>40985.964115173752</v>
      </c>
      <c r="AA75" s="74">
        <v>40985.964115173752</v>
      </c>
      <c r="AB75" s="74">
        <v>40985.964115173752</v>
      </c>
      <c r="AC75" s="74">
        <v>36979.875581542023</v>
      </c>
      <c r="AD75" s="74">
        <v>36979.875581542023</v>
      </c>
      <c r="AE75" s="74">
        <v>36979.875581542023</v>
      </c>
      <c r="AF75" s="74">
        <v>36979.875581542023</v>
      </c>
      <c r="AG75" s="74">
        <v>36979.875581542023</v>
      </c>
      <c r="AH75" s="74">
        <v>36979.875581542023</v>
      </c>
      <c r="AI75" s="74">
        <v>36979.875581542023</v>
      </c>
      <c r="AJ75" s="74">
        <v>36979.875581542023</v>
      </c>
      <c r="AK75" s="74">
        <v>36979.875581542023</v>
      </c>
      <c r="AL75" s="74">
        <v>36979.875581542023</v>
      </c>
      <c r="AM75" s="74">
        <v>36979.875581542023</v>
      </c>
      <c r="AN75" s="74">
        <v>36979.875581542023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D8020E-FFC8-457F-837B-B2A0A3E93224}">
  <dimension ref="A1:AX75"/>
  <sheetViews>
    <sheetView workbookViewId="0">
      <pane xSplit="4" ySplit="25" topLeftCell="E26" activePane="bottomRight" state="frozen"/>
      <selection activeCell="E63" sqref="E63:E65"/>
      <selection pane="topRight" activeCell="E63" sqref="E63:E65"/>
      <selection pane="bottomLeft" activeCell="E63" sqref="E63:E65"/>
      <selection pane="bottomRight" activeCell="E63" sqref="E63:E65"/>
    </sheetView>
  </sheetViews>
  <sheetFormatPr defaultRowHeight="15" outlineLevelRow="1" x14ac:dyDescent="0.25"/>
  <cols>
    <col min="2" max="2" width="24.5703125" bestFit="1" customWidth="1"/>
    <col min="3" max="3" width="10.7109375" bestFit="1" customWidth="1"/>
    <col min="4" max="4" width="10" bestFit="1" customWidth="1"/>
    <col min="5" max="5" width="11.42578125" bestFit="1" customWidth="1"/>
    <col min="6" max="6" width="11.7109375" bestFit="1" customWidth="1"/>
    <col min="7" max="13" width="12.28515625" bestFit="1" customWidth="1"/>
    <col min="14" max="18" width="11.5703125" bestFit="1" customWidth="1"/>
    <col min="19" max="40" width="12.5703125" bestFit="1" customWidth="1"/>
  </cols>
  <sheetData>
    <row r="1" spans="1:40" x14ac:dyDescent="0.25">
      <c r="A1" s="96" t="str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/>
      </c>
      <c r="B1" s="10" t="s">
        <v>426</v>
      </c>
      <c r="C1" s="16" t="s">
        <v>344</v>
      </c>
      <c r="D1" s="3" t="s">
        <v>307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IFERROR(_xlpm.kiddos,0))</f>
        <v>18</v>
      </c>
      <c r="F1" s="69">
        <v>20</v>
      </c>
      <c r="G1" s="69">
        <v>22</v>
      </c>
      <c r="H1" s="69">
        <v>24</v>
      </c>
      <c r="I1" s="69">
        <v>24</v>
      </c>
      <c r="J1" s="69">
        <v>24</v>
      </c>
      <c r="K1" s="69">
        <v>24</v>
      </c>
      <c r="L1" s="69">
        <v>24</v>
      </c>
      <c r="M1" s="69">
        <v>24</v>
      </c>
      <c r="N1" s="69">
        <v>24</v>
      </c>
      <c r="O1" s="69">
        <v>24</v>
      </c>
      <c r="P1" s="69">
        <v>24</v>
      </c>
      <c r="Q1" s="69">
        <v>24</v>
      </c>
      <c r="R1" s="69">
        <v>24</v>
      </c>
      <c r="S1" s="69">
        <v>24</v>
      </c>
      <c r="T1" s="69">
        <v>24</v>
      </c>
      <c r="U1" s="69">
        <v>24</v>
      </c>
      <c r="V1" s="69">
        <v>24</v>
      </c>
      <c r="W1" s="69">
        <v>24</v>
      </c>
      <c r="X1" s="69">
        <v>24</v>
      </c>
      <c r="Y1" s="69">
        <v>24</v>
      </c>
      <c r="Z1" s="69">
        <v>24</v>
      </c>
      <c r="AA1" s="69">
        <v>24</v>
      </c>
      <c r="AB1" s="69">
        <v>24</v>
      </c>
      <c r="AC1" s="69">
        <v>24</v>
      </c>
      <c r="AD1" s="69">
        <v>24</v>
      </c>
      <c r="AE1" s="69">
        <v>24</v>
      </c>
      <c r="AF1" s="69">
        <v>24</v>
      </c>
      <c r="AG1" s="69">
        <v>24</v>
      </c>
      <c r="AH1" s="69">
        <v>24</v>
      </c>
      <c r="AI1" s="69">
        <v>24</v>
      </c>
      <c r="AJ1" s="69">
        <v>24</v>
      </c>
      <c r="AK1" s="69">
        <v>24</v>
      </c>
      <c r="AL1" s="69">
        <v>24</v>
      </c>
      <c r="AM1" s="69">
        <v>24</v>
      </c>
      <c r="AN1" s="69">
        <v>24</v>
      </c>
    </row>
    <row r="2" spans="1:40" x14ac:dyDescent="0.25">
      <c r="A2" s="65"/>
      <c r="B2" s="3" t="str">
        <f>_xlfn.XLOOKUP($B$1&amp;"-"&amp;$C$1,Base!$D$4:$BD$4,Base!$D$2:$BD$2,"",0)</f>
        <v>New Jersey</v>
      </c>
      <c r="C2" s="55"/>
      <c r="D2" s="55" t="s">
        <v>259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3.333333333333333</v>
      </c>
      <c r="F2" s="69">
        <v>3.5</v>
      </c>
      <c r="G2" s="69">
        <v>3.666666666666667</v>
      </c>
      <c r="H2" s="69">
        <v>1.8333333333333333</v>
      </c>
      <c r="I2" s="69">
        <v>2</v>
      </c>
      <c r="J2" s="69">
        <v>2</v>
      </c>
      <c r="K2" s="69">
        <v>2</v>
      </c>
      <c r="L2" s="69">
        <v>2</v>
      </c>
      <c r="M2" s="69">
        <v>2</v>
      </c>
      <c r="N2" s="69">
        <v>2</v>
      </c>
      <c r="O2" s="69">
        <v>2</v>
      </c>
      <c r="P2" s="69">
        <v>2</v>
      </c>
      <c r="Q2" s="69">
        <v>2</v>
      </c>
      <c r="R2" s="69">
        <v>2</v>
      </c>
      <c r="S2" s="69">
        <v>2</v>
      </c>
      <c r="T2" s="69">
        <v>2</v>
      </c>
      <c r="U2" s="69">
        <v>2</v>
      </c>
      <c r="V2" s="69">
        <v>2</v>
      </c>
      <c r="W2" s="69">
        <v>2</v>
      </c>
      <c r="X2" s="69">
        <v>2</v>
      </c>
      <c r="Y2" s="69">
        <v>2</v>
      </c>
      <c r="Z2" s="69">
        <v>2</v>
      </c>
      <c r="AA2" s="69">
        <v>2</v>
      </c>
      <c r="AB2" s="69">
        <v>2</v>
      </c>
      <c r="AC2" s="69">
        <v>2</v>
      </c>
      <c r="AD2" s="69">
        <v>2</v>
      </c>
      <c r="AE2" s="69">
        <v>2</v>
      </c>
      <c r="AF2" s="69">
        <v>2</v>
      </c>
      <c r="AG2" s="69">
        <v>2</v>
      </c>
      <c r="AH2" s="69">
        <v>2</v>
      </c>
      <c r="AI2" s="69">
        <v>2</v>
      </c>
      <c r="AJ2" s="69">
        <v>2</v>
      </c>
      <c r="AK2" s="69">
        <v>2</v>
      </c>
      <c r="AL2" s="69">
        <v>2</v>
      </c>
      <c r="AM2" s="69">
        <v>2</v>
      </c>
      <c r="AN2" s="69">
        <v>2</v>
      </c>
    </row>
    <row r="3" spans="1:40" x14ac:dyDescent="0.25">
      <c r="A3" s="65"/>
      <c r="B3" s="55"/>
      <c r="C3" s="55"/>
      <c r="D3" s="55" t="s">
        <v>62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_xlpm.months_since,DATEDIF(_xlpm.launchdate,_xlfn.ANCHORARRAY($E$25),"m"),_xlfn.BYCOL(_xlpm.months_since,_xlfn.LAMBDA(_xlpm.a,IFERROR(MIN(_xlpm.a/6,_xlpm.max_kiddos),0))))</f>
        <v>1.3333333333333333</v>
      </c>
      <c r="F3" s="69">
        <v>1.5</v>
      </c>
      <c r="G3" s="69">
        <v>1.6666666666666667</v>
      </c>
      <c r="H3" s="69">
        <v>1.8333333333333333</v>
      </c>
      <c r="I3" s="69">
        <v>2</v>
      </c>
      <c r="J3" s="69">
        <v>2</v>
      </c>
      <c r="K3" s="69">
        <v>2</v>
      </c>
      <c r="L3" s="69">
        <v>2</v>
      </c>
      <c r="M3" s="69">
        <v>2</v>
      </c>
      <c r="N3" s="69">
        <v>2</v>
      </c>
      <c r="O3" s="69">
        <v>2</v>
      </c>
      <c r="P3" s="69">
        <v>2</v>
      </c>
      <c r="Q3" s="69">
        <v>2</v>
      </c>
      <c r="R3" s="69">
        <v>2</v>
      </c>
      <c r="S3" s="69">
        <v>2</v>
      </c>
      <c r="T3" s="69">
        <v>2</v>
      </c>
      <c r="U3" s="69">
        <v>2</v>
      </c>
      <c r="V3" s="69">
        <v>2</v>
      </c>
      <c r="W3" s="69">
        <v>2</v>
      </c>
      <c r="X3" s="69">
        <v>2</v>
      </c>
      <c r="Y3" s="69">
        <v>2</v>
      </c>
      <c r="Z3" s="69">
        <v>2</v>
      </c>
      <c r="AA3" s="69">
        <v>2</v>
      </c>
      <c r="AB3" s="69">
        <v>2</v>
      </c>
      <c r="AC3" s="69">
        <v>2</v>
      </c>
      <c r="AD3" s="69">
        <v>2</v>
      </c>
      <c r="AE3" s="69">
        <v>2</v>
      </c>
      <c r="AF3" s="69">
        <v>2</v>
      </c>
      <c r="AG3" s="69">
        <v>2</v>
      </c>
      <c r="AH3" s="69">
        <v>2</v>
      </c>
      <c r="AI3" s="69">
        <v>2</v>
      </c>
      <c r="AJ3" s="69">
        <v>2</v>
      </c>
      <c r="AK3" s="69">
        <v>2</v>
      </c>
      <c r="AL3" s="69">
        <v>2</v>
      </c>
      <c r="AM3" s="69">
        <v>2</v>
      </c>
      <c r="AN3" s="69">
        <v>2</v>
      </c>
    </row>
    <row r="4" spans="1:40" x14ac:dyDescent="0.25">
      <c r="A4" s="65"/>
      <c r="B4" s="55"/>
      <c r="C4" s="55"/>
      <c r="D4" s="55" t="s">
        <v>260</v>
      </c>
      <c r="E4" s="69" cm="1">
        <f t="array" ref="E4:AN4">_xlfn.BYCOL(_xlfn.VSTACK(_xlfn.ANCHORARRAY($E$1),_xlfn.ANCHORARRAY($E$2)),_xlfn.LAMBDA(_xlpm.a,SUM(_xlpm.a)))</f>
        <v>21.333333333333332</v>
      </c>
      <c r="F4" s="69">
        <v>23.5</v>
      </c>
      <c r="G4" s="69">
        <v>25.666666666666668</v>
      </c>
      <c r="H4" s="69">
        <v>25.833333333333332</v>
      </c>
      <c r="I4" s="69">
        <v>26</v>
      </c>
      <c r="J4" s="69">
        <v>26</v>
      </c>
      <c r="K4" s="69">
        <v>26</v>
      </c>
      <c r="L4" s="69">
        <v>26</v>
      </c>
      <c r="M4" s="69">
        <v>26</v>
      </c>
      <c r="N4" s="69">
        <v>26</v>
      </c>
      <c r="O4" s="69">
        <v>26</v>
      </c>
      <c r="P4" s="69">
        <v>26</v>
      </c>
      <c r="Q4" s="69">
        <v>26</v>
      </c>
      <c r="R4" s="69">
        <v>26</v>
      </c>
      <c r="S4" s="69">
        <v>26</v>
      </c>
      <c r="T4" s="69">
        <v>26</v>
      </c>
      <c r="U4" s="69">
        <v>26</v>
      </c>
      <c r="V4" s="69">
        <v>26</v>
      </c>
      <c r="W4" s="69">
        <v>26</v>
      </c>
      <c r="X4" s="69">
        <v>26</v>
      </c>
      <c r="Y4" s="69">
        <v>26</v>
      </c>
      <c r="Z4" s="69">
        <v>26</v>
      </c>
      <c r="AA4" s="69">
        <v>26</v>
      </c>
      <c r="AB4" s="69">
        <v>26</v>
      </c>
      <c r="AC4" s="69">
        <v>26</v>
      </c>
      <c r="AD4" s="69">
        <v>26</v>
      </c>
      <c r="AE4" s="69">
        <v>26</v>
      </c>
      <c r="AF4" s="69">
        <v>26</v>
      </c>
      <c r="AG4" s="69">
        <v>26</v>
      </c>
      <c r="AH4" s="69">
        <v>26</v>
      </c>
      <c r="AI4" s="69">
        <v>26</v>
      </c>
      <c r="AJ4" s="69">
        <v>26</v>
      </c>
      <c r="AK4" s="69">
        <v>26</v>
      </c>
      <c r="AL4" s="69">
        <v>26</v>
      </c>
      <c r="AM4" s="69">
        <v>26</v>
      </c>
      <c r="AN4" s="69">
        <v>26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107</v>
      </c>
      <c r="C6" s="3"/>
      <c r="D6" s="3"/>
      <c r="E6" s="66" cm="1">
        <f t="array" ref="E6:AN6">ROUND(_xlfn.BYCOL(_xlfn.ANCHORARRAY(E7),_xlfn.LAMBDA(_xlpm.a,SUM(_xlpm.a))),0)</f>
        <v>13</v>
      </c>
      <c r="F6" s="66">
        <v>14</v>
      </c>
      <c r="G6" s="66">
        <v>15</v>
      </c>
      <c r="H6" s="66">
        <v>16</v>
      </c>
      <c r="I6" s="66">
        <v>16</v>
      </c>
      <c r="J6" s="66">
        <v>16</v>
      </c>
      <c r="K6" s="66">
        <v>16</v>
      </c>
      <c r="L6" s="66">
        <v>16</v>
      </c>
      <c r="M6" s="66">
        <v>16</v>
      </c>
      <c r="N6" s="66">
        <v>16</v>
      </c>
      <c r="O6" s="66">
        <v>16</v>
      </c>
      <c r="P6" s="66">
        <v>16</v>
      </c>
      <c r="Q6" s="66">
        <v>16</v>
      </c>
      <c r="R6" s="66">
        <v>16</v>
      </c>
      <c r="S6" s="66">
        <v>16</v>
      </c>
      <c r="T6" s="66">
        <v>16</v>
      </c>
      <c r="U6" s="66">
        <v>16</v>
      </c>
      <c r="V6" s="66">
        <v>16</v>
      </c>
      <c r="W6" s="66">
        <v>16</v>
      </c>
      <c r="X6" s="66">
        <v>16</v>
      </c>
      <c r="Y6" s="66">
        <v>16</v>
      </c>
      <c r="Z6" s="66">
        <v>16</v>
      </c>
      <c r="AA6" s="66">
        <v>16</v>
      </c>
      <c r="AB6" s="66">
        <v>16</v>
      </c>
      <c r="AC6" s="66">
        <v>16</v>
      </c>
      <c r="AD6" s="66">
        <v>16</v>
      </c>
      <c r="AE6" s="66">
        <v>16</v>
      </c>
      <c r="AF6" s="66">
        <v>16</v>
      </c>
      <c r="AG6" s="66">
        <v>16</v>
      </c>
      <c r="AH6" s="66">
        <v>16</v>
      </c>
      <c r="AI6" s="66">
        <v>16</v>
      </c>
      <c r="AJ6" s="66">
        <v>16</v>
      </c>
      <c r="AK6" s="66">
        <v>16</v>
      </c>
      <c r="AL6" s="66">
        <v>16</v>
      </c>
      <c r="AM6" s="66">
        <v>16</v>
      </c>
      <c r="AN6" s="66">
        <v>16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1"/>
      <c r="E7" s="106" cm="1">
        <f t="array" ref="E7:AN20">_xlfn.LET(_xlpm.Customer_staff,_xlfn._xlws.FILTER(Base!$D$85:$BD$98,ISNUMBER(SEARCH($B$1&amp;"-"&amp;$C$1,Base!$D$4:$BD$4))),_xlpm.Customer,_xlfn.ANCHORARRAY($E$1),_xlpm.headcount,_xlpm.Customer/_xlpm.Customer_staff,
_xlpm.patient_staff,_xlfn.ANCHORARRAY($E$2)/_xlpm.Customer_staff,_xlpm.prim_staff_tr_rec,_xlfn.ANCHORARRAY($E$2)/_xlfn.CHOOSEROWS(_xlpm.Customer_staff,{7,8})+(_xlfn.ANCHORARRAY($E$1)*0.0055),_xlpm.rounding,_xlfn.VSTACK(2,2,0,0,2,2,2,2,2,2,2,0,0,0),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prim_staff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8.1199999999999992</v>
      </c>
      <c r="F7" s="106">
        <v>9.02</v>
      </c>
      <c r="G7" s="106">
        <v>9.93</v>
      </c>
      <c r="H7" s="106">
        <v>10.83</v>
      </c>
      <c r="I7" s="106">
        <v>10.83</v>
      </c>
      <c r="J7" s="106">
        <v>10.83</v>
      </c>
      <c r="K7" s="106">
        <v>10.83</v>
      </c>
      <c r="L7" s="106">
        <v>10.83</v>
      </c>
      <c r="M7" s="106">
        <v>10.83</v>
      </c>
      <c r="N7" s="106">
        <v>10.83</v>
      </c>
      <c r="O7" s="106">
        <v>10.83</v>
      </c>
      <c r="P7" s="106">
        <v>10.83</v>
      </c>
      <c r="Q7" s="106">
        <v>10.83</v>
      </c>
      <c r="R7" s="106">
        <v>10.83</v>
      </c>
      <c r="S7" s="106">
        <v>10.83</v>
      </c>
      <c r="T7" s="106">
        <v>10.83</v>
      </c>
      <c r="U7" s="106">
        <v>10.83</v>
      </c>
      <c r="V7" s="106">
        <v>10.83</v>
      </c>
      <c r="W7" s="106">
        <v>10.83</v>
      </c>
      <c r="X7" s="106">
        <v>10.83</v>
      </c>
      <c r="Y7" s="106">
        <v>10.83</v>
      </c>
      <c r="Z7" s="106">
        <v>10.83</v>
      </c>
      <c r="AA7" s="106">
        <v>10.83</v>
      </c>
      <c r="AB7" s="106">
        <v>10.83</v>
      </c>
      <c r="AC7" s="106">
        <v>10.83</v>
      </c>
      <c r="AD7" s="106">
        <v>10.83</v>
      </c>
      <c r="AE7" s="106">
        <v>10.83</v>
      </c>
      <c r="AF7" s="106">
        <v>10.83</v>
      </c>
      <c r="AG7" s="106">
        <v>10.83</v>
      </c>
      <c r="AH7" s="106">
        <v>10.83</v>
      </c>
      <c r="AI7" s="106">
        <v>10.83</v>
      </c>
      <c r="AJ7" s="106">
        <v>10.83</v>
      </c>
      <c r="AK7" s="106">
        <v>10.83</v>
      </c>
      <c r="AL7" s="106">
        <v>10.83</v>
      </c>
      <c r="AM7" s="106">
        <v>10.83</v>
      </c>
      <c r="AN7" s="106">
        <v>10.83</v>
      </c>
    </row>
    <row r="8" spans="1:40" hidden="1" outlineLevel="1" x14ac:dyDescent="0.25">
      <c r="B8" s="39" t="str">
        <v>Secondary Direct Staff</v>
      </c>
      <c r="C8" s="3"/>
      <c r="D8" s="3"/>
      <c r="E8" s="106">
        <v>1.64</v>
      </c>
      <c r="F8" s="106">
        <v>1.82</v>
      </c>
      <c r="G8" s="106">
        <v>2</v>
      </c>
      <c r="H8" s="106">
        <v>2.19</v>
      </c>
      <c r="I8" s="106">
        <v>2.19</v>
      </c>
      <c r="J8" s="106">
        <v>2.19</v>
      </c>
      <c r="K8" s="106">
        <v>2.19</v>
      </c>
      <c r="L8" s="106">
        <v>2.19</v>
      </c>
      <c r="M8" s="106">
        <v>2.19</v>
      </c>
      <c r="N8" s="106">
        <v>2.19</v>
      </c>
      <c r="O8" s="106">
        <v>2.19</v>
      </c>
      <c r="P8" s="106">
        <v>2.19</v>
      </c>
      <c r="Q8" s="106">
        <v>2.19</v>
      </c>
      <c r="R8" s="106">
        <v>2.19</v>
      </c>
      <c r="S8" s="106">
        <v>2.19</v>
      </c>
      <c r="T8" s="106">
        <v>2.19</v>
      </c>
      <c r="U8" s="106">
        <v>2.19</v>
      </c>
      <c r="V8" s="106">
        <v>2.19</v>
      </c>
      <c r="W8" s="106">
        <v>2.19</v>
      </c>
      <c r="X8" s="106">
        <v>2.19</v>
      </c>
      <c r="Y8" s="106">
        <v>2.19</v>
      </c>
      <c r="Z8" s="106">
        <v>2.19</v>
      </c>
      <c r="AA8" s="106">
        <v>2.19</v>
      </c>
      <c r="AB8" s="106">
        <v>2.19</v>
      </c>
      <c r="AC8" s="106">
        <v>2.19</v>
      </c>
      <c r="AD8" s="106">
        <v>2.19</v>
      </c>
      <c r="AE8" s="106">
        <v>2.19</v>
      </c>
      <c r="AF8" s="106">
        <v>2.19</v>
      </c>
      <c r="AG8" s="106">
        <v>2.19</v>
      </c>
      <c r="AH8" s="106">
        <v>2.19</v>
      </c>
      <c r="AI8" s="106">
        <v>2.19</v>
      </c>
      <c r="AJ8" s="106">
        <v>2.19</v>
      </c>
      <c r="AK8" s="106">
        <v>2.19</v>
      </c>
      <c r="AL8" s="106">
        <v>2.19</v>
      </c>
      <c r="AM8" s="106">
        <v>2.19</v>
      </c>
      <c r="AN8" s="106">
        <v>2.19</v>
      </c>
    </row>
    <row r="9" spans="1:40" hidden="1" outlineLevel="1" x14ac:dyDescent="0.25">
      <c r="B9" s="39" t="str">
        <v>Center Manager</v>
      </c>
      <c r="C9" s="3"/>
      <c r="D9" s="3"/>
      <c r="E9" s="106">
        <v>1</v>
      </c>
      <c r="F9" s="106">
        <v>1</v>
      </c>
      <c r="G9" s="106">
        <v>1</v>
      </c>
      <c r="H9" s="106">
        <v>1</v>
      </c>
      <c r="I9" s="106">
        <v>1</v>
      </c>
      <c r="J9" s="106">
        <v>1</v>
      </c>
      <c r="K9" s="106">
        <v>1</v>
      </c>
      <c r="L9" s="106">
        <v>1</v>
      </c>
      <c r="M9" s="106">
        <v>1</v>
      </c>
      <c r="N9" s="106">
        <v>1</v>
      </c>
      <c r="O9" s="106">
        <v>1</v>
      </c>
      <c r="P9" s="106">
        <v>1</v>
      </c>
      <c r="Q9" s="106">
        <v>1</v>
      </c>
      <c r="R9" s="106">
        <v>1</v>
      </c>
      <c r="S9" s="106">
        <v>1</v>
      </c>
      <c r="T9" s="106">
        <v>1</v>
      </c>
      <c r="U9" s="106">
        <v>1</v>
      </c>
      <c r="V9" s="106">
        <v>1</v>
      </c>
      <c r="W9" s="106">
        <v>1</v>
      </c>
      <c r="X9" s="106">
        <v>1</v>
      </c>
      <c r="Y9" s="106">
        <v>1</v>
      </c>
      <c r="Z9" s="106">
        <v>1</v>
      </c>
      <c r="AA9" s="106">
        <v>1</v>
      </c>
      <c r="AB9" s="106">
        <v>1</v>
      </c>
      <c r="AC9" s="106">
        <v>1</v>
      </c>
      <c r="AD9" s="106">
        <v>1</v>
      </c>
      <c r="AE9" s="106">
        <v>1</v>
      </c>
      <c r="AF9" s="106">
        <v>1</v>
      </c>
      <c r="AG9" s="106">
        <v>1</v>
      </c>
      <c r="AH9" s="106">
        <v>1</v>
      </c>
      <c r="AI9" s="106">
        <v>1</v>
      </c>
      <c r="AJ9" s="106">
        <v>1</v>
      </c>
      <c r="AK9" s="106">
        <v>1</v>
      </c>
      <c r="AL9" s="106">
        <v>1</v>
      </c>
      <c r="AM9" s="106">
        <v>1</v>
      </c>
      <c r="AN9" s="106">
        <v>1</v>
      </c>
    </row>
    <row r="10" spans="1:40" hidden="1" outlineLevel="1" x14ac:dyDescent="0.25">
      <c r="B10" s="39" t="str">
        <v>Intake</v>
      </c>
      <c r="C10" s="3"/>
      <c r="D10" s="3"/>
      <c r="E10" s="106">
        <v>1</v>
      </c>
      <c r="F10" s="106">
        <v>1</v>
      </c>
      <c r="G10" s="106">
        <v>1</v>
      </c>
      <c r="H10" s="106">
        <v>1</v>
      </c>
      <c r="I10" s="106">
        <v>1</v>
      </c>
      <c r="J10" s="106">
        <v>1</v>
      </c>
      <c r="K10" s="106">
        <v>1</v>
      </c>
      <c r="L10" s="106">
        <v>1</v>
      </c>
      <c r="M10" s="106">
        <v>1</v>
      </c>
      <c r="N10" s="106">
        <v>1</v>
      </c>
      <c r="O10" s="106">
        <v>1</v>
      </c>
      <c r="P10" s="106">
        <v>1</v>
      </c>
      <c r="Q10" s="106">
        <v>1</v>
      </c>
      <c r="R10" s="106">
        <v>1</v>
      </c>
      <c r="S10" s="106">
        <v>1</v>
      </c>
      <c r="T10" s="106">
        <v>1</v>
      </c>
      <c r="U10" s="106">
        <v>1</v>
      </c>
      <c r="V10" s="106">
        <v>1</v>
      </c>
      <c r="W10" s="106">
        <v>1</v>
      </c>
      <c r="X10" s="106">
        <v>1</v>
      </c>
      <c r="Y10" s="106">
        <v>1</v>
      </c>
      <c r="Z10" s="106">
        <v>1</v>
      </c>
      <c r="AA10" s="106">
        <v>1</v>
      </c>
      <c r="AB10" s="106">
        <v>1</v>
      </c>
      <c r="AC10" s="106">
        <v>1</v>
      </c>
      <c r="AD10" s="106">
        <v>1</v>
      </c>
      <c r="AE10" s="106">
        <v>1</v>
      </c>
      <c r="AF10" s="106">
        <v>1</v>
      </c>
      <c r="AG10" s="106">
        <v>1</v>
      </c>
      <c r="AH10" s="106">
        <v>1</v>
      </c>
      <c r="AI10" s="106">
        <v>1</v>
      </c>
      <c r="AJ10" s="106">
        <v>1</v>
      </c>
      <c r="AK10" s="106">
        <v>1</v>
      </c>
      <c r="AL10" s="106">
        <v>1</v>
      </c>
      <c r="AM10" s="106">
        <v>1</v>
      </c>
      <c r="AN10" s="106">
        <v>1</v>
      </c>
    </row>
    <row r="11" spans="1:40" hidden="1" outlineLevel="1" x14ac:dyDescent="0.25">
      <c r="B11" s="39" t="str">
        <v>Scheduler</v>
      </c>
      <c r="C11" s="3"/>
      <c r="D11" s="3"/>
      <c r="E11" s="106">
        <v>0</v>
      </c>
      <c r="F11" s="106">
        <v>0</v>
      </c>
      <c r="G11" s="106">
        <v>0</v>
      </c>
      <c r="H11" s="106">
        <v>0</v>
      </c>
      <c r="I11" s="106">
        <v>0</v>
      </c>
      <c r="J11" s="106">
        <v>0</v>
      </c>
      <c r="K11" s="106">
        <v>0</v>
      </c>
      <c r="L11" s="106">
        <v>0</v>
      </c>
      <c r="M11" s="106">
        <v>0</v>
      </c>
      <c r="N11" s="106">
        <v>0</v>
      </c>
      <c r="O11" s="106">
        <v>0</v>
      </c>
      <c r="P11" s="106">
        <v>0</v>
      </c>
      <c r="Q11" s="106">
        <v>0</v>
      </c>
      <c r="R11" s="106">
        <v>0</v>
      </c>
      <c r="S11" s="106">
        <v>0</v>
      </c>
      <c r="T11" s="106">
        <v>0</v>
      </c>
      <c r="U11" s="106">
        <v>0</v>
      </c>
      <c r="V11" s="106">
        <v>0</v>
      </c>
      <c r="W11" s="106">
        <v>0</v>
      </c>
      <c r="X11" s="106">
        <v>0</v>
      </c>
      <c r="Y11" s="106">
        <v>0</v>
      </c>
      <c r="Z11" s="106">
        <v>0</v>
      </c>
      <c r="AA11" s="106">
        <v>0</v>
      </c>
      <c r="AB11" s="106">
        <v>0</v>
      </c>
      <c r="AC11" s="106">
        <v>0</v>
      </c>
      <c r="AD11" s="106">
        <v>0</v>
      </c>
      <c r="AE11" s="106">
        <v>0</v>
      </c>
      <c r="AF11" s="106">
        <v>0</v>
      </c>
      <c r="AG11" s="106">
        <v>0</v>
      </c>
      <c r="AH11" s="106">
        <v>0</v>
      </c>
      <c r="AI11" s="106">
        <v>0</v>
      </c>
      <c r="AJ11" s="106">
        <v>0</v>
      </c>
      <c r="AK11" s="106">
        <v>0</v>
      </c>
      <c r="AL11" s="106">
        <v>0</v>
      </c>
      <c r="AM11" s="106">
        <v>0</v>
      </c>
      <c r="AN11" s="106">
        <v>0</v>
      </c>
    </row>
    <row r="12" spans="1:40" hidden="1" outlineLevel="1" x14ac:dyDescent="0.25">
      <c r="B12" s="39" t="str">
        <v>Initial Consultation Expert</v>
      </c>
      <c r="C12" s="3"/>
      <c r="D12" s="3"/>
      <c r="E12" s="106">
        <v>0.26</v>
      </c>
      <c r="F12" s="106">
        <v>0.27</v>
      </c>
      <c r="G12" s="106">
        <v>0.29000000000000004</v>
      </c>
      <c r="H12" s="106">
        <v>0.15000000000000002</v>
      </c>
      <c r="I12" s="106">
        <v>0.16</v>
      </c>
      <c r="J12" s="106">
        <v>0.16</v>
      </c>
      <c r="K12" s="106">
        <v>0.16</v>
      </c>
      <c r="L12" s="106">
        <v>0.16</v>
      </c>
      <c r="M12" s="106">
        <v>0.16</v>
      </c>
      <c r="N12" s="106">
        <v>0.16</v>
      </c>
      <c r="O12" s="106">
        <v>0.16</v>
      </c>
      <c r="P12" s="106">
        <v>0.16</v>
      </c>
      <c r="Q12" s="106">
        <v>0.16</v>
      </c>
      <c r="R12" s="106">
        <v>0.16</v>
      </c>
      <c r="S12" s="106">
        <v>0.16</v>
      </c>
      <c r="T12" s="106">
        <v>0.16</v>
      </c>
      <c r="U12" s="106">
        <v>0.16</v>
      </c>
      <c r="V12" s="106">
        <v>0.16</v>
      </c>
      <c r="W12" s="106">
        <v>0.16</v>
      </c>
      <c r="X12" s="106">
        <v>0.16</v>
      </c>
      <c r="Y12" s="106">
        <v>0.16</v>
      </c>
      <c r="Z12" s="106">
        <v>0.16</v>
      </c>
      <c r="AA12" s="106">
        <v>0.16</v>
      </c>
      <c r="AB12" s="106">
        <v>0.16</v>
      </c>
      <c r="AC12" s="106">
        <v>0.16</v>
      </c>
      <c r="AD12" s="106">
        <v>0.16</v>
      </c>
      <c r="AE12" s="106">
        <v>0.16</v>
      </c>
      <c r="AF12" s="106">
        <v>0.16</v>
      </c>
      <c r="AG12" s="106">
        <v>0.16</v>
      </c>
      <c r="AH12" s="106">
        <v>0.16</v>
      </c>
      <c r="AI12" s="106">
        <v>0.16</v>
      </c>
      <c r="AJ12" s="106">
        <v>0.16</v>
      </c>
      <c r="AK12" s="106">
        <v>0.16</v>
      </c>
      <c r="AL12" s="106">
        <v>0.16</v>
      </c>
      <c r="AM12" s="106">
        <v>0.16</v>
      </c>
      <c r="AN12" s="106">
        <v>0.16</v>
      </c>
    </row>
    <row r="13" spans="1:40" hidden="1" outlineLevel="1" x14ac:dyDescent="0.25">
      <c r="B13" s="39" t="str">
        <v>Trainer</v>
      </c>
      <c r="C13" s="3"/>
      <c r="D13" s="3"/>
      <c r="E13" s="106">
        <v>0.44</v>
      </c>
      <c r="F13" s="106">
        <v>0.46</v>
      </c>
      <c r="G13" s="106">
        <v>0.49</v>
      </c>
      <c r="H13" s="106">
        <v>0.32</v>
      </c>
      <c r="I13" s="106">
        <v>0.34</v>
      </c>
      <c r="J13" s="106">
        <v>0.34</v>
      </c>
      <c r="K13" s="106">
        <v>0.34</v>
      </c>
      <c r="L13" s="106">
        <v>0.34</v>
      </c>
      <c r="M13" s="106">
        <v>0.34</v>
      </c>
      <c r="N13" s="106">
        <v>0.34</v>
      </c>
      <c r="O13" s="106">
        <v>0.34</v>
      </c>
      <c r="P13" s="106">
        <v>0.34</v>
      </c>
      <c r="Q13" s="106">
        <v>0.34</v>
      </c>
      <c r="R13" s="106">
        <v>0.34</v>
      </c>
      <c r="S13" s="106">
        <v>0.34</v>
      </c>
      <c r="T13" s="106">
        <v>0.34</v>
      </c>
      <c r="U13" s="106">
        <v>0.34</v>
      </c>
      <c r="V13" s="106">
        <v>0.34</v>
      </c>
      <c r="W13" s="106">
        <v>0.34</v>
      </c>
      <c r="X13" s="106">
        <v>0.34</v>
      </c>
      <c r="Y13" s="106">
        <v>0.34</v>
      </c>
      <c r="Z13" s="106">
        <v>0.34</v>
      </c>
      <c r="AA13" s="106">
        <v>0.34</v>
      </c>
      <c r="AB13" s="106">
        <v>0.34</v>
      </c>
      <c r="AC13" s="106">
        <v>0.34</v>
      </c>
      <c r="AD13" s="106">
        <v>0.34</v>
      </c>
      <c r="AE13" s="106">
        <v>0.34</v>
      </c>
      <c r="AF13" s="106">
        <v>0.34</v>
      </c>
      <c r="AG13" s="106">
        <v>0.34</v>
      </c>
      <c r="AH13" s="106">
        <v>0.34</v>
      </c>
      <c r="AI13" s="106">
        <v>0.34</v>
      </c>
      <c r="AJ13" s="106">
        <v>0.34</v>
      </c>
      <c r="AK13" s="106">
        <v>0.34</v>
      </c>
      <c r="AL13" s="106">
        <v>0.34</v>
      </c>
      <c r="AM13" s="106">
        <v>0.34</v>
      </c>
      <c r="AN13" s="106">
        <v>0.34</v>
      </c>
    </row>
    <row r="14" spans="1:40" hidden="1" outlineLevel="1" x14ac:dyDescent="0.25">
      <c r="B14" s="39" t="str">
        <v>Recruiter</v>
      </c>
      <c r="C14" s="3"/>
      <c r="D14" s="3"/>
      <c r="E14" s="106">
        <v>0.27</v>
      </c>
      <c r="F14" s="106">
        <v>0.29000000000000004</v>
      </c>
      <c r="G14" s="106">
        <v>0.31</v>
      </c>
      <c r="H14" s="106">
        <v>0.23</v>
      </c>
      <c r="I14" s="106">
        <v>0.24000000000000002</v>
      </c>
      <c r="J14" s="106">
        <v>0.24000000000000002</v>
      </c>
      <c r="K14" s="106">
        <v>0.24000000000000002</v>
      </c>
      <c r="L14" s="106">
        <v>0.24000000000000002</v>
      </c>
      <c r="M14" s="106">
        <v>0.24000000000000002</v>
      </c>
      <c r="N14" s="106">
        <v>0.24000000000000002</v>
      </c>
      <c r="O14" s="106">
        <v>0.24000000000000002</v>
      </c>
      <c r="P14" s="106">
        <v>0.24000000000000002</v>
      </c>
      <c r="Q14" s="106">
        <v>0.24000000000000002</v>
      </c>
      <c r="R14" s="106">
        <v>0.24000000000000002</v>
      </c>
      <c r="S14" s="106">
        <v>0.24000000000000002</v>
      </c>
      <c r="T14" s="106">
        <v>0.24000000000000002</v>
      </c>
      <c r="U14" s="106">
        <v>0.24000000000000002</v>
      </c>
      <c r="V14" s="106">
        <v>0.24000000000000002</v>
      </c>
      <c r="W14" s="106">
        <v>0.24000000000000002</v>
      </c>
      <c r="X14" s="106">
        <v>0.24000000000000002</v>
      </c>
      <c r="Y14" s="106">
        <v>0.24000000000000002</v>
      </c>
      <c r="Z14" s="106">
        <v>0.24000000000000002</v>
      </c>
      <c r="AA14" s="106">
        <v>0.24000000000000002</v>
      </c>
      <c r="AB14" s="106">
        <v>0.24000000000000002</v>
      </c>
      <c r="AC14" s="106">
        <v>0.24000000000000002</v>
      </c>
      <c r="AD14" s="106">
        <v>0.24000000000000002</v>
      </c>
      <c r="AE14" s="106">
        <v>0.24000000000000002</v>
      </c>
      <c r="AF14" s="106">
        <v>0.24000000000000002</v>
      </c>
      <c r="AG14" s="106">
        <v>0.24000000000000002</v>
      </c>
      <c r="AH14" s="106">
        <v>0.24000000000000002</v>
      </c>
      <c r="AI14" s="106">
        <v>0.24000000000000002</v>
      </c>
      <c r="AJ14" s="106">
        <v>0.24000000000000002</v>
      </c>
      <c r="AK14" s="106">
        <v>0.24000000000000002</v>
      </c>
      <c r="AL14" s="106">
        <v>0.24000000000000002</v>
      </c>
      <c r="AM14" s="106">
        <v>0.24000000000000002</v>
      </c>
      <c r="AN14" s="106">
        <v>0.24000000000000002</v>
      </c>
    </row>
    <row r="15" spans="1:40" hidden="1" outlineLevel="1" x14ac:dyDescent="0.25">
      <c r="B15" s="39" t="str">
        <v>Center Director / Remote Site Director</v>
      </c>
      <c r="C15" s="3"/>
      <c r="D15" s="3"/>
      <c r="E15" s="106">
        <v>0.08</v>
      </c>
      <c r="F15" s="106">
        <v>0.08</v>
      </c>
      <c r="G15" s="106">
        <v>0.09</v>
      </c>
      <c r="H15" s="106">
        <v>9.9999999999999992E-2</v>
      </c>
      <c r="I15" s="106">
        <v>9.9999999999999992E-2</v>
      </c>
      <c r="J15" s="106">
        <v>9.9999999999999992E-2</v>
      </c>
      <c r="K15" s="106">
        <v>9.9999999999999992E-2</v>
      </c>
      <c r="L15" s="106">
        <v>9.9999999999999992E-2</v>
      </c>
      <c r="M15" s="106">
        <v>9.9999999999999992E-2</v>
      </c>
      <c r="N15" s="106">
        <v>9.9999999999999992E-2</v>
      </c>
      <c r="O15" s="106">
        <v>9.9999999999999992E-2</v>
      </c>
      <c r="P15" s="106">
        <v>9.9999999999999992E-2</v>
      </c>
      <c r="Q15" s="106">
        <v>9.9999999999999992E-2</v>
      </c>
      <c r="R15" s="106">
        <v>9.9999999999999992E-2</v>
      </c>
      <c r="S15" s="106">
        <v>9.9999999999999992E-2</v>
      </c>
      <c r="T15" s="106">
        <v>9.9999999999999992E-2</v>
      </c>
      <c r="U15" s="106">
        <v>9.9999999999999992E-2</v>
      </c>
      <c r="V15" s="106">
        <v>9.9999999999999992E-2</v>
      </c>
      <c r="W15" s="106">
        <v>9.9999999999999992E-2</v>
      </c>
      <c r="X15" s="106">
        <v>9.9999999999999992E-2</v>
      </c>
      <c r="Y15" s="106">
        <v>9.9999999999999992E-2</v>
      </c>
      <c r="Z15" s="106">
        <v>9.9999999999999992E-2</v>
      </c>
      <c r="AA15" s="106">
        <v>9.9999999999999992E-2</v>
      </c>
      <c r="AB15" s="106">
        <v>9.9999999999999992E-2</v>
      </c>
      <c r="AC15" s="106">
        <v>9.9999999999999992E-2</v>
      </c>
      <c r="AD15" s="106">
        <v>9.9999999999999992E-2</v>
      </c>
      <c r="AE15" s="106">
        <v>9.9999999999999992E-2</v>
      </c>
      <c r="AF15" s="106">
        <v>9.9999999999999992E-2</v>
      </c>
      <c r="AG15" s="106">
        <v>9.9999999999999992E-2</v>
      </c>
      <c r="AH15" s="106">
        <v>9.9999999999999992E-2</v>
      </c>
      <c r="AI15" s="106">
        <v>9.9999999999999992E-2</v>
      </c>
      <c r="AJ15" s="106">
        <v>9.9999999999999992E-2</v>
      </c>
      <c r="AK15" s="106">
        <v>9.9999999999999992E-2</v>
      </c>
      <c r="AL15" s="106">
        <v>9.9999999999999992E-2</v>
      </c>
      <c r="AM15" s="106">
        <v>9.9999999999999992E-2</v>
      </c>
      <c r="AN15" s="106">
        <v>9.9999999999999992E-2</v>
      </c>
    </row>
    <row r="16" spans="1:40" hidden="1" outlineLevel="1" x14ac:dyDescent="0.25">
      <c r="B16" s="39" t="str">
        <v>Center Marketing Outreach</v>
      </c>
      <c r="C16" s="3"/>
      <c r="D16" s="3"/>
      <c r="E16" s="106">
        <v>0.08</v>
      </c>
      <c r="F16" s="106">
        <v>0.08</v>
      </c>
      <c r="G16" s="106">
        <v>0.09</v>
      </c>
      <c r="H16" s="106">
        <v>9.9999999999999992E-2</v>
      </c>
      <c r="I16" s="106">
        <v>9.9999999999999992E-2</v>
      </c>
      <c r="J16" s="106">
        <v>9.9999999999999992E-2</v>
      </c>
      <c r="K16" s="106">
        <v>9.9999999999999992E-2</v>
      </c>
      <c r="L16" s="106">
        <v>9.9999999999999992E-2</v>
      </c>
      <c r="M16" s="106">
        <v>9.9999999999999992E-2</v>
      </c>
      <c r="N16" s="106">
        <v>9.9999999999999992E-2</v>
      </c>
      <c r="O16" s="106">
        <v>9.9999999999999992E-2</v>
      </c>
      <c r="P16" s="106">
        <v>9.9999999999999992E-2</v>
      </c>
      <c r="Q16" s="106">
        <v>9.9999999999999992E-2</v>
      </c>
      <c r="R16" s="106">
        <v>9.9999999999999992E-2</v>
      </c>
      <c r="S16" s="106">
        <v>9.9999999999999992E-2</v>
      </c>
      <c r="T16" s="106">
        <v>9.9999999999999992E-2</v>
      </c>
      <c r="U16" s="106">
        <v>9.9999999999999992E-2</v>
      </c>
      <c r="V16" s="106">
        <v>9.9999999999999992E-2</v>
      </c>
      <c r="W16" s="106">
        <v>9.9999999999999992E-2</v>
      </c>
      <c r="X16" s="106">
        <v>9.9999999999999992E-2</v>
      </c>
      <c r="Y16" s="106">
        <v>9.9999999999999992E-2</v>
      </c>
      <c r="Z16" s="106">
        <v>9.9999999999999992E-2</v>
      </c>
      <c r="AA16" s="106">
        <v>9.9999999999999992E-2</v>
      </c>
      <c r="AB16" s="106">
        <v>9.9999999999999992E-2</v>
      </c>
      <c r="AC16" s="106">
        <v>9.9999999999999992E-2</v>
      </c>
      <c r="AD16" s="106">
        <v>9.9999999999999992E-2</v>
      </c>
      <c r="AE16" s="106">
        <v>9.9999999999999992E-2</v>
      </c>
      <c r="AF16" s="106">
        <v>9.9999999999999992E-2</v>
      </c>
      <c r="AG16" s="106">
        <v>9.9999999999999992E-2</v>
      </c>
      <c r="AH16" s="106">
        <v>9.9999999999999992E-2</v>
      </c>
      <c r="AI16" s="106">
        <v>9.9999999999999992E-2</v>
      </c>
      <c r="AJ16" s="106">
        <v>9.9999999999999992E-2</v>
      </c>
      <c r="AK16" s="106">
        <v>9.9999999999999992E-2</v>
      </c>
      <c r="AL16" s="106">
        <v>9.9999999999999992E-2</v>
      </c>
      <c r="AM16" s="106">
        <v>9.9999999999999992E-2</v>
      </c>
      <c r="AN16" s="106">
        <v>9.9999999999999992E-2</v>
      </c>
    </row>
    <row r="17" spans="2:50" hidden="1" outlineLevel="1" x14ac:dyDescent="0.25">
      <c r="B17" s="39" t="str">
        <v>Primary Direct Staff Lead</v>
      </c>
      <c r="C17" s="3"/>
      <c r="D17" s="3"/>
      <c r="E17" s="106">
        <v>0</v>
      </c>
      <c r="F17" s="106">
        <v>0</v>
      </c>
      <c r="G17" s="106">
        <v>0</v>
      </c>
      <c r="H17" s="106">
        <v>0</v>
      </c>
      <c r="I17" s="106">
        <v>0</v>
      </c>
      <c r="J17" s="106">
        <v>0</v>
      </c>
      <c r="K17" s="106">
        <v>0</v>
      </c>
      <c r="L17" s="106">
        <v>0</v>
      </c>
      <c r="M17" s="106">
        <v>0</v>
      </c>
      <c r="N17" s="106">
        <v>0</v>
      </c>
      <c r="O17" s="106">
        <v>0</v>
      </c>
      <c r="P17" s="106">
        <v>0</v>
      </c>
      <c r="Q17" s="106">
        <v>0</v>
      </c>
      <c r="R17" s="106">
        <v>0</v>
      </c>
      <c r="S17" s="106">
        <v>0</v>
      </c>
      <c r="T17" s="106">
        <v>0</v>
      </c>
      <c r="U17" s="106">
        <v>0</v>
      </c>
      <c r="V17" s="106">
        <v>0</v>
      </c>
      <c r="W17" s="106">
        <v>0</v>
      </c>
      <c r="X17" s="106">
        <v>0</v>
      </c>
      <c r="Y17" s="106">
        <v>0</v>
      </c>
      <c r="Z17" s="106">
        <v>0</v>
      </c>
      <c r="AA17" s="106">
        <v>0</v>
      </c>
      <c r="AB17" s="106">
        <v>0</v>
      </c>
      <c r="AC17" s="106">
        <v>0</v>
      </c>
      <c r="AD17" s="106">
        <v>0</v>
      </c>
      <c r="AE17" s="106">
        <v>0</v>
      </c>
      <c r="AF17" s="106">
        <v>0</v>
      </c>
      <c r="AG17" s="106">
        <v>0</v>
      </c>
      <c r="AH17" s="106">
        <v>0</v>
      </c>
      <c r="AI17" s="106">
        <v>0</v>
      </c>
      <c r="AJ17" s="106">
        <v>0</v>
      </c>
      <c r="AK17" s="106">
        <v>0</v>
      </c>
      <c r="AL17" s="106">
        <v>0</v>
      </c>
      <c r="AM17" s="106">
        <v>0</v>
      </c>
      <c r="AN17" s="106">
        <v>0</v>
      </c>
    </row>
    <row r="18" spans="2:50" hidden="1" outlineLevel="1" x14ac:dyDescent="0.25">
      <c r="B18" s="39" t="str">
        <v>Tertiary Direct Staff</v>
      </c>
      <c r="C18" s="3"/>
      <c r="D18" s="3"/>
      <c r="E18" s="106">
        <v>0</v>
      </c>
      <c r="F18" s="106">
        <v>0</v>
      </c>
      <c r="G18" s="106">
        <v>0</v>
      </c>
      <c r="H18" s="106">
        <v>0</v>
      </c>
      <c r="I18" s="106">
        <v>0</v>
      </c>
      <c r="J18" s="106">
        <v>0</v>
      </c>
      <c r="K18" s="106">
        <v>0</v>
      </c>
      <c r="L18" s="106">
        <v>0</v>
      </c>
      <c r="M18" s="106">
        <v>0</v>
      </c>
      <c r="N18" s="106">
        <v>0</v>
      </c>
      <c r="O18" s="106">
        <v>0</v>
      </c>
      <c r="P18" s="106">
        <v>0</v>
      </c>
      <c r="Q18" s="106">
        <v>0</v>
      </c>
      <c r="R18" s="106">
        <v>0</v>
      </c>
      <c r="S18" s="106">
        <v>0</v>
      </c>
      <c r="T18" s="106">
        <v>0</v>
      </c>
      <c r="U18" s="106">
        <v>0</v>
      </c>
      <c r="V18" s="106">
        <v>0</v>
      </c>
      <c r="W18" s="106">
        <v>0</v>
      </c>
      <c r="X18" s="106">
        <v>0</v>
      </c>
      <c r="Y18" s="106">
        <v>0</v>
      </c>
      <c r="Z18" s="106">
        <v>0</v>
      </c>
      <c r="AA18" s="106">
        <v>0</v>
      </c>
      <c r="AB18" s="106">
        <v>0</v>
      </c>
      <c r="AC18" s="106">
        <v>0</v>
      </c>
      <c r="AD18" s="106">
        <v>0</v>
      </c>
      <c r="AE18" s="106">
        <v>0</v>
      </c>
      <c r="AF18" s="106">
        <v>0</v>
      </c>
      <c r="AG18" s="106">
        <v>0</v>
      </c>
      <c r="AH18" s="106">
        <v>0</v>
      </c>
      <c r="AI18" s="106">
        <v>0</v>
      </c>
      <c r="AJ18" s="106">
        <v>0</v>
      </c>
      <c r="AK18" s="106">
        <v>0</v>
      </c>
      <c r="AL18" s="106">
        <v>0</v>
      </c>
      <c r="AM18" s="106">
        <v>0</v>
      </c>
      <c r="AN18" s="106">
        <v>0</v>
      </c>
    </row>
    <row r="19" spans="2:50" hidden="1" outlineLevel="1" x14ac:dyDescent="0.25">
      <c r="B19" s="39" t="str">
        <v>Quinary Direct Staff</v>
      </c>
      <c r="C19" s="3"/>
      <c r="D19" s="3"/>
      <c r="E19" s="106">
        <v>0</v>
      </c>
      <c r="F19" s="106">
        <v>0</v>
      </c>
      <c r="G19" s="106">
        <v>0</v>
      </c>
      <c r="H19" s="106">
        <v>0</v>
      </c>
      <c r="I19" s="106">
        <v>0</v>
      </c>
      <c r="J19" s="106">
        <v>0</v>
      </c>
      <c r="K19" s="106">
        <v>0</v>
      </c>
      <c r="L19" s="106">
        <v>0</v>
      </c>
      <c r="M19" s="106">
        <v>0</v>
      </c>
      <c r="N19" s="106">
        <v>0</v>
      </c>
      <c r="O19" s="106">
        <v>0</v>
      </c>
      <c r="P19" s="106">
        <v>0</v>
      </c>
      <c r="Q19" s="106">
        <v>0</v>
      </c>
      <c r="R19" s="106">
        <v>0</v>
      </c>
      <c r="S19" s="106">
        <v>0</v>
      </c>
      <c r="T19" s="106">
        <v>0</v>
      </c>
      <c r="U19" s="106">
        <v>0</v>
      </c>
      <c r="V19" s="106">
        <v>0</v>
      </c>
      <c r="W19" s="106">
        <v>0</v>
      </c>
      <c r="X19" s="106">
        <v>0</v>
      </c>
      <c r="Y19" s="106">
        <v>0</v>
      </c>
      <c r="Z19" s="106">
        <v>0</v>
      </c>
      <c r="AA19" s="106">
        <v>0</v>
      </c>
      <c r="AB19" s="106">
        <v>0</v>
      </c>
      <c r="AC19" s="106">
        <v>0</v>
      </c>
      <c r="AD19" s="106">
        <v>0</v>
      </c>
      <c r="AE19" s="106">
        <v>0</v>
      </c>
      <c r="AF19" s="106">
        <v>0</v>
      </c>
      <c r="AG19" s="106">
        <v>0</v>
      </c>
      <c r="AH19" s="106">
        <v>0</v>
      </c>
      <c r="AI19" s="106">
        <v>0</v>
      </c>
      <c r="AJ19" s="106">
        <v>0</v>
      </c>
      <c r="AK19" s="106">
        <v>0</v>
      </c>
      <c r="AL19" s="106">
        <v>0</v>
      </c>
      <c r="AM19" s="106">
        <v>0</v>
      </c>
      <c r="AN19" s="106">
        <v>0</v>
      </c>
    </row>
    <row r="20" spans="2:50" hidden="1" outlineLevel="1" x14ac:dyDescent="0.25">
      <c r="B20" s="39" t="str">
        <v>Quaternary Direct Staff</v>
      </c>
      <c r="C20" s="3"/>
      <c r="D20" s="3"/>
      <c r="E20" s="106">
        <v>0</v>
      </c>
      <c r="F20" s="106">
        <v>0</v>
      </c>
      <c r="G20" s="106">
        <v>0</v>
      </c>
      <c r="H20" s="106">
        <v>0</v>
      </c>
      <c r="I20" s="106">
        <v>0</v>
      </c>
      <c r="J20" s="106">
        <v>0</v>
      </c>
      <c r="K20" s="106">
        <v>0</v>
      </c>
      <c r="L20" s="106">
        <v>0</v>
      </c>
      <c r="M20" s="106">
        <v>0</v>
      </c>
      <c r="N20" s="106">
        <v>0</v>
      </c>
      <c r="O20" s="106">
        <v>0</v>
      </c>
      <c r="P20" s="106">
        <v>0</v>
      </c>
      <c r="Q20" s="106">
        <v>0</v>
      </c>
      <c r="R20" s="106">
        <v>0</v>
      </c>
      <c r="S20" s="106">
        <v>0</v>
      </c>
      <c r="T20" s="106">
        <v>0</v>
      </c>
      <c r="U20" s="106">
        <v>0</v>
      </c>
      <c r="V20" s="106">
        <v>0</v>
      </c>
      <c r="W20" s="106">
        <v>0</v>
      </c>
      <c r="X20" s="106">
        <v>0</v>
      </c>
      <c r="Y20" s="106">
        <v>0</v>
      </c>
      <c r="Z20" s="106">
        <v>0</v>
      </c>
      <c r="AA20" s="106">
        <v>0</v>
      </c>
      <c r="AB20" s="106">
        <v>0</v>
      </c>
      <c r="AC20" s="106">
        <v>0</v>
      </c>
      <c r="AD20" s="106">
        <v>0</v>
      </c>
      <c r="AE20" s="106">
        <v>0</v>
      </c>
      <c r="AF20" s="106">
        <v>0</v>
      </c>
      <c r="AG20" s="106">
        <v>0</v>
      </c>
      <c r="AH20" s="106">
        <v>0</v>
      </c>
      <c r="AI20" s="106">
        <v>0</v>
      </c>
      <c r="AJ20" s="106">
        <v>0</v>
      </c>
      <c r="AK20" s="106">
        <v>0</v>
      </c>
      <c r="AL20" s="106">
        <v>0</v>
      </c>
      <c r="AM20" s="106">
        <v>0</v>
      </c>
      <c r="AN20" s="106">
        <v>0</v>
      </c>
    </row>
    <row r="21" spans="2:50" collapsed="1" x14ac:dyDescent="0.25">
      <c r="B21" s="39" t="s">
        <v>389</v>
      </c>
      <c r="C21" s="3"/>
      <c r="D21" s="5"/>
      <c r="E21" s="117" cm="1">
        <f t="array" ref="E21:AN21">ROUND(_xlfn.BYCOL(_xlfn.CHOOSEROWS(_xlfn.ANCHORARRAY(E7),1,2),_xlfn.LAMBDA(_xlpm.col,SUM(_xlpm.col))),0)</f>
        <v>10</v>
      </c>
      <c r="F21" s="117">
        <v>11</v>
      </c>
      <c r="G21" s="117">
        <v>12</v>
      </c>
      <c r="H21" s="117">
        <v>13</v>
      </c>
      <c r="I21" s="117">
        <v>13</v>
      </c>
      <c r="J21" s="117">
        <v>13</v>
      </c>
      <c r="K21" s="117">
        <v>13</v>
      </c>
      <c r="L21" s="117">
        <v>13</v>
      </c>
      <c r="M21" s="117">
        <v>13</v>
      </c>
      <c r="N21" s="117">
        <v>13</v>
      </c>
      <c r="O21" s="117">
        <v>13</v>
      </c>
      <c r="P21" s="117">
        <v>13</v>
      </c>
      <c r="Q21" s="117">
        <v>13</v>
      </c>
      <c r="R21" s="117">
        <v>13</v>
      </c>
      <c r="S21" s="117">
        <v>13</v>
      </c>
      <c r="T21" s="117">
        <v>13</v>
      </c>
      <c r="U21" s="117">
        <v>13</v>
      </c>
      <c r="V21" s="117">
        <v>13</v>
      </c>
      <c r="W21" s="117">
        <v>13</v>
      </c>
      <c r="X21" s="117">
        <v>13</v>
      </c>
      <c r="Y21" s="117">
        <v>13</v>
      </c>
      <c r="Z21" s="117">
        <v>13</v>
      </c>
      <c r="AA21" s="117">
        <v>13</v>
      </c>
      <c r="AB21" s="117">
        <v>13</v>
      </c>
      <c r="AC21" s="117">
        <v>13</v>
      </c>
      <c r="AD21" s="117">
        <v>13</v>
      </c>
      <c r="AE21" s="117">
        <v>13</v>
      </c>
      <c r="AF21" s="117">
        <v>13</v>
      </c>
      <c r="AG21" s="117">
        <v>13</v>
      </c>
      <c r="AH21" s="117">
        <v>13</v>
      </c>
      <c r="AI21" s="117">
        <v>13</v>
      </c>
      <c r="AJ21" s="117">
        <v>13</v>
      </c>
      <c r="AK21" s="117">
        <v>13</v>
      </c>
      <c r="AL21" s="117">
        <v>13</v>
      </c>
      <c r="AM21" s="117">
        <v>13</v>
      </c>
      <c r="AN21" s="117">
        <v>13</v>
      </c>
    </row>
    <row r="22" spans="2:50" x14ac:dyDescent="0.25">
      <c r="B22" s="2" t="s">
        <v>394</v>
      </c>
      <c r="C22" s="3"/>
      <c r="D22" s="77">
        <f>MAX(_xlfn.ANCHORARRAY(E22))</f>
        <v>174.55720170454543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169.4730113636364</v>
      </c>
      <c r="F22" s="78">
        <v>169.47301136363637</v>
      </c>
      <c r="G22" s="78">
        <v>169.47301136363635</v>
      </c>
      <c r="H22" s="78">
        <v>169.47301136363637</v>
      </c>
      <c r="I22" s="78">
        <v>169.47301136363637</v>
      </c>
      <c r="J22" s="78">
        <v>169.47301136363637</v>
      </c>
      <c r="K22" s="78">
        <v>169.47301136363637</v>
      </c>
      <c r="L22" s="78">
        <v>169.47301136363637</v>
      </c>
      <c r="M22" s="78">
        <v>169.47301136363637</v>
      </c>
      <c r="N22" s="78">
        <v>169.47301136363637</v>
      </c>
      <c r="O22" s="78">
        <v>169.47301136363637</v>
      </c>
      <c r="P22" s="78">
        <v>169.47301136363637</v>
      </c>
      <c r="Q22" s="78">
        <v>174.55720170454543</v>
      </c>
      <c r="R22" s="78">
        <v>174.55720170454543</v>
      </c>
      <c r="S22" s="78">
        <v>174.55720170454543</v>
      </c>
      <c r="T22" s="78">
        <v>174.55720170454543</v>
      </c>
      <c r="U22" s="78">
        <v>174.55720170454543</v>
      </c>
      <c r="V22" s="78">
        <v>174.55720170454543</v>
      </c>
      <c r="W22" s="78">
        <v>174.55720170454543</v>
      </c>
      <c r="X22" s="78">
        <v>174.55720170454543</v>
      </c>
      <c r="Y22" s="78">
        <v>174.55720170454543</v>
      </c>
      <c r="Z22" s="78">
        <v>174.55720170454543</v>
      </c>
      <c r="AA22" s="78">
        <v>174.55720170454543</v>
      </c>
      <c r="AB22" s="78">
        <v>174.55720170454543</v>
      </c>
      <c r="AC22" s="78">
        <v>174.55720170454543</v>
      </c>
      <c r="AD22" s="78">
        <v>174.55720170454543</v>
      </c>
      <c r="AE22" s="78">
        <v>174.55720170454543</v>
      </c>
      <c r="AF22" s="78">
        <v>174.55720170454543</v>
      </c>
      <c r="AG22" s="78">
        <v>174.55720170454543</v>
      </c>
      <c r="AH22" s="78">
        <v>174.55720170454543</v>
      </c>
      <c r="AI22" s="78">
        <v>174.55720170454543</v>
      </c>
      <c r="AJ22" s="78">
        <v>174.55720170454543</v>
      </c>
      <c r="AK22" s="78">
        <v>174.55720170454543</v>
      </c>
      <c r="AL22" s="78">
        <v>174.55720170454543</v>
      </c>
      <c r="AM22" s="78">
        <v>174.55720170454543</v>
      </c>
      <c r="AN22" s="78">
        <v>174.55720170454543</v>
      </c>
    </row>
    <row r="23" spans="2:50" x14ac:dyDescent="0.25">
      <c r="B23" s="2" t="s">
        <v>53</v>
      </c>
      <c r="C23" s="3"/>
      <c r="D23" s="72"/>
      <c r="E23" s="52" cm="1">
        <f t="array" ref="E23:AN23">_xlfn.LET(_xlpm.site,$B$1&amp;"-"&amp;$C$1,_xlpm.locations,Base!$D$4:$BD$4,_xlpm.Customer,_xlfn.ANCHORARRAY(E1),_xlpm.hours,SUM(_xlfn.XLOOKUP(_xlpm.site,_xlpm.locations,Base!$D$74:$BD$78,0,0)),
_xlpm.collection,1-_xlfn.XLOOKUP(_xlpm.site,_xlpm.locations,Base!$D$26:$BD$26,0,0),
_xlpm.Customer*_xlpm.hours*_xlpm.collection*(52/12))</f>
        <v>929.27999999999986</v>
      </c>
      <c r="F23" s="52">
        <v>1032.5333333333333</v>
      </c>
      <c r="G23" s="52">
        <v>1135.7866666666666</v>
      </c>
      <c r="H23" s="52">
        <v>1239.04</v>
      </c>
      <c r="I23" s="52">
        <v>1239.04</v>
      </c>
      <c r="J23" s="52">
        <v>1239.04</v>
      </c>
      <c r="K23" s="52">
        <v>1239.04</v>
      </c>
      <c r="L23" s="52">
        <v>1239.04</v>
      </c>
      <c r="M23" s="52">
        <v>1239.04</v>
      </c>
      <c r="N23" s="52">
        <v>1239.04</v>
      </c>
      <c r="O23" s="52">
        <v>1239.04</v>
      </c>
      <c r="P23" s="52">
        <v>1239.04</v>
      </c>
      <c r="Q23" s="52">
        <v>1239.04</v>
      </c>
      <c r="R23" s="52">
        <v>1239.04</v>
      </c>
      <c r="S23" s="52">
        <v>1239.04</v>
      </c>
      <c r="T23" s="52">
        <v>1239.04</v>
      </c>
      <c r="U23" s="52">
        <v>1239.04</v>
      </c>
      <c r="V23" s="52">
        <v>1239.04</v>
      </c>
      <c r="W23" s="52">
        <v>1239.04</v>
      </c>
      <c r="X23" s="52">
        <v>1239.04</v>
      </c>
      <c r="Y23" s="52">
        <v>1239.04</v>
      </c>
      <c r="Z23" s="52">
        <v>1239.04</v>
      </c>
      <c r="AA23" s="52">
        <v>1239.04</v>
      </c>
      <c r="AB23" s="52">
        <v>1239.04</v>
      </c>
      <c r="AC23" s="52">
        <v>1239.04</v>
      </c>
      <c r="AD23" s="52">
        <v>1239.04</v>
      </c>
      <c r="AE23" s="52">
        <v>1239.04</v>
      </c>
      <c r="AF23" s="52">
        <v>1239.04</v>
      </c>
      <c r="AG23" s="52">
        <v>1239.04</v>
      </c>
      <c r="AH23" s="52">
        <v>1239.04</v>
      </c>
      <c r="AI23" s="52">
        <v>1239.04</v>
      </c>
      <c r="AJ23" s="52">
        <v>1239.04</v>
      </c>
      <c r="AK23" s="52">
        <v>1239.04</v>
      </c>
      <c r="AL23" s="52">
        <v>1239.04</v>
      </c>
      <c r="AM23" s="52">
        <v>1239.04</v>
      </c>
      <c r="AN23" s="52">
        <v>1239.04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21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_xlfn.LET(_xlpm.site,$B$1&amp;"-"&amp;$C$1,_xlpm.locations,Base!$D$4:$BD$4,_xlpm.rates,Base!$D31:$BD31,_xlpm.hours,Base!$D74:$BD74,_xlpm.comp,_xlpm.rates*_xlpm.hours,_xlpm.Customer,_xlfn.ANCHORARRAY($E$1),
_xlpm.Customer_comp,_xlfn.XLOOKUP(_xlpm.site,_xlpm.locations,_xlpm.comp,0,0),_xlpm.ann_incr,_xlfn.XLOOKUP(YEAR(_xlfn.ANCHORARRAY($E$25)),Base!$BJ$4:$BL$4,Base!$BJ74:$BL74,0,0),
_xlpm.bad_debt,_xlfn.XLOOKUP(_xlpm.site,_xlpm.locations,Base!$D$28:$BD$28,0,0),_xlpm.Customer_comp*_xlpm.Customer*_xlpm.bad_debt*_xlpm.ann_incr*(52/12))</f>
        <v>142497.41999999998</v>
      </c>
      <c r="F26" s="12">
        <v>158330.46666666665</v>
      </c>
      <c r="G26" s="12">
        <v>174163.51333333331</v>
      </c>
      <c r="H26" s="12">
        <v>189996.56</v>
      </c>
      <c r="I26" s="12">
        <v>189996.56</v>
      </c>
      <c r="J26" s="12">
        <v>189996.56</v>
      </c>
      <c r="K26" s="12">
        <v>189996.56</v>
      </c>
      <c r="L26" s="12">
        <v>189996.56</v>
      </c>
      <c r="M26" s="12">
        <v>189996.56</v>
      </c>
      <c r="N26" s="12">
        <v>189996.56</v>
      </c>
      <c r="O26" s="12">
        <v>189996.56</v>
      </c>
      <c r="P26" s="12">
        <v>189996.56</v>
      </c>
      <c r="Q26" s="12">
        <v>195696.45679999999</v>
      </c>
      <c r="R26" s="12">
        <v>195696.45679999999</v>
      </c>
      <c r="S26" s="12">
        <v>195696.45679999999</v>
      </c>
      <c r="T26" s="12">
        <v>195696.45679999999</v>
      </c>
      <c r="U26" s="12">
        <v>195696.45679999999</v>
      </c>
      <c r="V26" s="12">
        <v>195696.45679999999</v>
      </c>
      <c r="W26" s="12">
        <v>195696.45679999999</v>
      </c>
      <c r="X26" s="12">
        <v>195696.45679999999</v>
      </c>
      <c r="Y26" s="12">
        <v>195696.45679999999</v>
      </c>
      <c r="Z26" s="12">
        <v>195696.45679999999</v>
      </c>
      <c r="AA26" s="12">
        <v>195696.45679999999</v>
      </c>
      <c r="AB26" s="12">
        <v>195696.45679999999</v>
      </c>
      <c r="AC26" s="12">
        <v>195696.45679999999</v>
      </c>
      <c r="AD26" s="12">
        <v>195696.45679999999</v>
      </c>
      <c r="AE26" s="12">
        <v>195696.45679999999</v>
      </c>
      <c r="AF26" s="12">
        <v>195696.45679999999</v>
      </c>
      <c r="AG26" s="12">
        <v>195696.45679999999</v>
      </c>
      <c r="AH26" s="12">
        <v>195696.45679999999</v>
      </c>
      <c r="AI26" s="12">
        <v>195696.45679999999</v>
      </c>
      <c r="AJ26" s="12">
        <v>195696.45679999999</v>
      </c>
      <c r="AK26" s="12">
        <v>195696.45679999999</v>
      </c>
      <c r="AL26" s="12">
        <v>195696.45679999999</v>
      </c>
      <c r="AM26" s="12">
        <v>195696.45679999999</v>
      </c>
      <c r="AN26" s="12">
        <v>195696.45679999999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_xlfn.LET(_xlpm.site,$B$1&amp;"-"&amp;$C$1,_xlpm.locations,Base!$D$4:$BD$4,_xlpm.rates,Base!$D32:$BD32,_xlpm.hours,Base!$D75:$BD75,_xlpm.comp,_xlpm.rates*_xlpm.hours,_xlpm.Customer,_xlfn.ANCHORARRAY($E$1),
_xlpm.Customer_comp,_xlfn.XLOOKUP(_xlpm.site,_xlpm.locations,_xlpm.comp,0,0),_xlpm.ann_incr,_xlfn.XLOOKUP(YEAR(_xlfn.ANCHORARRAY($E$25)),Base!$BJ$4:$BL$4,Base!$BJ75:$BL75,0,0),
_xlpm.bad_debt,_xlfn.XLOOKUP(_xlpm.site,_xlpm.locations,Base!$D$28:$BD$28,0,0),_xlpm.Customer_comp*_xlpm.Customer*_xlpm.bad_debt*_xlpm.ann_incr*(52/12))</f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12">
        <v>0</v>
      </c>
      <c r="AA27" s="12">
        <v>0</v>
      </c>
      <c r="AB27" s="12">
        <v>0</v>
      </c>
      <c r="AC27" s="12">
        <v>0</v>
      </c>
      <c r="AD27" s="12">
        <v>0</v>
      </c>
      <c r="AE27" s="12">
        <v>0</v>
      </c>
      <c r="AF27" s="12">
        <v>0</v>
      </c>
      <c r="AG27" s="12">
        <v>0</v>
      </c>
      <c r="AH27" s="12">
        <v>0</v>
      </c>
      <c r="AI27" s="12">
        <v>0</v>
      </c>
      <c r="AJ27" s="12">
        <v>0</v>
      </c>
      <c r="AK27" s="12">
        <v>0</v>
      </c>
      <c r="AL27" s="12">
        <v>0</v>
      </c>
      <c r="AM27" s="12">
        <v>0</v>
      </c>
      <c r="AN27" s="12">
        <v>0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_xlfn.LET(_xlpm.site,$B$1&amp;"-"&amp;$C$1,_xlpm.locations,Base!$D$4:$BD$4,_xlpm.rates,Base!$D33:$BD33,_xlpm.hours,Base!$D76:$BD76,_xlpm.comp,_xlpm.rates*_xlpm.hours,_xlpm.Customer,_xlfn.ANCHORARRAY($E$1),
_xlpm.Customer_comp,_xlfn.XLOOKUP(_xlpm.site,_xlpm.locations,_xlpm.comp,0,0),_xlpm.ann_incr,_xlfn.XLOOKUP(YEAR(_xlfn.ANCHORARRAY($E$25)),Base!$BJ$4:$BL$4,Base!$BJ76:$BL76,0,0),
_xlpm.bad_debt,_xlfn.XLOOKUP(_xlpm.site,_xlpm.locations,Base!$D$28:$BD$28,0,0),_xlpm.Customer_comp*_xlpm.Customer*_xlpm.bad_debt*_xlpm.ann_incr*(52/12))</f>
        <v>18993.545999999995</v>
      </c>
      <c r="F28" s="12">
        <v>21103.939999999991</v>
      </c>
      <c r="G28" s="12">
        <v>23214.333999999992</v>
      </c>
      <c r="H28" s="12">
        <v>25324.727999999992</v>
      </c>
      <c r="I28" s="12">
        <v>25324.727999999992</v>
      </c>
      <c r="J28" s="12">
        <v>25324.727999999992</v>
      </c>
      <c r="K28" s="12">
        <v>25324.727999999992</v>
      </c>
      <c r="L28" s="12">
        <v>25324.727999999992</v>
      </c>
      <c r="M28" s="12">
        <v>25324.727999999992</v>
      </c>
      <c r="N28" s="12">
        <v>25324.727999999992</v>
      </c>
      <c r="O28" s="12">
        <v>25324.727999999992</v>
      </c>
      <c r="P28" s="12">
        <v>25324.727999999992</v>
      </c>
      <c r="Q28" s="12">
        <v>26084.469839999991</v>
      </c>
      <c r="R28" s="12">
        <v>26084.469839999991</v>
      </c>
      <c r="S28" s="12">
        <v>26084.469839999991</v>
      </c>
      <c r="T28" s="12">
        <v>26084.469839999991</v>
      </c>
      <c r="U28" s="12">
        <v>26084.469839999991</v>
      </c>
      <c r="V28" s="12">
        <v>26084.469839999991</v>
      </c>
      <c r="W28" s="12">
        <v>26084.469839999991</v>
      </c>
      <c r="X28" s="12">
        <v>26084.469839999991</v>
      </c>
      <c r="Y28" s="12">
        <v>26084.469839999991</v>
      </c>
      <c r="Z28" s="12">
        <v>26084.469839999991</v>
      </c>
      <c r="AA28" s="12">
        <v>26084.469839999991</v>
      </c>
      <c r="AB28" s="12">
        <v>26084.469839999991</v>
      </c>
      <c r="AC28" s="12">
        <v>26084.469839999991</v>
      </c>
      <c r="AD28" s="12">
        <v>26084.469839999991</v>
      </c>
      <c r="AE28" s="12">
        <v>26084.469839999991</v>
      </c>
      <c r="AF28" s="12">
        <v>26084.469839999991</v>
      </c>
      <c r="AG28" s="12">
        <v>26084.469839999991</v>
      </c>
      <c r="AH28" s="12">
        <v>26084.469839999991</v>
      </c>
      <c r="AI28" s="12">
        <v>26084.469839999991</v>
      </c>
      <c r="AJ28" s="12">
        <v>26084.469839999991</v>
      </c>
      <c r="AK28" s="12">
        <v>26084.469839999991</v>
      </c>
      <c r="AL28" s="12">
        <v>26084.469839999991</v>
      </c>
      <c r="AM28" s="12">
        <v>26084.469839999991</v>
      </c>
      <c r="AN28" s="12">
        <v>26084.469839999991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_xlfn.LET(_xlpm.site,$B$1&amp;"-"&amp;$C$1,_xlpm.locations,Base!$D$4:$BD$4,_xlpm.rates,Base!$D34:$BD34,_xlpm.hours,Base!$D77:$BD77,_xlpm.comp,_xlpm.rates*_xlpm.hours,_xlpm.Customer,_xlfn.ANCHORARRAY($E$1),
_xlpm.Customer_comp,_xlfn.XLOOKUP(_xlpm.site,_xlpm.locations,_xlpm.comp,0,0),_xlpm.ann_incr,_xlfn.XLOOKUP(YEAR(_xlfn.ANCHORARRAY($E$25)),Base!$BJ$4:$BL$4,Base!$BJ77:$BL77,0,0),
_xlpm.bad_debt,_xlfn.XLOOKUP(_xlpm.site,_xlpm.locations,Base!$D$28:$BD$28,0,0),_xlpm.Customer_comp*_xlpm.Customer*_xlpm.bad_debt*_xlpm.ann_incr*(52/12))</f>
        <v>2922.0840000000003</v>
      </c>
      <c r="F29" s="12">
        <v>3246.7599999999998</v>
      </c>
      <c r="G29" s="12">
        <v>3571.4359999999997</v>
      </c>
      <c r="H29" s="12">
        <v>3896.1119999999996</v>
      </c>
      <c r="I29" s="12">
        <v>3896.1119999999996</v>
      </c>
      <c r="J29" s="12">
        <v>3896.1119999999996</v>
      </c>
      <c r="K29" s="12">
        <v>3896.1119999999996</v>
      </c>
      <c r="L29" s="12">
        <v>3896.1119999999996</v>
      </c>
      <c r="M29" s="12">
        <v>3896.1119999999996</v>
      </c>
      <c r="N29" s="12">
        <v>3896.1119999999996</v>
      </c>
      <c r="O29" s="12">
        <v>3896.1119999999996</v>
      </c>
      <c r="P29" s="12">
        <v>3896.1119999999996</v>
      </c>
      <c r="Q29" s="12">
        <v>4012.9953599999999</v>
      </c>
      <c r="R29" s="12">
        <v>4012.9953599999999</v>
      </c>
      <c r="S29" s="12">
        <v>4012.9953599999999</v>
      </c>
      <c r="T29" s="12">
        <v>4012.9953599999999</v>
      </c>
      <c r="U29" s="12">
        <v>4012.9953599999999</v>
      </c>
      <c r="V29" s="12">
        <v>4012.9953599999999</v>
      </c>
      <c r="W29" s="12">
        <v>4012.9953599999999</v>
      </c>
      <c r="X29" s="12">
        <v>4012.9953599999999</v>
      </c>
      <c r="Y29" s="12">
        <v>4012.9953599999999</v>
      </c>
      <c r="Z29" s="12">
        <v>4012.9953599999999</v>
      </c>
      <c r="AA29" s="12">
        <v>4012.9953599999999</v>
      </c>
      <c r="AB29" s="12">
        <v>4012.9953599999999</v>
      </c>
      <c r="AC29" s="12">
        <v>4012.9953599999999</v>
      </c>
      <c r="AD29" s="12">
        <v>4012.9953599999999</v>
      </c>
      <c r="AE29" s="12">
        <v>4012.9953599999999</v>
      </c>
      <c r="AF29" s="12">
        <v>4012.9953599999999</v>
      </c>
      <c r="AG29" s="12">
        <v>4012.9953599999999</v>
      </c>
      <c r="AH29" s="12">
        <v>4012.9953599999999</v>
      </c>
      <c r="AI29" s="12">
        <v>4012.9953599999999</v>
      </c>
      <c r="AJ29" s="12">
        <v>4012.9953599999999</v>
      </c>
      <c r="AK29" s="12">
        <v>4012.9953599999999</v>
      </c>
      <c r="AL29" s="12">
        <v>4012.9953599999999</v>
      </c>
      <c r="AM29" s="12">
        <v>4012.9953599999999</v>
      </c>
      <c r="AN29" s="12">
        <v>4012.9953599999999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_xlfn.LET(_xlpm.site,$B$1&amp;"-"&amp;$C$1,_xlpm.locations,Base!$D$4:$BD$4,_xlpm.rates,Base!$D35:$BD35,_xlpm.hours,Base!$D78:$BD78,_xlpm.comp,_xlpm.rates*_xlpm.hours,_xlpm.Customer,_xlfn.ANCHORARRAY($E$1),
_xlpm.Customer_comp,_xlfn.XLOOKUP(_xlpm.site,_xlpm.locations,_xlpm.comp,0,0),_xlpm.ann_incr,_xlfn.XLOOKUP(YEAR(_xlfn.ANCHORARRAY($E$25)),Base!$BJ$4:$BL$4,Base!$BJ78:$BL78,0,0),
_xlpm.bad_debt,_xlfn.XLOOKUP(_xlpm.site,_xlpm.locations,Base!$D$28:$BD$28,0,0),_xlpm.Customer_comp*_xlpm.Customer*_xlpm.bad_debt*_xlpm.ann_incr*(52/12))</f>
        <v>3812.6399999999994</v>
      </c>
      <c r="F30" s="12">
        <v>4236.2666666666664</v>
      </c>
      <c r="G30" s="12">
        <v>4659.8933333333325</v>
      </c>
      <c r="H30" s="12">
        <v>5083.5199999999995</v>
      </c>
      <c r="I30" s="12">
        <v>5083.5199999999995</v>
      </c>
      <c r="J30" s="12">
        <v>5083.5199999999995</v>
      </c>
      <c r="K30" s="12">
        <v>5083.5199999999995</v>
      </c>
      <c r="L30" s="12">
        <v>5083.5199999999995</v>
      </c>
      <c r="M30" s="12">
        <v>5083.5199999999995</v>
      </c>
      <c r="N30" s="12">
        <v>5083.5199999999995</v>
      </c>
      <c r="O30" s="12">
        <v>5083.5199999999995</v>
      </c>
      <c r="P30" s="12">
        <v>5083.5199999999995</v>
      </c>
      <c r="Q30" s="12">
        <v>5236.025599999999</v>
      </c>
      <c r="R30" s="12">
        <v>5236.025599999999</v>
      </c>
      <c r="S30" s="12">
        <v>5236.025599999999</v>
      </c>
      <c r="T30" s="12">
        <v>5236.025599999999</v>
      </c>
      <c r="U30" s="12">
        <v>5236.025599999999</v>
      </c>
      <c r="V30" s="12">
        <v>5236.025599999999</v>
      </c>
      <c r="W30" s="12">
        <v>5236.025599999999</v>
      </c>
      <c r="X30" s="12">
        <v>5236.025599999999</v>
      </c>
      <c r="Y30" s="12">
        <v>5236.025599999999</v>
      </c>
      <c r="Z30" s="12">
        <v>5236.025599999999</v>
      </c>
      <c r="AA30" s="12">
        <v>5236.025599999999</v>
      </c>
      <c r="AB30" s="12">
        <v>5236.025599999999</v>
      </c>
      <c r="AC30" s="12">
        <v>5236.025599999999</v>
      </c>
      <c r="AD30" s="12">
        <v>5236.025599999999</v>
      </c>
      <c r="AE30" s="12">
        <v>5236.025599999999</v>
      </c>
      <c r="AF30" s="12">
        <v>5236.025599999999</v>
      </c>
      <c r="AG30" s="12">
        <v>5236.025599999999</v>
      </c>
      <c r="AH30" s="12">
        <v>5236.025599999999</v>
      </c>
      <c r="AI30" s="12">
        <v>5236.025599999999</v>
      </c>
      <c r="AJ30" s="12">
        <v>5236.025599999999</v>
      </c>
      <c r="AK30" s="12">
        <v>5236.025599999999</v>
      </c>
      <c r="AL30" s="12">
        <v>5236.025599999999</v>
      </c>
      <c r="AM30" s="12">
        <v>5236.025599999999</v>
      </c>
      <c r="AN30" s="12">
        <v>5236.025599999999</v>
      </c>
    </row>
    <row r="31" spans="2:50" x14ac:dyDescent="0.25">
      <c r="B31" s="39" t="str">
        <f>Base!B36</f>
        <v>Tertiary Direct Staff - Service A</v>
      </c>
      <c r="C31" s="4"/>
      <c r="E31" s="183" cm="1">
        <f t="array" ref="E31:AN31">_xlfn.LET(_xlpm.site,$B$1&amp;"-"&amp;$C$1,_xlpm.locations,Base!$D$4:$BD$4,_xlpm.rates,Base!$D36:$BD36,_xlpm.hours,Base!$D79:$BD79,_xlpm.comp,_xlpm.rates*_xlpm.hours,_xlpm.Customer,_xlfn.ANCHORARRAY($E$1)*0,
_xlpm.Customer_comp,_xlfn.XLOOKUP(_xlpm.site,_xlpm.locations,_xlpm.comp,0,0),_xlpm.ann_incr,_xlfn.XLOOKUP(YEAR(_xlfn.ANCHORARRAY($E$25)),Base!$BJ$4:$BL$4,Base!$BJ79:$BL79,0,0),
_xlpm.bad_debt,_xlfn.XLOOKUP(_xlpm.site,_xlpm.locations,Base!$D$28:$BD$28,0,0),_xlpm.Customer_comp*_xlpm.Customer*_xlpm.bad_debt*_xlpm.ann_incr*(52/12))</f>
        <v>0</v>
      </c>
      <c r="F31" s="183">
        <v>0</v>
      </c>
      <c r="G31" s="183">
        <v>0</v>
      </c>
      <c r="H31" s="183">
        <v>0</v>
      </c>
      <c r="I31" s="183">
        <v>0</v>
      </c>
      <c r="J31" s="183">
        <v>0</v>
      </c>
      <c r="K31" s="183">
        <v>0</v>
      </c>
      <c r="L31" s="183">
        <v>0</v>
      </c>
      <c r="M31" s="183">
        <v>0</v>
      </c>
      <c r="N31" s="183">
        <v>0</v>
      </c>
      <c r="O31" s="183">
        <v>0</v>
      </c>
      <c r="P31" s="183">
        <v>0</v>
      </c>
      <c r="Q31" s="183">
        <v>0</v>
      </c>
      <c r="R31" s="183">
        <v>0</v>
      </c>
      <c r="S31" s="183">
        <v>0</v>
      </c>
      <c r="T31" s="183">
        <v>0</v>
      </c>
      <c r="U31" s="183">
        <v>0</v>
      </c>
      <c r="V31" s="183">
        <v>0</v>
      </c>
      <c r="W31" s="183">
        <v>0</v>
      </c>
      <c r="X31" s="183">
        <v>0</v>
      </c>
      <c r="Y31" s="183">
        <v>0</v>
      </c>
      <c r="Z31" s="183">
        <v>0</v>
      </c>
      <c r="AA31" s="183">
        <v>0</v>
      </c>
      <c r="AB31" s="183">
        <v>0</v>
      </c>
      <c r="AC31" s="183">
        <v>0</v>
      </c>
      <c r="AD31" s="183">
        <v>0</v>
      </c>
      <c r="AE31" s="183">
        <v>0</v>
      </c>
      <c r="AF31" s="183">
        <v>0</v>
      </c>
      <c r="AG31" s="183">
        <v>0</v>
      </c>
      <c r="AH31" s="183">
        <v>0</v>
      </c>
      <c r="AI31" s="183">
        <v>0</v>
      </c>
      <c r="AJ31" s="183">
        <v>0</v>
      </c>
      <c r="AK31" s="183">
        <v>0</v>
      </c>
      <c r="AL31" s="183">
        <v>0</v>
      </c>
      <c r="AM31" s="183">
        <v>0</v>
      </c>
      <c r="AN31" s="183">
        <v>0</v>
      </c>
    </row>
    <row r="32" spans="2:50" x14ac:dyDescent="0.25">
      <c r="B32" s="39" t="str">
        <f>Base!B37</f>
        <v>Tertiary Direct Staff - Service B</v>
      </c>
      <c r="C32" s="4"/>
      <c r="E32" s="183" cm="1">
        <f t="array" ref="E32:AN32">_xlfn.LET(_xlpm.site,$B$1&amp;"-"&amp;$C$1,_xlpm.locations,Base!$D$4:$BD$4,_xlpm.rates,Base!$D37:$BD37,_xlpm.hours,Base!$D80:$BD80,_xlpm.comp,_xlpm.rates*_xlpm.hours,_xlpm.Customer,_xlfn.ANCHORARRAY($E$1)*0,
_xlpm.Customer_comp,_xlfn.XLOOKUP(_xlpm.site,_xlpm.locations,_xlpm.comp,0,0),_xlpm.ann_incr,_xlfn.XLOOKUP(YEAR(_xlfn.ANCHORARRAY($E$25)),Base!$BJ$4:$BL$4,Base!$BJ80:$BL80,0,0),
_xlpm.bad_debt,_xlfn.XLOOKUP(_xlpm.site,_xlpm.locations,Base!$D$28:$BD$28,0,0),_xlpm.Customer_comp*_xlpm.Customer*_xlpm.bad_debt*_xlpm.ann_incr*(52/12))</f>
        <v>0</v>
      </c>
      <c r="F32" s="183">
        <v>0</v>
      </c>
      <c r="G32" s="183">
        <v>0</v>
      </c>
      <c r="H32" s="183">
        <v>0</v>
      </c>
      <c r="I32" s="183">
        <v>0</v>
      </c>
      <c r="J32" s="183">
        <v>0</v>
      </c>
      <c r="K32" s="183">
        <v>0</v>
      </c>
      <c r="L32" s="183">
        <v>0</v>
      </c>
      <c r="M32" s="183">
        <v>0</v>
      </c>
      <c r="N32" s="183">
        <v>0</v>
      </c>
      <c r="O32" s="183">
        <v>0</v>
      </c>
      <c r="P32" s="183">
        <v>0</v>
      </c>
      <c r="Q32" s="183">
        <v>0</v>
      </c>
      <c r="R32" s="183">
        <v>0</v>
      </c>
      <c r="S32" s="183">
        <v>0</v>
      </c>
      <c r="T32" s="183">
        <v>0</v>
      </c>
      <c r="U32" s="183">
        <v>0</v>
      </c>
      <c r="V32" s="183">
        <v>0</v>
      </c>
      <c r="W32" s="183">
        <v>0</v>
      </c>
      <c r="X32" s="183">
        <v>0</v>
      </c>
      <c r="Y32" s="183">
        <v>0</v>
      </c>
      <c r="Z32" s="183">
        <v>0</v>
      </c>
      <c r="AA32" s="183">
        <v>0</v>
      </c>
      <c r="AB32" s="183">
        <v>0</v>
      </c>
      <c r="AC32" s="183">
        <v>0</v>
      </c>
      <c r="AD32" s="183">
        <v>0</v>
      </c>
      <c r="AE32" s="183">
        <v>0</v>
      </c>
      <c r="AF32" s="183">
        <v>0</v>
      </c>
      <c r="AG32" s="183">
        <v>0</v>
      </c>
      <c r="AH32" s="183">
        <v>0</v>
      </c>
      <c r="AI32" s="183">
        <v>0</v>
      </c>
      <c r="AJ32" s="183">
        <v>0</v>
      </c>
      <c r="AK32" s="183">
        <v>0</v>
      </c>
      <c r="AL32" s="183">
        <v>0</v>
      </c>
      <c r="AM32" s="183">
        <v>0</v>
      </c>
      <c r="AN32" s="183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_xlpm.Customer,_xlfn.ANCHORARRAY($E$2),_xlpm.ann_incr,_xlfn.XLOOKUP(YEAR(_xlfn.ANCHORARRAY($E$25)),Base!$BJ$4:$BL$4,Base!$BJ$81:$BL$81,0,0),
_xlpm.bad_debt,_xlfn.XLOOKUP(_xlpm.site,_xlpm.locations,Base!$D$28:$BD$28,0,0),
_xlpm.comp*_xlpm.bad_debt*_xlpm.ann_incr*(52/12))</f>
        <v>0</v>
      </c>
      <c r="F33" s="12">
        <v>0</v>
      </c>
      <c r="G33" s="12">
        <v>0</v>
      </c>
      <c r="H33" s="12">
        <v>0</v>
      </c>
      <c r="I33" s="12">
        <v>0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2">
        <v>0</v>
      </c>
      <c r="Y33" s="12">
        <v>0</v>
      </c>
      <c r="Z33" s="12">
        <v>0</v>
      </c>
      <c r="AA33" s="12">
        <v>0</v>
      </c>
      <c r="AB33" s="12">
        <v>0</v>
      </c>
      <c r="AC33" s="12">
        <v>0</v>
      </c>
      <c r="AD33" s="12">
        <v>0</v>
      </c>
      <c r="AE33" s="12">
        <v>0</v>
      </c>
      <c r="AF33" s="12">
        <v>0</v>
      </c>
      <c r="AG33" s="12">
        <v>0</v>
      </c>
      <c r="AH33" s="12">
        <v>0</v>
      </c>
      <c r="AI33" s="12">
        <v>0</v>
      </c>
      <c r="AJ33" s="12">
        <v>0</v>
      </c>
      <c r="AK33" s="12">
        <v>0</v>
      </c>
      <c r="AL33" s="12">
        <v>0</v>
      </c>
      <c r="AM33" s="12">
        <v>0</v>
      </c>
      <c r="AN33" s="12">
        <v>0</v>
      </c>
    </row>
    <row r="34" spans="2:40" x14ac:dyDescent="0.25">
      <c r="B34" s="39" t="str">
        <f>Base!B39</f>
        <v>Quinary Direct Staff - Service A</v>
      </c>
      <c r="C34" s="4"/>
      <c r="E34" s="183" cm="1">
        <f t="array" ref="E34:AN34">_xlfn.LET(_xlpm.site,$B$1&amp;"-"&amp;$C$1,_xlpm.locations,Base!$D$4:$BD$4,_xlpm.rates,Base!$D39:$BD39,_xlpm.hours,Base!$D82:$BD82,_xlpm.comp,_xlpm.rates*_xlpm.hours,_xlpm.Customer,_xlfn.ANCHORARRAY($E$1)*0,
_xlpm.Customer_comp,_xlfn.XLOOKUP(_xlpm.site,_xlpm.locations,_xlpm.comp,0,0),_xlpm.ann_incr,_xlfn.XLOOKUP(YEAR(_xlfn.ANCHORARRAY($E$25)),Base!$BJ$4:$BL$4,Base!$BJ82:$BL82,0,0),
_xlpm.bad_debt,_xlfn.XLOOKUP(_xlpm.site,_xlpm.locations,Base!$D$28:$BD$28,0,0),_xlpm.Customer_comp*_xlpm.Customer*_xlpm.bad_debt*_xlpm.ann_incr*(52/12))</f>
        <v>0</v>
      </c>
      <c r="F34" s="183">
        <v>0</v>
      </c>
      <c r="G34" s="183">
        <v>0</v>
      </c>
      <c r="H34" s="183">
        <v>0</v>
      </c>
      <c r="I34" s="183">
        <v>0</v>
      </c>
      <c r="J34" s="183">
        <v>0</v>
      </c>
      <c r="K34" s="183">
        <v>0</v>
      </c>
      <c r="L34" s="183">
        <v>0</v>
      </c>
      <c r="M34" s="183">
        <v>0</v>
      </c>
      <c r="N34" s="183">
        <v>0</v>
      </c>
      <c r="O34" s="183">
        <v>0</v>
      </c>
      <c r="P34" s="183">
        <v>0</v>
      </c>
      <c r="Q34" s="183">
        <v>0</v>
      </c>
      <c r="R34" s="183">
        <v>0</v>
      </c>
      <c r="S34" s="183">
        <v>0</v>
      </c>
      <c r="T34" s="183">
        <v>0</v>
      </c>
      <c r="U34" s="183">
        <v>0</v>
      </c>
      <c r="V34" s="183">
        <v>0</v>
      </c>
      <c r="W34" s="183">
        <v>0</v>
      </c>
      <c r="X34" s="183">
        <v>0</v>
      </c>
      <c r="Y34" s="183">
        <v>0</v>
      </c>
      <c r="Z34" s="183">
        <v>0</v>
      </c>
      <c r="AA34" s="183">
        <v>0</v>
      </c>
      <c r="AB34" s="183">
        <v>0</v>
      </c>
      <c r="AC34" s="183">
        <v>0</v>
      </c>
      <c r="AD34" s="183">
        <v>0</v>
      </c>
      <c r="AE34" s="183">
        <v>0</v>
      </c>
      <c r="AF34" s="183">
        <v>0</v>
      </c>
      <c r="AG34" s="183">
        <v>0</v>
      </c>
      <c r="AH34" s="183">
        <v>0</v>
      </c>
      <c r="AI34" s="183">
        <v>0</v>
      </c>
      <c r="AJ34" s="183">
        <v>0</v>
      </c>
      <c r="AK34" s="183">
        <v>0</v>
      </c>
      <c r="AL34" s="183">
        <v>0</v>
      </c>
      <c r="AM34" s="183">
        <v>0</v>
      </c>
      <c r="AN34" s="183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-20187.0828</v>
      </c>
      <c r="F35" s="12">
        <v>-22430.091999999997</v>
      </c>
      <c r="G35" s="12">
        <v>-24673.101199999997</v>
      </c>
      <c r="H35" s="12">
        <v>-26916.110399999998</v>
      </c>
      <c r="I35" s="12">
        <v>-26916.110399999998</v>
      </c>
      <c r="J35" s="12">
        <v>-26916.110399999998</v>
      </c>
      <c r="K35" s="12">
        <v>-26916.110399999998</v>
      </c>
      <c r="L35" s="12">
        <v>-26916.110399999998</v>
      </c>
      <c r="M35" s="12">
        <v>-26916.110399999998</v>
      </c>
      <c r="N35" s="12">
        <v>-26916.110399999998</v>
      </c>
      <c r="O35" s="12">
        <v>-26916.110399999998</v>
      </c>
      <c r="P35" s="12">
        <v>-26916.110399999998</v>
      </c>
      <c r="Q35" s="12">
        <v>-27723.593711999994</v>
      </c>
      <c r="R35" s="12">
        <v>-27723.593711999994</v>
      </c>
      <c r="S35" s="12">
        <v>-27723.593711999994</v>
      </c>
      <c r="T35" s="12">
        <v>-27723.593711999994</v>
      </c>
      <c r="U35" s="12">
        <v>-27723.593711999994</v>
      </c>
      <c r="V35" s="12">
        <v>-27723.593711999994</v>
      </c>
      <c r="W35" s="12">
        <v>-27723.593711999994</v>
      </c>
      <c r="X35" s="12">
        <v>-27723.593711999994</v>
      </c>
      <c r="Y35" s="12">
        <v>-27723.593711999994</v>
      </c>
      <c r="Z35" s="12">
        <v>-27723.593711999994</v>
      </c>
      <c r="AA35" s="12">
        <v>-27723.593711999994</v>
      </c>
      <c r="AB35" s="12">
        <v>-27723.593711999994</v>
      </c>
      <c r="AC35" s="12">
        <v>-27723.593711999994</v>
      </c>
      <c r="AD35" s="12">
        <v>-27723.593711999994</v>
      </c>
      <c r="AE35" s="12">
        <v>-27723.593711999994</v>
      </c>
      <c r="AF35" s="12">
        <v>-27723.593711999994</v>
      </c>
      <c r="AG35" s="12">
        <v>-27723.593711999994</v>
      </c>
      <c r="AH35" s="12">
        <v>-27723.593711999994</v>
      </c>
      <c r="AI35" s="12">
        <v>-27723.593711999994</v>
      </c>
      <c r="AJ35" s="12">
        <v>-27723.593711999994</v>
      </c>
      <c r="AK35" s="12">
        <v>-27723.593711999994</v>
      </c>
      <c r="AL35" s="12">
        <v>-27723.593711999994</v>
      </c>
      <c r="AM35" s="12">
        <v>-27723.593711999994</v>
      </c>
      <c r="AN35" s="12">
        <v>-27723.593711999994</v>
      </c>
    </row>
    <row r="36" spans="2:40" x14ac:dyDescent="0.25">
      <c r="B36" s="39" t="s">
        <v>261</v>
      </c>
      <c r="C36" s="15"/>
      <c r="E36" s="183" cm="1">
        <f t="array" ref="E36:AN36">_xlfn.BYCOL(_xlfn.ANCHORARRAY($E$25),_xlfn.LAMBDA(_xlpm.a,0))</f>
        <v>0</v>
      </c>
      <c r="F36" s="183">
        <v>0</v>
      </c>
      <c r="G36" s="183">
        <v>0</v>
      </c>
      <c r="H36" s="183">
        <v>0</v>
      </c>
      <c r="I36" s="183">
        <v>0</v>
      </c>
      <c r="J36" s="183">
        <v>0</v>
      </c>
      <c r="K36" s="183">
        <v>0</v>
      </c>
      <c r="L36" s="183">
        <v>0</v>
      </c>
      <c r="M36" s="183">
        <v>0</v>
      </c>
      <c r="N36" s="183">
        <v>0</v>
      </c>
      <c r="O36" s="183">
        <v>0</v>
      </c>
      <c r="P36" s="183">
        <v>0</v>
      </c>
      <c r="Q36" s="183">
        <v>0</v>
      </c>
      <c r="R36" s="183">
        <v>0</v>
      </c>
      <c r="S36" s="183">
        <v>0</v>
      </c>
      <c r="T36" s="183">
        <v>0</v>
      </c>
      <c r="U36" s="183">
        <v>0</v>
      </c>
      <c r="V36" s="183">
        <v>0</v>
      </c>
      <c r="W36" s="183">
        <v>0</v>
      </c>
      <c r="X36" s="183">
        <v>0</v>
      </c>
      <c r="Y36" s="183">
        <v>0</v>
      </c>
      <c r="Z36" s="183">
        <v>0</v>
      </c>
      <c r="AA36" s="183">
        <v>0</v>
      </c>
      <c r="AB36" s="183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271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148038.6072</v>
      </c>
      <c r="F37" s="13">
        <v>164487.34133333332</v>
      </c>
      <c r="G37" s="13">
        <v>180936.07546666663</v>
      </c>
      <c r="H37" s="13">
        <v>197384.80959999998</v>
      </c>
      <c r="I37" s="13">
        <v>197384.80959999998</v>
      </c>
      <c r="J37" s="13">
        <v>197384.80959999998</v>
      </c>
      <c r="K37" s="13">
        <v>197384.80959999998</v>
      </c>
      <c r="L37" s="13">
        <v>197384.80959999998</v>
      </c>
      <c r="M37" s="13">
        <v>197384.80959999998</v>
      </c>
      <c r="N37" s="13">
        <v>197384.80959999998</v>
      </c>
      <c r="O37" s="13">
        <v>197384.80959999998</v>
      </c>
      <c r="P37" s="13">
        <v>197384.80959999998</v>
      </c>
      <c r="Q37" s="13">
        <v>203306.35388799995</v>
      </c>
      <c r="R37" s="13">
        <v>203306.35388799995</v>
      </c>
      <c r="S37" s="13">
        <v>203306.35388799995</v>
      </c>
      <c r="T37" s="13">
        <v>203306.35388799995</v>
      </c>
      <c r="U37" s="13">
        <v>203306.35388799995</v>
      </c>
      <c r="V37" s="13">
        <v>203306.35388799995</v>
      </c>
      <c r="W37" s="13">
        <v>203306.35388799995</v>
      </c>
      <c r="X37" s="13">
        <v>203306.35388799995</v>
      </c>
      <c r="Y37" s="13">
        <v>203306.35388799995</v>
      </c>
      <c r="Z37" s="13">
        <v>203306.35388799995</v>
      </c>
      <c r="AA37" s="13">
        <v>203306.35388799995</v>
      </c>
      <c r="AB37" s="13">
        <v>203306.35388799995</v>
      </c>
      <c r="AC37" s="13">
        <v>203306.35388799995</v>
      </c>
      <c r="AD37" s="13">
        <v>203306.35388799995</v>
      </c>
      <c r="AE37" s="13">
        <v>203306.35388799995</v>
      </c>
      <c r="AF37" s="13">
        <v>203306.35388799995</v>
      </c>
      <c r="AG37" s="13">
        <v>203306.35388799995</v>
      </c>
      <c r="AH37" s="13">
        <v>203306.35388799995</v>
      </c>
      <c r="AI37" s="13">
        <v>203306.35388799995</v>
      </c>
      <c r="AJ37" s="13">
        <v>203306.35388799995</v>
      </c>
      <c r="AK37" s="13">
        <v>203306.35388799995</v>
      </c>
      <c r="AL37" s="13">
        <v>203306.35388799995</v>
      </c>
      <c r="AM37" s="13">
        <v>203306.35388799995</v>
      </c>
      <c r="AN37" s="13">
        <v>203306.35388799995</v>
      </c>
    </row>
    <row r="38" spans="2:40" x14ac:dyDescent="0.25">
      <c r="E38" s="67"/>
      <c r="F38" s="67"/>
    </row>
    <row r="39" spans="2:40" x14ac:dyDescent="0.25">
      <c r="B39" s="1" t="s">
        <v>118</v>
      </c>
    </row>
    <row r="40" spans="2:40" x14ac:dyDescent="0.25">
      <c r="B40" s="39" t="s">
        <v>23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58411.30074587564</v>
      </c>
      <c r="F40" s="12">
        <v>62500.283510232199</v>
      </c>
      <c r="G40" s="12">
        <v>66972.377541255424</v>
      </c>
      <c r="H40" s="12">
        <v>68114.476972278644</v>
      </c>
      <c r="I40" s="12">
        <v>68396.743638945307</v>
      </c>
      <c r="J40" s="12">
        <v>68396.743638945307</v>
      </c>
      <c r="K40" s="12">
        <v>68396.743638945307</v>
      </c>
      <c r="L40" s="12">
        <v>68396.743638945307</v>
      </c>
      <c r="M40" s="12">
        <v>68396.743638945307</v>
      </c>
      <c r="N40" s="12">
        <v>68396.743638945307</v>
      </c>
      <c r="O40" s="12">
        <v>68396.743638945307</v>
      </c>
      <c r="P40" s="12">
        <v>68396.743638945307</v>
      </c>
      <c r="Q40" s="12">
        <v>75236.41800283984</v>
      </c>
      <c r="R40" s="12">
        <v>75236.41800283984</v>
      </c>
      <c r="S40" s="12">
        <v>75236.41800283984</v>
      </c>
      <c r="T40" s="12">
        <v>75236.41800283984</v>
      </c>
      <c r="U40" s="12">
        <v>75236.41800283984</v>
      </c>
      <c r="V40" s="12">
        <v>75236.41800283984</v>
      </c>
      <c r="W40" s="12">
        <v>75236.41800283984</v>
      </c>
      <c r="X40" s="12">
        <v>75236.41800283984</v>
      </c>
      <c r="Y40" s="12">
        <v>75236.41800283984</v>
      </c>
      <c r="Z40" s="12">
        <v>75236.41800283984</v>
      </c>
      <c r="AA40" s="12">
        <v>75236.41800283984</v>
      </c>
      <c r="AB40" s="12">
        <v>75236.41800283984</v>
      </c>
      <c r="AC40" s="12">
        <v>82760.059803123833</v>
      </c>
      <c r="AD40" s="12">
        <v>82760.059803123833</v>
      </c>
      <c r="AE40" s="12">
        <v>82760.059803123833</v>
      </c>
      <c r="AF40" s="12">
        <v>82760.059803123833</v>
      </c>
      <c r="AG40" s="12">
        <v>82760.059803123833</v>
      </c>
      <c r="AH40" s="12">
        <v>82760.059803123833</v>
      </c>
      <c r="AI40" s="12">
        <v>82760.059803123833</v>
      </c>
      <c r="AJ40" s="12">
        <v>82760.059803123833</v>
      </c>
      <c r="AK40" s="12">
        <v>82760.059803123833</v>
      </c>
      <c r="AL40" s="12">
        <v>82760.059803123833</v>
      </c>
      <c r="AM40" s="12">
        <v>82760.059803123833</v>
      </c>
      <c r="AN40" s="12">
        <v>82760.059803123833</v>
      </c>
    </row>
    <row r="41" spans="2:40" x14ac:dyDescent="0.25">
      <c r="B41" s="39" t="s">
        <v>388</v>
      </c>
      <c r="C41" s="142">
        <f>_xlfn.XLOOKUP($B$1&amp;"-"&amp;$C$1,Base!$D$4:$BD$4,Base!$D$12:$BD$12,0,0)</f>
        <v>0</v>
      </c>
      <c r="E41" s="183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28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0</v>
      </c>
      <c r="AJ42" s="12">
        <v>0</v>
      </c>
      <c r="AK42" s="12">
        <v>0</v>
      </c>
      <c r="AL42" s="12">
        <v>0</v>
      </c>
      <c r="AM42" s="12">
        <v>0</v>
      </c>
      <c r="AN42" s="12">
        <v>0</v>
      </c>
    </row>
    <row r="43" spans="2:40" x14ac:dyDescent="0.25">
      <c r="B43" s="39" t="s">
        <v>31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0</v>
      </c>
      <c r="X43" s="12">
        <v>0</v>
      </c>
      <c r="Y43" s="12">
        <v>0</v>
      </c>
      <c r="Z43" s="12">
        <v>0</v>
      </c>
      <c r="AA43" s="12">
        <v>0</v>
      </c>
      <c r="AB43" s="12">
        <v>0</v>
      </c>
      <c r="AC43" s="12">
        <v>0</v>
      </c>
      <c r="AD43" s="12">
        <v>0</v>
      </c>
      <c r="AE43" s="12">
        <v>0</v>
      </c>
      <c r="AF43" s="12">
        <v>0</v>
      </c>
      <c r="AG43" s="12">
        <v>0</v>
      </c>
      <c r="AH43" s="12">
        <v>0</v>
      </c>
      <c r="AI43" s="12">
        <v>0</v>
      </c>
      <c r="AJ43" s="12">
        <v>0</v>
      </c>
      <c r="AK43" s="12">
        <v>0</v>
      </c>
      <c r="AL43" s="12">
        <v>0</v>
      </c>
      <c r="AM43" s="12">
        <v>0</v>
      </c>
      <c r="AN43" s="12">
        <v>0</v>
      </c>
    </row>
    <row r="44" spans="2:40" x14ac:dyDescent="0.25">
      <c r="B44" s="39" t="s">
        <v>34</v>
      </c>
      <c r="C44" s="96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1054.6222</v>
      </c>
      <c r="F44" s="12">
        <v>1071.4692</v>
      </c>
      <c r="G44" s="12">
        <v>1101.7937999999999</v>
      </c>
      <c r="H44" s="12">
        <v>977.12599999999998</v>
      </c>
      <c r="I44" s="12">
        <v>990.60360000000014</v>
      </c>
      <c r="J44" s="12">
        <v>990.60360000000014</v>
      </c>
      <c r="K44" s="12">
        <v>990.60360000000014</v>
      </c>
      <c r="L44" s="12">
        <v>990.60360000000014</v>
      </c>
      <c r="M44" s="12">
        <v>990.60360000000014</v>
      </c>
      <c r="N44" s="12">
        <v>990.60360000000014</v>
      </c>
      <c r="O44" s="12">
        <v>990.60360000000014</v>
      </c>
      <c r="P44" s="12">
        <v>990.60360000000014</v>
      </c>
      <c r="Q44" s="12">
        <v>1030.227744</v>
      </c>
      <c r="R44" s="12">
        <v>1030.227744</v>
      </c>
      <c r="S44" s="12">
        <v>1030.227744</v>
      </c>
      <c r="T44" s="12">
        <v>1030.227744</v>
      </c>
      <c r="U44" s="12">
        <v>1030.227744</v>
      </c>
      <c r="V44" s="12">
        <v>1030.227744</v>
      </c>
      <c r="W44" s="12">
        <v>1030.227744</v>
      </c>
      <c r="X44" s="12">
        <v>1030.227744</v>
      </c>
      <c r="Y44" s="12">
        <v>1030.227744</v>
      </c>
      <c r="Z44" s="12">
        <v>1030.227744</v>
      </c>
      <c r="AA44" s="12">
        <v>1030.227744</v>
      </c>
      <c r="AB44" s="12">
        <v>1030.227744</v>
      </c>
      <c r="AC44" s="12">
        <v>1071.4368537600003</v>
      </c>
      <c r="AD44" s="12">
        <v>1071.4368537600003</v>
      </c>
      <c r="AE44" s="12">
        <v>1071.4368537600003</v>
      </c>
      <c r="AF44" s="12">
        <v>1071.4368537600003</v>
      </c>
      <c r="AG44" s="12">
        <v>1071.4368537600003</v>
      </c>
      <c r="AH44" s="12">
        <v>1071.4368537600003</v>
      </c>
      <c r="AI44" s="12">
        <v>1071.4368537600003</v>
      </c>
      <c r="AJ44" s="12">
        <v>1071.4368537600003</v>
      </c>
      <c r="AK44" s="12">
        <v>1071.4368537600003</v>
      </c>
      <c r="AL44" s="12">
        <v>1071.4368537600003</v>
      </c>
      <c r="AM44" s="12">
        <v>1071.4368537600003</v>
      </c>
      <c r="AN44" s="12">
        <v>1071.4368537600003</v>
      </c>
    </row>
    <row r="45" spans="2:40" x14ac:dyDescent="0.25">
      <c r="B45" s="39" t="s">
        <v>36</v>
      </c>
      <c r="C45" s="96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0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12">
        <v>0</v>
      </c>
      <c r="R45" s="12">
        <v>0</v>
      </c>
      <c r="S45" s="12">
        <v>0</v>
      </c>
      <c r="T45" s="12">
        <v>0</v>
      </c>
      <c r="U45" s="12">
        <v>0</v>
      </c>
      <c r="V45" s="12">
        <v>0</v>
      </c>
      <c r="W45" s="12">
        <v>0</v>
      </c>
      <c r="X45" s="12">
        <v>0</v>
      </c>
      <c r="Y45" s="12">
        <v>0</v>
      </c>
      <c r="Z45" s="12">
        <v>0</v>
      </c>
      <c r="AA45" s="12">
        <v>0</v>
      </c>
      <c r="AB45" s="12">
        <v>0</v>
      </c>
      <c r="AC45" s="12">
        <v>0</v>
      </c>
      <c r="AD45" s="12">
        <v>0</v>
      </c>
      <c r="AE45" s="12">
        <v>0</v>
      </c>
      <c r="AF45" s="12">
        <v>0</v>
      </c>
      <c r="AG45" s="12">
        <v>0</v>
      </c>
      <c r="AH45" s="12">
        <v>0</v>
      </c>
      <c r="AI45" s="12">
        <v>0</v>
      </c>
      <c r="AJ45" s="12">
        <v>0</v>
      </c>
      <c r="AK45" s="12">
        <v>0</v>
      </c>
      <c r="AL45" s="12">
        <v>0</v>
      </c>
      <c r="AM45" s="12">
        <v>0</v>
      </c>
      <c r="AN45" s="12">
        <v>0</v>
      </c>
    </row>
    <row r="46" spans="2:40" x14ac:dyDescent="0.25">
      <c r="B46" s="39" t="s">
        <v>38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7804.9999999999991</v>
      </c>
      <c r="F46" s="12">
        <v>8370</v>
      </c>
      <c r="G46" s="12">
        <v>8960</v>
      </c>
      <c r="H46" s="12">
        <v>9320</v>
      </c>
      <c r="I46" s="12">
        <v>9340</v>
      </c>
      <c r="J46" s="12">
        <v>9340</v>
      </c>
      <c r="K46" s="12">
        <v>9340</v>
      </c>
      <c r="L46" s="12">
        <v>9340</v>
      </c>
      <c r="M46" s="12">
        <v>9340</v>
      </c>
      <c r="N46" s="12">
        <v>9340</v>
      </c>
      <c r="O46" s="12">
        <v>9340</v>
      </c>
      <c r="P46" s="12">
        <v>9340</v>
      </c>
      <c r="Q46" s="12">
        <v>9526.7999999999993</v>
      </c>
      <c r="R46" s="12">
        <v>9526.7999999999993</v>
      </c>
      <c r="S46" s="12">
        <v>9526.7999999999993</v>
      </c>
      <c r="T46" s="12">
        <v>9526.7999999999993</v>
      </c>
      <c r="U46" s="12">
        <v>9526.7999999999993</v>
      </c>
      <c r="V46" s="12">
        <v>9526.7999999999993</v>
      </c>
      <c r="W46" s="12">
        <v>9526.7999999999993</v>
      </c>
      <c r="X46" s="12">
        <v>9526.7999999999993</v>
      </c>
      <c r="Y46" s="12">
        <v>9526.7999999999993</v>
      </c>
      <c r="Z46" s="12">
        <v>9526.7999999999993</v>
      </c>
      <c r="AA46" s="12">
        <v>9526.7999999999993</v>
      </c>
      <c r="AB46" s="12">
        <v>9526.7999999999993</v>
      </c>
      <c r="AC46" s="12">
        <v>9717.3359999999993</v>
      </c>
      <c r="AD46" s="12">
        <v>9717.3359999999993</v>
      </c>
      <c r="AE46" s="12">
        <v>9717.3359999999993</v>
      </c>
      <c r="AF46" s="12">
        <v>9717.3359999999993</v>
      </c>
      <c r="AG46" s="12">
        <v>9717.3359999999993</v>
      </c>
      <c r="AH46" s="12">
        <v>9717.3359999999993</v>
      </c>
      <c r="AI46" s="12">
        <v>9717.3359999999993</v>
      </c>
      <c r="AJ46" s="12">
        <v>9717.3359999999993</v>
      </c>
      <c r="AK46" s="12">
        <v>9717.3359999999993</v>
      </c>
      <c r="AL46" s="12">
        <v>9717.3359999999993</v>
      </c>
      <c r="AM46" s="12">
        <v>9717.3359999999993</v>
      </c>
      <c r="AN46" s="12">
        <v>9717.3359999999993</v>
      </c>
    </row>
    <row r="47" spans="2:40" x14ac:dyDescent="0.25">
      <c r="B47" s="39" t="s">
        <v>40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  <c r="O47" s="12">
        <v>0</v>
      </c>
      <c r="P47" s="12">
        <v>0</v>
      </c>
      <c r="Q47" s="12">
        <v>0</v>
      </c>
      <c r="R47" s="12">
        <v>0</v>
      </c>
      <c r="S47" s="12">
        <v>0</v>
      </c>
      <c r="T47" s="12">
        <v>0</v>
      </c>
      <c r="U47" s="12">
        <v>0</v>
      </c>
      <c r="V47" s="12">
        <v>0</v>
      </c>
      <c r="W47" s="12">
        <v>0</v>
      </c>
      <c r="X47" s="12">
        <v>0</v>
      </c>
      <c r="Y47" s="12">
        <v>0</v>
      </c>
      <c r="Z47" s="12">
        <v>0</v>
      </c>
      <c r="AA47" s="12">
        <v>0</v>
      </c>
      <c r="AB47" s="12">
        <v>0</v>
      </c>
      <c r="AC47" s="12">
        <v>0</v>
      </c>
      <c r="AD47" s="12">
        <v>0</v>
      </c>
      <c r="AE47" s="12">
        <v>0</v>
      </c>
      <c r="AF47" s="12">
        <v>0</v>
      </c>
      <c r="AG47" s="12">
        <v>0</v>
      </c>
      <c r="AH47" s="12">
        <v>0</v>
      </c>
      <c r="AI47" s="12">
        <v>0</v>
      </c>
      <c r="AJ47" s="12">
        <v>0</v>
      </c>
      <c r="AK47" s="12">
        <v>0</v>
      </c>
      <c r="AL47" s="12">
        <v>0</v>
      </c>
      <c r="AM47" s="12">
        <v>0</v>
      </c>
      <c r="AN47" s="12">
        <v>0</v>
      </c>
    </row>
    <row r="48" spans="2:40" x14ac:dyDescent="0.25">
      <c r="B48" s="39" t="s">
        <v>41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42</v>
      </c>
      <c r="E49" s="12">
        <f>'Corp.'!E$50*(E$37-(E31-E32-E34)*$C$35)/(SUM('MDA1:NCA9'!E$37)-SUM('MDA1:NCA9'!E$31)-SUM('MDA1:NCA9'!E$32)-SUM('MDA1:NCA9'!E$34))</f>
        <v>49069.853304305114</v>
      </c>
      <c r="F49" s="12">
        <f>'Corp.'!F$50*(F$37-(F31-F32-F34)*$C$35)/(SUM('MDA1:NCA9'!F$37)-SUM('MDA1:NCA9'!F$31)-SUM('MDA1:NCA9'!F$32)-SUM('MDA1:NCA9'!F$34))</f>
        <v>51177.322621381085</v>
      </c>
      <c r="G49" s="12">
        <f>'Corp.'!G$50*(G$37-(G31-G32-G34)*$C$35)/(SUM('MDA1:NCA9'!G$37)-SUM('MDA1:NCA9'!G$31)-SUM('MDA1:NCA9'!G$32)-SUM('MDA1:NCA9'!G$34))</f>
        <v>51235.168467519703</v>
      </c>
      <c r="H49" s="12">
        <f>'Corp.'!H$50*(H$37-(H31-H32-H34)*$C$35)/(SUM('MDA1:NCA9'!H$37)-SUM('MDA1:NCA9'!H$31)-SUM('MDA1:NCA9'!H$32)-SUM('MDA1:NCA9'!H$34))</f>
        <v>51101.898047327573</v>
      </c>
      <c r="I49" s="12">
        <f>'Corp.'!I$50*(I$37-(I31-I32-I34)*$C$35)/(SUM('MDA1:NCA9'!I$37)-SUM('MDA1:NCA9'!I$31)-SUM('MDA1:NCA9'!I$32)-SUM('MDA1:NCA9'!I$34))</f>
        <v>48087.20939288829</v>
      </c>
      <c r="J49" s="12">
        <f>'Corp.'!J$50*(J$37-(J31-J32-J34)*$C$35)/(SUM('MDA1:NCA9'!J$37)-SUM('MDA1:NCA9'!J$31)-SUM('MDA1:NCA9'!J$32)-SUM('MDA1:NCA9'!J$34))</f>
        <v>44945.526124184951</v>
      </c>
      <c r="K49" s="12">
        <f>'Corp.'!K$50*(K$37-(K31-K32-K34)*$C$35)/(SUM('MDA1:NCA9'!K$37)-SUM('MDA1:NCA9'!K$31)-SUM('MDA1:NCA9'!K$32)-SUM('MDA1:NCA9'!K$34))</f>
        <v>41281.938811509826</v>
      </c>
      <c r="L49" s="12">
        <f>'Corp.'!L$50*(L$37-(L31-L32-L34)*$C$35)/(SUM('MDA1:NCA9'!L$37)-SUM('MDA1:NCA9'!L$31)-SUM('MDA1:NCA9'!L$32)-SUM('MDA1:NCA9'!L$34))</f>
        <v>39011.343207078098</v>
      </c>
      <c r="M49" s="12">
        <f>'Corp.'!M$50*(M$37-(M31-M32-M34)*$C$35)/(SUM('MDA1:NCA9'!M$37)-SUM('MDA1:NCA9'!M$31)-SUM('MDA1:NCA9'!M$32)-SUM('MDA1:NCA9'!M$34))</f>
        <v>36559.566819726664</v>
      </c>
      <c r="N49" s="12">
        <f>'Corp.'!N$50*(N$37-(N31-N32-N34)*$C$35)/(SUM('MDA1:NCA9'!N$37)-SUM('MDA1:NCA9'!N$31)-SUM('MDA1:NCA9'!N$32)-SUM('MDA1:NCA9'!N$34))</f>
        <v>34449.387315446969</v>
      </c>
      <c r="O49" s="12">
        <f>'Corp.'!O$50*(O$37-(O31-O32-O34)*$C$35)/(SUM('MDA1:NCA9'!O$37)-SUM('MDA1:NCA9'!O$31)-SUM('MDA1:NCA9'!O$32)-SUM('MDA1:NCA9'!O$34))</f>
        <v>32241.148956941346</v>
      </c>
      <c r="P49" s="12">
        <f>'Corp.'!P$50*(P$37-(P31-P32-P34)*$C$35)/(SUM('MDA1:NCA9'!P$37)-SUM('MDA1:NCA9'!P$31)-SUM('MDA1:NCA9'!P$32)-SUM('MDA1:NCA9'!P$34))</f>
        <v>30424.27490284721</v>
      </c>
      <c r="Q49" s="12">
        <f>'Corp.'!Q$50*(Q$37-(Q31-Q32-Q34)*$C$35)/(SUM('MDA1:NCA9'!Q$37)-SUM('MDA1:NCA9'!Q$31)-SUM('MDA1:NCA9'!Q$32)-SUM('MDA1:NCA9'!Q$34))</f>
        <v>31451.943846047245</v>
      </c>
      <c r="R49" s="12">
        <f>'Corp.'!R$50*(R$37-(R31-R32-R34)*$C$35)/(SUM('MDA1:NCA9'!R$37)-SUM('MDA1:NCA9'!R$31)-SUM('MDA1:NCA9'!R$32)-SUM('MDA1:NCA9'!R$34))</f>
        <v>30260.647552054113</v>
      </c>
      <c r="S49" s="12">
        <f>'Corp.'!S$50*(S$37-(S31-S32-S34)*$C$35)/(SUM('MDA1:NCA9'!S$37)-SUM('MDA1:NCA9'!S$31)-SUM('MDA1:NCA9'!S$32)-SUM('MDA1:NCA9'!S$34))</f>
        <v>28951.171609680739</v>
      </c>
      <c r="T49" s="12">
        <f>'Corp.'!T$50*(T$37-(T31-T32-T34)*$C$35)/(SUM('MDA1:NCA9'!T$37)-SUM('MDA1:NCA9'!T$31)-SUM('MDA1:NCA9'!T$32)-SUM('MDA1:NCA9'!T$34))</f>
        <v>27842.752403656625</v>
      </c>
      <c r="U49" s="12">
        <f>'Corp.'!U$50*(U$37-(U31-U32-U34)*$C$35)/(SUM('MDA1:NCA9'!U$37)-SUM('MDA1:NCA9'!U$31)-SUM('MDA1:NCA9'!U$32)-SUM('MDA1:NCA9'!U$34))</f>
        <v>27082.805412747064</v>
      </c>
      <c r="V49" s="12">
        <f>'Corp.'!V$50*(V$37-(V31-V32-V34)*$C$35)/(SUM('MDA1:NCA9'!V$37)-SUM('MDA1:NCA9'!V$31)-SUM('MDA1:NCA9'!V$32)-SUM('MDA1:NCA9'!V$34))</f>
        <v>26463.222424857202</v>
      </c>
      <c r="W49" s="12">
        <f>'Corp.'!W$50*(W$37-(W31-W32-W34)*$C$35)/(SUM('MDA1:NCA9'!W$37)-SUM('MDA1:NCA9'!W$31)-SUM('MDA1:NCA9'!W$32)-SUM('MDA1:NCA9'!W$34))</f>
        <v>25658.938776925617</v>
      </c>
      <c r="X49" s="12">
        <f>'Corp.'!X$50*(X$37-(X31-X32-X34)*$C$35)/(SUM('MDA1:NCA9'!X$37)-SUM('MDA1:NCA9'!X$31)-SUM('MDA1:NCA9'!X$32)-SUM('MDA1:NCA9'!X$34))</f>
        <v>24855.20695612995</v>
      </c>
      <c r="Y49" s="12">
        <f>'Corp.'!Y$50*(Y$37-(Y31-Y32-Y34)*$C$35)/(SUM('MDA1:NCA9'!Y$37)-SUM('MDA1:NCA9'!Y$31)-SUM('MDA1:NCA9'!Y$32)-SUM('MDA1:NCA9'!Y$34))</f>
        <v>24328.614149428795</v>
      </c>
      <c r="Z49" s="12">
        <f>'Corp.'!Z$50*(Z$37-(Z31-Z32-Z34)*$C$35)/(SUM('MDA1:NCA9'!Z$37)-SUM('MDA1:NCA9'!Z$31)-SUM('MDA1:NCA9'!Z$32)-SUM('MDA1:NCA9'!Z$34))</f>
        <v>23800.255036906216</v>
      </c>
      <c r="AA49" s="12">
        <f>'Corp.'!AA$50*(AA$37-(AA31-AA32-AA34)*$C$35)/(SUM('MDA1:NCA9'!AA$37)-SUM('MDA1:NCA9'!AA$31)-SUM('MDA1:NCA9'!AA$32)-SUM('MDA1:NCA9'!AA$34))</f>
        <v>23256.101793290807</v>
      </c>
      <c r="AB49" s="12">
        <f>'Corp.'!AB$50*(AB$37-(AB31-AB32-AB34)*$C$35)/(SUM('MDA1:NCA9'!AB$37)-SUM('MDA1:NCA9'!AB$31)-SUM('MDA1:NCA9'!AB$32)-SUM('MDA1:NCA9'!AB$34))</f>
        <v>22728.32805108387</v>
      </c>
      <c r="AC49" s="12">
        <f>'Corp.'!AC$50*(AC$37-(AC31-AC32-AC34)*$C$35)/(SUM('MDA1:NCA9'!AC$37)-SUM('MDA1:NCA9'!AC$31)-SUM('MDA1:NCA9'!AC$32)-SUM('MDA1:NCA9'!AC$34))</f>
        <v>24393.116262000727</v>
      </c>
      <c r="AD49" s="12">
        <f>'Corp.'!AD$50*(AD$37-(AD31-AD32-AD34)*$C$35)/(SUM('MDA1:NCA9'!AD$37)-SUM('MDA1:NCA9'!AD$31)-SUM('MDA1:NCA9'!AD$32)-SUM('MDA1:NCA9'!AD$34))</f>
        <v>23992.384246946993</v>
      </c>
      <c r="AE49" s="12">
        <f>'Corp.'!AE$50*(AE$37-(AE31-AE32-AE34)*$C$35)/(SUM('MDA1:NCA9'!AE$37)-SUM('MDA1:NCA9'!AE$31)-SUM('MDA1:NCA9'!AE$32)-SUM('MDA1:NCA9'!AE$34))</f>
        <v>23614.531887835434</v>
      </c>
      <c r="AF49" s="12">
        <f>'Corp.'!AF$50*(AF$37-(AF31-AF32-AF34)*$C$35)/(SUM('MDA1:NCA9'!AF$37)-SUM('MDA1:NCA9'!AF$31)-SUM('MDA1:NCA9'!AF$32)-SUM('MDA1:NCA9'!AF$34))</f>
        <v>23260.471839546066</v>
      </c>
      <c r="AG49" s="12">
        <f>'Corp.'!AG$50*(AG$37-(AG31-AG32-AG34)*$C$35)/(SUM('MDA1:NCA9'!AG$37)-SUM('MDA1:NCA9'!AG$31)-SUM('MDA1:NCA9'!AG$32)-SUM('MDA1:NCA9'!AG$34))</f>
        <v>22976.532152122585</v>
      </c>
      <c r="AH49" s="12">
        <f>'Corp.'!AH$50*(AH$37-(AH31-AH32-AH34)*$C$35)/(SUM('MDA1:NCA9'!AH$37)-SUM('MDA1:NCA9'!AH$31)-SUM('MDA1:NCA9'!AH$32)-SUM('MDA1:NCA9'!AH$34))</f>
        <v>22603.045450998201</v>
      </c>
      <c r="AI49" s="12">
        <f>'Corp.'!AI$50*(AI$37-(AI31-AI32-AI34)*$C$35)/(SUM('MDA1:NCA9'!AI$37)-SUM('MDA1:NCA9'!AI$31)-SUM('MDA1:NCA9'!AI$32)-SUM('MDA1:NCA9'!AI$34))</f>
        <v>22213.828616816445</v>
      </c>
      <c r="AJ49" s="12">
        <f>'Corp.'!AJ$50*(AJ$37-(AJ31-AJ32-AJ34)*$C$35)/(SUM('MDA1:NCA9'!AJ$37)-SUM('MDA1:NCA9'!AJ$31)-SUM('MDA1:NCA9'!AJ$32)-SUM('MDA1:NCA9'!AJ$34))</f>
        <v>21815.050997731094</v>
      </c>
      <c r="AK49" s="12">
        <f>'Corp.'!AK$50*(AK$37-(AK31-AK32-AK34)*$C$35)/(SUM('MDA1:NCA9'!AK$37)-SUM('MDA1:NCA9'!AK$31)-SUM('MDA1:NCA9'!AK$32)-SUM('MDA1:NCA9'!AK$34))</f>
        <v>21446.829438828536</v>
      </c>
      <c r="AL49" s="12">
        <f>'Corp.'!AL$50*(AL$37-(AL31-AL32-AL34)*$C$35)/(SUM('MDA1:NCA9'!AL$37)-SUM('MDA1:NCA9'!AL$31)-SUM('MDA1:NCA9'!AL$32)-SUM('MDA1:NCA9'!AL$34))</f>
        <v>21108.92697424068</v>
      </c>
      <c r="AM49" s="12">
        <f>'Corp.'!AM$50*(AM$37-(AM31-AM32-AM34)*$C$35)/(SUM('MDA1:NCA9'!AM$37)-SUM('MDA1:NCA9'!AM$31)-SUM('MDA1:NCA9'!AM$32)-SUM('MDA1:NCA9'!AM$34))</f>
        <v>20745.022866408221</v>
      </c>
      <c r="AN49" s="12">
        <f>'Corp.'!AN$50*(AN$37-(AN31-AN32-AN34)*$C$35)/(SUM('MDA1:NCA9'!AN$37)-SUM('MDA1:NCA9'!AN$31)-SUM('MDA1:NCA9'!AN$32)-SUM('MDA1:NCA9'!AN$34))</f>
        <v>20434.824344544046</v>
      </c>
    </row>
    <row r="50" spans="2:40" x14ac:dyDescent="0.25">
      <c r="B50" s="1" t="s">
        <v>272</v>
      </c>
      <c r="E50" s="13" cm="1">
        <f t="array" ref="E50:AN50">_xlfn.BYCOL(_xlfn.VSTACK(_xlfn.ANCHORARRAY(E40),_xlfn.ANCHORARRAY(E42),_xlfn.ANCHORARRAY(E43),_xlfn.ANCHORARRAY(E45),_xlfn.ANCHORARRAY(E46),_xlfn.ANCHORARRAY(E47),_xlfn.ANCHORARRAY(E48),_xlfn.HSTACK(E49:AN49)),_xlfn.LAMBDA(_xlpm.a,SUM(_xlpm.a)))</f>
        <v>115286.15405018075</v>
      </c>
      <c r="F50" s="13">
        <v>122047.60613161328</v>
      </c>
      <c r="G50" s="13">
        <v>127167.54600877513</v>
      </c>
      <c r="H50" s="13">
        <v>128536.37501960622</v>
      </c>
      <c r="I50" s="13">
        <v>125823.9530318336</v>
      </c>
      <c r="J50" s="13">
        <v>122682.26976313026</v>
      </c>
      <c r="K50" s="13">
        <v>119018.68245045513</v>
      </c>
      <c r="L50" s="13">
        <v>116748.08684602341</v>
      </c>
      <c r="M50" s="13">
        <v>114296.31045867197</v>
      </c>
      <c r="N50" s="13">
        <v>112186.13095439228</v>
      </c>
      <c r="O50" s="13">
        <v>109977.89259588666</v>
      </c>
      <c r="P50" s="13">
        <v>108161.01854179252</v>
      </c>
      <c r="Q50" s="13">
        <v>116215.16184888709</v>
      </c>
      <c r="R50" s="13">
        <v>115023.86555489396</v>
      </c>
      <c r="S50" s="13">
        <v>113714.38961252058</v>
      </c>
      <c r="T50" s="13">
        <v>112605.97040649646</v>
      </c>
      <c r="U50" s="13">
        <v>111846.02341558691</v>
      </c>
      <c r="V50" s="13">
        <v>111226.44042769705</v>
      </c>
      <c r="W50" s="13">
        <v>110422.15677976546</v>
      </c>
      <c r="X50" s="13">
        <v>109618.42495896979</v>
      </c>
      <c r="Y50" s="13">
        <v>109091.83215226865</v>
      </c>
      <c r="Z50" s="13">
        <v>108563.47303974605</v>
      </c>
      <c r="AA50" s="13">
        <v>108019.31979613064</v>
      </c>
      <c r="AB50" s="13">
        <v>107491.54605392371</v>
      </c>
      <c r="AC50" s="13">
        <v>116870.51206512455</v>
      </c>
      <c r="AD50" s="13">
        <v>116469.78005007083</v>
      </c>
      <c r="AE50" s="13">
        <v>116091.92769095926</v>
      </c>
      <c r="AF50" s="13">
        <v>115737.86764266989</v>
      </c>
      <c r="AG50" s="13">
        <v>115453.92795524641</v>
      </c>
      <c r="AH50" s="13">
        <v>115080.44125412204</v>
      </c>
      <c r="AI50" s="13">
        <v>114691.22441994028</v>
      </c>
      <c r="AJ50" s="13">
        <v>114292.44680085493</v>
      </c>
      <c r="AK50" s="13">
        <v>113924.22524195237</v>
      </c>
      <c r="AL50" s="13">
        <v>113586.3227773645</v>
      </c>
      <c r="AM50" s="13">
        <v>113222.41866953205</v>
      </c>
      <c r="AN50" s="13">
        <v>112912.22014766787</v>
      </c>
    </row>
    <row r="52" spans="2:40" x14ac:dyDescent="0.25">
      <c r="B52" s="1" t="s">
        <v>48</v>
      </c>
      <c r="E52" s="74">
        <f>E37-E50</f>
        <v>32752.453149819252</v>
      </c>
      <c r="F52" s="74">
        <f t="shared" ref="F52:AN52" si="0">F37-F50</f>
        <v>42439.735201720032</v>
      </c>
      <c r="G52" s="74">
        <f t="shared" si="0"/>
        <v>53768.529457891505</v>
      </c>
      <c r="H52" s="74">
        <f t="shared" si="0"/>
        <v>68848.434580393761</v>
      </c>
      <c r="I52" s="74">
        <f t="shared" si="0"/>
        <v>71560.856568166375</v>
      </c>
      <c r="J52" s="74">
        <f t="shared" si="0"/>
        <v>74702.539836869721</v>
      </c>
      <c r="K52" s="74">
        <f t="shared" si="0"/>
        <v>78366.127149544845</v>
      </c>
      <c r="L52" s="74">
        <f t="shared" si="0"/>
        <v>80636.722753976574</v>
      </c>
      <c r="M52" s="74">
        <f t="shared" si="0"/>
        <v>83088.499141328008</v>
      </c>
      <c r="N52" s="74">
        <f t="shared" si="0"/>
        <v>85198.678645607695</v>
      </c>
      <c r="O52" s="74">
        <f t="shared" si="0"/>
        <v>87406.917004113318</v>
      </c>
      <c r="P52" s="74">
        <f t="shared" si="0"/>
        <v>89223.791058207455</v>
      </c>
      <c r="Q52" s="74">
        <f t="shared" si="0"/>
        <v>87091.192039112866</v>
      </c>
      <c r="R52" s="74">
        <f t="shared" si="0"/>
        <v>88282.488333105997</v>
      </c>
      <c r="S52" s="74">
        <f t="shared" si="0"/>
        <v>89591.964275479375</v>
      </c>
      <c r="T52" s="74">
        <f t="shared" si="0"/>
        <v>90700.383481503493</v>
      </c>
      <c r="U52" s="74">
        <f t="shared" si="0"/>
        <v>91460.330472413043</v>
      </c>
      <c r="V52" s="74">
        <f t="shared" si="0"/>
        <v>92079.913460302909</v>
      </c>
      <c r="W52" s="74">
        <f t="shared" si="0"/>
        <v>92884.197108234497</v>
      </c>
      <c r="X52" s="74">
        <f t="shared" si="0"/>
        <v>93687.928929030168</v>
      </c>
      <c r="Y52" s="74">
        <f t="shared" si="0"/>
        <v>94214.521735731309</v>
      </c>
      <c r="Z52" s="74">
        <f t="shared" si="0"/>
        <v>94742.880848253903</v>
      </c>
      <c r="AA52" s="74">
        <f t="shared" si="0"/>
        <v>95287.034091869311</v>
      </c>
      <c r="AB52" s="74">
        <f t="shared" si="0"/>
        <v>95814.807834076244</v>
      </c>
      <c r="AC52" s="74">
        <f t="shared" si="0"/>
        <v>86435.841822875402</v>
      </c>
      <c r="AD52" s="74">
        <f t="shared" si="0"/>
        <v>86836.573837929129</v>
      </c>
      <c r="AE52" s="74">
        <f t="shared" si="0"/>
        <v>87214.426197040695</v>
      </c>
      <c r="AF52" s="74">
        <f t="shared" si="0"/>
        <v>87568.486245330059</v>
      </c>
      <c r="AG52" s="74">
        <f t="shared" si="0"/>
        <v>87852.42593275354</v>
      </c>
      <c r="AH52" s="74">
        <f t="shared" si="0"/>
        <v>88225.912633877917</v>
      </c>
      <c r="AI52" s="74">
        <f t="shared" si="0"/>
        <v>88615.129468059677</v>
      </c>
      <c r="AJ52" s="74">
        <f t="shared" si="0"/>
        <v>89013.907087145024</v>
      </c>
      <c r="AK52" s="74">
        <f t="shared" si="0"/>
        <v>89382.128646047582</v>
      </c>
      <c r="AL52" s="74">
        <f t="shared" si="0"/>
        <v>89720.031110635449</v>
      </c>
      <c r="AM52" s="74">
        <f t="shared" si="0"/>
        <v>90083.935218467901</v>
      </c>
      <c r="AN52" s="74">
        <f t="shared" si="0"/>
        <v>90394.133740332079</v>
      </c>
    </row>
    <row r="53" spans="2:40" x14ac:dyDescent="0.25">
      <c r="E53" s="105">
        <f>IFERROR(E52/E37,"")</f>
        <v>0.22124264588338582</v>
      </c>
      <c r="F53" s="105">
        <f t="shared" ref="F53:AN53" si="1">IFERROR(F52/F37,"")</f>
        <v>0.25801216590713799</v>
      </c>
      <c r="G53" s="105">
        <f t="shared" si="1"/>
        <v>0.29716865096809914</v>
      </c>
      <c r="H53" s="105">
        <f t="shared" si="1"/>
        <v>0.34880310556782468</v>
      </c>
      <c r="I53" s="105">
        <f t="shared" si="1"/>
        <v>0.36254490258487643</v>
      </c>
      <c r="J53" s="105">
        <f t="shared" si="1"/>
        <v>0.37846144284483851</v>
      </c>
      <c r="K53" s="105">
        <f t="shared" si="1"/>
        <v>0.39702207737441236</v>
      </c>
      <c r="L53" s="105">
        <f t="shared" si="1"/>
        <v>0.40852547324886229</v>
      </c>
      <c r="M53" s="105">
        <f t="shared" si="1"/>
        <v>0.42094677553813148</v>
      </c>
      <c r="N53" s="105">
        <f t="shared" si="1"/>
        <v>0.43163746398855457</v>
      </c>
      <c r="O53" s="105">
        <f t="shared" si="1"/>
        <v>0.44282494271592282</v>
      </c>
      <c r="P53" s="105">
        <f t="shared" si="1"/>
        <v>0.45202967360568086</v>
      </c>
      <c r="Q53" s="105">
        <f t="shared" si="1"/>
        <v>0.42837417706625536</v>
      </c>
      <c r="R53" s="105">
        <f t="shared" si="1"/>
        <v>0.43423378878625801</v>
      </c>
      <c r="S53" s="105">
        <f t="shared" si="1"/>
        <v>0.44067468902046691</v>
      </c>
      <c r="T53" s="105">
        <f t="shared" si="1"/>
        <v>0.446126654415679</v>
      </c>
      <c r="U53" s="105">
        <f t="shared" si="1"/>
        <v>0.44986459460483907</v>
      </c>
      <c r="V53" s="105">
        <f t="shared" si="1"/>
        <v>0.45291212841792977</v>
      </c>
      <c r="W53" s="105">
        <f t="shared" si="1"/>
        <v>0.45686814667584735</v>
      </c>
      <c r="X53" s="105">
        <f t="shared" si="1"/>
        <v>0.46082145066967356</v>
      </c>
      <c r="Y53" s="105">
        <f t="shared" si="1"/>
        <v>0.46341159503373625</v>
      </c>
      <c r="Z53" s="105">
        <f t="shared" si="1"/>
        <v>0.46601042730050185</v>
      </c>
      <c r="AA53" s="105">
        <f t="shared" si="1"/>
        <v>0.46868694592969912</v>
      </c>
      <c r="AB53" s="105">
        <f t="shared" si="1"/>
        <v>0.47128289894402392</v>
      </c>
      <c r="AC53" s="105">
        <f t="shared" si="1"/>
        <v>0.42515071550834216</v>
      </c>
      <c r="AD53" s="105">
        <f t="shared" si="1"/>
        <v>0.42712179023075092</v>
      </c>
      <c r="AE53" s="105">
        <f t="shared" si="1"/>
        <v>0.42898032712291184</v>
      </c>
      <c r="AF53" s="105">
        <f t="shared" si="1"/>
        <v>0.4307218371225669</v>
      </c>
      <c r="AG53" s="105">
        <f t="shared" si="1"/>
        <v>0.43211844712512443</v>
      </c>
      <c r="AH53" s="105">
        <f t="shared" si="1"/>
        <v>0.43395551071896626</v>
      </c>
      <c r="AI53" s="105">
        <f t="shared" si="1"/>
        <v>0.43586994588903566</v>
      </c>
      <c r="AJ53" s="105">
        <f t="shared" si="1"/>
        <v>0.43783140755247701</v>
      </c>
      <c r="AK53" s="105">
        <f t="shared" si="1"/>
        <v>0.43964257356800351</v>
      </c>
      <c r="AL53" s="105">
        <f t="shared" si="1"/>
        <v>0.44130460949617734</v>
      </c>
      <c r="AM53" s="105">
        <f t="shared" si="1"/>
        <v>0.44309453932804532</v>
      </c>
      <c r="AN53" s="105">
        <f t="shared" si="1"/>
        <v>0.44462030827688531</v>
      </c>
    </row>
    <row r="55" spans="2:40" x14ac:dyDescent="0.25">
      <c r="B55" t="s">
        <v>57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0</v>
      </c>
      <c r="D55" s="12">
        <f>C55-SUM(_xlfn.ANCHORARRAY(E55))</f>
        <v>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</row>
    <row r="56" spans="2:40" x14ac:dyDescent="0.25">
      <c r="B56" t="s">
        <v>285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-22205.791079999999</v>
      </c>
      <c r="F56" s="90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-22205.791079999999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-22205.791079999999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-22205.791079999999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-22205.791079999999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-22205.791079999999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-24673.101199999997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-27140.411319999996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-29607.721439999994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-29607.721439999994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-29607.721439999994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-29607.721439999994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-29607.721439999994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-29607.721439999994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-29607.721439999994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-29607.721439999994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-29607.721439999994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276</v>
      </c>
      <c r="E58" s="13">
        <f>E37-E50-E55+E56</f>
        <v>10546.662069819253</v>
      </c>
      <c r="F58" s="13">
        <f t="shared" ref="F58:AN58" si="2">F37-F50-F55+F56</f>
        <v>20233.944121720033</v>
      </c>
      <c r="G58" s="13">
        <f t="shared" si="2"/>
        <v>31562.738377891506</v>
      </c>
      <c r="H58" s="13">
        <f t="shared" si="2"/>
        <v>46642.643500393766</v>
      </c>
      <c r="I58" s="13">
        <f t="shared" si="2"/>
        <v>49355.06548816638</v>
      </c>
      <c r="J58" s="13">
        <f t="shared" si="2"/>
        <v>52496.748756869725</v>
      </c>
      <c r="K58" s="13">
        <f t="shared" si="2"/>
        <v>53693.025949544848</v>
      </c>
      <c r="L58" s="13">
        <f t="shared" si="2"/>
        <v>53496.311433976574</v>
      </c>
      <c r="M58" s="13">
        <f t="shared" si="2"/>
        <v>53480.777701328014</v>
      </c>
      <c r="N58" s="13">
        <f t="shared" si="2"/>
        <v>55590.957205607701</v>
      </c>
      <c r="O58" s="13">
        <f t="shared" si="2"/>
        <v>57799.195564113325</v>
      </c>
      <c r="P58" s="13">
        <f t="shared" si="2"/>
        <v>59616.069618207461</v>
      </c>
      <c r="Q58" s="13">
        <f t="shared" si="2"/>
        <v>57483.470599112872</v>
      </c>
      <c r="R58" s="13">
        <f t="shared" si="2"/>
        <v>58674.766893106003</v>
      </c>
      <c r="S58" s="13">
        <f t="shared" si="2"/>
        <v>59984.242835479381</v>
      </c>
      <c r="T58" s="13">
        <f t="shared" si="2"/>
        <v>61092.662041503499</v>
      </c>
      <c r="U58" s="13">
        <f t="shared" si="2"/>
        <v>61852.609032413049</v>
      </c>
      <c r="V58" s="13">
        <f t="shared" si="2"/>
        <v>61583.960377102921</v>
      </c>
      <c r="W58" s="13">
        <f t="shared" si="2"/>
        <v>62388.24402503451</v>
      </c>
      <c r="X58" s="13">
        <f t="shared" si="2"/>
        <v>63191.97584583018</v>
      </c>
      <c r="Y58" s="13">
        <f t="shared" si="2"/>
        <v>63718.568652531321</v>
      </c>
      <c r="Z58" s="13">
        <f t="shared" si="2"/>
        <v>64246.927765053915</v>
      </c>
      <c r="AA58" s="13">
        <f t="shared" si="2"/>
        <v>64791.081008669324</v>
      </c>
      <c r="AB58" s="13">
        <f t="shared" si="2"/>
        <v>65318.854750876257</v>
      </c>
      <c r="AC58" s="13">
        <f t="shared" si="2"/>
        <v>55939.888739675414</v>
      </c>
      <c r="AD58" s="13">
        <f t="shared" si="2"/>
        <v>56340.620754729141</v>
      </c>
      <c r="AE58" s="13">
        <f t="shared" si="2"/>
        <v>56718.473113840708</v>
      </c>
      <c r="AF58" s="13">
        <f t="shared" si="2"/>
        <v>57072.533162130072</v>
      </c>
      <c r="AG58" s="13">
        <f t="shared" si="2"/>
        <v>57356.472849553553</v>
      </c>
      <c r="AH58" s="13">
        <f t="shared" si="2"/>
        <v>57729.95955067793</v>
      </c>
      <c r="AI58" s="13">
        <f t="shared" si="2"/>
        <v>58119.176384859689</v>
      </c>
      <c r="AJ58" s="13">
        <f t="shared" si="2"/>
        <v>58517.954003945037</v>
      </c>
      <c r="AK58" s="13">
        <f t="shared" si="2"/>
        <v>58886.175562847595</v>
      </c>
      <c r="AL58" s="13">
        <f t="shared" si="2"/>
        <v>59224.078027435462</v>
      </c>
      <c r="AM58" s="13">
        <f t="shared" si="2"/>
        <v>59587.982135267914</v>
      </c>
      <c r="AN58" s="13">
        <f t="shared" si="2"/>
        <v>59898.180657132092</v>
      </c>
    </row>
    <row r="59" spans="2:40" x14ac:dyDescent="0.25">
      <c r="B59" t="s">
        <v>277</v>
      </c>
      <c r="E59" s="12" cm="1">
        <f t="array" ref="E59:AN59">_xlfn.SCAN(-D55,E58:AN58,_xlfn.LAMBDA(_xlpm.capex,_xlpm.fcf,_xlpm.capex+_xlpm.fcf))</f>
        <v>10546.662069819253</v>
      </c>
      <c r="F59" s="12">
        <v>30780.606191539286</v>
      </c>
      <c r="G59" s="12">
        <v>62343.344569430788</v>
      </c>
      <c r="H59" s="12">
        <v>108985.98806982455</v>
      </c>
      <c r="I59" s="12">
        <v>158341.05355799093</v>
      </c>
      <c r="J59" s="12">
        <v>210837.80231486066</v>
      </c>
      <c r="K59" s="12">
        <v>264530.82826440549</v>
      </c>
      <c r="L59" s="12">
        <v>318027.13969838206</v>
      </c>
      <c r="M59" s="12">
        <v>371507.91739971004</v>
      </c>
      <c r="N59" s="12">
        <v>427098.87460531772</v>
      </c>
      <c r="O59" s="12">
        <v>484898.07016943104</v>
      </c>
      <c r="P59" s="12">
        <v>544514.13978763856</v>
      </c>
      <c r="Q59" s="12">
        <v>601997.61038675148</v>
      </c>
      <c r="R59" s="12">
        <v>660672.37727985752</v>
      </c>
      <c r="S59" s="12">
        <v>720656.62011533696</v>
      </c>
      <c r="T59" s="12">
        <v>781749.28215684043</v>
      </c>
      <c r="U59" s="12">
        <v>843601.89118925342</v>
      </c>
      <c r="V59" s="12">
        <v>905185.85156635637</v>
      </c>
      <c r="W59" s="12">
        <v>967574.09559139085</v>
      </c>
      <c r="X59" s="12">
        <v>1030766.071437221</v>
      </c>
      <c r="Y59" s="12">
        <v>1094484.6400897524</v>
      </c>
      <c r="Z59" s="12">
        <v>1158731.5678548063</v>
      </c>
      <c r="AA59" s="12">
        <v>1223522.6488634755</v>
      </c>
      <c r="AB59" s="12">
        <v>1288841.5036143519</v>
      </c>
      <c r="AC59" s="12">
        <v>1344781.3923540274</v>
      </c>
      <c r="AD59" s="12">
        <v>1401122.0131087564</v>
      </c>
      <c r="AE59" s="12">
        <v>1457840.4862225971</v>
      </c>
      <c r="AF59" s="12">
        <v>1514913.0193847271</v>
      </c>
      <c r="AG59" s="12">
        <v>1572269.4922342806</v>
      </c>
      <c r="AH59" s="12">
        <v>1629999.4517849586</v>
      </c>
      <c r="AI59" s="12">
        <v>1688118.6281698183</v>
      </c>
      <c r="AJ59" s="12">
        <v>1746636.5821737633</v>
      </c>
      <c r="AK59" s="12">
        <v>1805522.7577366109</v>
      </c>
      <c r="AL59" s="12">
        <v>1864746.8357640463</v>
      </c>
      <c r="AM59" s="12">
        <v>1924334.8178993142</v>
      </c>
      <c r="AN59" s="12">
        <v>1984232.9985564463</v>
      </c>
    </row>
    <row r="61" spans="2:40" x14ac:dyDescent="0.25">
      <c r="B61" s="1" t="s">
        <v>302</v>
      </c>
    </row>
    <row r="63" spans="2:40" x14ac:dyDescent="0.25">
      <c r="B63" s="39" t="s">
        <v>103</v>
      </c>
      <c r="E63" s="12" cm="1">
        <f t="array" ref="E63:AN63">_xlfn.LET(_xlpm.site,$B$1&amp;"-"&amp;$C$1,_xlpm.locations,Base!$D$4:$BD$4,_xlpm.rates,Base!$D$36:$BD$36,_xlpm.hours,Base!$D$79:$BD$79,_xlpm.comp,_xlpm.rates*_xlpm.hours,_xlpm.Customer,_xlfn.ANCHORARRAY($E$1),
_xlpm.Customer_comp,_xlfn.XLOOKUP(_xlpm.site,_xlpm.locations,_xlpm.comp,0,0),_xlpm.ann_incr,_xlfn.XLOOKUP(YEAR(_xlfn.ANCHORARRAY($E$25)),Base!$BJ$4:$BL$4,Base!$BJ$79:$BL$79,0,0),
_xlpm.bad_debt,_xlfn.XLOOKUP(_xlpm.site,_xlpm.locations,Base!$D$28:$BD$28,0,0),_xlpm.Customer_comp*_xlpm.Customer*_xlpm.bad_debt*_xlpm.ann_incr*(52/12)*(1-$C$35))</f>
        <v>0</v>
      </c>
      <c r="F63" s="12">
        <v>0</v>
      </c>
      <c r="G63" s="12">
        <v>0</v>
      </c>
      <c r="H63" s="12">
        <v>0</v>
      </c>
      <c r="I63" s="12">
        <v>0</v>
      </c>
      <c r="J63" s="12">
        <v>0</v>
      </c>
      <c r="K63" s="12">
        <v>0</v>
      </c>
      <c r="L63" s="12">
        <v>0</v>
      </c>
      <c r="M63" s="12">
        <v>0</v>
      </c>
      <c r="N63" s="12">
        <v>0</v>
      </c>
      <c r="O63" s="12">
        <v>0</v>
      </c>
      <c r="P63" s="12">
        <v>0</v>
      </c>
      <c r="Q63" s="12">
        <v>0</v>
      </c>
      <c r="R63" s="12">
        <v>0</v>
      </c>
      <c r="S63" s="12">
        <v>0</v>
      </c>
      <c r="T63" s="12">
        <v>0</v>
      </c>
      <c r="U63" s="12">
        <v>0</v>
      </c>
      <c r="V63" s="12">
        <v>0</v>
      </c>
      <c r="W63" s="12">
        <v>0</v>
      </c>
      <c r="X63" s="12">
        <v>0</v>
      </c>
      <c r="Y63" s="12">
        <v>0</v>
      </c>
      <c r="Z63" s="12">
        <v>0</v>
      </c>
      <c r="AA63" s="12">
        <v>0</v>
      </c>
      <c r="AB63" s="12">
        <v>0</v>
      </c>
      <c r="AC63" s="12">
        <v>0</v>
      </c>
      <c r="AD63" s="12">
        <v>0</v>
      </c>
      <c r="AE63" s="12">
        <v>0</v>
      </c>
      <c r="AF63" s="12">
        <v>0</v>
      </c>
      <c r="AG63" s="12">
        <v>0</v>
      </c>
      <c r="AH63" s="12">
        <v>0</v>
      </c>
      <c r="AI63" s="12">
        <v>0</v>
      </c>
      <c r="AJ63" s="12">
        <v>0</v>
      </c>
      <c r="AK63" s="12">
        <v>0</v>
      </c>
      <c r="AL63" s="12">
        <v>0</v>
      </c>
      <c r="AM63" s="12">
        <v>0</v>
      </c>
      <c r="AN63" s="12">
        <v>0</v>
      </c>
    </row>
    <row r="64" spans="2:40" x14ac:dyDescent="0.25">
      <c r="B64" s="39" t="s">
        <v>104</v>
      </c>
      <c r="E64" s="12" cm="1">
        <f t="array" ref="E64:AN64">_xlfn.LET(_xlpm.site,$B$1&amp;"-"&amp;$C$1,_xlpm.locations,Base!$D$4:$BD$4,_xlpm.rates,Base!$D$37:$BD$37,_xlpm.hours,Base!$D$80:$BD$80,_xlpm.comp,_xlpm.rates*_xlpm.hours,_xlpm.Customer,_xlfn.ANCHORARRAY($E$1),
_xlpm.Customer_comp,_xlfn.XLOOKUP(_xlpm.site,_xlpm.locations,_xlpm.comp,0,0),_xlpm.ann_incr,_xlfn.XLOOKUP(YEAR(_xlfn.ANCHORARRAY($E$25)),Base!$BJ$4:$BL$4,Base!$BJ$80:$BL$80,0,0),
_xlpm.bad_debt,_xlfn.XLOOKUP(_xlpm.site,_xlpm.locations,Base!$D$28:$BD$28,0,0),_xlpm.Customer_comp*_xlpm.Customer*_xlpm.bad_debt*_xlpm.ann_incr*(52/12)*(1-$C$35))</f>
        <v>0</v>
      </c>
      <c r="F64" s="12">
        <v>0</v>
      </c>
      <c r="G64" s="12">
        <v>0</v>
      </c>
      <c r="H64" s="12">
        <v>0</v>
      </c>
      <c r="I64" s="12">
        <v>0</v>
      </c>
      <c r="J64" s="12">
        <v>0</v>
      </c>
      <c r="K64" s="12">
        <v>0</v>
      </c>
      <c r="L64" s="12">
        <v>0</v>
      </c>
      <c r="M64" s="12">
        <v>0</v>
      </c>
      <c r="N64" s="12">
        <v>0</v>
      </c>
      <c r="O64" s="12">
        <v>0</v>
      </c>
      <c r="P64" s="12">
        <v>0</v>
      </c>
      <c r="Q64" s="12">
        <v>0</v>
      </c>
      <c r="R64" s="12">
        <v>0</v>
      </c>
      <c r="S64" s="12">
        <v>0</v>
      </c>
      <c r="T64" s="12">
        <v>0</v>
      </c>
      <c r="U64" s="12">
        <v>0</v>
      </c>
      <c r="V64" s="12">
        <v>0</v>
      </c>
      <c r="W64" s="12">
        <v>0</v>
      </c>
      <c r="X64" s="12">
        <v>0</v>
      </c>
      <c r="Y64" s="12">
        <v>0</v>
      </c>
      <c r="Z64" s="12">
        <v>0</v>
      </c>
      <c r="AA64" s="12">
        <v>0</v>
      </c>
      <c r="AB64" s="12">
        <v>0</v>
      </c>
      <c r="AC64" s="12">
        <v>0</v>
      </c>
      <c r="AD64" s="12">
        <v>0</v>
      </c>
      <c r="AE64" s="12">
        <v>0</v>
      </c>
      <c r="AF64" s="12">
        <v>0</v>
      </c>
      <c r="AG64" s="12">
        <v>0</v>
      </c>
      <c r="AH64" s="12">
        <v>0</v>
      </c>
      <c r="AI64" s="12">
        <v>0</v>
      </c>
      <c r="AJ64" s="12">
        <v>0</v>
      </c>
      <c r="AK64" s="12">
        <v>0</v>
      </c>
      <c r="AL64" s="12">
        <v>0</v>
      </c>
      <c r="AM64" s="12">
        <v>0</v>
      </c>
      <c r="AN64" s="12">
        <v>0</v>
      </c>
    </row>
    <row r="65" spans="2:40" x14ac:dyDescent="0.25">
      <c r="B65" s="39" t="s">
        <v>56</v>
      </c>
      <c r="E65" s="12" cm="1">
        <f t="array" ref="E65:AN65">_xlfn.LET(_xlpm.site,$B$1&amp;"-"&amp;$C$1,_xlpm.locations,Base!$D$4:$BD$4,_xlpm.rates,Base!$D$39:$BD$39,_xlpm.hours,Base!$D$82:$BD$82,_xlpm.comp,_xlpm.rates*_xlpm.hours,_xlpm.Customer,_xlfn.ANCHORARRAY($E$1),
_xlpm.Customer_comp,_xlfn.XLOOKUP(_xlpm.site,_xlpm.locations,_xlpm.comp,0,0),_xlpm.ann_incr,_xlfn.XLOOKUP(YEAR(_xlfn.ANCHORARRAY($E$25)),Base!$BJ$4:$BL$4,Base!$BJ$82:$BL$82,0,0),
_xlpm.bad_debt,_xlfn.XLOOKUP(_xlpm.site,_xlpm.locations,Base!$D$28:$BD$28,0,0),_xlpm.Customer_comp*_xlpm.Customer*_xlpm.bad_debt*_xlpm.ann_incr*(52/12)*(1-$C$35))</f>
        <v>0</v>
      </c>
      <c r="F65" s="12">
        <v>0</v>
      </c>
      <c r="G65" s="12">
        <v>0</v>
      </c>
      <c r="H65" s="12">
        <v>0</v>
      </c>
      <c r="I65" s="12">
        <v>0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  <c r="O65" s="12">
        <v>0</v>
      </c>
      <c r="P65" s="12">
        <v>0</v>
      </c>
      <c r="Q65" s="12">
        <v>0</v>
      </c>
      <c r="R65" s="12">
        <v>0</v>
      </c>
      <c r="S65" s="12">
        <v>0</v>
      </c>
      <c r="T65" s="12">
        <v>0</v>
      </c>
      <c r="U65" s="12">
        <v>0</v>
      </c>
      <c r="V65" s="12">
        <v>0</v>
      </c>
      <c r="W65" s="12">
        <v>0</v>
      </c>
      <c r="X65" s="12">
        <v>0</v>
      </c>
      <c r="Y65" s="12">
        <v>0</v>
      </c>
      <c r="Z65" s="12">
        <v>0</v>
      </c>
      <c r="AA65" s="12">
        <v>0</v>
      </c>
      <c r="AB65" s="12">
        <v>0</v>
      </c>
      <c r="AC65" s="12">
        <v>0</v>
      </c>
      <c r="AD65" s="12">
        <v>0</v>
      </c>
      <c r="AE65" s="12">
        <v>0</v>
      </c>
      <c r="AF65" s="12">
        <v>0</v>
      </c>
      <c r="AG65" s="12">
        <v>0</v>
      </c>
      <c r="AH65" s="12">
        <v>0</v>
      </c>
      <c r="AI65" s="12">
        <v>0</v>
      </c>
      <c r="AJ65" s="12">
        <v>0</v>
      </c>
      <c r="AK65" s="12">
        <v>0</v>
      </c>
      <c r="AL65" s="12">
        <v>0</v>
      </c>
      <c r="AM65" s="12">
        <v>0</v>
      </c>
      <c r="AN65" s="12">
        <v>0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303</v>
      </c>
      <c r="C67" s="12"/>
      <c r="E67" s="13" cm="1">
        <f t="array" ref="E67:AN67">_xlfn.BYCOL(_xlfn.VSTACK(_xlfn.ANCHORARRAY($E$63),_xlfn.ANCHORARRAY($E$64),_xlfn.ANCHORARRAY($E$65)),_xlfn.LAMBDA(_xlpm.a,SUM(_xlpm.a)))</f>
        <v>0</v>
      </c>
      <c r="F67" s="13">
        <v>0</v>
      </c>
      <c r="G67" s="13">
        <v>0</v>
      </c>
      <c r="H67" s="13">
        <v>0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  <c r="W67" s="13">
        <v>0</v>
      </c>
      <c r="X67" s="13">
        <v>0</v>
      </c>
      <c r="Y67" s="13">
        <v>0</v>
      </c>
      <c r="Z67" s="13">
        <v>0</v>
      </c>
      <c r="AA67" s="13">
        <v>0</v>
      </c>
      <c r="AB67" s="13">
        <v>0</v>
      </c>
      <c r="AC67" s="13">
        <v>0</v>
      </c>
      <c r="AD67" s="13">
        <v>0</v>
      </c>
      <c r="AE67" s="13">
        <v>0</v>
      </c>
      <c r="AF67" s="13">
        <v>0</v>
      </c>
      <c r="AG67" s="13">
        <v>0</v>
      </c>
      <c r="AH67" s="13">
        <v>0</v>
      </c>
      <c r="AI67" s="13">
        <v>0</v>
      </c>
      <c r="AJ67" s="13">
        <v>0</v>
      </c>
      <c r="AK67" s="13">
        <v>0</v>
      </c>
      <c r="AL67" s="13">
        <v>0</v>
      </c>
      <c r="AM67" s="13">
        <v>0</v>
      </c>
      <c r="AN67" s="13">
        <v>0</v>
      </c>
    </row>
    <row r="68" spans="2:40" x14ac:dyDescent="0.25">
      <c r="B68" s="39"/>
      <c r="C68" s="12"/>
    </row>
    <row r="69" spans="2:40" x14ac:dyDescent="0.25">
      <c r="B69" s="39" t="s">
        <v>304</v>
      </c>
      <c r="C69" s="12"/>
      <c r="E69" s="106" cm="1">
        <f t="array" ref="E69:AN70">_xlfn.LET(_xlpm.Customer_staff,_xlfn._xlws.FILTER(Base!$D$96:$BD$97,ISNUMBER(SEARCH($B$1&amp;"-"&amp;$C$1,Base!$D$4:$BD$4))),_xlpm.Customer,_xlfn.ANCHORARRAY($E$1),_xlpm.headcount,_xlpm.Customer/_xlpm.Customer_staff,
_xlpm.rounding,_xlfn.VSTACK(0,0),IFERROR(ROUND(_xlpm.headcount,_xlpm.rounding),0))</f>
        <v>0</v>
      </c>
      <c r="F69" s="106">
        <v>0</v>
      </c>
      <c r="G69" s="106">
        <v>0</v>
      </c>
      <c r="H69" s="106">
        <v>0</v>
      </c>
      <c r="I69" s="106">
        <v>0</v>
      </c>
      <c r="J69" s="106">
        <v>0</v>
      </c>
      <c r="K69" s="106">
        <v>0</v>
      </c>
      <c r="L69" s="106">
        <v>0</v>
      </c>
      <c r="M69" s="106">
        <v>0</v>
      </c>
      <c r="N69" s="106">
        <v>0</v>
      </c>
      <c r="O69" s="106">
        <v>0</v>
      </c>
      <c r="P69" s="106">
        <v>0</v>
      </c>
      <c r="Q69" s="106">
        <v>0</v>
      </c>
      <c r="R69" s="106">
        <v>0</v>
      </c>
      <c r="S69" s="106">
        <v>0</v>
      </c>
      <c r="T69" s="106">
        <v>0</v>
      </c>
      <c r="U69" s="106">
        <v>0</v>
      </c>
      <c r="V69" s="106">
        <v>0</v>
      </c>
      <c r="W69" s="106">
        <v>0</v>
      </c>
      <c r="X69" s="106">
        <v>0</v>
      </c>
      <c r="Y69" s="106">
        <v>0</v>
      </c>
      <c r="Z69" s="106">
        <v>0</v>
      </c>
      <c r="AA69" s="106">
        <v>0</v>
      </c>
      <c r="AB69" s="106">
        <v>0</v>
      </c>
      <c r="AC69" s="106">
        <v>0</v>
      </c>
      <c r="AD69" s="106">
        <v>0</v>
      </c>
      <c r="AE69" s="106">
        <v>0</v>
      </c>
      <c r="AF69" s="106">
        <v>0</v>
      </c>
      <c r="AG69" s="106">
        <v>0</v>
      </c>
      <c r="AH69" s="106">
        <v>0</v>
      </c>
      <c r="AI69" s="106">
        <v>0</v>
      </c>
      <c r="AJ69" s="106">
        <v>0</v>
      </c>
      <c r="AK69" s="106">
        <v>0</v>
      </c>
      <c r="AL69" s="106">
        <v>0</v>
      </c>
      <c r="AM69" s="106">
        <v>0</v>
      </c>
      <c r="AN69" s="106">
        <v>0</v>
      </c>
    </row>
    <row r="70" spans="2:40" x14ac:dyDescent="0.25">
      <c r="B70" s="39" t="s">
        <v>305</v>
      </c>
      <c r="C70" s="12"/>
      <c r="E70" s="106">
        <v>0</v>
      </c>
      <c r="F70" s="106">
        <v>0</v>
      </c>
      <c r="G70" s="106">
        <v>0</v>
      </c>
      <c r="H70" s="106">
        <v>0</v>
      </c>
      <c r="I70" s="106">
        <v>0</v>
      </c>
      <c r="J70" s="106">
        <v>0</v>
      </c>
      <c r="K70" s="106">
        <v>0</v>
      </c>
      <c r="L70" s="106">
        <v>0</v>
      </c>
      <c r="M70" s="106">
        <v>0</v>
      </c>
      <c r="N70" s="106">
        <v>0</v>
      </c>
      <c r="O70" s="106">
        <v>0</v>
      </c>
      <c r="P70" s="106">
        <v>0</v>
      </c>
      <c r="Q70" s="106">
        <v>0</v>
      </c>
      <c r="R70" s="106">
        <v>0</v>
      </c>
      <c r="S70" s="106">
        <v>0</v>
      </c>
      <c r="T70" s="106">
        <v>0</v>
      </c>
      <c r="U70" s="106">
        <v>0</v>
      </c>
      <c r="V70" s="106">
        <v>0</v>
      </c>
      <c r="W70" s="106">
        <v>0</v>
      </c>
      <c r="X70" s="106">
        <v>0</v>
      </c>
      <c r="Y70" s="106">
        <v>0</v>
      </c>
      <c r="Z70" s="106">
        <v>0</v>
      </c>
      <c r="AA70" s="106">
        <v>0</v>
      </c>
      <c r="AB70" s="106">
        <v>0</v>
      </c>
      <c r="AC70" s="106">
        <v>0</v>
      </c>
      <c r="AD70" s="106">
        <v>0</v>
      </c>
      <c r="AE70" s="106">
        <v>0</v>
      </c>
      <c r="AF70" s="106">
        <v>0</v>
      </c>
      <c r="AG70" s="106">
        <v>0</v>
      </c>
      <c r="AH70" s="106">
        <v>0</v>
      </c>
      <c r="AI70" s="106">
        <v>0</v>
      </c>
      <c r="AJ70" s="106">
        <v>0</v>
      </c>
      <c r="AK70" s="106">
        <v>0</v>
      </c>
      <c r="AL70" s="106">
        <v>0</v>
      </c>
      <c r="AM70" s="106">
        <v>0</v>
      </c>
      <c r="AN70" s="106">
        <v>0</v>
      </c>
    </row>
    <row r="71" spans="2:40" x14ac:dyDescent="0.25">
      <c r="B71" s="39"/>
      <c r="C71" s="12"/>
    </row>
    <row r="72" spans="2:40" x14ac:dyDescent="0.25">
      <c r="B72" s="39" t="s">
        <v>23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1.8879208988792088E-2</v>
      </c>
      <c r="F72" s="12">
        <v>2.0976898876435657E-2</v>
      </c>
      <c r="G72" s="12">
        <v>2.307458876407922E-2</v>
      </c>
      <c r="H72" s="12">
        <v>2.5172278651722783E-2</v>
      </c>
      <c r="I72" s="12">
        <v>2.5172278651722783E-2</v>
      </c>
      <c r="J72" s="12">
        <v>2.5172278651722783E-2</v>
      </c>
      <c r="K72" s="12">
        <v>2.5172278651722783E-2</v>
      </c>
      <c r="L72" s="12">
        <v>2.5172278651722783E-2</v>
      </c>
      <c r="M72" s="12">
        <v>2.5172278651722783E-2</v>
      </c>
      <c r="N72" s="12">
        <v>2.5172278651722783E-2</v>
      </c>
      <c r="O72" s="12">
        <v>2.5172278651722783E-2</v>
      </c>
      <c r="P72" s="12">
        <v>2.5172278651722783E-2</v>
      </c>
      <c r="Q72" s="12">
        <v>2.7689506516895061E-2</v>
      </c>
      <c r="R72" s="12">
        <v>2.7689506516895061E-2</v>
      </c>
      <c r="S72" s="12">
        <v>2.7689506516895061E-2</v>
      </c>
      <c r="T72" s="12">
        <v>2.7689506516895061E-2</v>
      </c>
      <c r="U72" s="12">
        <v>2.7689506516895061E-2</v>
      </c>
      <c r="V72" s="12">
        <v>2.7689506516895061E-2</v>
      </c>
      <c r="W72" s="12">
        <v>2.7689506516895061E-2</v>
      </c>
      <c r="X72" s="12">
        <v>2.7689506516895061E-2</v>
      </c>
      <c r="Y72" s="12">
        <v>2.7689506516895061E-2</v>
      </c>
      <c r="Z72" s="12">
        <v>2.7689506516895061E-2</v>
      </c>
      <c r="AA72" s="12">
        <v>2.7689506516895061E-2</v>
      </c>
      <c r="AB72" s="12">
        <v>2.7689506516895061E-2</v>
      </c>
      <c r="AC72" s="12">
        <v>3.0458457168584575E-2</v>
      </c>
      <c r="AD72" s="12">
        <v>3.0458457168584575E-2</v>
      </c>
      <c r="AE72" s="12">
        <v>3.0458457168584575E-2</v>
      </c>
      <c r="AF72" s="12">
        <v>3.0458457168584575E-2</v>
      </c>
      <c r="AG72" s="12">
        <v>3.0458457168584575E-2</v>
      </c>
      <c r="AH72" s="12">
        <v>3.0458457168584575E-2</v>
      </c>
      <c r="AI72" s="12">
        <v>3.0458457168584575E-2</v>
      </c>
      <c r="AJ72" s="12">
        <v>3.0458457168584575E-2</v>
      </c>
      <c r="AK72" s="12">
        <v>3.0458457168584575E-2</v>
      </c>
      <c r="AL72" s="12">
        <v>3.0458457168584575E-2</v>
      </c>
      <c r="AM72" s="12">
        <v>3.0458457168584575E-2</v>
      </c>
      <c r="AN72" s="12">
        <v>3.0458457168584575E-2</v>
      </c>
    </row>
    <row r="73" spans="2:40" x14ac:dyDescent="0.25">
      <c r="B73" s="39" t="s">
        <v>24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306</v>
      </c>
      <c r="E75" s="74" cm="1">
        <f t="array" ref="E75:AN75">_xlfn.ANCHORARRAY(E67)-_xlfn.ANCHORARRAY(E72)-_xlfn.ANCHORARRAY(E73)</f>
        <v>-1.8879208988792088E-2</v>
      </c>
      <c r="F75" s="74">
        <v>-2.0976898876435657E-2</v>
      </c>
      <c r="G75" s="74">
        <v>-2.307458876407922E-2</v>
      </c>
      <c r="H75" s="74">
        <v>-2.5172278651722783E-2</v>
      </c>
      <c r="I75" s="74">
        <v>-2.5172278651722783E-2</v>
      </c>
      <c r="J75" s="74">
        <v>-2.5172278651722783E-2</v>
      </c>
      <c r="K75" s="74">
        <v>-2.5172278651722783E-2</v>
      </c>
      <c r="L75" s="74">
        <v>-2.5172278651722783E-2</v>
      </c>
      <c r="M75" s="74">
        <v>-2.5172278651722783E-2</v>
      </c>
      <c r="N75" s="74">
        <v>-2.5172278651722783E-2</v>
      </c>
      <c r="O75" s="74">
        <v>-2.5172278651722783E-2</v>
      </c>
      <c r="P75" s="74">
        <v>-2.5172278651722783E-2</v>
      </c>
      <c r="Q75" s="74">
        <v>-2.7689506516895061E-2</v>
      </c>
      <c r="R75" s="74">
        <v>-2.7689506516895061E-2</v>
      </c>
      <c r="S75" s="74">
        <v>-2.7689506516895061E-2</v>
      </c>
      <c r="T75" s="74">
        <v>-2.7689506516895061E-2</v>
      </c>
      <c r="U75" s="74">
        <v>-2.7689506516895061E-2</v>
      </c>
      <c r="V75" s="74">
        <v>-2.7689506516895061E-2</v>
      </c>
      <c r="W75" s="74">
        <v>-2.7689506516895061E-2</v>
      </c>
      <c r="X75" s="74">
        <v>-2.7689506516895061E-2</v>
      </c>
      <c r="Y75" s="74">
        <v>-2.7689506516895061E-2</v>
      </c>
      <c r="Z75" s="74">
        <v>-2.7689506516895061E-2</v>
      </c>
      <c r="AA75" s="74">
        <v>-2.7689506516895061E-2</v>
      </c>
      <c r="AB75" s="74">
        <v>-2.7689506516895061E-2</v>
      </c>
      <c r="AC75" s="74">
        <v>-3.0458457168584575E-2</v>
      </c>
      <c r="AD75" s="74">
        <v>-3.0458457168584575E-2</v>
      </c>
      <c r="AE75" s="74">
        <v>-3.0458457168584575E-2</v>
      </c>
      <c r="AF75" s="74">
        <v>-3.0458457168584575E-2</v>
      </c>
      <c r="AG75" s="74">
        <v>-3.0458457168584575E-2</v>
      </c>
      <c r="AH75" s="74">
        <v>-3.0458457168584575E-2</v>
      </c>
      <c r="AI75" s="74">
        <v>-3.0458457168584575E-2</v>
      </c>
      <c r="AJ75" s="74">
        <v>-3.0458457168584575E-2</v>
      </c>
      <c r="AK75" s="74">
        <v>-3.0458457168584575E-2</v>
      </c>
      <c r="AL75" s="74">
        <v>-3.0458457168584575E-2</v>
      </c>
      <c r="AM75" s="74">
        <v>-3.0458457168584575E-2</v>
      </c>
      <c r="AN75" s="74">
        <v>-3.0458457168584575E-2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3539EC-B742-4A32-8E44-858C950B9139}">
  <dimension ref="A1:AX75"/>
  <sheetViews>
    <sheetView workbookViewId="0">
      <pane xSplit="4" ySplit="25" topLeftCell="E26" activePane="bottomRight" state="frozen"/>
      <selection activeCell="E63" sqref="E63:E65"/>
      <selection pane="topRight" activeCell="E63" sqref="E63:E65"/>
      <selection pane="bottomLeft" activeCell="E63" sqref="E63:E65"/>
      <selection pane="bottomRight" activeCell="E63" sqref="E63:E65"/>
    </sheetView>
  </sheetViews>
  <sheetFormatPr defaultRowHeight="15" outlineLevelRow="1" x14ac:dyDescent="0.25"/>
  <cols>
    <col min="2" max="2" width="24.5703125" bestFit="1" customWidth="1"/>
    <col min="3" max="3" width="11.5703125" bestFit="1" customWidth="1"/>
    <col min="4" max="4" width="10" bestFit="1" customWidth="1"/>
    <col min="5" max="5" width="11.42578125" bestFit="1" customWidth="1"/>
    <col min="6" max="6" width="12.5703125" bestFit="1" customWidth="1"/>
    <col min="7" max="13" width="12.42578125" bestFit="1" customWidth="1"/>
    <col min="14" max="15" width="11.85546875" bestFit="1" customWidth="1"/>
    <col min="16" max="16" width="11.7109375" bestFit="1" customWidth="1"/>
    <col min="17" max="18" width="11.85546875" bestFit="1" customWidth="1"/>
    <col min="19" max="19" width="12.7109375" bestFit="1" customWidth="1"/>
    <col min="20" max="21" width="12.85546875" bestFit="1" customWidth="1"/>
    <col min="22" max="22" width="12.7109375" bestFit="1" customWidth="1"/>
    <col min="23" max="24" width="12.85546875" bestFit="1" customWidth="1"/>
    <col min="25" max="25" width="12.7109375" bestFit="1" customWidth="1"/>
    <col min="26" max="27" width="12.85546875" bestFit="1" customWidth="1"/>
    <col min="28" max="28" width="12.7109375" bestFit="1" customWidth="1"/>
    <col min="29" max="30" width="12.85546875" bestFit="1" customWidth="1"/>
    <col min="31" max="31" width="12.7109375" bestFit="1" customWidth="1"/>
    <col min="32" max="33" width="12.85546875" bestFit="1" customWidth="1"/>
    <col min="34" max="34" width="12.7109375" bestFit="1" customWidth="1"/>
    <col min="35" max="36" width="12.85546875" bestFit="1" customWidth="1"/>
    <col min="37" max="37" width="12.7109375" bestFit="1" customWidth="1"/>
    <col min="38" max="39" width="12.85546875" bestFit="1" customWidth="1"/>
    <col min="40" max="40" width="12.7109375" bestFit="1" customWidth="1"/>
  </cols>
  <sheetData>
    <row r="1" spans="1:40" x14ac:dyDescent="0.25">
      <c r="A1" s="96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>2026</v>
      </c>
      <c r="B1" s="58" t="s">
        <v>427</v>
      </c>
      <c r="C1" s="16" t="s">
        <v>61</v>
      </c>
      <c r="D1" s="3" t="s">
        <v>307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IFERROR(_xlpm.kiddos,0))</f>
        <v>0</v>
      </c>
      <c r="F1" s="69">
        <v>0</v>
      </c>
      <c r="G1" s="69">
        <v>0</v>
      </c>
      <c r="H1" s="69">
        <v>3</v>
      </c>
      <c r="I1" s="69">
        <v>6</v>
      </c>
      <c r="J1" s="69">
        <v>9</v>
      </c>
      <c r="K1" s="69">
        <v>12</v>
      </c>
      <c r="L1" s="69">
        <v>15</v>
      </c>
      <c r="M1" s="69">
        <v>18</v>
      </c>
      <c r="N1" s="69">
        <v>21</v>
      </c>
      <c r="O1" s="69">
        <v>24</v>
      </c>
      <c r="P1" s="69">
        <v>27</v>
      </c>
      <c r="Q1" s="69">
        <v>30</v>
      </c>
      <c r="R1" s="69">
        <v>33</v>
      </c>
      <c r="S1" s="69">
        <v>36</v>
      </c>
      <c r="T1" s="69">
        <v>39</v>
      </c>
      <c r="U1" s="69">
        <v>42</v>
      </c>
      <c r="V1" s="69">
        <v>42</v>
      </c>
      <c r="W1" s="69">
        <v>42</v>
      </c>
      <c r="X1" s="69">
        <v>42</v>
      </c>
      <c r="Y1" s="69">
        <v>42</v>
      </c>
      <c r="Z1" s="69">
        <v>42</v>
      </c>
      <c r="AA1" s="69">
        <v>42</v>
      </c>
      <c r="AB1" s="69">
        <v>42</v>
      </c>
      <c r="AC1" s="69">
        <v>42</v>
      </c>
      <c r="AD1" s="69">
        <v>42</v>
      </c>
      <c r="AE1" s="69">
        <v>42</v>
      </c>
      <c r="AF1" s="69">
        <v>42</v>
      </c>
      <c r="AG1" s="69">
        <v>42</v>
      </c>
      <c r="AH1" s="69">
        <v>42</v>
      </c>
      <c r="AI1" s="69">
        <v>42</v>
      </c>
      <c r="AJ1" s="69">
        <v>42</v>
      </c>
      <c r="AK1" s="69">
        <v>42</v>
      </c>
      <c r="AL1" s="69">
        <v>42</v>
      </c>
      <c r="AM1" s="69">
        <v>42</v>
      </c>
      <c r="AN1" s="69">
        <v>42</v>
      </c>
    </row>
    <row r="2" spans="1:40" x14ac:dyDescent="0.25">
      <c r="A2" s="65"/>
      <c r="B2" s="3" t="str">
        <f>_xlfn.XLOOKUP($B$1&amp;"-"&amp;$C$1,Base!$D$4:$BD$4,Base!$D$2:$BD$2,"",0)</f>
        <v>New Jersey</v>
      </c>
      <c r="C2" s="55"/>
      <c r="D2" s="55" t="s">
        <v>259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0</v>
      </c>
      <c r="F2" s="69">
        <v>0</v>
      </c>
      <c r="G2" s="69">
        <v>0</v>
      </c>
      <c r="H2" s="69">
        <v>0</v>
      </c>
      <c r="I2" s="69">
        <v>3.1666666666666665</v>
      </c>
      <c r="J2" s="69">
        <v>3.3333333333333335</v>
      </c>
      <c r="K2" s="69">
        <v>3.5</v>
      </c>
      <c r="L2" s="69">
        <v>3.6666666666666665</v>
      </c>
      <c r="M2" s="69">
        <v>3.8333333333333335</v>
      </c>
      <c r="N2" s="69">
        <v>4</v>
      </c>
      <c r="O2" s="69">
        <v>4.166666666666667</v>
      </c>
      <c r="P2" s="69">
        <v>4.333333333333333</v>
      </c>
      <c r="Q2" s="69">
        <v>4.5</v>
      </c>
      <c r="R2" s="69">
        <v>4.666666666666667</v>
      </c>
      <c r="S2" s="69">
        <v>4.833333333333333</v>
      </c>
      <c r="T2" s="69">
        <v>5</v>
      </c>
      <c r="U2" s="69">
        <v>2.1666666666666665</v>
      </c>
      <c r="V2" s="69">
        <v>2.3333333333333335</v>
      </c>
      <c r="W2" s="69">
        <v>2.5</v>
      </c>
      <c r="X2" s="69">
        <v>2.6666666666666665</v>
      </c>
      <c r="Y2" s="69">
        <v>2.8333333333333335</v>
      </c>
      <c r="Z2" s="69">
        <v>3</v>
      </c>
      <c r="AA2" s="69">
        <v>3.1666666666666665</v>
      </c>
      <c r="AB2" s="69">
        <v>3.3333333333333335</v>
      </c>
      <c r="AC2" s="69">
        <v>3.5</v>
      </c>
      <c r="AD2" s="69">
        <v>3.6666666666666665</v>
      </c>
      <c r="AE2" s="69">
        <v>3.8333333333333335</v>
      </c>
      <c r="AF2" s="69">
        <v>4</v>
      </c>
      <c r="AG2" s="69">
        <v>4</v>
      </c>
      <c r="AH2" s="69">
        <v>4</v>
      </c>
      <c r="AI2" s="69">
        <v>4</v>
      </c>
      <c r="AJ2" s="69">
        <v>4</v>
      </c>
      <c r="AK2" s="69">
        <v>4</v>
      </c>
      <c r="AL2" s="69">
        <v>4</v>
      </c>
      <c r="AM2" s="69">
        <v>4</v>
      </c>
      <c r="AN2" s="69">
        <v>4</v>
      </c>
    </row>
    <row r="3" spans="1:40" x14ac:dyDescent="0.25">
      <c r="A3" s="65"/>
      <c r="B3" s="55"/>
      <c r="C3" s="55"/>
      <c r="D3" s="55" t="s">
        <v>62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_xlpm.months_since,DATEDIF(_xlpm.launchdate,_xlfn.ANCHORARRAY($E$25),"m"),_xlfn.BYCOL(_xlpm.months_since,_xlfn.LAMBDA(_xlpm.a,IFERROR(MIN(_xlpm.a/6,_xlpm.max_kiddos),0))))</f>
        <v>0</v>
      </c>
      <c r="F3" s="69">
        <v>0</v>
      </c>
      <c r="G3" s="69">
        <v>0</v>
      </c>
      <c r="H3" s="69">
        <v>0</v>
      </c>
      <c r="I3" s="69">
        <v>0.16666666666666666</v>
      </c>
      <c r="J3" s="69">
        <v>0.33333333333333331</v>
      </c>
      <c r="K3" s="69">
        <v>0.5</v>
      </c>
      <c r="L3" s="69">
        <v>0.66666666666666663</v>
      </c>
      <c r="M3" s="69">
        <v>0.83333333333333337</v>
      </c>
      <c r="N3" s="69">
        <v>1</v>
      </c>
      <c r="O3" s="69">
        <v>1.1666666666666667</v>
      </c>
      <c r="P3" s="69">
        <v>1.3333333333333333</v>
      </c>
      <c r="Q3" s="69">
        <v>1.5</v>
      </c>
      <c r="R3" s="69">
        <v>1.6666666666666667</v>
      </c>
      <c r="S3" s="69">
        <v>1.8333333333333333</v>
      </c>
      <c r="T3" s="69">
        <v>2</v>
      </c>
      <c r="U3" s="69">
        <v>2.1666666666666665</v>
      </c>
      <c r="V3" s="69">
        <v>2.3333333333333335</v>
      </c>
      <c r="W3" s="69">
        <v>2.5</v>
      </c>
      <c r="X3" s="69">
        <v>2.6666666666666665</v>
      </c>
      <c r="Y3" s="69">
        <v>2.8333333333333335</v>
      </c>
      <c r="Z3" s="69">
        <v>3</v>
      </c>
      <c r="AA3" s="69">
        <v>3.1666666666666665</v>
      </c>
      <c r="AB3" s="69">
        <v>3.3333333333333335</v>
      </c>
      <c r="AC3" s="69">
        <v>3.5</v>
      </c>
      <c r="AD3" s="69">
        <v>3.6666666666666665</v>
      </c>
      <c r="AE3" s="69">
        <v>3.8333333333333335</v>
      </c>
      <c r="AF3" s="69">
        <v>4</v>
      </c>
      <c r="AG3" s="69">
        <v>4</v>
      </c>
      <c r="AH3" s="69">
        <v>4</v>
      </c>
      <c r="AI3" s="69">
        <v>4</v>
      </c>
      <c r="AJ3" s="69">
        <v>4</v>
      </c>
      <c r="AK3" s="69">
        <v>4</v>
      </c>
      <c r="AL3" s="69">
        <v>4</v>
      </c>
      <c r="AM3" s="69">
        <v>4</v>
      </c>
      <c r="AN3" s="69">
        <v>4</v>
      </c>
    </row>
    <row r="4" spans="1:40" x14ac:dyDescent="0.25">
      <c r="A4" s="65"/>
      <c r="B4" s="55"/>
      <c r="C4" s="55"/>
      <c r="D4" s="55" t="s">
        <v>260</v>
      </c>
      <c r="E4" s="69" cm="1">
        <f t="array" ref="E4:AN4">_xlfn.BYCOL(_xlfn.VSTACK(_xlfn.ANCHORARRAY($E$1),_xlfn.ANCHORARRAY($E$2)),_xlfn.LAMBDA(_xlpm.a,SUM(_xlpm.a)))</f>
        <v>0</v>
      </c>
      <c r="F4" s="69">
        <v>0</v>
      </c>
      <c r="G4" s="69">
        <v>0</v>
      </c>
      <c r="H4" s="69">
        <v>3</v>
      </c>
      <c r="I4" s="69">
        <v>9.1666666666666661</v>
      </c>
      <c r="J4" s="69">
        <v>12.333333333333334</v>
      </c>
      <c r="K4" s="69">
        <v>15.5</v>
      </c>
      <c r="L4" s="69">
        <v>18.666666666666668</v>
      </c>
      <c r="M4" s="69">
        <v>21.833333333333332</v>
      </c>
      <c r="N4" s="69">
        <v>25</v>
      </c>
      <c r="O4" s="69">
        <v>28.166666666666668</v>
      </c>
      <c r="P4" s="69">
        <v>31.333333333333332</v>
      </c>
      <c r="Q4" s="69">
        <v>34.5</v>
      </c>
      <c r="R4" s="69">
        <v>37.666666666666664</v>
      </c>
      <c r="S4" s="69">
        <v>40.833333333333336</v>
      </c>
      <c r="T4" s="69">
        <v>44</v>
      </c>
      <c r="U4" s="69">
        <v>44.166666666666664</v>
      </c>
      <c r="V4" s="69">
        <v>44.333333333333336</v>
      </c>
      <c r="W4" s="69">
        <v>44.5</v>
      </c>
      <c r="X4" s="69">
        <v>44.666666666666664</v>
      </c>
      <c r="Y4" s="69">
        <v>44.833333333333336</v>
      </c>
      <c r="Z4" s="69">
        <v>45</v>
      </c>
      <c r="AA4" s="69">
        <v>45.166666666666664</v>
      </c>
      <c r="AB4" s="69">
        <v>45.333333333333336</v>
      </c>
      <c r="AC4" s="69">
        <v>45.5</v>
      </c>
      <c r="AD4" s="69">
        <v>45.666666666666664</v>
      </c>
      <c r="AE4" s="69">
        <v>45.833333333333336</v>
      </c>
      <c r="AF4" s="69">
        <v>46</v>
      </c>
      <c r="AG4" s="69">
        <v>46</v>
      </c>
      <c r="AH4" s="69">
        <v>46</v>
      </c>
      <c r="AI4" s="69">
        <v>46</v>
      </c>
      <c r="AJ4" s="69">
        <v>46</v>
      </c>
      <c r="AK4" s="69">
        <v>46</v>
      </c>
      <c r="AL4" s="69">
        <v>46</v>
      </c>
      <c r="AM4" s="69">
        <v>46</v>
      </c>
      <c r="AN4" s="69">
        <v>46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107</v>
      </c>
      <c r="C6" s="3"/>
      <c r="D6" s="3"/>
      <c r="E6" s="66" cm="1">
        <f t="array" ref="E6:AN6">ROUND(_xlfn.BYCOL(_xlfn.ANCHORARRAY(E7),_xlfn.LAMBDA(_xlpm.a,SUM(_xlpm.a))),0)</f>
        <v>0</v>
      </c>
      <c r="F6" s="66">
        <v>0</v>
      </c>
      <c r="G6" s="66">
        <v>0</v>
      </c>
      <c r="H6" s="66">
        <v>6</v>
      </c>
      <c r="I6" s="66">
        <v>11</v>
      </c>
      <c r="J6" s="66">
        <v>15</v>
      </c>
      <c r="K6" s="66">
        <v>18</v>
      </c>
      <c r="L6" s="66">
        <v>22</v>
      </c>
      <c r="M6" s="66">
        <v>26</v>
      </c>
      <c r="N6" s="66">
        <v>29</v>
      </c>
      <c r="O6" s="66">
        <v>33</v>
      </c>
      <c r="P6" s="66">
        <v>37</v>
      </c>
      <c r="Q6" s="66">
        <v>40</v>
      </c>
      <c r="R6" s="66">
        <v>44</v>
      </c>
      <c r="S6" s="66">
        <v>47</v>
      </c>
      <c r="T6" s="66">
        <v>51</v>
      </c>
      <c r="U6" s="66">
        <v>54</v>
      </c>
      <c r="V6" s="66">
        <v>54</v>
      </c>
      <c r="W6" s="66">
        <v>54</v>
      </c>
      <c r="X6" s="66">
        <v>54</v>
      </c>
      <c r="Y6" s="66">
        <v>54</v>
      </c>
      <c r="Z6" s="66">
        <v>54</v>
      </c>
      <c r="AA6" s="66">
        <v>54</v>
      </c>
      <c r="AB6" s="66">
        <v>54</v>
      </c>
      <c r="AC6" s="66">
        <v>54</v>
      </c>
      <c r="AD6" s="66">
        <v>54</v>
      </c>
      <c r="AE6" s="66">
        <v>54</v>
      </c>
      <c r="AF6" s="66">
        <v>54</v>
      </c>
      <c r="AG6" s="66">
        <v>54</v>
      </c>
      <c r="AH6" s="66">
        <v>54</v>
      </c>
      <c r="AI6" s="66">
        <v>54</v>
      </c>
      <c r="AJ6" s="66">
        <v>54</v>
      </c>
      <c r="AK6" s="66">
        <v>54</v>
      </c>
      <c r="AL6" s="66">
        <v>54</v>
      </c>
      <c r="AM6" s="66">
        <v>54</v>
      </c>
      <c r="AN6" s="66">
        <v>54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1"/>
      <c r="E7" s="106" cm="1">
        <f t="array" ref="E7:AN20">_xlfn.LET(_xlpm.Customer_staff,_xlfn._xlws.FILTER(Base!$D$85:$BD$98,ISNUMBER(SEARCH($B$1&amp;"-"&amp;$C$1,Base!$D$4:$BD$4))),_xlpm.Customer,_xlfn.ANCHORARRAY($E$1),_xlpm.headcount,_xlpm.Customer/_xlpm.Customer_staff,
_xlpm.patient_staff,_xlfn.ANCHORARRAY($E$2)/_xlpm.Customer_staff,_xlpm.prim_staff_tr_rec,_xlfn.ANCHORARRAY($E$2)/_xlfn.CHOOSEROWS(_xlpm.Customer_staff,{7,8})+(_xlfn.ANCHORARRAY($E$1)*0.0055),_xlpm.rounding,_xlfn.VSTACK(2,2,0,0,2,2,2,2,2,2,2,0,0,0),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prim_staff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0</v>
      </c>
      <c r="F7" s="106">
        <v>0</v>
      </c>
      <c r="G7" s="106">
        <v>0</v>
      </c>
      <c r="H7" s="106">
        <v>2.8299999999999996</v>
      </c>
      <c r="I7" s="106">
        <v>5.6499999999999995</v>
      </c>
      <c r="J7" s="106">
        <v>8.48</v>
      </c>
      <c r="K7" s="106">
        <v>11.299999999999999</v>
      </c>
      <c r="L7" s="106">
        <v>14.12</v>
      </c>
      <c r="M7" s="106">
        <v>16.950000000000003</v>
      </c>
      <c r="N7" s="106">
        <v>19.770000000000003</v>
      </c>
      <c r="O7" s="106">
        <v>22.59</v>
      </c>
      <c r="P7" s="106">
        <v>25.42</v>
      </c>
      <c r="Q7" s="106">
        <v>28.240000000000002</v>
      </c>
      <c r="R7" s="106">
        <v>31.060000000000002</v>
      </c>
      <c r="S7" s="106">
        <v>33.89</v>
      </c>
      <c r="T7" s="106">
        <v>36.71</v>
      </c>
      <c r="U7" s="106">
        <v>39.53</v>
      </c>
      <c r="V7" s="106">
        <v>39.53</v>
      </c>
      <c r="W7" s="106">
        <v>39.53</v>
      </c>
      <c r="X7" s="106">
        <v>39.53</v>
      </c>
      <c r="Y7" s="106">
        <v>39.53</v>
      </c>
      <c r="Z7" s="106">
        <v>39.53</v>
      </c>
      <c r="AA7" s="106">
        <v>39.53</v>
      </c>
      <c r="AB7" s="106">
        <v>39.53</v>
      </c>
      <c r="AC7" s="106">
        <v>39.53</v>
      </c>
      <c r="AD7" s="106">
        <v>39.53</v>
      </c>
      <c r="AE7" s="106">
        <v>39.53</v>
      </c>
      <c r="AF7" s="106">
        <v>39.53</v>
      </c>
      <c r="AG7" s="106">
        <v>39.53</v>
      </c>
      <c r="AH7" s="106">
        <v>39.53</v>
      </c>
      <c r="AI7" s="106">
        <v>39.53</v>
      </c>
      <c r="AJ7" s="106">
        <v>39.53</v>
      </c>
      <c r="AK7" s="106">
        <v>39.53</v>
      </c>
      <c r="AL7" s="106">
        <v>39.53</v>
      </c>
      <c r="AM7" s="106">
        <v>39.53</v>
      </c>
      <c r="AN7" s="106">
        <v>39.53</v>
      </c>
    </row>
    <row r="8" spans="1:40" hidden="1" outlineLevel="1" x14ac:dyDescent="0.25">
      <c r="B8" s="39" t="str">
        <v>Secondary Direct Staff</v>
      </c>
      <c r="C8" s="3"/>
      <c r="D8" s="3"/>
      <c r="E8" s="106">
        <v>0</v>
      </c>
      <c r="F8" s="106">
        <v>0</v>
      </c>
      <c r="G8" s="106">
        <v>0</v>
      </c>
      <c r="H8" s="106">
        <v>0.43</v>
      </c>
      <c r="I8" s="106">
        <v>0.86</v>
      </c>
      <c r="J8" s="106">
        <v>1.29</v>
      </c>
      <c r="K8" s="106">
        <v>1.72</v>
      </c>
      <c r="L8" s="106">
        <v>2.15</v>
      </c>
      <c r="M8" s="106">
        <v>2.5799999999999996</v>
      </c>
      <c r="N8" s="106">
        <v>3</v>
      </c>
      <c r="O8" s="106">
        <v>3.4299999999999997</v>
      </c>
      <c r="P8" s="106">
        <v>3.86</v>
      </c>
      <c r="Q8" s="106">
        <v>4.29</v>
      </c>
      <c r="R8" s="106">
        <v>4.72</v>
      </c>
      <c r="S8" s="106">
        <v>5.1499999999999995</v>
      </c>
      <c r="T8" s="106">
        <v>5.58</v>
      </c>
      <c r="U8" s="106">
        <v>6</v>
      </c>
      <c r="V8" s="106">
        <v>6</v>
      </c>
      <c r="W8" s="106">
        <v>6</v>
      </c>
      <c r="X8" s="106">
        <v>6</v>
      </c>
      <c r="Y8" s="106">
        <v>6</v>
      </c>
      <c r="Z8" s="106">
        <v>6</v>
      </c>
      <c r="AA8" s="106">
        <v>6</v>
      </c>
      <c r="AB8" s="106">
        <v>6</v>
      </c>
      <c r="AC8" s="106">
        <v>6</v>
      </c>
      <c r="AD8" s="106">
        <v>6</v>
      </c>
      <c r="AE8" s="106">
        <v>6</v>
      </c>
      <c r="AF8" s="106">
        <v>6</v>
      </c>
      <c r="AG8" s="106">
        <v>6</v>
      </c>
      <c r="AH8" s="106">
        <v>6</v>
      </c>
      <c r="AI8" s="106">
        <v>6</v>
      </c>
      <c r="AJ8" s="106">
        <v>6</v>
      </c>
      <c r="AK8" s="106">
        <v>6</v>
      </c>
      <c r="AL8" s="106">
        <v>6</v>
      </c>
      <c r="AM8" s="106">
        <v>6</v>
      </c>
      <c r="AN8" s="106">
        <v>6</v>
      </c>
    </row>
    <row r="9" spans="1:40" hidden="1" outlineLevel="1" x14ac:dyDescent="0.25">
      <c r="B9" s="39" t="str">
        <v>Center Manager</v>
      </c>
      <c r="C9" s="3"/>
      <c r="D9" s="3"/>
      <c r="E9" s="106">
        <v>0</v>
      </c>
      <c r="F9" s="106">
        <v>0</v>
      </c>
      <c r="G9" s="106">
        <v>0</v>
      </c>
      <c r="H9" s="106">
        <v>1</v>
      </c>
      <c r="I9" s="106">
        <v>1</v>
      </c>
      <c r="J9" s="106">
        <v>1</v>
      </c>
      <c r="K9" s="106">
        <v>1</v>
      </c>
      <c r="L9" s="106">
        <v>1</v>
      </c>
      <c r="M9" s="106">
        <v>1</v>
      </c>
      <c r="N9" s="106">
        <v>1</v>
      </c>
      <c r="O9" s="106">
        <v>1</v>
      </c>
      <c r="P9" s="106">
        <v>1</v>
      </c>
      <c r="Q9" s="106">
        <v>1</v>
      </c>
      <c r="R9" s="106">
        <v>1</v>
      </c>
      <c r="S9" s="106">
        <v>1</v>
      </c>
      <c r="T9" s="106">
        <v>1</v>
      </c>
      <c r="U9" s="106">
        <v>1</v>
      </c>
      <c r="V9" s="106">
        <v>1</v>
      </c>
      <c r="W9" s="106">
        <v>1</v>
      </c>
      <c r="X9" s="106">
        <v>1</v>
      </c>
      <c r="Y9" s="106">
        <v>1</v>
      </c>
      <c r="Z9" s="106">
        <v>1</v>
      </c>
      <c r="AA9" s="106">
        <v>1</v>
      </c>
      <c r="AB9" s="106">
        <v>1</v>
      </c>
      <c r="AC9" s="106">
        <v>1</v>
      </c>
      <c r="AD9" s="106">
        <v>1</v>
      </c>
      <c r="AE9" s="106">
        <v>1</v>
      </c>
      <c r="AF9" s="106">
        <v>1</v>
      </c>
      <c r="AG9" s="106">
        <v>1</v>
      </c>
      <c r="AH9" s="106">
        <v>1</v>
      </c>
      <c r="AI9" s="106">
        <v>1</v>
      </c>
      <c r="AJ9" s="106">
        <v>1</v>
      </c>
      <c r="AK9" s="106">
        <v>1</v>
      </c>
      <c r="AL9" s="106">
        <v>1</v>
      </c>
      <c r="AM9" s="106">
        <v>1</v>
      </c>
      <c r="AN9" s="106">
        <v>1</v>
      </c>
    </row>
    <row r="10" spans="1:40" hidden="1" outlineLevel="1" x14ac:dyDescent="0.25">
      <c r="B10" s="39" t="str">
        <v>Intake</v>
      </c>
      <c r="C10" s="3"/>
      <c r="D10" s="3"/>
      <c r="E10" s="106">
        <v>0</v>
      </c>
      <c r="F10" s="106">
        <v>0</v>
      </c>
      <c r="G10" s="106">
        <v>0</v>
      </c>
      <c r="H10" s="106">
        <v>0</v>
      </c>
      <c r="I10" s="106">
        <v>1</v>
      </c>
      <c r="J10" s="106">
        <v>1</v>
      </c>
      <c r="K10" s="106">
        <v>1</v>
      </c>
      <c r="L10" s="106">
        <v>1</v>
      </c>
      <c r="M10" s="106">
        <v>1</v>
      </c>
      <c r="N10" s="106">
        <v>1</v>
      </c>
      <c r="O10" s="106">
        <v>1</v>
      </c>
      <c r="P10" s="106">
        <v>1</v>
      </c>
      <c r="Q10" s="106">
        <v>1</v>
      </c>
      <c r="R10" s="106">
        <v>1</v>
      </c>
      <c r="S10" s="106">
        <v>1</v>
      </c>
      <c r="T10" s="106">
        <v>1</v>
      </c>
      <c r="U10" s="106">
        <v>1</v>
      </c>
      <c r="V10" s="106">
        <v>1</v>
      </c>
      <c r="W10" s="106">
        <v>1</v>
      </c>
      <c r="X10" s="106">
        <v>1</v>
      </c>
      <c r="Y10" s="106">
        <v>1</v>
      </c>
      <c r="Z10" s="106">
        <v>1</v>
      </c>
      <c r="AA10" s="106">
        <v>1</v>
      </c>
      <c r="AB10" s="106">
        <v>1</v>
      </c>
      <c r="AC10" s="106">
        <v>1</v>
      </c>
      <c r="AD10" s="106">
        <v>1</v>
      </c>
      <c r="AE10" s="106">
        <v>1</v>
      </c>
      <c r="AF10" s="106">
        <v>1</v>
      </c>
      <c r="AG10" s="106">
        <v>1</v>
      </c>
      <c r="AH10" s="106">
        <v>1</v>
      </c>
      <c r="AI10" s="106">
        <v>1</v>
      </c>
      <c r="AJ10" s="106">
        <v>1</v>
      </c>
      <c r="AK10" s="106">
        <v>1</v>
      </c>
      <c r="AL10" s="106">
        <v>1</v>
      </c>
      <c r="AM10" s="106">
        <v>1</v>
      </c>
      <c r="AN10" s="106">
        <v>1</v>
      </c>
    </row>
    <row r="11" spans="1:40" hidden="1" outlineLevel="1" x14ac:dyDescent="0.25">
      <c r="B11" s="39" t="str">
        <v>Scheduler</v>
      </c>
      <c r="C11" s="3"/>
      <c r="D11" s="3"/>
      <c r="E11" s="106">
        <v>0</v>
      </c>
      <c r="F11" s="106">
        <v>0</v>
      </c>
      <c r="G11" s="106">
        <v>0</v>
      </c>
      <c r="H11" s="106">
        <v>0</v>
      </c>
      <c r="I11" s="106">
        <v>0</v>
      </c>
      <c r="J11" s="106">
        <v>0</v>
      </c>
      <c r="K11" s="106">
        <v>0</v>
      </c>
      <c r="L11" s="106">
        <v>0</v>
      </c>
      <c r="M11" s="106">
        <v>0</v>
      </c>
      <c r="N11" s="106">
        <v>0</v>
      </c>
      <c r="O11" s="106">
        <v>0</v>
      </c>
      <c r="P11" s="106">
        <v>0</v>
      </c>
      <c r="Q11" s="106">
        <v>0</v>
      </c>
      <c r="R11" s="106">
        <v>0</v>
      </c>
      <c r="S11" s="106">
        <v>0</v>
      </c>
      <c r="T11" s="106">
        <v>0</v>
      </c>
      <c r="U11" s="106">
        <v>0</v>
      </c>
      <c r="V11" s="106">
        <v>0</v>
      </c>
      <c r="W11" s="106">
        <v>0</v>
      </c>
      <c r="X11" s="106">
        <v>0</v>
      </c>
      <c r="Y11" s="106">
        <v>0</v>
      </c>
      <c r="Z11" s="106">
        <v>0</v>
      </c>
      <c r="AA11" s="106">
        <v>0</v>
      </c>
      <c r="AB11" s="106">
        <v>0</v>
      </c>
      <c r="AC11" s="106">
        <v>0</v>
      </c>
      <c r="AD11" s="106">
        <v>0</v>
      </c>
      <c r="AE11" s="106">
        <v>0</v>
      </c>
      <c r="AF11" s="106">
        <v>0</v>
      </c>
      <c r="AG11" s="106">
        <v>0</v>
      </c>
      <c r="AH11" s="106">
        <v>0</v>
      </c>
      <c r="AI11" s="106">
        <v>0</v>
      </c>
      <c r="AJ11" s="106">
        <v>0</v>
      </c>
      <c r="AK11" s="106">
        <v>0</v>
      </c>
      <c r="AL11" s="106">
        <v>0</v>
      </c>
      <c r="AM11" s="106">
        <v>0</v>
      </c>
      <c r="AN11" s="106">
        <v>0</v>
      </c>
    </row>
    <row r="12" spans="1:40" hidden="1" outlineLevel="1" x14ac:dyDescent="0.25">
      <c r="B12" s="39" t="str">
        <v>Initial Consultation Expert</v>
      </c>
      <c r="C12" s="3"/>
      <c r="D12" s="3"/>
      <c r="E12" s="106">
        <v>0</v>
      </c>
      <c r="F12" s="106">
        <v>0</v>
      </c>
      <c r="G12" s="106">
        <v>0</v>
      </c>
      <c r="H12" s="106">
        <v>0</v>
      </c>
      <c r="I12" s="106">
        <v>0.25</v>
      </c>
      <c r="J12" s="106">
        <v>0.26</v>
      </c>
      <c r="K12" s="106">
        <v>0.27</v>
      </c>
      <c r="L12" s="106">
        <v>0.29000000000000004</v>
      </c>
      <c r="M12" s="106">
        <v>0.3</v>
      </c>
      <c r="N12" s="106">
        <v>0.31</v>
      </c>
      <c r="O12" s="106">
        <v>0.33</v>
      </c>
      <c r="P12" s="106">
        <v>0.34</v>
      </c>
      <c r="Q12" s="106">
        <v>0.35000000000000003</v>
      </c>
      <c r="R12" s="106">
        <v>0.36</v>
      </c>
      <c r="S12" s="106">
        <v>0.38</v>
      </c>
      <c r="T12" s="106">
        <v>0.39</v>
      </c>
      <c r="U12" s="106">
        <v>0.17</v>
      </c>
      <c r="V12" s="106">
        <v>0.18000000000000002</v>
      </c>
      <c r="W12" s="106">
        <v>0.2</v>
      </c>
      <c r="X12" s="106">
        <v>0.21000000000000002</v>
      </c>
      <c r="Y12" s="106">
        <v>0.22</v>
      </c>
      <c r="Z12" s="106">
        <v>0.24000000000000002</v>
      </c>
      <c r="AA12" s="106">
        <v>0.25</v>
      </c>
      <c r="AB12" s="106">
        <v>0.26</v>
      </c>
      <c r="AC12" s="106">
        <v>0.27</v>
      </c>
      <c r="AD12" s="106">
        <v>0.29000000000000004</v>
      </c>
      <c r="AE12" s="106">
        <v>0.3</v>
      </c>
      <c r="AF12" s="106">
        <v>0.31</v>
      </c>
      <c r="AG12" s="106">
        <v>0.31</v>
      </c>
      <c r="AH12" s="106">
        <v>0.31</v>
      </c>
      <c r="AI12" s="106">
        <v>0.31</v>
      </c>
      <c r="AJ12" s="106">
        <v>0.31</v>
      </c>
      <c r="AK12" s="106">
        <v>0.31</v>
      </c>
      <c r="AL12" s="106">
        <v>0.31</v>
      </c>
      <c r="AM12" s="106">
        <v>0.31</v>
      </c>
      <c r="AN12" s="106">
        <v>0.31</v>
      </c>
    </row>
    <row r="13" spans="1:40" hidden="1" outlineLevel="1" x14ac:dyDescent="0.25">
      <c r="B13" s="39" t="str">
        <v>Trainer</v>
      </c>
      <c r="C13" s="3"/>
      <c r="D13" s="3"/>
      <c r="E13" s="106">
        <v>0</v>
      </c>
      <c r="F13" s="106">
        <v>0</v>
      </c>
      <c r="G13" s="106">
        <v>0</v>
      </c>
      <c r="H13" s="106">
        <v>0.02</v>
      </c>
      <c r="I13" s="106">
        <v>0.35000000000000003</v>
      </c>
      <c r="J13" s="106">
        <v>0.39</v>
      </c>
      <c r="K13" s="106">
        <v>0.42</v>
      </c>
      <c r="L13" s="106">
        <v>0.45</v>
      </c>
      <c r="M13" s="106">
        <v>0.49</v>
      </c>
      <c r="N13" s="106">
        <v>0.52</v>
      </c>
      <c r="O13" s="106">
        <v>0.55000000000000004</v>
      </c>
      <c r="P13" s="106">
        <v>0.59</v>
      </c>
      <c r="Q13" s="106">
        <v>0.62</v>
      </c>
      <c r="R13" s="106">
        <v>0.65</v>
      </c>
      <c r="S13" s="106">
        <v>0.69000000000000006</v>
      </c>
      <c r="T13" s="106">
        <v>0.72</v>
      </c>
      <c r="U13" s="106">
        <v>0.45</v>
      </c>
      <c r="V13" s="106">
        <v>0.47000000000000003</v>
      </c>
      <c r="W13" s="106">
        <v>0.49</v>
      </c>
      <c r="X13" s="106">
        <v>0.5</v>
      </c>
      <c r="Y13" s="106">
        <v>0.52</v>
      </c>
      <c r="Z13" s="106">
        <v>0.54</v>
      </c>
      <c r="AA13" s="106">
        <v>0.55000000000000004</v>
      </c>
      <c r="AB13" s="106">
        <v>0.57000000000000006</v>
      </c>
      <c r="AC13" s="106">
        <v>0.59</v>
      </c>
      <c r="AD13" s="106">
        <v>0.6</v>
      </c>
      <c r="AE13" s="106">
        <v>0.62</v>
      </c>
      <c r="AF13" s="106">
        <v>0.64</v>
      </c>
      <c r="AG13" s="106">
        <v>0.64</v>
      </c>
      <c r="AH13" s="106">
        <v>0.64</v>
      </c>
      <c r="AI13" s="106">
        <v>0.64</v>
      </c>
      <c r="AJ13" s="106">
        <v>0.64</v>
      </c>
      <c r="AK13" s="106">
        <v>0.64</v>
      </c>
      <c r="AL13" s="106">
        <v>0.64</v>
      </c>
      <c r="AM13" s="106">
        <v>0.64</v>
      </c>
      <c r="AN13" s="106">
        <v>0.64</v>
      </c>
    </row>
    <row r="14" spans="1:40" hidden="1" outlineLevel="1" x14ac:dyDescent="0.25">
      <c r="B14" s="39" t="str">
        <v>Recruiter</v>
      </c>
      <c r="C14" s="3"/>
      <c r="D14" s="3"/>
      <c r="E14" s="106">
        <v>0</v>
      </c>
      <c r="F14" s="106">
        <v>0</v>
      </c>
      <c r="G14" s="106">
        <v>0</v>
      </c>
      <c r="H14" s="106">
        <v>0.02</v>
      </c>
      <c r="I14" s="106">
        <v>0.2</v>
      </c>
      <c r="J14" s="106">
        <v>0.22</v>
      </c>
      <c r="K14" s="106">
        <v>0.25</v>
      </c>
      <c r="L14" s="106">
        <v>0.27</v>
      </c>
      <c r="M14" s="106">
        <v>0.3</v>
      </c>
      <c r="N14" s="106">
        <v>0.32</v>
      </c>
      <c r="O14" s="106">
        <v>0.35000000000000003</v>
      </c>
      <c r="P14" s="106">
        <v>0.37</v>
      </c>
      <c r="Q14" s="106">
        <v>0.39</v>
      </c>
      <c r="R14" s="106">
        <v>0.42</v>
      </c>
      <c r="S14" s="106">
        <v>0.44</v>
      </c>
      <c r="T14" s="106">
        <v>0.47000000000000003</v>
      </c>
      <c r="U14" s="106">
        <v>0.34</v>
      </c>
      <c r="V14" s="106">
        <v>0.35000000000000003</v>
      </c>
      <c r="W14" s="106">
        <v>0.36</v>
      </c>
      <c r="X14" s="106">
        <v>0.37</v>
      </c>
      <c r="Y14" s="106">
        <v>0.38</v>
      </c>
      <c r="Z14" s="106">
        <v>0.39</v>
      </c>
      <c r="AA14" s="106">
        <v>0.39</v>
      </c>
      <c r="AB14" s="106">
        <v>0.4</v>
      </c>
      <c r="AC14" s="106">
        <v>0.41000000000000003</v>
      </c>
      <c r="AD14" s="106">
        <v>0.42</v>
      </c>
      <c r="AE14" s="106">
        <v>0.43</v>
      </c>
      <c r="AF14" s="106">
        <v>0.44</v>
      </c>
      <c r="AG14" s="106">
        <v>0.44</v>
      </c>
      <c r="AH14" s="106">
        <v>0.44</v>
      </c>
      <c r="AI14" s="106">
        <v>0.44</v>
      </c>
      <c r="AJ14" s="106">
        <v>0.44</v>
      </c>
      <c r="AK14" s="106">
        <v>0.44</v>
      </c>
      <c r="AL14" s="106">
        <v>0.44</v>
      </c>
      <c r="AM14" s="106">
        <v>0.44</v>
      </c>
      <c r="AN14" s="106">
        <v>0.44</v>
      </c>
    </row>
    <row r="15" spans="1:40" hidden="1" outlineLevel="1" x14ac:dyDescent="0.25">
      <c r="B15" s="39" t="str">
        <v>Center Director / Remote Site Director</v>
      </c>
      <c r="C15" s="3"/>
      <c r="D15" s="3"/>
      <c r="E15" s="106">
        <v>0</v>
      </c>
      <c r="F15" s="106">
        <v>0</v>
      </c>
      <c r="G15" s="106">
        <v>0</v>
      </c>
      <c r="H15" s="106">
        <v>0.02</v>
      </c>
      <c r="I15" s="106">
        <v>0.03</v>
      </c>
      <c r="J15" s="106">
        <v>0.04</v>
      </c>
      <c r="K15" s="106">
        <v>0.05</v>
      </c>
      <c r="L15" s="106">
        <v>0.06</v>
      </c>
      <c r="M15" s="106">
        <v>0.08</v>
      </c>
      <c r="N15" s="106">
        <v>0.09</v>
      </c>
      <c r="O15" s="106">
        <v>9.9999999999999992E-2</v>
      </c>
      <c r="P15" s="106">
        <v>0.11</v>
      </c>
      <c r="Q15" s="106">
        <v>0.12</v>
      </c>
      <c r="R15" s="106">
        <v>0.14000000000000001</v>
      </c>
      <c r="S15" s="106">
        <v>0.15000000000000002</v>
      </c>
      <c r="T15" s="106">
        <v>0.16</v>
      </c>
      <c r="U15" s="106">
        <v>0.17</v>
      </c>
      <c r="V15" s="106">
        <v>0.17</v>
      </c>
      <c r="W15" s="106">
        <v>0.17</v>
      </c>
      <c r="X15" s="106">
        <v>0.17</v>
      </c>
      <c r="Y15" s="106">
        <v>0.17</v>
      </c>
      <c r="Z15" s="106">
        <v>0.17</v>
      </c>
      <c r="AA15" s="106">
        <v>0.17</v>
      </c>
      <c r="AB15" s="106">
        <v>0.17</v>
      </c>
      <c r="AC15" s="106">
        <v>0.17</v>
      </c>
      <c r="AD15" s="106">
        <v>0.17</v>
      </c>
      <c r="AE15" s="106">
        <v>0.17</v>
      </c>
      <c r="AF15" s="106">
        <v>0.17</v>
      </c>
      <c r="AG15" s="106">
        <v>0.17</v>
      </c>
      <c r="AH15" s="106">
        <v>0.17</v>
      </c>
      <c r="AI15" s="106">
        <v>0.17</v>
      </c>
      <c r="AJ15" s="106">
        <v>0.17</v>
      </c>
      <c r="AK15" s="106">
        <v>0.17</v>
      </c>
      <c r="AL15" s="106">
        <v>0.17</v>
      </c>
      <c r="AM15" s="106">
        <v>0.17</v>
      </c>
      <c r="AN15" s="106">
        <v>0.17</v>
      </c>
    </row>
    <row r="16" spans="1:40" hidden="1" outlineLevel="1" x14ac:dyDescent="0.25">
      <c r="B16" s="39" t="str">
        <v>Center Marketing Outreach</v>
      </c>
      <c r="C16" s="3"/>
      <c r="D16" s="3"/>
      <c r="E16" s="106">
        <v>0</v>
      </c>
      <c r="F16" s="106">
        <v>0</v>
      </c>
      <c r="G16" s="106">
        <v>0</v>
      </c>
      <c r="H16" s="106">
        <v>0.02</v>
      </c>
      <c r="I16" s="106">
        <v>0.03</v>
      </c>
      <c r="J16" s="106">
        <v>0.04</v>
      </c>
      <c r="K16" s="106">
        <v>0.05</v>
      </c>
      <c r="L16" s="106">
        <v>0.06</v>
      </c>
      <c r="M16" s="106">
        <v>0.08</v>
      </c>
      <c r="N16" s="106">
        <v>0.09</v>
      </c>
      <c r="O16" s="106">
        <v>9.9999999999999992E-2</v>
      </c>
      <c r="P16" s="106">
        <v>0.11</v>
      </c>
      <c r="Q16" s="106">
        <v>0.12</v>
      </c>
      <c r="R16" s="106">
        <v>0.14000000000000001</v>
      </c>
      <c r="S16" s="106">
        <v>0.15000000000000002</v>
      </c>
      <c r="T16" s="106">
        <v>0.16</v>
      </c>
      <c r="U16" s="106">
        <v>0.17</v>
      </c>
      <c r="V16" s="106">
        <v>0.17</v>
      </c>
      <c r="W16" s="106">
        <v>0.17</v>
      </c>
      <c r="X16" s="106">
        <v>0.17</v>
      </c>
      <c r="Y16" s="106">
        <v>0.17</v>
      </c>
      <c r="Z16" s="106">
        <v>0.17</v>
      </c>
      <c r="AA16" s="106">
        <v>0.17</v>
      </c>
      <c r="AB16" s="106">
        <v>0.17</v>
      </c>
      <c r="AC16" s="106">
        <v>0.17</v>
      </c>
      <c r="AD16" s="106">
        <v>0.17</v>
      </c>
      <c r="AE16" s="106">
        <v>0.17</v>
      </c>
      <c r="AF16" s="106">
        <v>0.17</v>
      </c>
      <c r="AG16" s="106">
        <v>0.17</v>
      </c>
      <c r="AH16" s="106">
        <v>0.17</v>
      </c>
      <c r="AI16" s="106">
        <v>0.17</v>
      </c>
      <c r="AJ16" s="106">
        <v>0.17</v>
      </c>
      <c r="AK16" s="106">
        <v>0.17</v>
      </c>
      <c r="AL16" s="106">
        <v>0.17</v>
      </c>
      <c r="AM16" s="106">
        <v>0.17</v>
      </c>
      <c r="AN16" s="106">
        <v>0.17</v>
      </c>
    </row>
    <row r="17" spans="2:50" hidden="1" outlineLevel="1" x14ac:dyDescent="0.25">
      <c r="B17" s="39" t="str">
        <v>Primary Direct Staff Lead</v>
      </c>
      <c r="C17" s="3"/>
      <c r="D17" s="3"/>
      <c r="E17" s="106">
        <v>0</v>
      </c>
      <c r="F17" s="106">
        <v>0</v>
      </c>
      <c r="G17" s="106">
        <v>0</v>
      </c>
      <c r="H17" s="106">
        <v>0.3</v>
      </c>
      <c r="I17" s="106">
        <v>0.6</v>
      </c>
      <c r="J17" s="106">
        <v>0.9</v>
      </c>
      <c r="K17" s="106">
        <v>1.2</v>
      </c>
      <c r="L17" s="106">
        <v>1.5</v>
      </c>
      <c r="M17" s="106">
        <v>1.8</v>
      </c>
      <c r="N17" s="106">
        <v>2.1</v>
      </c>
      <c r="O17" s="106">
        <v>2.4</v>
      </c>
      <c r="P17" s="106">
        <v>2.7</v>
      </c>
      <c r="Q17" s="106">
        <v>3</v>
      </c>
      <c r="R17" s="106">
        <v>3.3</v>
      </c>
      <c r="S17" s="106">
        <v>3.6</v>
      </c>
      <c r="T17" s="106">
        <v>3.9</v>
      </c>
      <c r="U17" s="106">
        <v>4.2</v>
      </c>
      <c r="V17" s="106">
        <v>4.2</v>
      </c>
      <c r="W17" s="106">
        <v>4.2</v>
      </c>
      <c r="X17" s="106">
        <v>4.2</v>
      </c>
      <c r="Y17" s="106">
        <v>4.2</v>
      </c>
      <c r="Z17" s="106">
        <v>4.2</v>
      </c>
      <c r="AA17" s="106">
        <v>4.2</v>
      </c>
      <c r="AB17" s="106">
        <v>4.2</v>
      </c>
      <c r="AC17" s="106">
        <v>4.2</v>
      </c>
      <c r="AD17" s="106">
        <v>4.2</v>
      </c>
      <c r="AE17" s="106">
        <v>4.2</v>
      </c>
      <c r="AF17" s="106">
        <v>4.2</v>
      </c>
      <c r="AG17" s="106">
        <v>4.2</v>
      </c>
      <c r="AH17" s="106">
        <v>4.2</v>
      </c>
      <c r="AI17" s="106">
        <v>4.2</v>
      </c>
      <c r="AJ17" s="106">
        <v>4.2</v>
      </c>
      <c r="AK17" s="106">
        <v>4.2</v>
      </c>
      <c r="AL17" s="106">
        <v>4.2</v>
      </c>
      <c r="AM17" s="106">
        <v>4.2</v>
      </c>
      <c r="AN17" s="106">
        <v>4.2</v>
      </c>
    </row>
    <row r="18" spans="2:50" hidden="1" outlineLevel="1" x14ac:dyDescent="0.25">
      <c r="B18" s="39" t="str">
        <v>Tertiary Direct Staff</v>
      </c>
      <c r="C18" s="3"/>
      <c r="D18" s="3"/>
      <c r="E18" s="106">
        <v>0</v>
      </c>
      <c r="F18" s="106">
        <v>0</v>
      </c>
      <c r="G18" s="106">
        <v>0</v>
      </c>
      <c r="H18" s="106">
        <v>0</v>
      </c>
      <c r="I18" s="106">
        <v>0</v>
      </c>
      <c r="J18" s="106">
        <v>0</v>
      </c>
      <c r="K18" s="106">
        <v>0</v>
      </c>
      <c r="L18" s="106">
        <v>0</v>
      </c>
      <c r="M18" s="106">
        <v>0</v>
      </c>
      <c r="N18" s="106">
        <v>0</v>
      </c>
      <c r="O18" s="106">
        <v>0</v>
      </c>
      <c r="P18" s="106">
        <v>0</v>
      </c>
      <c r="Q18" s="106">
        <v>0</v>
      </c>
      <c r="R18" s="106">
        <v>0</v>
      </c>
      <c r="S18" s="106">
        <v>0</v>
      </c>
      <c r="T18" s="106">
        <v>0</v>
      </c>
      <c r="U18" s="106">
        <v>0</v>
      </c>
      <c r="V18" s="106">
        <v>0</v>
      </c>
      <c r="W18" s="106">
        <v>0</v>
      </c>
      <c r="X18" s="106">
        <v>0</v>
      </c>
      <c r="Y18" s="106">
        <v>0</v>
      </c>
      <c r="Z18" s="106">
        <v>0</v>
      </c>
      <c r="AA18" s="106">
        <v>0</v>
      </c>
      <c r="AB18" s="106">
        <v>0</v>
      </c>
      <c r="AC18" s="106">
        <v>0</v>
      </c>
      <c r="AD18" s="106">
        <v>0</v>
      </c>
      <c r="AE18" s="106">
        <v>0</v>
      </c>
      <c r="AF18" s="106">
        <v>0</v>
      </c>
      <c r="AG18" s="106">
        <v>0</v>
      </c>
      <c r="AH18" s="106">
        <v>0</v>
      </c>
      <c r="AI18" s="106">
        <v>0</v>
      </c>
      <c r="AJ18" s="106">
        <v>0</v>
      </c>
      <c r="AK18" s="106">
        <v>0</v>
      </c>
      <c r="AL18" s="106">
        <v>0</v>
      </c>
      <c r="AM18" s="106">
        <v>0</v>
      </c>
      <c r="AN18" s="106">
        <v>0</v>
      </c>
    </row>
    <row r="19" spans="2:50" hidden="1" outlineLevel="1" x14ac:dyDescent="0.25">
      <c r="B19" s="39" t="str">
        <v>Quinary Direct Staff</v>
      </c>
      <c r="C19" s="3"/>
      <c r="D19" s="3"/>
      <c r="E19" s="106">
        <v>0</v>
      </c>
      <c r="F19" s="106">
        <v>0</v>
      </c>
      <c r="G19" s="106">
        <v>0</v>
      </c>
      <c r="H19" s="106">
        <v>0</v>
      </c>
      <c r="I19" s="106">
        <v>0</v>
      </c>
      <c r="J19" s="106">
        <v>0</v>
      </c>
      <c r="K19" s="106">
        <v>0</v>
      </c>
      <c r="L19" s="106">
        <v>0</v>
      </c>
      <c r="M19" s="106">
        <v>0</v>
      </c>
      <c r="N19" s="106">
        <v>0</v>
      </c>
      <c r="O19" s="106">
        <v>0</v>
      </c>
      <c r="P19" s="106">
        <v>0</v>
      </c>
      <c r="Q19" s="106">
        <v>0</v>
      </c>
      <c r="R19" s="106">
        <v>0</v>
      </c>
      <c r="S19" s="106">
        <v>0</v>
      </c>
      <c r="T19" s="106">
        <v>0</v>
      </c>
      <c r="U19" s="106">
        <v>0</v>
      </c>
      <c r="V19" s="106">
        <v>0</v>
      </c>
      <c r="W19" s="106">
        <v>0</v>
      </c>
      <c r="X19" s="106">
        <v>0</v>
      </c>
      <c r="Y19" s="106">
        <v>0</v>
      </c>
      <c r="Z19" s="106">
        <v>0</v>
      </c>
      <c r="AA19" s="106">
        <v>0</v>
      </c>
      <c r="AB19" s="106">
        <v>0</v>
      </c>
      <c r="AC19" s="106">
        <v>0</v>
      </c>
      <c r="AD19" s="106">
        <v>0</v>
      </c>
      <c r="AE19" s="106">
        <v>0</v>
      </c>
      <c r="AF19" s="106">
        <v>0</v>
      </c>
      <c r="AG19" s="106">
        <v>0</v>
      </c>
      <c r="AH19" s="106">
        <v>0</v>
      </c>
      <c r="AI19" s="106">
        <v>0</v>
      </c>
      <c r="AJ19" s="106">
        <v>0</v>
      </c>
      <c r="AK19" s="106">
        <v>0</v>
      </c>
      <c r="AL19" s="106">
        <v>0</v>
      </c>
      <c r="AM19" s="106">
        <v>0</v>
      </c>
      <c r="AN19" s="106">
        <v>0</v>
      </c>
    </row>
    <row r="20" spans="2:50" hidden="1" outlineLevel="1" x14ac:dyDescent="0.25">
      <c r="B20" s="39" t="str">
        <v>Quaternary Direct Staff</v>
      </c>
      <c r="C20" s="3"/>
      <c r="D20" s="3"/>
      <c r="E20" s="106">
        <v>0</v>
      </c>
      <c r="F20" s="106">
        <v>0</v>
      </c>
      <c r="G20" s="106">
        <v>0</v>
      </c>
      <c r="H20" s="106">
        <v>1</v>
      </c>
      <c r="I20" s="106">
        <v>1</v>
      </c>
      <c r="J20" s="106">
        <v>1</v>
      </c>
      <c r="K20" s="106">
        <v>1</v>
      </c>
      <c r="L20" s="106">
        <v>1</v>
      </c>
      <c r="M20" s="106">
        <v>1</v>
      </c>
      <c r="N20" s="106">
        <v>1</v>
      </c>
      <c r="O20" s="106">
        <v>1</v>
      </c>
      <c r="P20" s="106">
        <v>1</v>
      </c>
      <c r="Q20" s="106">
        <v>1</v>
      </c>
      <c r="R20" s="106">
        <v>1</v>
      </c>
      <c r="S20" s="106">
        <v>1</v>
      </c>
      <c r="T20" s="106">
        <v>1</v>
      </c>
      <c r="U20" s="106">
        <v>1</v>
      </c>
      <c r="V20" s="106">
        <v>1</v>
      </c>
      <c r="W20" s="106">
        <v>1</v>
      </c>
      <c r="X20" s="106">
        <v>1</v>
      </c>
      <c r="Y20" s="106">
        <v>1</v>
      </c>
      <c r="Z20" s="106">
        <v>1</v>
      </c>
      <c r="AA20" s="106">
        <v>1</v>
      </c>
      <c r="AB20" s="106">
        <v>1</v>
      </c>
      <c r="AC20" s="106">
        <v>1</v>
      </c>
      <c r="AD20" s="106">
        <v>1</v>
      </c>
      <c r="AE20" s="106">
        <v>1</v>
      </c>
      <c r="AF20" s="106">
        <v>1</v>
      </c>
      <c r="AG20" s="106">
        <v>1</v>
      </c>
      <c r="AH20" s="106">
        <v>1</v>
      </c>
      <c r="AI20" s="106">
        <v>1</v>
      </c>
      <c r="AJ20" s="106">
        <v>1</v>
      </c>
      <c r="AK20" s="106">
        <v>1</v>
      </c>
      <c r="AL20" s="106">
        <v>1</v>
      </c>
      <c r="AM20" s="106">
        <v>1</v>
      </c>
      <c r="AN20" s="106">
        <v>1</v>
      </c>
    </row>
    <row r="21" spans="2:50" collapsed="1" x14ac:dyDescent="0.25">
      <c r="B21" s="39" t="s">
        <v>389</v>
      </c>
      <c r="C21" s="3"/>
      <c r="D21" s="5"/>
      <c r="E21" s="117" cm="1">
        <f t="array" ref="E21:AN21">ROUND(_xlfn.BYCOL(_xlfn.CHOOSEROWS(_xlfn.ANCHORARRAY(E7),1,2),_xlfn.LAMBDA(_xlpm.col,SUM(_xlpm.col))),0)</f>
        <v>0</v>
      </c>
      <c r="F21" s="117">
        <v>0</v>
      </c>
      <c r="G21" s="117">
        <v>0</v>
      </c>
      <c r="H21" s="117">
        <v>3</v>
      </c>
      <c r="I21" s="117">
        <v>7</v>
      </c>
      <c r="J21" s="117">
        <v>10</v>
      </c>
      <c r="K21" s="117">
        <v>13</v>
      </c>
      <c r="L21" s="117">
        <v>16</v>
      </c>
      <c r="M21" s="117">
        <v>20</v>
      </c>
      <c r="N21" s="117">
        <v>23</v>
      </c>
      <c r="O21" s="117">
        <v>26</v>
      </c>
      <c r="P21" s="117">
        <v>29</v>
      </c>
      <c r="Q21" s="117">
        <v>33</v>
      </c>
      <c r="R21" s="117">
        <v>36</v>
      </c>
      <c r="S21" s="117">
        <v>39</v>
      </c>
      <c r="T21" s="117">
        <v>42</v>
      </c>
      <c r="U21" s="117">
        <v>46</v>
      </c>
      <c r="V21" s="117">
        <v>46</v>
      </c>
      <c r="W21" s="117">
        <v>46</v>
      </c>
      <c r="X21" s="117">
        <v>46</v>
      </c>
      <c r="Y21" s="117">
        <v>46</v>
      </c>
      <c r="Z21" s="117">
        <v>46</v>
      </c>
      <c r="AA21" s="117">
        <v>46</v>
      </c>
      <c r="AB21" s="117">
        <v>46</v>
      </c>
      <c r="AC21" s="117">
        <v>46</v>
      </c>
      <c r="AD21" s="117">
        <v>46</v>
      </c>
      <c r="AE21" s="117">
        <v>46</v>
      </c>
      <c r="AF21" s="117">
        <v>46</v>
      </c>
      <c r="AG21" s="117">
        <v>46</v>
      </c>
      <c r="AH21" s="117">
        <v>46</v>
      </c>
      <c r="AI21" s="117">
        <v>46</v>
      </c>
      <c r="AJ21" s="117">
        <v>46</v>
      </c>
      <c r="AK21" s="117">
        <v>46</v>
      </c>
      <c r="AL21" s="117">
        <v>46</v>
      </c>
      <c r="AM21" s="117">
        <v>46</v>
      </c>
      <c r="AN21" s="117">
        <v>46</v>
      </c>
    </row>
    <row r="22" spans="2:50" x14ac:dyDescent="0.25">
      <c r="B22" s="2" t="s">
        <v>394</v>
      </c>
      <c r="C22" s="3"/>
      <c r="D22" s="77">
        <f>MAX(_xlfn.ANCHORARRAY(E22))</f>
        <v>170.02883240223468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0</v>
      </c>
      <c r="F22" s="78">
        <v>0</v>
      </c>
      <c r="G22" s="78">
        <v>0</v>
      </c>
      <c r="H22" s="78">
        <v>165.07653631284921</v>
      </c>
      <c r="I22" s="78">
        <v>165.07653631284921</v>
      </c>
      <c r="J22" s="78">
        <v>165.07653631284916</v>
      </c>
      <c r="K22" s="78">
        <v>165.07653631284921</v>
      </c>
      <c r="L22" s="78">
        <v>165.07653631284919</v>
      </c>
      <c r="M22" s="78">
        <v>165.07653631284916</v>
      </c>
      <c r="N22" s="78">
        <v>165.07653631284916</v>
      </c>
      <c r="O22" s="78">
        <v>165.07653631284921</v>
      </c>
      <c r="P22" s="78">
        <v>165.07653631284921</v>
      </c>
      <c r="Q22" s="78">
        <v>170.02883240223466</v>
      </c>
      <c r="R22" s="78">
        <v>170.02883240223468</v>
      </c>
      <c r="S22" s="78">
        <v>170.02883240223466</v>
      </c>
      <c r="T22" s="78">
        <v>170.02883240223466</v>
      </c>
      <c r="U22" s="78">
        <v>170.02883240223463</v>
      </c>
      <c r="V22" s="78">
        <v>170.02883240223463</v>
      </c>
      <c r="W22" s="78">
        <v>170.02883240223463</v>
      </c>
      <c r="X22" s="78">
        <v>170.02883240223463</v>
      </c>
      <c r="Y22" s="78">
        <v>170.02883240223463</v>
      </c>
      <c r="Z22" s="78">
        <v>170.02883240223463</v>
      </c>
      <c r="AA22" s="78">
        <v>170.02883240223463</v>
      </c>
      <c r="AB22" s="78">
        <v>170.02883240223463</v>
      </c>
      <c r="AC22" s="78">
        <v>170.02883240223463</v>
      </c>
      <c r="AD22" s="78">
        <v>170.02883240223463</v>
      </c>
      <c r="AE22" s="78">
        <v>170.02883240223463</v>
      </c>
      <c r="AF22" s="78">
        <v>170.02883240223463</v>
      </c>
      <c r="AG22" s="78">
        <v>170.02883240223463</v>
      </c>
      <c r="AH22" s="78">
        <v>170.02883240223463</v>
      </c>
      <c r="AI22" s="78">
        <v>170.02883240223463</v>
      </c>
      <c r="AJ22" s="78">
        <v>170.02883240223463</v>
      </c>
      <c r="AK22" s="78">
        <v>170.02883240223463</v>
      </c>
      <c r="AL22" s="78">
        <v>170.02883240223463</v>
      </c>
      <c r="AM22" s="78">
        <v>170.02883240223463</v>
      </c>
      <c r="AN22" s="78">
        <v>170.02883240223463</v>
      </c>
    </row>
    <row r="23" spans="2:50" x14ac:dyDescent="0.25">
      <c r="B23" s="2" t="s">
        <v>53</v>
      </c>
      <c r="C23" s="3"/>
      <c r="D23" s="72"/>
      <c r="E23" s="52" cm="1">
        <f t="array" ref="E23:AN23">_xlfn.LET(_xlpm.site,$B$1&amp;"-"&amp;$C$1,_xlpm.locations,Base!$D$4:$BD$4,_xlpm.Customer,_xlfn.ANCHORARRAY(E1),_xlpm.hours,SUM(_xlfn.XLOOKUP(_xlpm.site,_xlpm.locations,Base!$D$74:$BD$78,0,0)),
_xlpm.collection,1-_xlfn.XLOOKUP(_xlpm.site,_xlpm.locations,Base!$D$26:$BD$26,0,0),
_xlpm.Customer*_xlpm.hours*_xlpm.collection*(52/12))</f>
        <v>0</v>
      </c>
      <c r="F23" s="52">
        <v>0</v>
      </c>
      <c r="G23" s="52">
        <v>0</v>
      </c>
      <c r="H23" s="52">
        <v>315.03999999999996</v>
      </c>
      <c r="I23" s="52">
        <v>630.07999999999993</v>
      </c>
      <c r="J23" s="52">
        <v>945.11999999999989</v>
      </c>
      <c r="K23" s="52">
        <v>1260.1599999999999</v>
      </c>
      <c r="L23" s="52">
        <v>1575.1999999999996</v>
      </c>
      <c r="M23" s="52">
        <v>1890.2399999999998</v>
      </c>
      <c r="N23" s="52">
        <v>2205.2799999999997</v>
      </c>
      <c r="O23" s="52">
        <v>2520.3199999999997</v>
      </c>
      <c r="P23" s="52">
        <v>2835.3599999999992</v>
      </c>
      <c r="Q23" s="52">
        <v>3150.3999999999992</v>
      </c>
      <c r="R23" s="52">
        <v>3465.4399999999996</v>
      </c>
      <c r="S23" s="52">
        <v>3780.4799999999996</v>
      </c>
      <c r="T23" s="52">
        <v>4095.5199999999995</v>
      </c>
      <c r="U23" s="52">
        <v>4410.5599999999995</v>
      </c>
      <c r="V23" s="52">
        <v>4410.5599999999995</v>
      </c>
      <c r="W23" s="52">
        <v>4410.5599999999995</v>
      </c>
      <c r="X23" s="52">
        <v>4410.5599999999995</v>
      </c>
      <c r="Y23" s="52">
        <v>4410.5599999999995</v>
      </c>
      <c r="Z23" s="52">
        <v>4410.5599999999995</v>
      </c>
      <c r="AA23" s="52">
        <v>4410.5599999999995</v>
      </c>
      <c r="AB23" s="52">
        <v>4410.5599999999995</v>
      </c>
      <c r="AC23" s="52">
        <v>4410.5599999999995</v>
      </c>
      <c r="AD23" s="52">
        <v>4410.5599999999995</v>
      </c>
      <c r="AE23" s="52">
        <v>4410.5599999999995</v>
      </c>
      <c r="AF23" s="52">
        <v>4410.5599999999995</v>
      </c>
      <c r="AG23" s="52">
        <v>4410.5599999999995</v>
      </c>
      <c r="AH23" s="52">
        <v>4410.5599999999995</v>
      </c>
      <c r="AI23" s="52">
        <v>4410.5599999999995</v>
      </c>
      <c r="AJ23" s="52">
        <v>4410.5599999999995</v>
      </c>
      <c r="AK23" s="52">
        <v>4410.5599999999995</v>
      </c>
      <c r="AL23" s="52">
        <v>4410.5599999999995</v>
      </c>
      <c r="AM23" s="52">
        <v>4410.5599999999995</v>
      </c>
      <c r="AN23" s="52">
        <v>4410.5599999999995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21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_xlfn.LET(_xlpm.site,$B$1&amp;"-"&amp;$C$1,_xlpm.locations,Base!$D$4:$BD$4,_xlpm.rates,Base!$D31:$BD31,_xlpm.hours,Base!$D74:$BD74,_xlpm.comp,_xlpm.rates*_xlpm.hours,_xlpm.Customer,_xlfn.ANCHORARRAY($E$1),
_xlpm.Customer_comp,_xlfn.XLOOKUP(_xlpm.site,_xlpm.locations,_xlpm.comp,0,0),_xlpm.ann_incr,_xlfn.XLOOKUP(YEAR(_xlfn.ANCHORARRAY($E$25)),Base!$BJ$4:$BL$4,Base!$BJ74:$BL74,0,0),
_xlpm.bad_debt,_xlfn.XLOOKUP(_xlpm.site,_xlpm.locations,Base!$D$28:$BD$28,0,0),_xlpm.Customer_comp*_xlpm.Customer*_xlpm.bad_debt*_xlpm.ann_incr*(52/12))</f>
        <v>0</v>
      </c>
      <c r="F26" s="12">
        <v>0</v>
      </c>
      <c r="G26" s="12">
        <v>0</v>
      </c>
      <c r="H26" s="12">
        <v>45433.96</v>
      </c>
      <c r="I26" s="12">
        <v>90867.92</v>
      </c>
      <c r="J26" s="12">
        <v>136301.87999999998</v>
      </c>
      <c r="K26" s="12">
        <v>181735.84</v>
      </c>
      <c r="L26" s="12">
        <v>227169.79999999996</v>
      </c>
      <c r="M26" s="12">
        <v>272603.75999999995</v>
      </c>
      <c r="N26" s="12">
        <v>318037.71999999997</v>
      </c>
      <c r="O26" s="12">
        <v>363471.68</v>
      </c>
      <c r="P26" s="12">
        <v>408905.63999999996</v>
      </c>
      <c r="Q26" s="12">
        <v>467969.78799999994</v>
      </c>
      <c r="R26" s="12">
        <v>514766.76679999998</v>
      </c>
      <c r="S26" s="12">
        <v>561563.74560000002</v>
      </c>
      <c r="T26" s="12">
        <v>608360.72439999995</v>
      </c>
      <c r="U26" s="12">
        <v>655157.70319999987</v>
      </c>
      <c r="V26" s="12">
        <v>655157.70319999987</v>
      </c>
      <c r="W26" s="12">
        <v>655157.70319999987</v>
      </c>
      <c r="X26" s="12">
        <v>655157.70319999987</v>
      </c>
      <c r="Y26" s="12">
        <v>655157.70319999987</v>
      </c>
      <c r="Z26" s="12">
        <v>655157.70319999987</v>
      </c>
      <c r="AA26" s="12">
        <v>655157.70319999987</v>
      </c>
      <c r="AB26" s="12">
        <v>655157.70319999987</v>
      </c>
      <c r="AC26" s="12">
        <v>655157.70319999987</v>
      </c>
      <c r="AD26" s="12">
        <v>655157.70319999987</v>
      </c>
      <c r="AE26" s="12">
        <v>655157.70319999987</v>
      </c>
      <c r="AF26" s="12">
        <v>655157.70319999987</v>
      </c>
      <c r="AG26" s="12">
        <v>655157.70319999987</v>
      </c>
      <c r="AH26" s="12">
        <v>655157.70319999987</v>
      </c>
      <c r="AI26" s="12">
        <v>655157.70319999987</v>
      </c>
      <c r="AJ26" s="12">
        <v>655157.70319999987</v>
      </c>
      <c r="AK26" s="12">
        <v>655157.70319999987</v>
      </c>
      <c r="AL26" s="12">
        <v>655157.70319999987</v>
      </c>
      <c r="AM26" s="12">
        <v>655157.70319999987</v>
      </c>
      <c r="AN26" s="12">
        <v>655157.70319999987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_xlfn.LET(_xlpm.site,$B$1&amp;"-"&amp;$C$1,_xlpm.locations,Base!$D$4:$BD$4,_xlpm.rates,Base!$D32:$BD32,_xlpm.hours,Base!$D75:$BD75,_xlpm.comp,_xlpm.rates*_xlpm.hours,_xlpm.Customer,_xlfn.ANCHORARRAY($E$1),
_xlpm.Customer_comp,_xlfn.XLOOKUP(_xlpm.site,_xlpm.locations,_xlpm.comp,0,0),_xlpm.ann_incr,_xlfn.XLOOKUP(YEAR(_xlfn.ANCHORARRAY($E$25)),Base!$BJ$4:$BL$4,Base!$BJ75:$BL75,0,0),
_xlpm.bad_debt,_xlfn.XLOOKUP(_xlpm.site,_xlpm.locations,Base!$D$28:$BD$28,0,0),_xlpm.Customer_comp*_xlpm.Customer*_xlpm.bad_debt*_xlpm.ann_incr*(52/12))</f>
        <v>0</v>
      </c>
      <c r="F27" s="12">
        <v>0</v>
      </c>
      <c r="G27" s="12">
        <v>0</v>
      </c>
      <c r="H27" s="12">
        <v>2663.9599999999996</v>
      </c>
      <c r="I27" s="12">
        <v>5327.9199999999992</v>
      </c>
      <c r="J27" s="12">
        <v>7991.8799999999992</v>
      </c>
      <c r="K27" s="12">
        <v>10655.839999999998</v>
      </c>
      <c r="L27" s="12">
        <v>13319.799999999997</v>
      </c>
      <c r="M27" s="12">
        <v>15983.759999999998</v>
      </c>
      <c r="N27" s="12">
        <v>18647.719999999998</v>
      </c>
      <c r="O27" s="12">
        <v>21311.679999999997</v>
      </c>
      <c r="P27" s="12">
        <v>23975.639999999996</v>
      </c>
      <c r="Q27" s="12">
        <v>27438.787999999997</v>
      </c>
      <c r="R27" s="12">
        <v>30182.666799999999</v>
      </c>
      <c r="S27" s="12">
        <v>32926.545599999998</v>
      </c>
      <c r="T27" s="12">
        <v>35670.424399999996</v>
      </c>
      <c r="U27" s="12">
        <v>38414.303200000002</v>
      </c>
      <c r="V27" s="12">
        <v>38414.303200000002</v>
      </c>
      <c r="W27" s="12">
        <v>38414.303200000002</v>
      </c>
      <c r="X27" s="12">
        <v>38414.303200000002</v>
      </c>
      <c r="Y27" s="12">
        <v>38414.303200000002</v>
      </c>
      <c r="Z27" s="12">
        <v>38414.303200000002</v>
      </c>
      <c r="AA27" s="12">
        <v>38414.303200000002</v>
      </c>
      <c r="AB27" s="12">
        <v>38414.303200000002</v>
      </c>
      <c r="AC27" s="12">
        <v>38414.303200000002</v>
      </c>
      <c r="AD27" s="12">
        <v>38414.303200000002</v>
      </c>
      <c r="AE27" s="12">
        <v>38414.303200000002</v>
      </c>
      <c r="AF27" s="12">
        <v>38414.303200000002</v>
      </c>
      <c r="AG27" s="12">
        <v>38414.303200000002</v>
      </c>
      <c r="AH27" s="12">
        <v>38414.303200000002</v>
      </c>
      <c r="AI27" s="12">
        <v>38414.303200000002</v>
      </c>
      <c r="AJ27" s="12">
        <v>38414.303200000002</v>
      </c>
      <c r="AK27" s="12">
        <v>38414.303200000002</v>
      </c>
      <c r="AL27" s="12">
        <v>38414.303200000002</v>
      </c>
      <c r="AM27" s="12">
        <v>38414.303200000002</v>
      </c>
      <c r="AN27" s="12">
        <v>38414.303200000002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_xlfn.LET(_xlpm.site,$B$1&amp;"-"&amp;$C$1,_xlpm.locations,Base!$D$4:$BD$4,_xlpm.rates,Base!$D33:$BD33,_xlpm.hours,Base!$D76:$BD76,_xlpm.comp,_xlpm.rates*_xlpm.hours,_xlpm.Customer,_xlfn.ANCHORARRAY($E$1),
_xlpm.Customer_comp,_xlfn.XLOOKUP(_xlpm.site,_xlpm.locations,_xlpm.comp,0,0),_xlpm.ann_incr,_xlfn.XLOOKUP(YEAR(_xlfn.ANCHORARRAY($E$25)),Base!$BJ$4:$BL$4,Base!$BJ76:$BL76,0,0),
_xlpm.bad_debt,_xlfn.XLOOKUP(_xlpm.site,_xlpm.locations,Base!$D$28:$BD$28,0,0),_xlpm.Customer_comp*_xlpm.Customer*_xlpm.bad_debt*_xlpm.ann_incr*(52/12))</f>
        <v>0</v>
      </c>
      <c r="F28" s="12">
        <v>0</v>
      </c>
      <c r="G28" s="12">
        <v>0</v>
      </c>
      <c r="H28" s="12">
        <v>6331.181999999998</v>
      </c>
      <c r="I28" s="12">
        <v>12662.363999999996</v>
      </c>
      <c r="J28" s="12">
        <v>18993.545999999995</v>
      </c>
      <c r="K28" s="12">
        <v>25324.727999999992</v>
      </c>
      <c r="L28" s="12">
        <v>31655.909999999989</v>
      </c>
      <c r="M28" s="12">
        <v>37987.09199999999</v>
      </c>
      <c r="N28" s="12">
        <v>44318.27399999999</v>
      </c>
      <c r="O28" s="12">
        <v>50649.455999999984</v>
      </c>
      <c r="P28" s="12">
        <v>56980.637999999984</v>
      </c>
      <c r="Q28" s="12">
        <v>65211.174599999984</v>
      </c>
      <c r="R28" s="12">
        <v>71732.292059999978</v>
      </c>
      <c r="S28" s="12">
        <v>78253.409519999972</v>
      </c>
      <c r="T28" s="12">
        <v>84774.526979999995</v>
      </c>
      <c r="U28" s="12">
        <v>91295.644439999975</v>
      </c>
      <c r="V28" s="12">
        <v>91295.644439999975</v>
      </c>
      <c r="W28" s="12">
        <v>91295.644439999975</v>
      </c>
      <c r="X28" s="12">
        <v>91295.644439999975</v>
      </c>
      <c r="Y28" s="12">
        <v>91295.644439999975</v>
      </c>
      <c r="Z28" s="12">
        <v>91295.644439999975</v>
      </c>
      <c r="AA28" s="12">
        <v>91295.644439999975</v>
      </c>
      <c r="AB28" s="12">
        <v>91295.644439999975</v>
      </c>
      <c r="AC28" s="12">
        <v>91295.644439999975</v>
      </c>
      <c r="AD28" s="12">
        <v>91295.644439999975</v>
      </c>
      <c r="AE28" s="12">
        <v>91295.644439999975</v>
      </c>
      <c r="AF28" s="12">
        <v>91295.644439999975</v>
      </c>
      <c r="AG28" s="12">
        <v>91295.644439999975</v>
      </c>
      <c r="AH28" s="12">
        <v>91295.644439999975</v>
      </c>
      <c r="AI28" s="12">
        <v>91295.644439999975</v>
      </c>
      <c r="AJ28" s="12">
        <v>91295.644439999975</v>
      </c>
      <c r="AK28" s="12">
        <v>91295.644439999975</v>
      </c>
      <c r="AL28" s="12">
        <v>91295.644439999975</v>
      </c>
      <c r="AM28" s="12">
        <v>91295.644439999975</v>
      </c>
      <c r="AN28" s="12">
        <v>91295.644439999975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_xlfn.LET(_xlpm.site,$B$1&amp;"-"&amp;$C$1,_xlpm.locations,Base!$D$4:$BD$4,_xlpm.rates,Base!$D34:$BD34,_xlpm.hours,Base!$D77:$BD77,_xlpm.comp,_xlpm.rates*_xlpm.hours,_xlpm.Customer,_xlfn.ANCHORARRAY($E$1),
_xlpm.Customer_comp,_xlfn.XLOOKUP(_xlpm.site,_xlpm.locations,_xlpm.comp,0,0),_xlpm.ann_incr,_xlfn.XLOOKUP(YEAR(_xlfn.ANCHORARRAY($E$25)),Base!$BJ$4:$BL$4,Base!$BJ77:$BL77,0,0),
_xlpm.bad_debt,_xlfn.XLOOKUP(_xlpm.site,_xlpm.locations,Base!$D$28:$BD$28,0,0),_xlpm.Customer_comp*_xlpm.Customer*_xlpm.bad_debt*_xlpm.ann_incr*(52/12))</f>
        <v>0</v>
      </c>
      <c r="F29" s="12">
        <v>0</v>
      </c>
      <c r="G29" s="12">
        <v>0</v>
      </c>
      <c r="H29" s="12">
        <v>487.01399999999995</v>
      </c>
      <c r="I29" s="12">
        <v>974.02799999999991</v>
      </c>
      <c r="J29" s="12">
        <v>1461.0420000000001</v>
      </c>
      <c r="K29" s="12">
        <v>1948.0559999999998</v>
      </c>
      <c r="L29" s="12">
        <v>2435.0699999999997</v>
      </c>
      <c r="M29" s="12">
        <v>2922.0840000000003</v>
      </c>
      <c r="N29" s="12">
        <v>3409.098</v>
      </c>
      <c r="O29" s="12">
        <v>3896.1119999999996</v>
      </c>
      <c r="P29" s="12">
        <v>4383.1260000000002</v>
      </c>
      <c r="Q29" s="12">
        <v>5016.2442000000001</v>
      </c>
      <c r="R29" s="12">
        <v>5517.8686199999993</v>
      </c>
      <c r="S29" s="12">
        <v>6019.4930400000003</v>
      </c>
      <c r="T29" s="12">
        <v>6521.1174600000013</v>
      </c>
      <c r="U29" s="12">
        <v>7022.7418800000005</v>
      </c>
      <c r="V29" s="12">
        <v>7022.7418800000005</v>
      </c>
      <c r="W29" s="12">
        <v>7022.7418800000005</v>
      </c>
      <c r="X29" s="12">
        <v>7022.7418800000005</v>
      </c>
      <c r="Y29" s="12">
        <v>7022.7418800000005</v>
      </c>
      <c r="Z29" s="12">
        <v>7022.7418800000005</v>
      </c>
      <c r="AA29" s="12">
        <v>7022.7418800000005</v>
      </c>
      <c r="AB29" s="12">
        <v>7022.7418800000005</v>
      </c>
      <c r="AC29" s="12">
        <v>7022.7418800000005</v>
      </c>
      <c r="AD29" s="12">
        <v>7022.7418800000005</v>
      </c>
      <c r="AE29" s="12">
        <v>7022.7418800000005</v>
      </c>
      <c r="AF29" s="12">
        <v>7022.7418800000005</v>
      </c>
      <c r="AG29" s="12">
        <v>7022.7418800000005</v>
      </c>
      <c r="AH29" s="12">
        <v>7022.7418800000005</v>
      </c>
      <c r="AI29" s="12">
        <v>7022.7418800000005</v>
      </c>
      <c r="AJ29" s="12">
        <v>7022.7418800000005</v>
      </c>
      <c r="AK29" s="12">
        <v>7022.7418800000005</v>
      </c>
      <c r="AL29" s="12">
        <v>7022.7418800000005</v>
      </c>
      <c r="AM29" s="12">
        <v>7022.7418800000005</v>
      </c>
      <c r="AN29" s="12">
        <v>7022.7418800000005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_xlfn.LET(_xlpm.site,$B$1&amp;"-"&amp;$C$1,_xlpm.locations,Base!$D$4:$BD$4,_xlpm.rates,Base!$D35:$BD35,_xlpm.hours,Base!$D78:$BD78,_xlpm.comp,_xlpm.rates*_xlpm.hours,_xlpm.Customer,_xlfn.ANCHORARRAY($E$1),
_xlpm.Customer_comp,_xlfn.XLOOKUP(_xlpm.site,_xlpm.locations,_xlpm.comp,0,0),_xlpm.ann_incr,_xlfn.XLOOKUP(YEAR(_xlfn.ANCHORARRAY($E$25)),Base!$BJ$4:$BL$4,Base!$BJ78:$BL78,0,0),
_xlpm.bad_debt,_xlfn.XLOOKUP(_xlpm.site,_xlpm.locations,Base!$D$28:$BD$28,0,0),_xlpm.Customer_comp*_xlpm.Customer*_xlpm.bad_debt*_xlpm.ann_incr*(52/12))</f>
        <v>0</v>
      </c>
      <c r="F30" s="12">
        <v>0</v>
      </c>
      <c r="G30" s="12">
        <v>0</v>
      </c>
      <c r="H30" s="12">
        <v>635.43999999999994</v>
      </c>
      <c r="I30" s="12">
        <v>1270.8799999999999</v>
      </c>
      <c r="J30" s="12">
        <v>1906.3199999999997</v>
      </c>
      <c r="K30" s="12">
        <v>2541.7599999999998</v>
      </c>
      <c r="L30" s="12">
        <v>3177.1999999999994</v>
      </c>
      <c r="M30" s="12">
        <v>3812.6399999999994</v>
      </c>
      <c r="N30" s="12">
        <v>4448.08</v>
      </c>
      <c r="O30" s="12">
        <v>5083.5199999999995</v>
      </c>
      <c r="P30" s="12">
        <v>5718.9599999999991</v>
      </c>
      <c r="Q30" s="12">
        <v>6545.0319999999992</v>
      </c>
      <c r="R30" s="12">
        <v>7199.5351999999993</v>
      </c>
      <c r="S30" s="12">
        <v>7854.0383999999995</v>
      </c>
      <c r="T30" s="12">
        <v>8508.5416000000005</v>
      </c>
      <c r="U30" s="12">
        <v>9163.0447999999997</v>
      </c>
      <c r="V30" s="12">
        <v>9163.0447999999997</v>
      </c>
      <c r="W30" s="12">
        <v>9163.0447999999997</v>
      </c>
      <c r="X30" s="12">
        <v>9163.0447999999997</v>
      </c>
      <c r="Y30" s="12">
        <v>9163.0447999999997</v>
      </c>
      <c r="Z30" s="12">
        <v>9163.0447999999997</v>
      </c>
      <c r="AA30" s="12">
        <v>9163.0447999999997</v>
      </c>
      <c r="AB30" s="12">
        <v>9163.0447999999997</v>
      </c>
      <c r="AC30" s="12">
        <v>9163.0447999999997</v>
      </c>
      <c r="AD30" s="12">
        <v>9163.0447999999997</v>
      </c>
      <c r="AE30" s="12">
        <v>9163.0447999999997</v>
      </c>
      <c r="AF30" s="12">
        <v>9163.0447999999997</v>
      </c>
      <c r="AG30" s="12">
        <v>9163.0447999999997</v>
      </c>
      <c r="AH30" s="12">
        <v>9163.0447999999997</v>
      </c>
      <c r="AI30" s="12">
        <v>9163.0447999999997</v>
      </c>
      <c r="AJ30" s="12">
        <v>9163.0447999999997</v>
      </c>
      <c r="AK30" s="12">
        <v>9163.0447999999997</v>
      </c>
      <c r="AL30" s="12">
        <v>9163.0447999999997</v>
      </c>
      <c r="AM30" s="12">
        <v>9163.0447999999997</v>
      </c>
      <c r="AN30" s="12">
        <v>9163.0447999999997</v>
      </c>
    </row>
    <row r="31" spans="2:50" x14ac:dyDescent="0.25">
      <c r="B31" s="39" t="str">
        <f>Base!B36</f>
        <v>Tertiary Direct Staff - Service A</v>
      </c>
      <c r="C31" s="4"/>
      <c r="E31" s="183" cm="1">
        <f t="array" ref="E31:AN31">_xlfn.LET(_xlpm.site,$B$1&amp;"-"&amp;$C$1,_xlpm.locations,Base!$D$4:$BD$4,_xlpm.rates,Base!$D36:$BD36,_xlpm.hours,Base!$D79:$BD79,_xlpm.comp,_xlpm.rates*_xlpm.hours,_xlpm.Customer,_xlfn.ANCHORARRAY($E$1)*0,
_xlpm.Customer_comp,_xlfn.XLOOKUP(_xlpm.site,_xlpm.locations,_xlpm.comp,0,0),_xlpm.ann_incr,_xlfn.XLOOKUP(YEAR(_xlfn.ANCHORARRAY($E$25)),Base!$BJ$4:$BL$4,Base!$BJ79:$BL79,0,0),
_xlpm.bad_debt,_xlfn.XLOOKUP(_xlpm.site,_xlpm.locations,Base!$D$28:$BD$28,0,0),_xlpm.Customer_comp*_xlpm.Customer*_xlpm.bad_debt*_xlpm.ann_incr*(52/12))</f>
        <v>0</v>
      </c>
      <c r="F31" s="183">
        <v>0</v>
      </c>
      <c r="G31" s="183">
        <v>0</v>
      </c>
      <c r="H31" s="183">
        <v>0</v>
      </c>
      <c r="I31" s="183">
        <v>0</v>
      </c>
      <c r="J31" s="183">
        <v>0</v>
      </c>
      <c r="K31" s="183">
        <v>0</v>
      </c>
      <c r="L31" s="183">
        <v>0</v>
      </c>
      <c r="M31" s="183">
        <v>0</v>
      </c>
      <c r="N31" s="183">
        <v>0</v>
      </c>
      <c r="O31" s="183">
        <v>0</v>
      </c>
      <c r="P31" s="183">
        <v>0</v>
      </c>
      <c r="Q31" s="183">
        <v>0</v>
      </c>
      <c r="R31" s="183">
        <v>0</v>
      </c>
      <c r="S31" s="183">
        <v>0</v>
      </c>
      <c r="T31" s="183">
        <v>0</v>
      </c>
      <c r="U31" s="183">
        <v>0</v>
      </c>
      <c r="V31" s="183">
        <v>0</v>
      </c>
      <c r="W31" s="183">
        <v>0</v>
      </c>
      <c r="X31" s="183">
        <v>0</v>
      </c>
      <c r="Y31" s="183">
        <v>0</v>
      </c>
      <c r="Z31" s="183">
        <v>0</v>
      </c>
      <c r="AA31" s="183">
        <v>0</v>
      </c>
      <c r="AB31" s="183">
        <v>0</v>
      </c>
      <c r="AC31" s="183">
        <v>0</v>
      </c>
      <c r="AD31" s="183">
        <v>0</v>
      </c>
      <c r="AE31" s="183">
        <v>0</v>
      </c>
      <c r="AF31" s="183">
        <v>0</v>
      </c>
      <c r="AG31" s="183">
        <v>0</v>
      </c>
      <c r="AH31" s="183">
        <v>0</v>
      </c>
      <c r="AI31" s="183">
        <v>0</v>
      </c>
      <c r="AJ31" s="183">
        <v>0</v>
      </c>
      <c r="AK31" s="183">
        <v>0</v>
      </c>
      <c r="AL31" s="183">
        <v>0</v>
      </c>
      <c r="AM31" s="183">
        <v>0</v>
      </c>
      <c r="AN31" s="183">
        <v>0</v>
      </c>
    </row>
    <row r="32" spans="2:50" x14ac:dyDescent="0.25">
      <c r="B32" s="39" t="str">
        <f>Base!B37</f>
        <v>Tertiary Direct Staff - Service B</v>
      </c>
      <c r="C32" s="4"/>
      <c r="E32" s="183" cm="1">
        <f t="array" ref="E32:AN32">_xlfn.LET(_xlpm.site,$B$1&amp;"-"&amp;$C$1,_xlpm.locations,Base!$D$4:$BD$4,_xlpm.rates,Base!$D37:$BD37,_xlpm.hours,Base!$D80:$BD80,_xlpm.comp,_xlpm.rates*_xlpm.hours,_xlpm.Customer,_xlfn.ANCHORARRAY($E$1)*0,
_xlpm.Customer_comp,_xlfn.XLOOKUP(_xlpm.site,_xlpm.locations,_xlpm.comp,0,0),_xlpm.ann_incr,_xlfn.XLOOKUP(YEAR(_xlfn.ANCHORARRAY($E$25)),Base!$BJ$4:$BL$4,Base!$BJ80:$BL80,0,0),
_xlpm.bad_debt,_xlfn.XLOOKUP(_xlpm.site,_xlpm.locations,Base!$D$28:$BD$28,0,0),_xlpm.Customer_comp*_xlpm.Customer*_xlpm.bad_debt*_xlpm.ann_incr*(52/12))</f>
        <v>0</v>
      </c>
      <c r="F32" s="183">
        <v>0</v>
      </c>
      <c r="G32" s="183">
        <v>0</v>
      </c>
      <c r="H32" s="183">
        <v>0</v>
      </c>
      <c r="I32" s="183">
        <v>0</v>
      </c>
      <c r="J32" s="183">
        <v>0</v>
      </c>
      <c r="K32" s="183">
        <v>0</v>
      </c>
      <c r="L32" s="183">
        <v>0</v>
      </c>
      <c r="M32" s="183">
        <v>0</v>
      </c>
      <c r="N32" s="183">
        <v>0</v>
      </c>
      <c r="O32" s="183">
        <v>0</v>
      </c>
      <c r="P32" s="183">
        <v>0</v>
      </c>
      <c r="Q32" s="183">
        <v>0</v>
      </c>
      <c r="R32" s="183">
        <v>0</v>
      </c>
      <c r="S32" s="183">
        <v>0</v>
      </c>
      <c r="T32" s="183">
        <v>0</v>
      </c>
      <c r="U32" s="183">
        <v>0</v>
      </c>
      <c r="V32" s="183">
        <v>0</v>
      </c>
      <c r="W32" s="183">
        <v>0</v>
      </c>
      <c r="X32" s="183">
        <v>0</v>
      </c>
      <c r="Y32" s="183">
        <v>0</v>
      </c>
      <c r="Z32" s="183">
        <v>0</v>
      </c>
      <c r="AA32" s="183">
        <v>0</v>
      </c>
      <c r="AB32" s="183">
        <v>0</v>
      </c>
      <c r="AC32" s="183">
        <v>0</v>
      </c>
      <c r="AD32" s="183">
        <v>0</v>
      </c>
      <c r="AE32" s="183">
        <v>0</v>
      </c>
      <c r="AF32" s="183">
        <v>0</v>
      </c>
      <c r="AG32" s="183">
        <v>0</v>
      </c>
      <c r="AH32" s="183">
        <v>0</v>
      </c>
      <c r="AI32" s="183">
        <v>0</v>
      </c>
      <c r="AJ32" s="183">
        <v>0</v>
      </c>
      <c r="AK32" s="183">
        <v>0</v>
      </c>
      <c r="AL32" s="183">
        <v>0</v>
      </c>
      <c r="AM32" s="183">
        <v>0</v>
      </c>
      <c r="AN32" s="183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_xlpm.Customer,_xlfn.ANCHORARRAY($E$2),_xlpm.ann_incr,_xlfn.XLOOKUP(YEAR(_xlfn.ANCHORARRAY($E$25)),Base!$BJ$4:$BL$4,Base!$BJ$81:$BL$81,0,0),
_xlpm.bad_debt,_xlfn.XLOOKUP(_xlpm.site,_xlpm.locations,Base!$D$28:$BD$28,0,0),
_xlpm.comp*_xlpm.bad_debt*_xlpm.ann_incr*(52/12))</f>
        <v>0</v>
      </c>
      <c r="F33" s="12">
        <v>0</v>
      </c>
      <c r="G33" s="12">
        <v>0</v>
      </c>
      <c r="H33" s="12">
        <v>25911.491666666665</v>
      </c>
      <c r="I33" s="12">
        <v>25911.491666666665</v>
      </c>
      <c r="J33" s="12">
        <v>25911.491666666665</v>
      </c>
      <c r="K33" s="12">
        <v>25911.491666666665</v>
      </c>
      <c r="L33" s="12">
        <v>25911.491666666665</v>
      </c>
      <c r="M33" s="12">
        <v>25911.491666666665</v>
      </c>
      <c r="N33" s="12">
        <v>25911.491666666665</v>
      </c>
      <c r="O33" s="12">
        <v>25911.491666666665</v>
      </c>
      <c r="P33" s="12">
        <v>25911.491666666665</v>
      </c>
      <c r="Q33" s="12">
        <v>26688.836416666662</v>
      </c>
      <c r="R33" s="12">
        <v>26688.836416666662</v>
      </c>
      <c r="S33" s="12">
        <v>26688.836416666662</v>
      </c>
      <c r="T33" s="12">
        <v>26688.836416666662</v>
      </c>
      <c r="U33" s="12">
        <v>26688.836416666662</v>
      </c>
      <c r="V33" s="12">
        <v>26688.836416666662</v>
      </c>
      <c r="W33" s="12">
        <v>26688.836416666662</v>
      </c>
      <c r="X33" s="12">
        <v>26688.836416666662</v>
      </c>
      <c r="Y33" s="12">
        <v>26688.836416666662</v>
      </c>
      <c r="Z33" s="12">
        <v>26688.836416666662</v>
      </c>
      <c r="AA33" s="12">
        <v>26688.836416666662</v>
      </c>
      <c r="AB33" s="12">
        <v>26688.836416666662</v>
      </c>
      <c r="AC33" s="12">
        <v>26688.836416666662</v>
      </c>
      <c r="AD33" s="12">
        <v>26688.836416666662</v>
      </c>
      <c r="AE33" s="12">
        <v>26688.836416666662</v>
      </c>
      <c r="AF33" s="12">
        <v>26688.836416666662</v>
      </c>
      <c r="AG33" s="12">
        <v>26688.836416666662</v>
      </c>
      <c r="AH33" s="12">
        <v>26688.836416666662</v>
      </c>
      <c r="AI33" s="12">
        <v>26688.836416666662</v>
      </c>
      <c r="AJ33" s="12">
        <v>26688.836416666662</v>
      </c>
      <c r="AK33" s="12">
        <v>26688.836416666662</v>
      </c>
      <c r="AL33" s="12">
        <v>26688.836416666662</v>
      </c>
      <c r="AM33" s="12">
        <v>26688.836416666662</v>
      </c>
      <c r="AN33" s="12">
        <v>26688.836416666662</v>
      </c>
    </row>
    <row r="34" spans="2:40" x14ac:dyDescent="0.25">
      <c r="B34" s="39" t="str">
        <f>Base!B39</f>
        <v>Quinary Direct Staff - Service A</v>
      </c>
      <c r="C34" s="4"/>
      <c r="E34" s="183" cm="1">
        <f t="array" ref="E34:AN34">_xlfn.LET(_xlpm.site,$B$1&amp;"-"&amp;$C$1,_xlpm.locations,Base!$D$4:$BD$4,_xlpm.rates,Base!$D39:$BD39,_xlpm.hours,Base!$D82:$BD82,_xlpm.comp,_xlpm.rates*_xlpm.hours,_xlpm.Customer,_xlfn.ANCHORARRAY($E$1)*0,
_xlpm.Customer_comp,_xlfn.XLOOKUP(_xlpm.site,_xlpm.locations,_xlpm.comp,0,0),_xlpm.ann_incr,_xlfn.XLOOKUP(YEAR(_xlfn.ANCHORARRAY($E$25)),Base!$BJ$4:$BL$4,Base!$BJ82:$BL82,0,0),
_xlpm.bad_debt,_xlfn.XLOOKUP(_xlpm.site,_xlpm.locations,Base!$D$28:$BD$28,0,0),_xlpm.Customer_comp*_xlpm.Customer*_xlpm.bad_debt*_xlpm.ann_incr*(52/12))</f>
        <v>0</v>
      </c>
      <c r="F34" s="183">
        <v>0</v>
      </c>
      <c r="G34" s="183">
        <v>0</v>
      </c>
      <c r="H34" s="183">
        <v>0</v>
      </c>
      <c r="I34" s="183">
        <v>0</v>
      </c>
      <c r="J34" s="183">
        <v>0</v>
      </c>
      <c r="K34" s="183">
        <v>0</v>
      </c>
      <c r="L34" s="183">
        <v>0</v>
      </c>
      <c r="M34" s="183">
        <v>0</v>
      </c>
      <c r="N34" s="183">
        <v>0</v>
      </c>
      <c r="O34" s="183">
        <v>0</v>
      </c>
      <c r="P34" s="183">
        <v>0</v>
      </c>
      <c r="Q34" s="183">
        <v>0</v>
      </c>
      <c r="R34" s="183">
        <v>0</v>
      </c>
      <c r="S34" s="183">
        <v>0</v>
      </c>
      <c r="T34" s="183">
        <v>0</v>
      </c>
      <c r="U34" s="183">
        <v>0</v>
      </c>
      <c r="V34" s="183">
        <v>0</v>
      </c>
      <c r="W34" s="183">
        <v>0</v>
      </c>
      <c r="X34" s="183">
        <v>0</v>
      </c>
      <c r="Y34" s="183">
        <v>0</v>
      </c>
      <c r="Z34" s="183">
        <v>0</v>
      </c>
      <c r="AA34" s="183">
        <v>0</v>
      </c>
      <c r="AB34" s="183">
        <v>0</v>
      </c>
      <c r="AC34" s="183">
        <v>0</v>
      </c>
      <c r="AD34" s="183">
        <v>0</v>
      </c>
      <c r="AE34" s="183">
        <v>0</v>
      </c>
      <c r="AF34" s="183">
        <v>0</v>
      </c>
      <c r="AG34" s="183">
        <v>0</v>
      </c>
      <c r="AH34" s="183">
        <v>0</v>
      </c>
      <c r="AI34" s="183">
        <v>0</v>
      </c>
      <c r="AJ34" s="183">
        <v>0</v>
      </c>
      <c r="AK34" s="183">
        <v>0</v>
      </c>
      <c r="AL34" s="183">
        <v>0</v>
      </c>
      <c r="AM34" s="183">
        <v>0</v>
      </c>
      <c r="AN34" s="183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0</v>
      </c>
      <c r="F35" s="12">
        <v>0</v>
      </c>
      <c r="G35" s="12">
        <v>0</v>
      </c>
      <c r="H35" s="12">
        <v>-9775.5657199999987</v>
      </c>
      <c r="I35" s="12">
        <v>-16441.75244</v>
      </c>
      <c r="J35" s="12">
        <v>-23107.939159999998</v>
      </c>
      <c r="K35" s="12">
        <v>-29774.12588</v>
      </c>
      <c r="L35" s="12">
        <v>-36440.31259999999</v>
      </c>
      <c r="M35" s="12">
        <v>-43106.499319999988</v>
      </c>
      <c r="N35" s="12">
        <v>-49772.686039999986</v>
      </c>
      <c r="O35" s="12">
        <v>-56438.872759999998</v>
      </c>
      <c r="P35" s="12">
        <v>-63105.059479999996</v>
      </c>
      <c r="Q35" s="12">
        <v>-71864.383585999982</v>
      </c>
      <c r="R35" s="12">
        <v>-78730.555907599992</v>
      </c>
      <c r="S35" s="12">
        <v>-85596.728229199987</v>
      </c>
      <c r="T35" s="12">
        <v>-92462.900550799983</v>
      </c>
      <c r="U35" s="12">
        <v>-99329.072872399964</v>
      </c>
      <c r="V35" s="12">
        <v>-99329.072872399964</v>
      </c>
      <c r="W35" s="12">
        <v>-99329.072872399964</v>
      </c>
      <c r="X35" s="12">
        <v>-99329.072872399964</v>
      </c>
      <c r="Y35" s="12">
        <v>-99329.072872399964</v>
      </c>
      <c r="Z35" s="12">
        <v>-99329.072872399964</v>
      </c>
      <c r="AA35" s="12">
        <v>-99329.072872399964</v>
      </c>
      <c r="AB35" s="12">
        <v>-99329.072872399964</v>
      </c>
      <c r="AC35" s="12">
        <v>-99329.072872399964</v>
      </c>
      <c r="AD35" s="12">
        <v>-99329.072872399964</v>
      </c>
      <c r="AE35" s="12">
        <v>-99329.072872399964</v>
      </c>
      <c r="AF35" s="12">
        <v>-99329.072872399964</v>
      </c>
      <c r="AG35" s="12">
        <v>-99329.072872399964</v>
      </c>
      <c r="AH35" s="12">
        <v>-99329.072872399964</v>
      </c>
      <c r="AI35" s="12">
        <v>-99329.072872399964</v>
      </c>
      <c r="AJ35" s="12">
        <v>-99329.072872399964</v>
      </c>
      <c r="AK35" s="12">
        <v>-99329.072872399964</v>
      </c>
      <c r="AL35" s="12">
        <v>-99329.072872399964</v>
      </c>
      <c r="AM35" s="12">
        <v>-99329.072872399964</v>
      </c>
      <c r="AN35" s="12">
        <v>-99329.072872399964</v>
      </c>
    </row>
    <row r="36" spans="2:40" x14ac:dyDescent="0.25">
      <c r="B36" s="39" t="s">
        <v>261</v>
      </c>
      <c r="C36" s="15"/>
      <c r="E36" s="183" cm="1">
        <f t="array" ref="E36:AN36">_xlfn.BYCOL(_xlfn.ANCHORARRAY($E$25),_xlfn.LAMBDA(_xlpm.a,0))</f>
        <v>0</v>
      </c>
      <c r="F36" s="183">
        <v>0</v>
      </c>
      <c r="G36" s="183">
        <v>0</v>
      </c>
      <c r="H36" s="183">
        <v>0</v>
      </c>
      <c r="I36" s="183">
        <v>0</v>
      </c>
      <c r="J36" s="183">
        <v>0</v>
      </c>
      <c r="K36" s="183">
        <v>0</v>
      </c>
      <c r="L36" s="183">
        <v>0</v>
      </c>
      <c r="M36" s="183">
        <v>0</v>
      </c>
      <c r="N36" s="183">
        <v>0</v>
      </c>
      <c r="O36" s="183">
        <v>0</v>
      </c>
      <c r="P36" s="183">
        <v>0</v>
      </c>
      <c r="Q36" s="183">
        <v>0</v>
      </c>
      <c r="R36" s="183">
        <v>0</v>
      </c>
      <c r="S36" s="183">
        <v>0</v>
      </c>
      <c r="T36" s="183">
        <v>0</v>
      </c>
      <c r="U36" s="183">
        <v>0</v>
      </c>
      <c r="V36" s="183">
        <v>0</v>
      </c>
      <c r="W36" s="183">
        <v>0</v>
      </c>
      <c r="X36" s="183">
        <v>0</v>
      </c>
      <c r="Y36" s="183">
        <v>0</v>
      </c>
      <c r="Z36" s="183">
        <v>0</v>
      </c>
      <c r="AA36" s="183">
        <v>0</v>
      </c>
      <c r="AB36" s="183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271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0</v>
      </c>
      <c r="F37" s="13">
        <v>0</v>
      </c>
      <c r="G37" s="13">
        <v>0</v>
      </c>
      <c r="H37" s="13">
        <v>69023.521946666675</v>
      </c>
      <c r="I37" s="13">
        <v>115244.93122666668</v>
      </c>
      <c r="J37" s="13">
        <v>161466.34050666663</v>
      </c>
      <c r="K37" s="13">
        <v>207687.74978666668</v>
      </c>
      <c r="L37" s="13">
        <v>253909.15906666662</v>
      </c>
      <c r="M37" s="13">
        <v>300130.56834666658</v>
      </c>
      <c r="N37" s="13">
        <v>346351.9776266666</v>
      </c>
      <c r="O37" s="13">
        <v>392573.38690666668</v>
      </c>
      <c r="P37" s="13">
        <v>438794.79618666659</v>
      </c>
      <c r="Q37" s="13">
        <v>499566.69163066661</v>
      </c>
      <c r="R37" s="13">
        <v>547174.74318906665</v>
      </c>
      <c r="S37" s="13">
        <v>594782.79474746657</v>
      </c>
      <c r="T37" s="13">
        <v>642390.84630586649</v>
      </c>
      <c r="U37" s="13">
        <v>689998.89786426653</v>
      </c>
      <c r="V37" s="13">
        <v>689998.89786426653</v>
      </c>
      <c r="W37" s="13">
        <v>689998.89786426653</v>
      </c>
      <c r="X37" s="13">
        <v>689998.89786426653</v>
      </c>
      <c r="Y37" s="13">
        <v>689998.89786426653</v>
      </c>
      <c r="Z37" s="13">
        <v>689998.89786426653</v>
      </c>
      <c r="AA37" s="13">
        <v>689998.89786426653</v>
      </c>
      <c r="AB37" s="13">
        <v>689998.89786426653</v>
      </c>
      <c r="AC37" s="13">
        <v>689998.89786426653</v>
      </c>
      <c r="AD37" s="13">
        <v>689998.89786426653</v>
      </c>
      <c r="AE37" s="13">
        <v>689998.89786426653</v>
      </c>
      <c r="AF37" s="13">
        <v>689998.89786426653</v>
      </c>
      <c r="AG37" s="13">
        <v>689998.89786426653</v>
      </c>
      <c r="AH37" s="13">
        <v>689998.89786426653</v>
      </c>
      <c r="AI37" s="13">
        <v>689998.89786426653</v>
      </c>
      <c r="AJ37" s="13">
        <v>689998.89786426653</v>
      </c>
      <c r="AK37" s="13">
        <v>689998.89786426653</v>
      </c>
      <c r="AL37" s="13">
        <v>689998.89786426653</v>
      </c>
      <c r="AM37" s="13">
        <v>689998.89786426653</v>
      </c>
      <c r="AN37" s="13">
        <v>689998.89786426653</v>
      </c>
    </row>
    <row r="38" spans="2:40" x14ac:dyDescent="0.25">
      <c r="E38" s="67"/>
      <c r="F38" s="67"/>
    </row>
    <row r="39" spans="2:40" x14ac:dyDescent="0.25">
      <c r="B39" s="1" t="s">
        <v>118</v>
      </c>
    </row>
    <row r="40" spans="2:40" x14ac:dyDescent="0.25">
      <c r="B40" s="39" t="s">
        <v>23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0</v>
      </c>
      <c r="F40" s="12">
        <v>0</v>
      </c>
      <c r="G40" s="12">
        <v>0</v>
      </c>
      <c r="H40" s="12">
        <v>43612.98992400329</v>
      </c>
      <c r="I40" s="12">
        <v>74421.884381339914</v>
      </c>
      <c r="J40" s="12">
        <v>93883.674305343186</v>
      </c>
      <c r="K40" s="12">
        <v>113305.23542934647</v>
      </c>
      <c r="L40" s="12">
        <v>132759.66322001643</v>
      </c>
      <c r="M40" s="12">
        <v>152488.25314401975</v>
      </c>
      <c r="N40" s="12">
        <v>171750.79760135635</v>
      </c>
      <c r="O40" s="12">
        <v>191269.02539202629</v>
      </c>
      <c r="P40" s="12">
        <v>210730.81531602962</v>
      </c>
      <c r="Q40" s="12">
        <v>253097.43408403615</v>
      </c>
      <c r="R40" s="12">
        <v>274684.45132043981</v>
      </c>
      <c r="S40" s="12">
        <v>296198.75357017672</v>
      </c>
      <c r="T40" s="12">
        <v>317562.47080658033</v>
      </c>
      <c r="U40" s="12">
        <v>333243.20304298401</v>
      </c>
      <c r="V40" s="12">
        <v>333553.69637631736</v>
      </c>
      <c r="W40" s="12">
        <v>333970.52304298396</v>
      </c>
      <c r="X40" s="12">
        <v>334214.02637631731</v>
      </c>
      <c r="Y40" s="12">
        <v>334524.51970965072</v>
      </c>
      <c r="Z40" s="12">
        <v>334941.34637631732</v>
      </c>
      <c r="AA40" s="12">
        <v>335114.66970965068</v>
      </c>
      <c r="AB40" s="12">
        <v>335425.16304298397</v>
      </c>
      <c r="AC40" s="12">
        <v>369309.22201394913</v>
      </c>
      <c r="AD40" s="12">
        <v>369694.04234728246</v>
      </c>
      <c r="AE40" s="12">
        <v>370035.58501394914</v>
      </c>
      <c r="AF40" s="12">
        <v>370377.12768061581</v>
      </c>
      <c r="AG40" s="12">
        <v>370377.12768061581</v>
      </c>
      <c r="AH40" s="12">
        <v>370377.12768061581</v>
      </c>
      <c r="AI40" s="12">
        <v>370377.12768061581</v>
      </c>
      <c r="AJ40" s="12">
        <v>370377.12768061581</v>
      </c>
      <c r="AK40" s="12">
        <v>370377.12768061581</v>
      </c>
      <c r="AL40" s="12">
        <v>370377.12768061581</v>
      </c>
      <c r="AM40" s="12">
        <v>370377.12768061581</v>
      </c>
      <c r="AN40" s="12">
        <v>370377.12768061581</v>
      </c>
    </row>
    <row r="41" spans="2:40" x14ac:dyDescent="0.25">
      <c r="B41" s="39" t="s">
        <v>388</v>
      </c>
      <c r="C41" s="142">
        <f>_xlfn.XLOOKUP($B$1&amp;"-"&amp;$C$1,Base!$D$4:$BD$4,Base!$D$12:$BD$12,0,0)</f>
        <v>0</v>
      </c>
      <c r="E41" s="183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28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0</v>
      </c>
      <c r="F42" s="12">
        <v>0</v>
      </c>
      <c r="G42" s="12">
        <v>0</v>
      </c>
      <c r="H42" s="12">
        <v>15000</v>
      </c>
      <c r="I42" s="12">
        <v>15000</v>
      </c>
      <c r="J42" s="12">
        <v>15000</v>
      </c>
      <c r="K42" s="12">
        <v>15000</v>
      </c>
      <c r="L42" s="12">
        <v>15000</v>
      </c>
      <c r="M42" s="12">
        <v>15000</v>
      </c>
      <c r="N42" s="12">
        <v>15000</v>
      </c>
      <c r="O42" s="12">
        <v>15000</v>
      </c>
      <c r="P42" s="12">
        <v>15000</v>
      </c>
      <c r="Q42" s="12">
        <v>15450</v>
      </c>
      <c r="R42" s="12">
        <v>15450</v>
      </c>
      <c r="S42" s="12">
        <v>15450</v>
      </c>
      <c r="T42" s="12">
        <v>15450</v>
      </c>
      <c r="U42" s="12">
        <v>15450</v>
      </c>
      <c r="V42" s="12">
        <v>15450</v>
      </c>
      <c r="W42" s="12">
        <v>15450</v>
      </c>
      <c r="X42" s="12">
        <v>15450</v>
      </c>
      <c r="Y42" s="12">
        <v>15450</v>
      </c>
      <c r="Z42" s="12">
        <v>15450</v>
      </c>
      <c r="AA42" s="12">
        <v>15450</v>
      </c>
      <c r="AB42" s="12">
        <v>15450</v>
      </c>
      <c r="AC42" s="12">
        <v>15913.5</v>
      </c>
      <c r="AD42" s="12">
        <v>15913.5</v>
      </c>
      <c r="AE42" s="12">
        <v>15913.5</v>
      </c>
      <c r="AF42" s="12">
        <v>15913.5</v>
      </c>
      <c r="AG42" s="12">
        <v>15913.5</v>
      </c>
      <c r="AH42" s="12">
        <v>15913.5</v>
      </c>
      <c r="AI42" s="12">
        <v>15913.5</v>
      </c>
      <c r="AJ42" s="12">
        <v>15913.5</v>
      </c>
      <c r="AK42" s="12">
        <v>15913.5</v>
      </c>
      <c r="AL42" s="12">
        <v>15913.5</v>
      </c>
      <c r="AM42" s="12">
        <v>15913.5</v>
      </c>
      <c r="AN42" s="12">
        <v>15913.5</v>
      </c>
    </row>
    <row r="43" spans="2:40" x14ac:dyDescent="0.25">
      <c r="B43" s="39" t="s">
        <v>31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0</v>
      </c>
      <c r="F43" s="12">
        <v>0</v>
      </c>
      <c r="G43" s="12">
        <v>0</v>
      </c>
      <c r="H43" s="12">
        <v>8700</v>
      </c>
      <c r="I43" s="12">
        <v>8700</v>
      </c>
      <c r="J43" s="12">
        <v>8700</v>
      </c>
      <c r="K43" s="12">
        <v>8700</v>
      </c>
      <c r="L43" s="12">
        <v>8700</v>
      </c>
      <c r="M43" s="12">
        <v>8700</v>
      </c>
      <c r="N43" s="12">
        <v>8700</v>
      </c>
      <c r="O43" s="12">
        <v>8700</v>
      </c>
      <c r="P43" s="12">
        <v>8700</v>
      </c>
      <c r="Q43" s="12">
        <v>9048</v>
      </c>
      <c r="R43" s="12">
        <v>9048</v>
      </c>
      <c r="S43" s="12">
        <v>9048</v>
      </c>
      <c r="T43" s="12">
        <v>9048</v>
      </c>
      <c r="U43" s="12">
        <v>9048</v>
      </c>
      <c r="V43" s="12">
        <v>9048</v>
      </c>
      <c r="W43" s="12">
        <v>9048</v>
      </c>
      <c r="X43" s="12">
        <v>9048</v>
      </c>
      <c r="Y43" s="12">
        <v>9048</v>
      </c>
      <c r="Z43" s="12">
        <v>9048</v>
      </c>
      <c r="AA43" s="12">
        <v>9048</v>
      </c>
      <c r="AB43" s="12">
        <v>9048</v>
      </c>
      <c r="AC43" s="12">
        <v>9409.9200000000019</v>
      </c>
      <c r="AD43" s="12">
        <v>9409.9200000000019</v>
      </c>
      <c r="AE43" s="12">
        <v>9409.9200000000019</v>
      </c>
      <c r="AF43" s="12">
        <v>9409.9200000000019</v>
      </c>
      <c r="AG43" s="12">
        <v>9409.9200000000019</v>
      </c>
      <c r="AH43" s="12">
        <v>9409.9200000000019</v>
      </c>
      <c r="AI43" s="12">
        <v>9409.9200000000019</v>
      </c>
      <c r="AJ43" s="12">
        <v>9409.9200000000019</v>
      </c>
      <c r="AK43" s="12">
        <v>9409.9200000000019</v>
      </c>
      <c r="AL43" s="12">
        <v>9409.9200000000019</v>
      </c>
      <c r="AM43" s="12">
        <v>9409.9200000000019</v>
      </c>
      <c r="AN43" s="12">
        <v>9409.9200000000019</v>
      </c>
    </row>
    <row r="44" spans="2:40" x14ac:dyDescent="0.25">
      <c r="B44" s="39" t="s">
        <v>34</v>
      </c>
      <c r="C44" s="96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0</v>
      </c>
      <c r="F44" s="12">
        <v>0</v>
      </c>
      <c r="G44" s="12">
        <v>0</v>
      </c>
      <c r="H44" s="12">
        <v>363.89520000000005</v>
      </c>
      <c r="I44" s="12">
        <v>963.64839999999992</v>
      </c>
      <c r="J44" s="12">
        <v>993.97300000000007</v>
      </c>
      <c r="K44" s="12">
        <v>1024.2975999999999</v>
      </c>
      <c r="L44" s="12">
        <v>1054.6222</v>
      </c>
      <c r="M44" s="12">
        <v>1095.0550000000001</v>
      </c>
      <c r="N44" s="12">
        <v>1122.0101999999999</v>
      </c>
      <c r="O44" s="12">
        <v>1155.7042000000001</v>
      </c>
      <c r="P44" s="12">
        <v>1186.0287999999998</v>
      </c>
      <c r="Q44" s="12">
        <v>1261.5033600000002</v>
      </c>
      <c r="R44" s="12">
        <v>1300.0492959999999</v>
      </c>
      <c r="S44" s="12">
        <v>1335.0910559999998</v>
      </c>
      <c r="T44" s="12">
        <v>1366.6286400000004</v>
      </c>
      <c r="U44" s="12">
        <v>1156.37808</v>
      </c>
      <c r="V44" s="12">
        <v>1170.3947840000001</v>
      </c>
      <c r="W44" s="12">
        <v>1187.9156640000001</v>
      </c>
      <c r="X44" s="12">
        <v>1198.4281919999999</v>
      </c>
      <c r="Y44" s="12">
        <v>1212.444896</v>
      </c>
      <c r="Z44" s="12">
        <v>1229.965776</v>
      </c>
      <c r="AA44" s="12">
        <v>1236.9741279999998</v>
      </c>
      <c r="AB44" s="12">
        <v>1250.990832</v>
      </c>
      <c r="AC44" s="12">
        <v>1315.6078374400001</v>
      </c>
      <c r="AD44" s="12">
        <v>1330.1852096000002</v>
      </c>
      <c r="AE44" s="12">
        <v>1344.7625817600001</v>
      </c>
      <c r="AF44" s="12">
        <v>1359.3399539200002</v>
      </c>
      <c r="AG44" s="12">
        <v>1359.3399539200002</v>
      </c>
      <c r="AH44" s="12">
        <v>1359.3399539200002</v>
      </c>
      <c r="AI44" s="12">
        <v>1359.3399539200002</v>
      </c>
      <c r="AJ44" s="12">
        <v>1359.3399539200002</v>
      </c>
      <c r="AK44" s="12">
        <v>1359.3399539200002</v>
      </c>
      <c r="AL44" s="12">
        <v>1359.3399539200002</v>
      </c>
      <c r="AM44" s="12">
        <v>1359.3399539200002</v>
      </c>
      <c r="AN44" s="12">
        <v>1359.3399539200002</v>
      </c>
    </row>
    <row r="45" spans="2:40" x14ac:dyDescent="0.25">
      <c r="B45" s="39" t="s">
        <v>36</v>
      </c>
      <c r="C45" s="96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0</v>
      </c>
      <c r="F45" s="12">
        <v>0</v>
      </c>
      <c r="G45" s="12">
        <v>0</v>
      </c>
      <c r="H45" s="12">
        <v>7500</v>
      </c>
      <c r="I45" s="12">
        <v>7500</v>
      </c>
      <c r="J45" s="12">
        <v>7500</v>
      </c>
      <c r="K45" s="12">
        <v>7500</v>
      </c>
      <c r="L45" s="12">
        <v>7500</v>
      </c>
      <c r="M45" s="12">
        <v>7500</v>
      </c>
      <c r="N45" s="12">
        <v>7500</v>
      </c>
      <c r="O45" s="12">
        <v>7500</v>
      </c>
      <c r="P45" s="12">
        <v>7500</v>
      </c>
      <c r="Q45" s="12">
        <v>7650</v>
      </c>
      <c r="R45" s="12">
        <v>7650</v>
      </c>
      <c r="S45" s="12">
        <v>7650</v>
      </c>
      <c r="T45" s="12">
        <v>7650</v>
      </c>
      <c r="U45" s="12">
        <v>7650</v>
      </c>
      <c r="V45" s="12">
        <v>7650</v>
      </c>
      <c r="W45" s="12">
        <v>7650</v>
      </c>
      <c r="X45" s="12">
        <v>7650</v>
      </c>
      <c r="Y45" s="12">
        <v>7650</v>
      </c>
      <c r="Z45" s="12">
        <v>7650</v>
      </c>
      <c r="AA45" s="12">
        <v>7650</v>
      </c>
      <c r="AB45" s="12">
        <v>7650</v>
      </c>
      <c r="AC45" s="12">
        <v>7803</v>
      </c>
      <c r="AD45" s="12">
        <v>7803</v>
      </c>
      <c r="AE45" s="12">
        <v>7803</v>
      </c>
      <c r="AF45" s="12">
        <v>7803</v>
      </c>
      <c r="AG45" s="12">
        <v>7803</v>
      </c>
      <c r="AH45" s="12">
        <v>7803</v>
      </c>
      <c r="AI45" s="12">
        <v>7803</v>
      </c>
      <c r="AJ45" s="12">
        <v>7803</v>
      </c>
      <c r="AK45" s="12">
        <v>7803</v>
      </c>
      <c r="AL45" s="12">
        <v>7803</v>
      </c>
      <c r="AM45" s="12">
        <v>7803</v>
      </c>
      <c r="AN45" s="12">
        <v>7803</v>
      </c>
    </row>
    <row r="46" spans="2:40" x14ac:dyDescent="0.25">
      <c r="B46" s="39" t="s">
        <v>38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0</v>
      </c>
      <c r="F46" s="12">
        <v>0</v>
      </c>
      <c r="G46" s="12">
        <v>0</v>
      </c>
      <c r="H46" s="12">
        <v>3533.9999999999991</v>
      </c>
      <c r="I46" s="12">
        <v>5399.4999999999991</v>
      </c>
      <c r="J46" s="12">
        <v>6677</v>
      </c>
      <c r="K46" s="12">
        <v>7950.9999999999991</v>
      </c>
      <c r="L46" s="12">
        <v>9224.9999999999982</v>
      </c>
      <c r="M46" s="12">
        <v>10513</v>
      </c>
      <c r="N46" s="12">
        <v>11780.000000000002</v>
      </c>
      <c r="O46" s="12">
        <v>13057.5</v>
      </c>
      <c r="P46" s="12">
        <v>14335</v>
      </c>
      <c r="Q46" s="12">
        <v>15917.609999999999</v>
      </c>
      <c r="R46" s="12">
        <v>17224.23</v>
      </c>
      <c r="S46" s="12">
        <v>18530.849999999999</v>
      </c>
      <c r="T46" s="12">
        <v>19830.329999999998</v>
      </c>
      <c r="U46" s="12">
        <v>20879.910000000007</v>
      </c>
      <c r="V46" s="12">
        <v>20894.190000000002</v>
      </c>
      <c r="W46" s="12">
        <v>20912.040000000005</v>
      </c>
      <c r="X46" s="12">
        <v>20922.750000000004</v>
      </c>
      <c r="Y46" s="12">
        <v>20937.030000000006</v>
      </c>
      <c r="Z46" s="12">
        <v>20954.880000000005</v>
      </c>
      <c r="AA46" s="12">
        <v>20962.020000000004</v>
      </c>
      <c r="AB46" s="12">
        <v>20976.300000000003</v>
      </c>
      <c r="AC46" s="12">
        <v>21410.391600000003</v>
      </c>
      <c r="AD46" s="12">
        <v>21424.957200000004</v>
      </c>
      <c r="AE46" s="12">
        <v>21439.522800000002</v>
      </c>
      <c r="AF46" s="12">
        <v>21454.088400000004</v>
      </c>
      <c r="AG46" s="12">
        <v>21454.088400000004</v>
      </c>
      <c r="AH46" s="12">
        <v>21454.088400000004</v>
      </c>
      <c r="AI46" s="12">
        <v>21454.088400000004</v>
      </c>
      <c r="AJ46" s="12">
        <v>21454.088400000004</v>
      </c>
      <c r="AK46" s="12">
        <v>21454.088400000004</v>
      </c>
      <c r="AL46" s="12">
        <v>21454.088400000004</v>
      </c>
      <c r="AM46" s="12">
        <v>21454.088400000004</v>
      </c>
      <c r="AN46" s="12">
        <v>21454.088400000004</v>
      </c>
    </row>
    <row r="47" spans="2:40" x14ac:dyDescent="0.25">
      <c r="B47" s="39" t="s">
        <v>40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0</v>
      </c>
      <c r="F47" s="12">
        <v>0</v>
      </c>
      <c r="G47" s="12">
        <v>0</v>
      </c>
      <c r="H47" s="12">
        <v>6000</v>
      </c>
      <c r="I47" s="12">
        <v>6000</v>
      </c>
      <c r="J47" s="12">
        <v>6000</v>
      </c>
      <c r="K47" s="12">
        <v>6000</v>
      </c>
      <c r="L47" s="12">
        <v>6000</v>
      </c>
      <c r="M47" s="12">
        <v>6000</v>
      </c>
      <c r="N47" s="12">
        <v>6000</v>
      </c>
      <c r="O47" s="12">
        <v>6000</v>
      </c>
      <c r="P47" s="12">
        <v>6000</v>
      </c>
      <c r="Q47" s="12">
        <v>6300</v>
      </c>
      <c r="R47" s="12">
        <v>6300</v>
      </c>
      <c r="S47" s="12">
        <v>6300</v>
      </c>
      <c r="T47" s="12">
        <v>6300</v>
      </c>
      <c r="U47" s="12">
        <v>6300</v>
      </c>
      <c r="V47" s="12">
        <v>6300</v>
      </c>
      <c r="W47" s="12">
        <v>6300</v>
      </c>
      <c r="X47" s="12">
        <v>6300</v>
      </c>
      <c r="Y47" s="12">
        <v>6300</v>
      </c>
      <c r="Z47" s="12">
        <v>6300</v>
      </c>
      <c r="AA47" s="12">
        <v>6300</v>
      </c>
      <c r="AB47" s="12">
        <v>6300</v>
      </c>
      <c r="AC47" s="12">
        <v>6615</v>
      </c>
      <c r="AD47" s="12">
        <v>6615</v>
      </c>
      <c r="AE47" s="12">
        <v>6615</v>
      </c>
      <c r="AF47" s="12">
        <v>6615</v>
      </c>
      <c r="AG47" s="12">
        <v>6615</v>
      </c>
      <c r="AH47" s="12">
        <v>6615</v>
      </c>
      <c r="AI47" s="12">
        <v>6615</v>
      </c>
      <c r="AJ47" s="12">
        <v>6615</v>
      </c>
      <c r="AK47" s="12">
        <v>6615</v>
      </c>
      <c r="AL47" s="12">
        <v>6615</v>
      </c>
      <c r="AM47" s="12">
        <v>6615</v>
      </c>
      <c r="AN47" s="12">
        <v>6615</v>
      </c>
    </row>
    <row r="48" spans="2:40" x14ac:dyDescent="0.25">
      <c r="B48" s="39" t="s">
        <v>41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0</v>
      </c>
      <c r="F48" s="12">
        <v>151234.47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42</v>
      </c>
      <c r="E49" s="12">
        <f>'Corp.'!E$50*(E$37-(E31-E32-E34)*$C$35)/(SUM('MDA1:NCA9'!E$37)-SUM('MDA1:NCA9'!E$31)-SUM('MDA1:NCA9'!E$32)-SUM('MDA1:NCA9'!E$34))</f>
        <v>0</v>
      </c>
      <c r="F49" s="12">
        <f>'Corp.'!F$50*(F$37-(F31-F32-F34)*$C$35)/(SUM('MDA1:NCA9'!F$37)-SUM('MDA1:NCA9'!F$31)-SUM('MDA1:NCA9'!F$32)-SUM('MDA1:NCA9'!F$34))</f>
        <v>0</v>
      </c>
      <c r="G49" s="12">
        <f>'Corp.'!G$50*(G$37-(G31-G32-G34)*$C$35)/(SUM('MDA1:NCA9'!G$37)-SUM('MDA1:NCA9'!G$31)-SUM('MDA1:NCA9'!G$32)-SUM('MDA1:NCA9'!G$34))</f>
        <v>0</v>
      </c>
      <c r="H49" s="12">
        <f>'Corp.'!H$50*(H$37-(H31-H32-H34)*$C$35)/(SUM('MDA1:NCA9'!H$37)-SUM('MDA1:NCA9'!H$31)-SUM('MDA1:NCA9'!H$32)-SUM('MDA1:NCA9'!H$34))</f>
        <v>17869.829945546317</v>
      </c>
      <c r="I49" s="12">
        <f>'Corp.'!I$50*(I$37-(I31-I32-I34)*$C$35)/(SUM('MDA1:NCA9'!I$37)-SUM('MDA1:NCA9'!I$31)-SUM('MDA1:NCA9'!I$32)-SUM('MDA1:NCA9'!I$34))</f>
        <v>28076.158193714073</v>
      </c>
      <c r="J49" s="12">
        <f>'Corp.'!J$50*(J$37-(J31-J32-J34)*$C$35)/(SUM('MDA1:NCA9'!J$37)-SUM('MDA1:NCA9'!J$31)-SUM('MDA1:NCA9'!J$32)-SUM('MDA1:NCA9'!J$34))</f>
        <v>36766.707833929126</v>
      </c>
      <c r="K49" s="12">
        <f>'Corp.'!K$50*(K$37-(K31-K32-K34)*$C$35)/(SUM('MDA1:NCA9'!K$37)-SUM('MDA1:NCA9'!K$31)-SUM('MDA1:NCA9'!K$32)-SUM('MDA1:NCA9'!K$34))</f>
        <v>43436.74164171009</v>
      </c>
      <c r="L49" s="12">
        <f>'Corp.'!L$50*(L$37-(L31-L32-L34)*$C$35)/(SUM('MDA1:NCA9'!L$37)-SUM('MDA1:NCA9'!L$31)-SUM('MDA1:NCA9'!L$32)-SUM('MDA1:NCA9'!L$34))</f>
        <v>50182.875611570453</v>
      </c>
      <c r="M49" s="12">
        <f>'Corp.'!M$50*(M$37-(M31-M32-M34)*$C$35)/(SUM('MDA1:NCA9'!M$37)-SUM('MDA1:NCA9'!M$31)-SUM('MDA1:NCA9'!M$32)-SUM('MDA1:NCA9'!M$34))</f>
        <v>55590.111469816453</v>
      </c>
      <c r="N49" s="12">
        <f>'Corp.'!N$50*(N$37-(N31-N32-N34)*$C$35)/(SUM('MDA1:NCA9'!N$37)-SUM('MDA1:NCA9'!N$31)-SUM('MDA1:NCA9'!N$32)-SUM('MDA1:NCA9'!N$34))</f>
        <v>60448.488659849048</v>
      </c>
      <c r="O49" s="12">
        <f>'Corp.'!O$50*(O$37-(O31-O32-O34)*$C$35)/(SUM('MDA1:NCA9'!O$37)-SUM('MDA1:NCA9'!O$31)-SUM('MDA1:NCA9'!O$32)-SUM('MDA1:NCA9'!O$34))</f>
        <v>64123.561835575056</v>
      </c>
      <c r="P49" s="12">
        <f>'Corp.'!P$50*(P$37-(P31-P32-P34)*$C$35)/(SUM('MDA1:NCA9'!P$37)-SUM('MDA1:NCA9'!P$31)-SUM('MDA1:NCA9'!P$32)-SUM('MDA1:NCA9'!P$34))</f>
        <v>67634.452378456772</v>
      </c>
      <c r="Q49" s="12">
        <f>'Corp.'!Q$50*(Q$37-(Q31-Q32-Q34)*$C$35)/(SUM('MDA1:NCA9'!Q$37)-SUM('MDA1:NCA9'!Q$31)-SUM('MDA1:NCA9'!Q$32)-SUM('MDA1:NCA9'!Q$34))</f>
        <v>77284.07515083933</v>
      </c>
      <c r="R49" s="12">
        <f>'Corp.'!R$50*(R$37-(R31-R32-R34)*$C$35)/(SUM('MDA1:NCA9'!R$37)-SUM('MDA1:NCA9'!R$31)-SUM('MDA1:NCA9'!R$32)-SUM('MDA1:NCA9'!R$34))</f>
        <v>81442.914775559242</v>
      </c>
      <c r="S49" s="12">
        <f>'Corp.'!S$50*(S$37-(S31-S32-S34)*$C$35)/(SUM('MDA1:NCA9'!S$37)-SUM('MDA1:NCA9'!S$31)-SUM('MDA1:NCA9'!S$32)-SUM('MDA1:NCA9'!S$34))</f>
        <v>84698.084599488764</v>
      </c>
      <c r="T49" s="12">
        <f>'Corp.'!T$50*(T$37-(T31-T32-T34)*$C$35)/(SUM('MDA1:NCA9'!T$37)-SUM('MDA1:NCA9'!T$31)-SUM('MDA1:NCA9'!T$32)-SUM('MDA1:NCA9'!T$34))</f>
        <v>87975.259690717343</v>
      </c>
      <c r="U49" s="12">
        <f>'Corp.'!U$50*(U$37-(U31-U32-U34)*$C$35)/(SUM('MDA1:NCA9'!U$37)-SUM('MDA1:NCA9'!U$31)-SUM('MDA1:NCA9'!U$32)-SUM('MDA1:NCA9'!U$34))</f>
        <v>91915.99538577364</v>
      </c>
      <c r="V49" s="12">
        <f>'Corp.'!V$50*(V$37-(V31-V32-V34)*$C$35)/(SUM('MDA1:NCA9'!V$37)-SUM('MDA1:NCA9'!V$31)-SUM('MDA1:NCA9'!V$32)-SUM('MDA1:NCA9'!V$34))</f>
        <v>89813.200413536979</v>
      </c>
      <c r="W49" s="12">
        <f>'Corp.'!W$50*(W$37-(W31-W32-W34)*$C$35)/(SUM('MDA1:NCA9'!W$37)-SUM('MDA1:NCA9'!W$31)-SUM('MDA1:NCA9'!W$32)-SUM('MDA1:NCA9'!W$34))</f>
        <v>87083.552175642923</v>
      </c>
      <c r="X49" s="12">
        <f>'Corp.'!X$50*(X$37-(X31-X32-X34)*$C$35)/(SUM('MDA1:NCA9'!X$37)-SUM('MDA1:NCA9'!X$31)-SUM('MDA1:NCA9'!X$32)-SUM('MDA1:NCA9'!X$34))</f>
        <v>84355.776776980463</v>
      </c>
      <c r="Y49" s="12">
        <f>'Corp.'!Y$50*(Y$37-(Y31-Y32-Y34)*$C$35)/(SUM('MDA1:NCA9'!Y$37)-SUM('MDA1:NCA9'!Y$31)-SUM('MDA1:NCA9'!Y$32)-SUM('MDA1:NCA9'!Y$34))</f>
        <v>82568.580020467809</v>
      </c>
      <c r="Z49" s="12">
        <f>'Corp.'!Z$50*(Z$37-(Z31-Z32-Z34)*$C$35)/(SUM('MDA1:NCA9'!Z$37)-SUM('MDA1:NCA9'!Z$31)-SUM('MDA1:NCA9'!Z$32)-SUM('MDA1:NCA9'!Z$34))</f>
        <v>80775.388620665501</v>
      </c>
      <c r="AA49" s="12">
        <f>'Corp.'!AA$50*(AA$37-(AA31-AA32-AA34)*$C$35)/(SUM('MDA1:NCA9'!AA$37)-SUM('MDA1:NCA9'!AA$31)-SUM('MDA1:NCA9'!AA$32)-SUM('MDA1:NCA9'!AA$34))</f>
        <v>78928.593716406205</v>
      </c>
      <c r="AB49" s="12">
        <f>'Corp.'!AB$50*(AB$37-(AB31-AB32-AB34)*$C$35)/(SUM('MDA1:NCA9'!AB$37)-SUM('MDA1:NCA9'!AB$31)-SUM('MDA1:NCA9'!AB$32)-SUM('MDA1:NCA9'!AB$34))</f>
        <v>77137.388997614675</v>
      </c>
      <c r="AC49" s="12">
        <f>'Corp.'!AC$50*(AC$37-(AC31-AC32-AC34)*$C$35)/(SUM('MDA1:NCA9'!AC$37)-SUM('MDA1:NCA9'!AC$31)-SUM('MDA1:NCA9'!AC$32)-SUM('MDA1:NCA9'!AC$34))</f>
        <v>82787.492935550952</v>
      </c>
      <c r="AD49" s="12">
        <f>'Corp.'!AD$50*(AD$37-(AD31-AD32-AD34)*$C$35)/(SUM('MDA1:NCA9'!AD$37)-SUM('MDA1:NCA9'!AD$31)-SUM('MDA1:NCA9'!AD$32)-SUM('MDA1:NCA9'!AD$34))</f>
        <v>81427.453549480764</v>
      </c>
      <c r="AE49" s="12">
        <f>'Corp.'!AE$50*(AE$37-(AE31-AE32-AE34)*$C$35)/(SUM('MDA1:NCA9'!AE$37)-SUM('MDA1:NCA9'!AE$31)-SUM('MDA1:NCA9'!AE$32)-SUM('MDA1:NCA9'!AE$34))</f>
        <v>80145.065142249689</v>
      </c>
      <c r="AF49" s="12">
        <f>'Corp.'!AF$50*(AF$37-(AF31-AF32-AF34)*$C$35)/(SUM('MDA1:NCA9'!AF$37)-SUM('MDA1:NCA9'!AF$31)-SUM('MDA1:NCA9'!AF$32)-SUM('MDA1:NCA9'!AF$34))</f>
        <v>78943.425161868086</v>
      </c>
      <c r="AG49" s="12">
        <f>'Corp.'!AG$50*(AG$37-(AG31-AG32-AG34)*$C$35)/(SUM('MDA1:NCA9'!AG$37)-SUM('MDA1:NCA9'!AG$31)-SUM('MDA1:NCA9'!AG$32)-SUM('MDA1:NCA9'!AG$34))</f>
        <v>77979.765799357177</v>
      </c>
      <c r="AH49" s="12">
        <f>'Corp.'!AH$50*(AH$37-(AH31-AH32-AH34)*$C$35)/(SUM('MDA1:NCA9'!AH$37)-SUM('MDA1:NCA9'!AH$31)-SUM('MDA1:NCA9'!AH$32)-SUM('MDA1:NCA9'!AH$34))</f>
        <v>76712.193944299695</v>
      </c>
      <c r="AI49" s="12">
        <f>'Corp.'!AI$50*(AI$37-(AI31-AI32-AI34)*$C$35)/(SUM('MDA1:NCA9'!AI$37)-SUM('MDA1:NCA9'!AI$31)-SUM('MDA1:NCA9'!AI$32)-SUM('MDA1:NCA9'!AI$34))</f>
        <v>75391.235786919249</v>
      </c>
      <c r="AJ49" s="12">
        <f>'Corp.'!AJ$50*(AJ$37-(AJ31-AJ32-AJ34)*$C$35)/(SUM('MDA1:NCA9'!AJ$37)-SUM('MDA1:NCA9'!AJ$31)-SUM('MDA1:NCA9'!AJ$32)-SUM('MDA1:NCA9'!AJ$34))</f>
        <v>74037.829400941715</v>
      </c>
      <c r="AK49" s="12">
        <f>'Corp.'!AK$50*(AK$37-(AK31-AK32-AK34)*$C$35)/(SUM('MDA1:NCA9'!AK$37)-SUM('MDA1:NCA9'!AK$31)-SUM('MDA1:NCA9'!AK$32)-SUM('MDA1:NCA9'!AK$34))</f>
        <v>72788.126846379178</v>
      </c>
      <c r="AL49" s="12">
        <f>'Corp.'!AL$50*(AL$37-(AL31-AL32-AL34)*$C$35)/(SUM('MDA1:NCA9'!AL$37)-SUM('MDA1:NCA9'!AL$31)-SUM('MDA1:NCA9'!AL$32)-SUM('MDA1:NCA9'!AL$34))</f>
        <v>71641.323887728504</v>
      </c>
      <c r="AM49" s="12">
        <f>'Corp.'!AM$50*(AM$37-(AM31-AM32-AM34)*$C$35)/(SUM('MDA1:NCA9'!AM$37)-SUM('MDA1:NCA9'!AM$31)-SUM('MDA1:NCA9'!AM$32)-SUM('MDA1:NCA9'!AM$34))</f>
        <v>70406.274276485157</v>
      </c>
      <c r="AN49" s="12">
        <f>'Corp.'!AN$50*(AN$37-(AN31-AN32-AN34)*$C$35)/(SUM('MDA1:NCA9'!AN$37)-SUM('MDA1:NCA9'!AN$31)-SUM('MDA1:NCA9'!AN$32)-SUM('MDA1:NCA9'!AN$34))</f>
        <v>69353.495383390065</v>
      </c>
    </row>
    <row r="50" spans="2:40" x14ac:dyDescent="0.25">
      <c r="B50" s="1" t="s">
        <v>272</v>
      </c>
      <c r="E50" s="13" cm="1">
        <f t="array" ref="E50:AN50">_xlfn.BYCOL(_xlfn.VSTACK(_xlfn.ANCHORARRAY(E40),_xlfn.ANCHORARRAY(E42),_xlfn.ANCHORARRAY(E43),_xlfn.ANCHORARRAY(E45),_xlfn.ANCHORARRAY(E46),_xlfn.ANCHORARRAY(E47),_xlfn.ANCHORARRAY(E48),_xlfn.HSTACK(E49:AN49)),_xlfn.LAMBDA(_xlpm.a,SUM(_xlpm.a)))</f>
        <v>0</v>
      </c>
      <c r="F50" s="13">
        <v>151234.47</v>
      </c>
      <c r="G50" s="13">
        <v>0</v>
      </c>
      <c r="H50" s="13">
        <v>102216.8198695496</v>
      </c>
      <c r="I50" s="13">
        <v>145097.54257505399</v>
      </c>
      <c r="J50" s="13">
        <v>174527.38213927232</v>
      </c>
      <c r="K50" s="13">
        <v>201892.97707105655</v>
      </c>
      <c r="L50" s="13">
        <v>229367.53883158689</v>
      </c>
      <c r="M50" s="13">
        <v>255791.36461383619</v>
      </c>
      <c r="N50" s="13">
        <v>281179.28626120539</v>
      </c>
      <c r="O50" s="13">
        <v>305650.08722760133</v>
      </c>
      <c r="P50" s="13">
        <v>329900.26769448636</v>
      </c>
      <c r="Q50" s="13">
        <v>384747.11923487548</v>
      </c>
      <c r="R50" s="13">
        <v>411799.596095999</v>
      </c>
      <c r="S50" s="13">
        <v>437875.68816966546</v>
      </c>
      <c r="T50" s="13">
        <v>463816.06049729767</v>
      </c>
      <c r="U50" s="13">
        <v>484487.1084287577</v>
      </c>
      <c r="V50" s="13">
        <v>482709.08678985434</v>
      </c>
      <c r="W50" s="13">
        <v>480414.11521862686</v>
      </c>
      <c r="X50" s="13">
        <v>477940.55315329775</v>
      </c>
      <c r="Y50" s="13">
        <v>476478.12973011856</v>
      </c>
      <c r="Z50" s="13">
        <v>475119.61499698285</v>
      </c>
      <c r="AA50" s="13">
        <v>473453.28342605691</v>
      </c>
      <c r="AB50" s="13">
        <v>471986.85204059863</v>
      </c>
      <c r="AC50" s="13">
        <v>513248.52654950006</v>
      </c>
      <c r="AD50" s="13">
        <v>512287.87309676321</v>
      </c>
      <c r="AE50" s="13">
        <v>511361.59295619879</v>
      </c>
      <c r="AF50" s="13">
        <v>510516.06124248391</v>
      </c>
      <c r="AG50" s="13">
        <v>509552.40187997301</v>
      </c>
      <c r="AH50" s="13">
        <v>508284.83002491551</v>
      </c>
      <c r="AI50" s="13">
        <v>506963.87186753505</v>
      </c>
      <c r="AJ50" s="13">
        <v>505610.46548155753</v>
      </c>
      <c r="AK50" s="13">
        <v>504360.762926995</v>
      </c>
      <c r="AL50" s="13">
        <v>503213.95996834431</v>
      </c>
      <c r="AM50" s="13">
        <v>501978.91035710095</v>
      </c>
      <c r="AN50" s="13">
        <v>500926.13146400586</v>
      </c>
    </row>
    <row r="52" spans="2:40" x14ac:dyDescent="0.25">
      <c r="B52" s="1" t="s">
        <v>48</v>
      </c>
      <c r="E52" s="74">
        <f>E37-E50</f>
        <v>0</v>
      </c>
      <c r="F52" s="74">
        <f t="shared" ref="F52:AN52" si="0">F37-F50</f>
        <v>-151234.47</v>
      </c>
      <c r="G52" s="74">
        <f t="shared" si="0"/>
        <v>0</v>
      </c>
      <c r="H52" s="74">
        <f t="shared" si="0"/>
        <v>-33193.297922882921</v>
      </c>
      <c r="I52" s="74">
        <f t="shared" si="0"/>
        <v>-29852.611348387305</v>
      </c>
      <c r="J52" s="74">
        <f t="shared" si="0"/>
        <v>-13061.041632605687</v>
      </c>
      <c r="K52" s="74">
        <f t="shared" si="0"/>
        <v>5794.7727156101319</v>
      </c>
      <c r="L52" s="74">
        <f t="shared" si="0"/>
        <v>24541.620235079725</v>
      </c>
      <c r="M52" s="74">
        <f t="shared" si="0"/>
        <v>44339.203732830385</v>
      </c>
      <c r="N52" s="74">
        <f t="shared" si="0"/>
        <v>65172.691365461214</v>
      </c>
      <c r="O52" s="74">
        <f t="shared" si="0"/>
        <v>86923.299679065356</v>
      </c>
      <c r="P52" s="74">
        <f t="shared" si="0"/>
        <v>108894.52849218022</v>
      </c>
      <c r="Q52" s="74">
        <f t="shared" si="0"/>
        <v>114819.57239579113</v>
      </c>
      <c r="R52" s="74">
        <f t="shared" si="0"/>
        <v>135375.14709306764</v>
      </c>
      <c r="S52" s="74">
        <f t="shared" si="0"/>
        <v>156907.10657780111</v>
      </c>
      <c r="T52" s="74">
        <f t="shared" si="0"/>
        <v>178574.78580856882</v>
      </c>
      <c r="U52" s="74">
        <f t="shared" si="0"/>
        <v>205511.78943550884</v>
      </c>
      <c r="V52" s="74">
        <f t="shared" si="0"/>
        <v>207289.8110744122</v>
      </c>
      <c r="W52" s="74">
        <f t="shared" si="0"/>
        <v>209584.78264563967</v>
      </c>
      <c r="X52" s="74">
        <f t="shared" si="0"/>
        <v>212058.34471096878</v>
      </c>
      <c r="Y52" s="74">
        <f t="shared" si="0"/>
        <v>213520.76813414798</v>
      </c>
      <c r="Z52" s="74">
        <f t="shared" si="0"/>
        <v>214879.28286728368</v>
      </c>
      <c r="AA52" s="74">
        <f t="shared" si="0"/>
        <v>216545.61443820962</v>
      </c>
      <c r="AB52" s="74">
        <f t="shared" si="0"/>
        <v>218012.0458236679</v>
      </c>
      <c r="AC52" s="74">
        <f t="shared" si="0"/>
        <v>176750.37131476647</v>
      </c>
      <c r="AD52" s="74">
        <f t="shared" si="0"/>
        <v>177711.02476750332</v>
      </c>
      <c r="AE52" s="74">
        <f t="shared" si="0"/>
        <v>178637.30490806774</v>
      </c>
      <c r="AF52" s="74">
        <f t="shared" si="0"/>
        <v>179482.83662178263</v>
      </c>
      <c r="AG52" s="74">
        <f t="shared" si="0"/>
        <v>180446.49598429352</v>
      </c>
      <c r="AH52" s="74">
        <f t="shared" si="0"/>
        <v>181714.06783935102</v>
      </c>
      <c r="AI52" s="74">
        <f t="shared" si="0"/>
        <v>183035.02599673148</v>
      </c>
      <c r="AJ52" s="74">
        <f t="shared" si="0"/>
        <v>184388.432382709</v>
      </c>
      <c r="AK52" s="74">
        <f t="shared" si="0"/>
        <v>185638.13493727153</v>
      </c>
      <c r="AL52" s="74">
        <f t="shared" si="0"/>
        <v>186784.93789592222</v>
      </c>
      <c r="AM52" s="74">
        <f t="shared" si="0"/>
        <v>188019.98750716558</v>
      </c>
      <c r="AN52" s="74">
        <f t="shared" si="0"/>
        <v>189072.76640026068</v>
      </c>
    </row>
    <row r="53" spans="2:40" x14ac:dyDescent="0.25">
      <c r="E53" s="105" t="str">
        <f>IFERROR(E52/E37,"")</f>
        <v/>
      </c>
      <c r="F53" s="105" t="str">
        <f t="shared" ref="F53:AN53" si="1">IFERROR(F52/F37,"")</f>
        <v/>
      </c>
      <c r="G53" s="105" t="str">
        <f t="shared" si="1"/>
        <v/>
      </c>
      <c r="H53" s="105">
        <f t="shared" si="1"/>
        <v>-0.48089835155805044</v>
      </c>
      <c r="I53" s="105">
        <f t="shared" si="1"/>
        <v>-0.25903621990690789</v>
      </c>
      <c r="J53" s="105">
        <f t="shared" si="1"/>
        <v>-8.0890181765570029E-2</v>
      </c>
      <c r="K53" s="105">
        <f t="shared" si="1"/>
        <v>2.7901369828323645E-2</v>
      </c>
      <c r="L53" s="105">
        <f t="shared" si="1"/>
        <v>9.66551199857901E-2</v>
      </c>
      <c r="M53" s="105">
        <f t="shared" si="1"/>
        <v>0.14773304824324418</v>
      </c>
      <c r="N53" s="105">
        <f t="shared" si="1"/>
        <v>0.18816895983112003</v>
      </c>
      <c r="O53" s="105">
        <f t="shared" si="1"/>
        <v>0.22141923670371255</v>
      </c>
      <c r="P53" s="105">
        <f t="shared" si="1"/>
        <v>0.2481673197552135</v>
      </c>
      <c r="Q53" s="105">
        <f t="shared" si="1"/>
        <v>0.22983832653254252</v>
      </c>
      <c r="R53" s="105">
        <f t="shared" si="1"/>
        <v>0.24740752159733939</v>
      </c>
      <c r="S53" s="105">
        <f t="shared" si="1"/>
        <v>0.26380572532267155</v>
      </c>
      <c r="T53" s="105">
        <f t="shared" si="1"/>
        <v>0.27798463635570336</v>
      </c>
      <c r="U53" s="105">
        <f t="shared" si="1"/>
        <v>0.29784364884005393</v>
      </c>
      <c r="V53" s="105">
        <f t="shared" si="1"/>
        <v>0.30042049591097941</v>
      </c>
      <c r="W53" s="105">
        <f t="shared" si="1"/>
        <v>0.30374654697907683</v>
      </c>
      <c r="X53" s="105">
        <f t="shared" si="1"/>
        <v>0.30733142526364432</v>
      </c>
      <c r="Y53" s="105">
        <f t="shared" si="1"/>
        <v>0.30945088288554168</v>
      </c>
      <c r="Z53" s="105">
        <f t="shared" si="1"/>
        <v>0.311419747962487</v>
      </c>
      <c r="AA53" s="105">
        <f t="shared" si="1"/>
        <v>0.31383472511112259</v>
      </c>
      <c r="AB53" s="105">
        <f t="shared" si="1"/>
        <v>0.31595999138328223</v>
      </c>
      <c r="AC53" s="105">
        <f t="shared" si="1"/>
        <v>0.25616036759168276</v>
      </c>
      <c r="AD53" s="105">
        <f t="shared" si="1"/>
        <v>0.2575526211963049</v>
      </c>
      <c r="AE53" s="105">
        <f t="shared" si="1"/>
        <v>0.25889505832690252</v>
      </c>
      <c r="AF53" s="105">
        <f t="shared" si="1"/>
        <v>0.26012046856499427</v>
      </c>
      <c r="AG53" s="105">
        <f t="shared" si="1"/>
        <v>0.2615170785675518</v>
      </c>
      <c r="AH53" s="105">
        <f t="shared" si="1"/>
        <v>0.26335414216139369</v>
      </c>
      <c r="AI53" s="105">
        <f t="shared" si="1"/>
        <v>0.26526857733146308</v>
      </c>
      <c r="AJ53" s="105">
        <f t="shared" si="1"/>
        <v>0.26723003899490438</v>
      </c>
      <c r="AK53" s="105">
        <f t="shared" si="1"/>
        <v>0.26904120501043094</v>
      </c>
      <c r="AL53" s="105">
        <f t="shared" si="1"/>
        <v>0.27070324093860465</v>
      </c>
      <c r="AM53" s="105">
        <f t="shared" si="1"/>
        <v>0.2724931707704728</v>
      </c>
      <c r="AN53" s="105">
        <f t="shared" si="1"/>
        <v>0.27401893971931274</v>
      </c>
    </row>
    <row r="55" spans="2:40" x14ac:dyDescent="0.25">
      <c r="B55" t="s">
        <v>57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1411000</v>
      </c>
      <c r="D55" s="12">
        <f>C55-SUM(_xlfn.ANCHORARRAY(E55))</f>
        <v>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0</v>
      </c>
      <c r="F55" s="12">
        <v>235166.66666666666</v>
      </c>
      <c r="G55" s="12">
        <v>235166.66666666666</v>
      </c>
      <c r="H55" s="12">
        <v>235166.66666666666</v>
      </c>
      <c r="I55" s="12">
        <v>235166.66666666666</v>
      </c>
      <c r="J55" s="12">
        <v>235166.66666666666</v>
      </c>
      <c r="K55" s="12">
        <v>235166.66666666666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</row>
    <row r="56" spans="2:40" x14ac:dyDescent="0.25">
      <c r="B56" t="s">
        <v>285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0</v>
      </c>
      <c r="F56" s="90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0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0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0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0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-81965.853478666671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-90070.029701333304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-95863.135459999961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-102796.34685199996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-109729.55824400003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-116662.7696359999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-38086.373859999992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-45019.585251999983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-51952.796643999987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-58886.008035999999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-65819.219427999982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-74935.003744599991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-82076.211478359997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-89217.419212119989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-96358.626945879965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276</v>
      </c>
      <c r="E58" s="13">
        <f>E37-E50-E55+E56</f>
        <v>0</v>
      </c>
      <c r="F58" s="13">
        <f t="shared" ref="F58:AN58" si="2">F37-F50-F55+F56</f>
        <v>-386401.13666666666</v>
      </c>
      <c r="G58" s="13">
        <f t="shared" si="2"/>
        <v>-235166.66666666666</v>
      </c>
      <c r="H58" s="13">
        <f t="shared" si="2"/>
        <v>-268359.96458954958</v>
      </c>
      <c r="I58" s="13">
        <f t="shared" si="2"/>
        <v>-265019.27801505395</v>
      </c>
      <c r="J58" s="13">
        <f t="shared" si="2"/>
        <v>-248227.70829927234</v>
      </c>
      <c r="K58" s="13">
        <f t="shared" si="2"/>
        <v>-311337.74742972321</v>
      </c>
      <c r="L58" s="13">
        <f t="shared" si="2"/>
        <v>-65528.409466253579</v>
      </c>
      <c r="M58" s="13">
        <f t="shared" si="2"/>
        <v>-51523.931727169576</v>
      </c>
      <c r="N58" s="13">
        <f t="shared" si="2"/>
        <v>-37623.655486538744</v>
      </c>
      <c r="O58" s="13">
        <f t="shared" si="2"/>
        <v>-22806.258564934673</v>
      </c>
      <c r="P58" s="13">
        <f t="shared" si="2"/>
        <v>-7768.2411438196723</v>
      </c>
      <c r="Q58" s="13">
        <f t="shared" si="2"/>
        <v>76733.198535791133</v>
      </c>
      <c r="R58" s="13">
        <f t="shared" si="2"/>
        <v>90355.561841067654</v>
      </c>
      <c r="S58" s="13">
        <f t="shared" si="2"/>
        <v>104954.30993380112</v>
      </c>
      <c r="T58" s="13">
        <f t="shared" si="2"/>
        <v>119688.77777256882</v>
      </c>
      <c r="U58" s="13">
        <f t="shared" si="2"/>
        <v>139692.57000750885</v>
      </c>
      <c r="V58" s="13">
        <f t="shared" si="2"/>
        <v>132354.8073298122</v>
      </c>
      <c r="W58" s="13">
        <f t="shared" si="2"/>
        <v>127508.57116727968</v>
      </c>
      <c r="X58" s="13">
        <f t="shared" si="2"/>
        <v>122840.9254988488</v>
      </c>
      <c r="Y58" s="13">
        <f t="shared" si="2"/>
        <v>117162.14118826801</v>
      </c>
      <c r="Z58" s="13">
        <f t="shared" si="2"/>
        <v>111379.44818764371</v>
      </c>
      <c r="AA58" s="13">
        <f t="shared" si="2"/>
        <v>113045.77975856965</v>
      </c>
      <c r="AB58" s="13">
        <f t="shared" si="2"/>
        <v>114512.21114402793</v>
      </c>
      <c r="AC58" s="13">
        <f t="shared" si="2"/>
        <v>73250.536635126497</v>
      </c>
      <c r="AD58" s="13">
        <f t="shared" si="2"/>
        <v>74211.190087863346</v>
      </c>
      <c r="AE58" s="13">
        <f t="shared" si="2"/>
        <v>75137.470228427774</v>
      </c>
      <c r="AF58" s="13">
        <f t="shared" si="2"/>
        <v>75983.001942142655</v>
      </c>
      <c r="AG58" s="13">
        <f t="shared" si="2"/>
        <v>76946.661304653549</v>
      </c>
      <c r="AH58" s="13">
        <f t="shared" si="2"/>
        <v>78214.233159711046</v>
      </c>
      <c r="AI58" s="13">
        <f t="shared" si="2"/>
        <v>79535.191317091507</v>
      </c>
      <c r="AJ58" s="13">
        <f t="shared" si="2"/>
        <v>80888.597703069026</v>
      </c>
      <c r="AK58" s="13">
        <f t="shared" si="2"/>
        <v>82138.300257631563</v>
      </c>
      <c r="AL58" s="13">
        <f t="shared" si="2"/>
        <v>83285.103216282252</v>
      </c>
      <c r="AM58" s="13">
        <f t="shared" si="2"/>
        <v>84520.152827525613</v>
      </c>
      <c r="AN58" s="13">
        <f t="shared" si="2"/>
        <v>85572.931720620705</v>
      </c>
    </row>
    <row r="59" spans="2:40" x14ac:dyDescent="0.25">
      <c r="B59" t="s">
        <v>277</v>
      </c>
      <c r="E59" s="12" cm="1">
        <f t="array" ref="E59:AN59">_xlfn.SCAN(-D55,E58:AN58,_xlfn.LAMBDA(_xlpm.capex,_xlpm.fcf,_xlpm.capex+_xlpm.fcf))</f>
        <v>0</v>
      </c>
      <c r="F59" s="12">
        <v>-386401.13666666666</v>
      </c>
      <c r="G59" s="12">
        <v>-621567.80333333334</v>
      </c>
      <c r="H59" s="12">
        <v>-889927.76792288292</v>
      </c>
      <c r="I59" s="12">
        <v>-1154947.0459379368</v>
      </c>
      <c r="J59" s="12">
        <v>-1403174.754237209</v>
      </c>
      <c r="K59" s="12">
        <v>-1714512.5016669321</v>
      </c>
      <c r="L59" s="12">
        <v>-1780040.9111331857</v>
      </c>
      <c r="M59" s="12">
        <v>-1831564.8428603553</v>
      </c>
      <c r="N59" s="12">
        <v>-1869188.498346894</v>
      </c>
      <c r="O59" s="12">
        <v>-1891994.7569118286</v>
      </c>
      <c r="P59" s="12">
        <v>-1899762.9980556483</v>
      </c>
      <c r="Q59" s="12">
        <v>-1823029.7995198572</v>
      </c>
      <c r="R59" s="12">
        <v>-1732674.2376787895</v>
      </c>
      <c r="S59" s="12">
        <v>-1627719.9277449884</v>
      </c>
      <c r="T59" s="12">
        <v>-1508031.1499724195</v>
      </c>
      <c r="U59" s="12">
        <v>-1368338.5799649106</v>
      </c>
      <c r="V59" s="12">
        <v>-1235983.7726350985</v>
      </c>
      <c r="W59" s="12">
        <v>-1108475.2014678188</v>
      </c>
      <c r="X59" s="12">
        <v>-985634.27596897003</v>
      </c>
      <c r="Y59" s="12">
        <v>-868472.13478070206</v>
      </c>
      <c r="Z59" s="12">
        <v>-757092.6865930584</v>
      </c>
      <c r="AA59" s="12">
        <v>-644046.90683448873</v>
      </c>
      <c r="AB59" s="12">
        <v>-529534.69569046085</v>
      </c>
      <c r="AC59" s="12">
        <v>-456284.15905533434</v>
      </c>
      <c r="AD59" s="12">
        <v>-382072.96896747098</v>
      </c>
      <c r="AE59" s="12">
        <v>-306935.49873904319</v>
      </c>
      <c r="AF59" s="12">
        <v>-230952.49679690052</v>
      </c>
      <c r="AG59" s="12">
        <v>-154005.83549224696</v>
      </c>
      <c r="AH59" s="12">
        <v>-75791.602332535913</v>
      </c>
      <c r="AI59" s="12">
        <v>3743.5889845555939</v>
      </c>
      <c r="AJ59" s="12">
        <v>84632.18668762462</v>
      </c>
      <c r="AK59" s="12">
        <v>166770.48694525618</v>
      </c>
      <c r="AL59" s="12">
        <v>250055.59016153845</v>
      </c>
      <c r="AM59" s="12">
        <v>334575.74298906408</v>
      </c>
      <c r="AN59" s="12">
        <v>420148.6747096848</v>
      </c>
    </row>
    <row r="61" spans="2:40" x14ac:dyDescent="0.25">
      <c r="B61" s="1" t="s">
        <v>302</v>
      </c>
    </row>
    <row r="63" spans="2:40" x14ac:dyDescent="0.25">
      <c r="B63" s="39" t="s">
        <v>103</v>
      </c>
      <c r="E63" s="12" cm="1">
        <f t="array" ref="E63:AN63">_xlfn.LET(_xlpm.site,$B$1&amp;"-"&amp;$C$1,_xlpm.locations,Base!$D$4:$BD$4,_xlpm.rates,Base!$D$36:$BD$36,_xlpm.hours,Base!$D$79:$BD$79,_xlpm.comp,_xlpm.rates*_xlpm.hours,_xlpm.Customer,_xlfn.ANCHORARRAY($E$1),
_xlpm.Customer_comp,_xlfn.XLOOKUP(_xlpm.site,_xlpm.locations,_xlpm.comp,0,0),_xlpm.ann_incr,_xlfn.XLOOKUP(YEAR(_xlfn.ANCHORARRAY($E$25)),Base!$BJ$4:$BL$4,Base!$BJ$79:$BL$79,0,0),
_xlpm.bad_debt,_xlfn.XLOOKUP(_xlpm.site,_xlpm.locations,Base!$D$28:$BD$28,0,0),_xlpm.Customer_comp*_xlpm.Customer*_xlpm.bad_debt*_xlpm.ann_incr*(52/12)*(1-$C$35))</f>
        <v>0</v>
      </c>
      <c r="F63" s="12">
        <v>0</v>
      </c>
      <c r="G63" s="12">
        <v>0</v>
      </c>
      <c r="H63" s="12">
        <v>2887.8263378764791</v>
      </c>
      <c r="I63" s="12">
        <v>5775.6526757529582</v>
      </c>
      <c r="J63" s="12">
        <v>8663.4790136294396</v>
      </c>
      <c r="K63" s="12">
        <v>11551.305351505916</v>
      </c>
      <c r="L63" s="12">
        <v>14439.131689382399</v>
      </c>
      <c r="M63" s="12">
        <v>17326.958027258879</v>
      </c>
      <c r="N63" s="12">
        <v>20214.784365135358</v>
      </c>
      <c r="O63" s="12">
        <v>23102.610703011833</v>
      </c>
      <c r="P63" s="12">
        <v>25990.437040888315</v>
      </c>
      <c r="Q63" s="12">
        <v>29744.611280127738</v>
      </c>
      <c r="R63" s="12">
        <v>32719.072408140517</v>
      </c>
      <c r="S63" s="12">
        <v>35693.533536153293</v>
      </c>
      <c r="T63" s="12">
        <v>38667.994664166064</v>
      </c>
      <c r="U63" s="12">
        <v>41642.455792178836</v>
      </c>
      <c r="V63" s="12">
        <v>41642.455792178836</v>
      </c>
      <c r="W63" s="12">
        <v>41642.455792178836</v>
      </c>
      <c r="X63" s="12">
        <v>41642.455792178836</v>
      </c>
      <c r="Y63" s="12">
        <v>41642.455792178836</v>
      </c>
      <c r="Z63" s="12">
        <v>41642.455792178836</v>
      </c>
      <c r="AA63" s="12">
        <v>41642.455792178836</v>
      </c>
      <c r="AB63" s="12">
        <v>41642.455792178836</v>
      </c>
      <c r="AC63" s="12">
        <v>41642.455792178836</v>
      </c>
      <c r="AD63" s="12">
        <v>41642.455792178836</v>
      </c>
      <c r="AE63" s="12">
        <v>41642.455792178836</v>
      </c>
      <c r="AF63" s="12">
        <v>41642.455792178836</v>
      </c>
      <c r="AG63" s="12">
        <v>41642.455792178836</v>
      </c>
      <c r="AH63" s="12">
        <v>41642.455792178836</v>
      </c>
      <c r="AI63" s="12">
        <v>41642.455792178836</v>
      </c>
      <c r="AJ63" s="12">
        <v>41642.455792178836</v>
      </c>
      <c r="AK63" s="12">
        <v>41642.455792178836</v>
      </c>
      <c r="AL63" s="12">
        <v>41642.455792178836</v>
      </c>
      <c r="AM63" s="12">
        <v>41642.455792178836</v>
      </c>
      <c r="AN63" s="12">
        <v>41642.455792178836</v>
      </c>
    </row>
    <row r="64" spans="2:40" x14ac:dyDescent="0.25">
      <c r="B64" s="39" t="s">
        <v>104</v>
      </c>
      <c r="E64" s="12" cm="1">
        <f t="array" ref="E64:AN64">_xlfn.LET(_xlpm.site,$B$1&amp;"-"&amp;$C$1,_xlpm.locations,Base!$D$4:$BD$4,_xlpm.rates,Base!$D$37:$BD$37,_xlpm.hours,Base!$D$80:$BD$80,_xlpm.comp,_xlpm.rates*_xlpm.hours,_xlpm.Customer,_xlfn.ANCHORARRAY($E$1),
_xlpm.Customer_comp,_xlfn.XLOOKUP(_xlpm.site,_xlpm.locations,_xlpm.comp,0,0),_xlpm.ann_incr,_xlfn.XLOOKUP(YEAR(_xlfn.ANCHORARRAY($E$25)),Base!$BJ$4:$BL$4,Base!$BJ$80:$BL$80,0,0),
_xlpm.bad_debt,_xlfn.XLOOKUP(_xlpm.site,_xlpm.locations,Base!$D$28:$BD$28,0,0),_xlpm.Customer_comp*_xlpm.Customer*_xlpm.bad_debt*_xlpm.ann_incr*(52/12)*(1-$C$35))</f>
        <v>0</v>
      </c>
      <c r="F64" s="12">
        <v>0</v>
      </c>
      <c r="G64" s="12">
        <v>0</v>
      </c>
      <c r="H64" s="12">
        <v>385.87127394816008</v>
      </c>
      <c r="I64" s="12">
        <v>771.74254789632016</v>
      </c>
      <c r="J64" s="12">
        <v>1157.6138218444801</v>
      </c>
      <c r="K64" s="12">
        <v>1543.4850957926403</v>
      </c>
      <c r="L64" s="12">
        <v>1929.3563697408006</v>
      </c>
      <c r="M64" s="12">
        <v>2315.2276436889601</v>
      </c>
      <c r="N64" s="12">
        <v>2701.0989176371204</v>
      </c>
      <c r="O64" s="12">
        <v>3086.9701915852806</v>
      </c>
      <c r="P64" s="12">
        <v>3472.8414655334409</v>
      </c>
      <c r="Q64" s="12">
        <v>3974.4741216660486</v>
      </c>
      <c r="R64" s="12">
        <v>4371.9215338326539</v>
      </c>
      <c r="S64" s="12">
        <v>4769.3689459992584</v>
      </c>
      <c r="T64" s="12">
        <v>5166.8163581658646</v>
      </c>
      <c r="U64" s="12">
        <v>5564.2637703324681</v>
      </c>
      <c r="V64" s="12">
        <v>5564.2637703324681</v>
      </c>
      <c r="W64" s="12">
        <v>5564.2637703324681</v>
      </c>
      <c r="X64" s="12">
        <v>5564.2637703324681</v>
      </c>
      <c r="Y64" s="12">
        <v>5564.2637703324681</v>
      </c>
      <c r="Z64" s="12">
        <v>5564.2637703324681</v>
      </c>
      <c r="AA64" s="12">
        <v>5564.2637703324681</v>
      </c>
      <c r="AB64" s="12">
        <v>5564.2637703324681</v>
      </c>
      <c r="AC64" s="12">
        <v>5564.2637703324681</v>
      </c>
      <c r="AD64" s="12">
        <v>5564.2637703324681</v>
      </c>
      <c r="AE64" s="12">
        <v>5564.2637703324681</v>
      </c>
      <c r="AF64" s="12">
        <v>5564.2637703324681</v>
      </c>
      <c r="AG64" s="12">
        <v>5564.2637703324681</v>
      </c>
      <c r="AH64" s="12">
        <v>5564.2637703324681</v>
      </c>
      <c r="AI64" s="12">
        <v>5564.2637703324681</v>
      </c>
      <c r="AJ64" s="12">
        <v>5564.2637703324681</v>
      </c>
      <c r="AK64" s="12">
        <v>5564.2637703324681</v>
      </c>
      <c r="AL64" s="12">
        <v>5564.2637703324681</v>
      </c>
      <c r="AM64" s="12">
        <v>5564.2637703324681</v>
      </c>
      <c r="AN64" s="12">
        <v>5564.2637703324681</v>
      </c>
    </row>
    <row r="65" spans="2:40" x14ac:dyDescent="0.25">
      <c r="B65" s="39" t="s">
        <v>56</v>
      </c>
      <c r="E65" s="12" cm="1">
        <f t="array" ref="E65:AN65">_xlfn.LET(_xlpm.site,$B$1&amp;"-"&amp;$C$1,_xlpm.locations,Base!$D$4:$BD$4,_xlpm.rates,Base!$D$39:$BD$39,_xlpm.hours,Base!$D$82:$BD$82,_xlpm.comp,_xlpm.rates*_xlpm.hours,_xlpm.Customer,_xlfn.ANCHORARRAY($E$1),
_xlpm.Customer_comp,_xlfn.XLOOKUP(_xlpm.site,_xlpm.locations,_xlpm.comp,0,0),_xlpm.ann_incr,_xlfn.XLOOKUP(YEAR(_xlfn.ANCHORARRAY($E$25)),Base!$BJ$4:$BL$4,Base!$BJ$82:$BL$82,0,0),
_xlpm.bad_debt,_xlfn.XLOOKUP(_xlpm.site,_xlpm.locations,Base!$D$28:$BD$28,0,0),_xlpm.Customer_comp*_xlpm.Customer*_xlpm.bad_debt*_xlpm.ann_incr*(52/12)*(1-$C$35))</f>
        <v>0</v>
      </c>
      <c r="F65" s="12">
        <v>0</v>
      </c>
      <c r="G65" s="12">
        <v>0</v>
      </c>
      <c r="H65" s="12">
        <v>2346.7496455603195</v>
      </c>
      <c r="I65" s="12">
        <v>4693.4992911206391</v>
      </c>
      <c r="J65" s="12">
        <v>7040.2489366809596</v>
      </c>
      <c r="K65" s="12">
        <v>9386.9985822412782</v>
      </c>
      <c r="L65" s="12">
        <v>11733.7482278016</v>
      </c>
      <c r="M65" s="12">
        <v>14080.497873361919</v>
      </c>
      <c r="N65" s="12">
        <v>16427.247518922235</v>
      </c>
      <c r="O65" s="12">
        <v>18773.997164482556</v>
      </c>
      <c r="P65" s="12">
        <v>21120.746810042881</v>
      </c>
      <c r="Q65" s="12">
        <v>24171.521349271297</v>
      </c>
      <c r="R65" s="12">
        <v>26588.673484198422</v>
      </c>
      <c r="S65" s="12">
        <v>29005.82561912555</v>
      </c>
      <c r="T65" s="12">
        <v>31422.977754052685</v>
      </c>
      <c r="U65" s="12">
        <v>33840.129888979805</v>
      </c>
      <c r="V65" s="12">
        <v>33840.129888979805</v>
      </c>
      <c r="W65" s="12">
        <v>33840.129888979805</v>
      </c>
      <c r="X65" s="12">
        <v>33840.129888979805</v>
      </c>
      <c r="Y65" s="12">
        <v>33840.129888979805</v>
      </c>
      <c r="Z65" s="12">
        <v>33840.129888979805</v>
      </c>
      <c r="AA65" s="12">
        <v>33840.129888979805</v>
      </c>
      <c r="AB65" s="12">
        <v>33840.129888979805</v>
      </c>
      <c r="AC65" s="12">
        <v>33840.129888979805</v>
      </c>
      <c r="AD65" s="12">
        <v>33840.129888979805</v>
      </c>
      <c r="AE65" s="12">
        <v>33840.129888979805</v>
      </c>
      <c r="AF65" s="12">
        <v>33840.129888979805</v>
      </c>
      <c r="AG65" s="12">
        <v>33840.129888979805</v>
      </c>
      <c r="AH65" s="12">
        <v>33840.129888979805</v>
      </c>
      <c r="AI65" s="12">
        <v>33840.129888979805</v>
      </c>
      <c r="AJ65" s="12">
        <v>33840.129888979805</v>
      </c>
      <c r="AK65" s="12">
        <v>33840.129888979805</v>
      </c>
      <c r="AL65" s="12">
        <v>33840.129888979805</v>
      </c>
      <c r="AM65" s="12">
        <v>33840.129888979805</v>
      </c>
      <c r="AN65" s="12">
        <v>33840.129888979805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303</v>
      </c>
      <c r="C67" s="12"/>
      <c r="E67" s="13" cm="1">
        <f t="array" ref="E67:AN67">_xlfn.BYCOL(_xlfn.VSTACK(_xlfn.ANCHORARRAY($E$63),_xlfn.ANCHORARRAY($E$64),_xlfn.ANCHORARRAY($E$65)),_xlfn.LAMBDA(_xlpm.a,SUM(_xlpm.a)))</f>
        <v>0</v>
      </c>
      <c r="F67" s="13">
        <v>0</v>
      </c>
      <c r="G67" s="13">
        <v>0</v>
      </c>
      <c r="H67" s="13">
        <v>5620.4472573849589</v>
      </c>
      <c r="I67" s="13">
        <v>11240.894514769918</v>
      </c>
      <c r="J67" s="13">
        <v>16861.341772154879</v>
      </c>
      <c r="K67" s="13">
        <v>22481.789029539836</v>
      </c>
      <c r="L67" s="13">
        <v>28102.236286924799</v>
      </c>
      <c r="M67" s="13">
        <v>33722.683544309759</v>
      </c>
      <c r="N67" s="13">
        <v>39343.130801694715</v>
      </c>
      <c r="O67" s="13">
        <v>44963.578059079671</v>
      </c>
      <c r="P67" s="13">
        <v>50584.025316464642</v>
      </c>
      <c r="Q67" s="13">
        <v>57890.60675106509</v>
      </c>
      <c r="R67" s="13">
        <v>63679.667426171589</v>
      </c>
      <c r="S67" s="13">
        <v>69468.728101278102</v>
      </c>
      <c r="T67" s="13">
        <v>75257.788776384608</v>
      </c>
      <c r="U67" s="13">
        <v>81046.849451491114</v>
      </c>
      <c r="V67" s="13">
        <v>81046.849451491114</v>
      </c>
      <c r="W67" s="13">
        <v>81046.849451491114</v>
      </c>
      <c r="X67" s="13">
        <v>81046.849451491114</v>
      </c>
      <c r="Y67" s="13">
        <v>81046.849451491114</v>
      </c>
      <c r="Z67" s="13">
        <v>81046.849451491114</v>
      </c>
      <c r="AA67" s="13">
        <v>81046.849451491114</v>
      </c>
      <c r="AB67" s="13">
        <v>81046.849451491114</v>
      </c>
      <c r="AC67" s="13">
        <v>81046.849451491114</v>
      </c>
      <c r="AD67" s="13">
        <v>81046.849451491114</v>
      </c>
      <c r="AE67" s="13">
        <v>81046.849451491114</v>
      </c>
      <c r="AF67" s="13">
        <v>81046.849451491114</v>
      </c>
      <c r="AG67" s="13">
        <v>81046.849451491114</v>
      </c>
      <c r="AH67" s="13">
        <v>81046.849451491114</v>
      </c>
      <c r="AI67" s="13">
        <v>81046.849451491114</v>
      </c>
      <c r="AJ67" s="13">
        <v>81046.849451491114</v>
      </c>
      <c r="AK67" s="13">
        <v>81046.849451491114</v>
      </c>
      <c r="AL67" s="13">
        <v>81046.849451491114</v>
      </c>
      <c r="AM67" s="13">
        <v>81046.849451491114</v>
      </c>
      <c r="AN67" s="13">
        <v>81046.849451491114</v>
      </c>
    </row>
    <row r="68" spans="2:40" x14ac:dyDescent="0.25">
      <c r="B68" s="39"/>
      <c r="C68" s="12"/>
    </row>
    <row r="69" spans="2:40" x14ac:dyDescent="0.25">
      <c r="B69" s="39" t="s">
        <v>304</v>
      </c>
      <c r="C69" s="12"/>
      <c r="E69" s="106" cm="1">
        <f t="array" ref="E69:AN70">_xlfn.LET(_xlpm.Customer_staff,_xlfn._xlws.FILTER(Base!$D$96:$BD$97,ISNUMBER(SEARCH($B$1&amp;"-"&amp;$C$1,Base!$D$4:$BD$4))),_xlpm.Customer,_xlfn.ANCHORARRAY($E$1),_xlpm.headcount,_xlpm.Customer/_xlpm.Customer_staff,
_xlpm.rounding,_xlfn.VSTACK(0,0),IFERROR(ROUND(_xlpm.headcount,_xlpm.rounding),0))</f>
        <v>0</v>
      </c>
      <c r="F69" s="106">
        <v>0</v>
      </c>
      <c r="G69" s="106">
        <v>0</v>
      </c>
      <c r="H69" s="106">
        <v>0</v>
      </c>
      <c r="I69" s="106">
        <v>0</v>
      </c>
      <c r="J69" s="106">
        <v>0</v>
      </c>
      <c r="K69" s="106">
        <v>0</v>
      </c>
      <c r="L69" s="106">
        <v>0</v>
      </c>
      <c r="M69" s="106">
        <v>0</v>
      </c>
      <c r="N69" s="106">
        <v>1</v>
      </c>
      <c r="O69" s="106">
        <v>1</v>
      </c>
      <c r="P69" s="106">
        <v>1</v>
      </c>
      <c r="Q69" s="106">
        <v>1</v>
      </c>
      <c r="R69" s="106">
        <v>1</v>
      </c>
      <c r="S69" s="106">
        <v>1</v>
      </c>
      <c r="T69" s="106">
        <v>1</v>
      </c>
      <c r="U69" s="106">
        <v>1</v>
      </c>
      <c r="V69" s="106">
        <v>1</v>
      </c>
      <c r="W69" s="106">
        <v>1</v>
      </c>
      <c r="X69" s="106">
        <v>1</v>
      </c>
      <c r="Y69" s="106">
        <v>1</v>
      </c>
      <c r="Z69" s="106">
        <v>1</v>
      </c>
      <c r="AA69" s="106">
        <v>1</v>
      </c>
      <c r="AB69" s="106">
        <v>1</v>
      </c>
      <c r="AC69" s="106">
        <v>1</v>
      </c>
      <c r="AD69" s="106">
        <v>1</v>
      </c>
      <c r="AE69" s="106">
        <v>1</v>
      </c>
      <c r="AF69" s="106">
        <v>1</v>
      </c>
      <c r="AG69" s="106">
        <v>1</v>
      </c>
      <c r="AH69" s="106">
        <v>1</v>
      </c>
      <c r="AI69" s="106">
        <v>1</v>
      </c>
      <c r="AJ69" s="106">
        <v>1</v>
      </c>
      <c r="AK69" s="106">
        <v>1</v>
      </c>
      <c r="AL69" s="106">
        <v>1</v>
      </c>
      <c r="AM69" s="106">
        <v>1</v>
      </c>
      <c r="AN69" s="106">
        <v>1</v>
      </c>
    </row>
    <row r="70" spans="2:40" x14ac:dyDescent="0.25">
      <c r="B70" s="39" t="s">
        <v>305</v>
      </c>
      <c r="C70" s="12"/>
      <c r="E70" s="106">
        <v>0</v>
      </c>
      <c r="F70" s="106">
        <v>0</v>
      </c>
      <c r="G70" s="106">
        <v>0</v>
      </c>
      <c r="H70" s="106">
        <v>0</v>
      </c>
      <c r="I70" s="106">
        <v>0</v>
      </c>
      <c r="J70" s="106">
        <v>0</v>
      </c>
      <c r="K70" s="106">
        <v>0</v>
      </c>
      <c r="L70" s="106">
        <v>0</v>
      </c>
      <c r="M70" s="106">
        <v>0</v>
      </c>
      <c r="N70" s="106">
        <v>0</v>
      </c>
      <c r="O70" s="106">
        <v>1</v>
      </c>
      <c r="P70" s="106">
        <v>1</v>
      </c>
      <c r="Q70" s="106">
        <v>1</v>
      </c>
      <c r="R70" s="106">
        <v>1</v>
      </c>
      <c r="S70" s="106">
        <v>1</v>
      </c>
      <c r="T70" s="106">
        <v>1</v>
      </c>
      <c r="U70" s="106">
        <v>1</v>
      </c>
      <c r="V70" s="106">
        <v>1</v>
      </c>
      <c r="W70" s="106">
        <v>1</v>
      </c>
      <c r="X70" s="106">
        <v>1</v>
      </c>
      <c r="Y70" s="106">
        <v>1</v>
      </c>
      <c r="Z70" s="106">
        <v>1</v>
      </c>
      <c r="AA70" s="106">
        <v>1</v>
      </c>
      <c r="AB70" s="106">
        <v>1</v>
      </c>
      <c r="AC70" s="106">
        <v>1</v>
      </c>
      <c r="AD70" s="106">
        <v>1</v>
      </c>
      <c r="AE70" s="106">
        <v>1</v>
      </c>
      <c r="AF70" s="106">
        <v>1</v>
      </c>
      <c r="AG70" s="106">
        <v>1</v>
      </c>
      <c r="AH70" s="106">
        <v>1</v>
      </c>
      <c r="AI70" s="106">
        <v>1</v>
      </c>
      <c r="AJ70" s="106">
        <v>1</v>
      </c>
      <c r="AK70" s="106">
        <v>1</v>
      </c>
      <c r="AL70" s="106">
        <v>1</v>
      </c>
      <c r="AM70" s="106">
        <v>1</v>
      </c>
      <c r="AN70" s="106">
        <v>1</v>
      </c>
    </row>
    <row r="71" spans="2:40" x14ac:dyDescent="0.25">
      <c r="B71" s="39"/>
      <c r="C71" s="12"/>
    </row>
    <row r="72" spans="2:40" x14ac:dyDescent="0.25">
      <c r="B72" s="39" t="s">
        <v>23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0</v>
      </c>
      <c r="F72" s="12">
        <v>0</v>
      </c>
      <c r="G72" s="12">
        <v>0</v>
      </c>
      <c r="H72" s="12">
        <v>629.35619066995855</v>
      </c>
      <c r="I72" s="12">
        <v>1258.7123813399171</v>
      </c>
      <c r="J72" s="12">
        <v>1888.0685720098741</v>
      </c>
      <c r="K72" s="12">
        <v>2517.4247626798342</v>
      </c>
      <c r="L72" s="12">
        <v>3146.7809533497898</v>
      </c>
      <c r="M72" s="12">
        <v>3776.1371440197481</v>
      </c>
      <c r="N72" s="12">
        <v>18209.493334689705</v>
      </c>
      <c r="O72" s="12">
        <v>32642.849525359663</v>
      </c>
      <c r="P72" s="12">
        <v>33272.205716029617</v>
      </c>
      <c r="Q72" s="12">
        <v>37291.718097369543</v>
      </c>
      <c r="R72" s="12">
        <v>37984.009907106498</v>
      </c>
      <c r="S72" s="12">
        <v>38676.301716843453</v>
      </c>
      <c r="T72" s="12">
        <v>39368.5935265804</v>
      </c>
      <c r="U72" s="12">
        <v>40060.885336317362</v>
      </c>
      <c r="V72" s="12">
        <v>40060.885336317362</v>
      </c>
      <c r="W72" s="12">
        <v>40060.885336317362</v>
      </c>
      <c r="X72" s="12">
        <v>40060.885336317362</v>
      </c>
      <c r="Y72" s="12">
        <v>40060.885336317362</v>
      </c>
      <c r="Z72" s="12">
        <v>40060.885336317362</v>
      </c>
      <c r="AA72" s="12">
        <v>40060.885336317362</v>
      </c>
      <c r="AB72" s="12">
        <v>40060.885336317362</v>
      </c>
      <c r="AC72" s="12">
        <v>44066.973869949092</v>
      </c>
      <c r="AD72" s="12">
        <v>44066.973869949092</v>
      </c>
      <c r="AE72" s="12">
        <v>44066.973869949092</v>
      </c>
      <c r="AF72" s="12">
        <v>44066.973869949092</v>
      </c>
      <c r="AG72" s="12">
        <v>44066.973869949092</v>
      </c>
      <c r="AH72" s="12">
        <v>44066.973869949092</v>
      </c>
      <c r="AI72" s="12">
        <v>44066.973869949092</v>
      </c>
      <c r="AJ72" s="12">
        <v>44066.973869949092</v>
      </c>
      <c r="AK72" s="12">
        <v>44066.973869949092</v>
      </c>
      <c r="AL72" s="12">
        <v>44066.973869949092</v>
      </c>
      <c r="AM72" s="12">
        <v>44066.973869949092</v>
      </c>
      <c r="AN72" s="12">
        <v>44066.973869949092</v>
      </c>
    </row>
    <row r="73" spans="2:40" x14ac:dyDescent="0.25">
      <c r="B73" s="39" t="s">
        <v>24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306</v>
      </c>
      <c r="E75" s="74" cm="1">
        <f t="array" ref="E75:AN75">_xlfn.ANCHORARRAY(E67)-_xlfn.ANCHORARRAY(E72)-_xlfn.ANCHORARRAY(E73)</f>
        <v>0</v>
      </c>
      <c r="F75" s="74">
        <v>0</v>
      </c>
      <c r="G75" s="74">
        <v>0</v>
      </c>
      <c r="H75" s="74">
        <v>4991.0910667150001</v>
      </c>
      <c r="I75" s="74">
        <v>9982.1821334300002</v>
      </c>
      <c r="J75" s="74">
        <v>14973.273200145006</v>
      </c>
      <c r="K75" s="74">
        <v>19964.36426686</v>
      </c>
      <c r="L75" s="74">
        <v>24955.45533357501</v>
      </c>
      <c r="M75" s="74">
        <v>29946.546400290012</v>
      </c>
      <c r="N75" s="74">
        <v>21133.63746700501</v>
      </c>
      <c r="O75" s="74">
        <v>12320.728533720008</v>
      </c>
      <c r="P75" s="74">
        <v>17311.819600435025</v>
      </c>
      <c r="Q75" s="74">
        <v>20598.888653695547</v>
      </c>
      <c r="R75" s="74">
        <v>25695.657519065091</v>
      </c>
      <c r="S75" s="74">
        <v>30792.42638443465</v>
      </c>
      <c r="T75" s="74">
        <v>35889.195249804208</v>
      </c>
      <c r="U75" s="74">
        <v>40985.964115173752</v>
      </c>
      <c r="V75" s="74">
        <v>40985.964115173752</v>
      </c>
      <c r="W75" s="74">
        <v>40985.964115173752</v>
      </c>
      <c r="X75" s="74">
        <v>40985.964115173752</v>
      </c>
      <c r="Y75" s="74">
        <v>40985.964115173752</v>
      </c>
      <c r="Z75" s="74">
        <v>40985.964115173752</v>
      </c>
      <c r="AA75" s="74">
        <v>40985.964115173752</v>
      </c>
      <c r="AB75" s="74">
        <v>40985.964115173752</v>
      </c>
      <c r="AC75" s="74">
        <v>36979.875581542023</v>
      </c>
      <c r="AD75" s="74">
        <v>36979.875581542023</v>
      </c>
      <c r="AE75" s="74">
        <v>36979.875581542023</v>
      </c>
      <c r="AF75" s="74">
        <v>36979.875581542023</v>
      </c>
      <c r="AG75" s="74">
        <v>36979.875581542023</v>
      </c>
      <c r="AH75" s="74">
        <v>36979.875581542023</v>
      </c>
      <c r="AI75" s="74">
        <v>36979.875581542023</v>
      </c>
      <c r="AJ75" s="74">
        <v>36979.875581542023</v>
      </c>
      <c r="AK75" s="74">
        <v>36979.875581542023</v>
      </c>
      <c r="AL75" s="74">
        <v>36979.875581542023</v>
      </c>
      <c r="AM75" s="74">
        <v>36979.875581542023</v>
      </c>
      <c r="AN75" s="74">
        <v>36979.875581542023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701A4-B072-4DE8-9D2E-6DB9CBAA4F80}">
  <dimension ref="A1:AX75"/>
  <sheetViews>
    <sheetView workbookViewId="0">
      <pane xSplit="4" ySplit="25" topLeftCell="E26" activePane="bottomRight" state="frozen"/>
      <selection activeCell="E63" sqref="E63:E65"/>
      <selection pane="topRight" activeCell="E63" sqref="E63:E65"/>
      <selection pane="bottomLeft" activeCell="E63" sqref="E63:E65"/>
      <selection pane="bottomRight" activeCell="E63" sqref="E63:E65"/>
    </sheetView>
  </sheetViews>
  <sheetFormatPr defaultRowHeight="15" outlineLevelRow="1" x14ac:dyDescent="0.25"/>
  <cols>
    <col min="2" max="2" width="24.5703125" bestFit="1" customWidth="1"/>
    <col min="3" max="3" width="10.7109375" bestFit="1" customWidth="1"/>
    <col min="4" max="4" width="10" bestFit="1" customWidth="1"/>
    <col min="5" max="5" width="11.42578125" bestFit="1" customWidth="1"/>
    <col min="6" max="6" width="11.7109375" bestFit="1" customWidth="1"/>
    <col min="7" max="13" width="12.28515625" bestFit="1" customWidth="1"/>
    <col min="14" max="18" width="11.5703125" bestFit="1" customWidth="1"/>
    <col min="19" max="40" width="12.5703125" bestFit="1" customWidth="1"/>
  </cols>
  <sheetData>
    <row r="1" spans="1:40" x14ac:dyDescent="0.25">
      <c r="A1" s="96" t="str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/>
      </c>
      <c r="B1" s="58" t="s">
        <v>430</v>
      </c>
      <c r="C1" s="16" t="s">
        <v>344</v>
      </c>
      <c r="D1" s="3" t="s">
        <v>307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IFERROR(_xlpm.kiddos,0))</f>
        <v>0</v>
      </c>
      <c r="F1" s="69">
        <v>0</v>
      </c>
      <c r="G1" s="69">
        <v>0</v>
      </c>
      <c r="H1" s="69">
        <v>0</v>
      </c>
      <c r="I1" s="69">
        <v>1</v>
      </c>
      <c r="J1" s="69">
        <v>3</v>
      </c>
      <c r="K1" s="69">
        <v>5</v>
      </c>
      <c r="L1" s="69">
        <v>6</v>
      </c>
      <c r="M1" s="69">
        <v>8</v>
      </c>
      <c r="N1" s="69">
        <v>10</v>
      </c>
      <c r="O1" s="69">
        <v>12</v>
      </c>
      <c r="P1" s="69">
        <v>13</v>
      </c>
      <c r="Q1" s="69">
        <v>15</v>
      </c>
      <c r="R1" s="69">
        <v>17</v>
      </c>
      <c r="S1" s="69">
        <v>18</v>
      </c>
      <c r="T1" s="69">
        <v>20</v>
      </c>
      <c r="U1" s="69">
        <v>22</v>
      </c>
      <c r="V1" s="69">
        <v>24</v>
      </c>
      <c r="W1" s="69">
        <v>24</v>
      </c>
      <c r="X1" s="69">
        <v>24</v>
      </c>
      <c r="Y1" s="69">
        <v>24</v>
      </c>
      <c r="Z1" s="69">
        <v>24</v>
      </c>
      <c r="AA1" s="69">
        <v>24</v>
      </c>
      <c r="AB1" s="69">
        <v>24</v>
      </c>
      <c r="AC1" s="69">
        <v>24</v>
      </c>
      <c r="AD1" s="69">
        <v>24</v>
      </c>
      <c r="AE1" s="69">
        <v>24</v>
      </c>
      <c r="AF1" s="69">
        <v>24</v>
      </c>
      <c r="AG1" s="69">
        <v>24</v>
      </c>
      <c r="AH1" s="69">
        <v>24</v>
      </c>
      <c r="AI1" s="69">
        <v>24</v>
      </c>
      <c r="AJ1" s="69">
        <v>24</v>
      </c>
      <c r="AK1" s="69">
        <v>24</v>
      </c>
      <c r="AL1" s="69">
        <v>24</v>
      </c>
      <c r="AM1" s="69">
        <v>24</v>
      </c>
      <c r="AN1" s="69">
        <v>24</v>
      </c>
    </row>
    <row r="2" spans="1:40" x14ac:dyDescent="0.25">
      <c r="A2" s="65"/>
      <c r="B2" s="3" t="str">
        <f>_xlfn.XLOOKUP($B$1&amp;"-"&amp;$C$1,Base!$D$4:$BD$4,Base!$D$2:$BD$2,"",0)</f>
        <v>New Jersey</v>
      </c>
      <c r="C2" s="55"/>
      <c r="D2" s="55" t="s">
        <v>259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0</v>
      </c>
      <c r="F2" s="69">
        <v>0</v>
      </c>
      <c r="G2" s="69">
        <v>0</v>
      </c>
      <c r="H2" s="69">
        <v>0</v>
      </c>
      <c r="I2" s="69">
        <v>0</v>
      </c>
      <c r="J2" s="69">
        <v>1.8809523809523809</v>
      </c>
      <c r="K2" s="69">
        <v>2.0476190476190474</v>
      </c>
      <c r="L2" s="69">
        <v>2.2142857142857144</v>
      </c>
      <c r="M2" s="69">
        <v>2.3809523809523809</v>
      </c>
      <c r="N2" s="69">
        <v>2.5476190476190474</v>
      </c>
      <c r="O2" s="69">
        <v>2.7142857142857144</v>
      </c>
      <c r="P2" s="69">
        <v>2.8809523809523809</v>
      </c>
      <c r="Q2" s="69">
        <v>3.0476190476190474</v>
      </c>
      <c r="R2" s="69">
        <v>3.2142857142857144</v>
      </c>
      <c r="S2" s="69">
        <v>3.3809523809523809</v>
      </c>
      <c r="T2" s="69">
        <v>3.5476190476190474</v>
      </c>
      <c r="U2" s="69">
        <v>3.7142857142857144</v>
      </c>
      <c r="V2" s="69">
        <v>2</v>
      </c>
      <c r="W2" s="69">
        <v>2</v>
      </c>
      <c r="X2" s="69">
        <v>2</v>
      </c>
      <c r="Y2" s="69">
        <v>2</v>
      </c>
      <c r="Z2" s="69">
        <v>2</v>
      </c>
      <c r="AA2" s="69">
        <v>2</v>
      </c>
      <c r="AB2" s="69">
        <v>2</v>
      </c>
      <c r="AC2" s="69">
        <v>2</v>
      </c>
      <c r="AD2" s="69">
        <v>2</v>
      </c>
      <c r="AE2" s="69">
        <v>2</v>
      </c>
      <c r="AF2" s="69">
        <v>2</v>
      </c>
      <c r="AG2" s="69">
        <v>2</v>
      </c>
      <c r="AH2" s="69">
        <v>2</v>
      </c>
      <c r="AI2" s="69">
        <v>2</v>
      </c>
      <c r="AJ2" s="69">
        <v>2</v>
      </c>
      <c r="AK2" s="69">
        <v>2</v>
      </c>
      <c r="AL2" s="69">
        <v>2</v>
      </c>
      <c r="AM2" s="69">
        <v>2</v>
      </c>
      <c r="AN2" s="69">
        <v>2</v>
      </c>
    </row>
    <row r="3" spans="1:40" x14ac:dyDescent="0.25">
      <c r="A3" s="65"/>
      <c r="B3" s="55"/>
      <c r="C3" s="55"/>
      <c r="D3" s="55" t="s">
        <v>62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_xlpm.months_since,DATEDIF(_xlpm.launchdate,_xlfn.ANCHORARRAY($E$25),"m"),_xlfn.BYCOL(_xlpm.months_since,_xlfn.LAMBDA(_xlpm.a,IFERROR(MIN(_xlpm.a/6,_xlpm.max_kiddos),0))))</f>
        <v>0</v>
      </c>
      <c r="F3" s="69">
        <v>0</v>
      </c>
      <c r="G3" s="69">
        <v>0</v>
      </c>
      <c r="H3" s="69">
        <v>0</v>
      </c>
      <c r="I3" s="69">
        <v>0</v>
      </c>
      <c r="J3" s="69">
        <v>0.16666666666666666</v>
      </c>
      <c r="K3" s="69">
        <v>0.33333333333333331</v>
      </c>
      <c r="L3" s="69">
        <v>0.5</v>
      </c>
      <c r="M3" s="69">
        <v>0.66666666666666663</v>
      </c>
      <c r="N3" s="69">
        <v>0.83333333333333337</v>
      </c>
      <c r="O3" s="69">
        <v>1</v>
      </c>
      <c r="P3" s="69">
        <v>1.1666666666666667</v>
      </c>
      <c r="Q3" s="69">
        <v>1.3333333333333333</v>
      </c>
      <c r="R3" s="69">
        <v>1.5</v>
      </c>
      <c r="S3" s="69">
        <v>1.6666666666666667</v>
      </c>
      <c r="T3" s="69">
        <v>1.8333333333333333</v>
      </c>
      <c r="U3" s="69">
        <v>2</v>
      </c>
      <c r="V3" s="69">
        <v>2</v>
      </c>
      <c r="W3" s="69">
        <v>2</v>
      </c>
      <c r="X3" s="69">
        <v>2</v>
      </c>
      <c r="Y3" s="69">
        <v>2</v>
      </c>
      <c r="Z3" s="69">
        <v>2</v>
      </c>
      <c r="AA3" s="69">
        <v>2</v>
      </c>
      <c r="AB3" s="69">
        <v>2</v>
      </c>
      <c r="AC3" s="69">
        <v>2</v>
      </c>
      <c r="AD3" s="69">
        <v>2</v>
      </c>
      <c r="AE3" s="69">
        <v>2</v>
      </c>
      <c r="AF3" s="69">
        <v>2</v>
      </c>
      <c r="AG3" s="69">
        <v>2</v>
      </c>
      <c r="AH3" s="69">
        <v>2</v>
      </c>
      <c r="AI3" s="69">
        <v>2</v>
      </c>
      <c r="AJ3" s="69">
        <v>2</v>
      </c>
      <c r="AK3" s="69">
        <v>2</v>
      </c>
      <c r="AL3" s="69">
        <v>2</v>
      </c>
      <c r="AM3" s="69">
        <v>2</v>
      </c>
      <c r="AN3" s="69">
        <v>2</v>
      </c>
    </row>
    <row r="4" spans="1:40" x14ac:dyDescent="0.25">
      <c r="A4" s="65"/>
      <c r="B4" s="55"/>
      <c r="C4" s="55"/>
      <c r="D4" s="55" t="s">
        <v>260</v>
      </c>
      <c r="E4" s="69" cm="1">
        <f t="array" ref="E4:AN4">_xlfn.BYCOL(_xlfn.VSTACK(_xlfn.ANCHORARRAY($E$1),_xlfn.ANCHORARRAY($E$2)),_xlfn.LAMBDA(_xlpm.a,SUM(_xlpm.a)))</f>
        <v>0</v>
      </c>
      <c r="F4" s="69">
        <v>0</v>
      </c>
      <c r="G4" s="69">
        <v>0</v>
      </c>
      <c r="H4" s="69">
        <v>0</v>
      </c>
      <c r="I4" s="69">
        <v>1</v>
      </c>
      <c r="J4" s="69">
        <v>4.8809523809523814</v>
      </c>
      <c r="K4" s="69">
        <v>7.0476190476190474</v>
      </c>
      <c r="L4" s="69">
        <v>8.2142857142857153</v>
      </c>
      <c r="M4" s="69">
        <v>10.380952380952381</v>
      </c>
      <c r="N4" s="69">
        <v>12.547619047619047</v>
      </c>
      <c r="O4" s="69">
        <v>14.714285714285715</v>
      </c>
      <c r="P4" s="69">
        <v>15.880952380952381</v>
      </c>
      <c r="Q4" s="69">
        <v>18.047619047619047</v>
      </c>
      <c r="R4" s="69">
        <v>20.214285714285715</v>
      </c>
      <c r="S4" s="69">
        <v>21.38095238095238</v>
      </c>
      <c r="T4" s="69">
        <v>23.547619047619047</v>
      </c>
      <c r="U4" s="69">
        <v>25.714285714285715</v>
      </c>
      <c r="V4" s="69">
        <v>26</v>
      </c>
      <c r="W4" s="69">
        <v>26</v>
      </c>
      <c r="X4" s="69">
        <v>26</v>
      </c>
      <c r="Y4" s="69">
        <v>26</v>
      </c>
      <c r="Z4" s="69">
        <v>26</v>
      </c>
      <c r="AA4" s="69">
        <v>26</v>
      </c>
      <c r="AB4" s="69">
        <v>26</v>
      </c>
      <c r="AC4" s="69">
        <v>26</v>
      </c>
      <c r="AD4" s="69">
        <v>26</v>
      </c>
      <c r="AE4" s="69">
        <v>26</v>
      </c>
      <c r="AF4" s="69">
        <v>26</v>
      </c>
      <c r="AG4" s="69">
        <v>26</v>
      </c>
      <c r="AH4" s="69">
        <v>26</v>
      </c>
      <c r="AI4" s="69">
        <v>26</v>
      </c>
      <c r="AJ4" s="69">
        <v>26</v>
      </c>
      <c r="AK4" s="69">
        <v>26</v>
      </c>
      <c r="AL4" s="69">
        <v>26</v>
      </c>
      <c r="AM4" s="69">
        <v>26</v>
      </c>
      <c r="AN4" s="69">
        <v>26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107</v>
      </c>
      <c r="C6" s="3"/>
      <c r="D6" s="3"/>
      <c r="E6" s="66" cm="1">
        <f t="array" ref="E6:AN6">ROUND(_xlfn.BYCOL(_xlfn.ANCHORARRAY(E7),_xlfn.LAMBDA(_xlpm.a,SUM(_xlpm.a))),0)</f>
        <v>0</v>
      </c>
      <c r="F6" s="66">
        <v>0</v>
      </c>
      <c r="G6" s="66">
        <v>0</v>
      </c>
      <c r="H6" s="66">
        <v>0</v>
      </c>
      <c r="I6" s="66">
        <v>2</v>
      </c>
      <c r="J6" s="66">
        <v>4</v>
      </c>
      <c r="K6" s="66">
        <v>5</v>
      </c>
      <c r="L6" s="66">
        <v>6</v>
      </c>
      <c r="M6" s="66">
        <v>7</v>
      </c>
      <c r="N6" s="66">
        <v>8</v>
      </c>
      <c r="O6" s="66">
        <v>9</v>
      </c>
      <c r="P6" s="66">
        <v>10</v>
      </c>
      <c r="Q6" s="66">
        <v>11</v>
      </c>
      <c r="R6" s="66">
        <v>12</v>
      </c>
      <c r="S6" s="66">
        <v>13</v>
      </c>
      <c r="T6" s="66">
        <v>14</v>
      </c>
      <c r="U6" s="66">
        <v>15</v>
      </c>
      <c r="V6" s="66">
        <v>16</v>
      </c>
      <c r="W6" s="66">
        <v>16</v>
      </c>
      <c r="X6" s="66">
        <v>16</v>
      </c>
      <c r="Y6" s="66">
        <v>16</v>
      </c>
      <c r="Z6" s="66">
        <v>16</v>
      </c>
      <c r="AA6" s="66">
        <v>16</v>
      </c>
      <c r="AB6" s="66">
        <v>16</v>
      </c>
      <c r="AC6" s="66">
        <v>16</v>
      </c>
      <c r="AD6" s="66">
        <v>16</v>
      </c>
      <c r="AE6" s="66">
        <v>16</v>
      </c>
      <c r="AF6" s="66">
        <v>16</v>
      </c>
      <c r="AG6" s="66">
        <v>16</v>
      </c>
      <c r="AH6" s="66">
        <v>16</v>
      </c>
      <c r="AI6" s="66">
        <v>16</v>
      </c>
      <c r="AJ6" s="66">
        <v>16</v>
      </c>
      <c r="AK6" s="66">
        <v>16</v>
      </c>
      <c r="AL6" s="66">
        <v>16</v>
      </c>
      <c r="AM6" s="66">
        <v>16</v>
      </c>
      <c r="AN6" s="66">
        <v>16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1"/>
      <c r="E7" s="106" cm="1">
        <f t="array" ref="E7:AN20">_xlfn.LET(_xlpm.Customer_staff,_xlfn._xlws.FILTER(Base!$D$85:$BD$98,ISNUMBER(SEARCH($B$1&amp;"-"&amp;$C$1,Base!$D$4:$BD$4))),_xlpm.Customer,_xlfn.ANCHORARRAY($E$1),_xlpm.headcount,_xlpm.Customer/_xlpm.Customer_staff,
_xlpm.patient_staff,_xlfn.ANCHORARRAY($E$2)/_xlpm.Customer_staff,_xlpm.prim_staff_tr_rec,_xlfn.ANCHORARRAY($E$2)/_xlfn.CHOOSEROWS(_xlpm.Customer_staff,{7,8})+(_xlfn.ANCHORARRAY($E$1)*0.0055),_xlpm.rounding,_xlfn.VSTACK(2,2,0,0,2,2,2,2,2,2,2,0,0,0),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prim_staff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0</v>
      </c>
      <c r="F7" s="106">
        <v>0</v>
      </c>
      <c r="G7" s="106">
        <v>0</v>
      </c>
      <c r="H7" s="106">
        <v>0</v>
      </c>
      <c r="I7" s="106">
        <v>0.46</v>
      </c>
      <c r="J7" s="106">
        <v>1.36</v>
      </c>
      <c r="K7" s="106">
        <v>2.2599999999999998</v>
      </c>
      <c r="L7" s="106">
        <v>2.71</v>
      </c>
      <c r="M7" s="106">
        <v>3.61</v>
      </c>
      <c r="N7" s="106">
        <v>4.51</v>
      </c>
      <c r="O7" s="106">
        <v>5.42</v>
      </c>
      <c r="P7" s="106">
        <v>5.87</v>
      </c>
      <c r="Q7" s="106">
        <v>6.77</v>
      </c>
      <c r="R7" s="106">
        <v>7.67</v>
      </c>
      <c r="S7" s="106">
        <v>8.1199999999999992</v>
      </c>
      <c r="T7" s="106">
        <v>9.02</v>
      </c>
      <c r="U7" s="106">
        <v>9.93</v>
      </c>
      <c r="V7" s="106">
        <v>10.83</v>
      </c>
      <c r="W7" s="106">
        <v>10.83</v>
      </c>
      <c r="X7" s="106">
        <v>10.83</v>
      </c>
      <c r="Y7" s="106">
        <v>10.83</v>
      </c>
      <c r="Z7" s="106">
        <v>10.83</v>
      </c>
      <c r="AA7" s="106">
        <v>10.83</v>
      </c>
      <c r="AB7" s="106">
        <v>10.83</v>
      </c>
      <c r="AC7" s="106">
        <v>10.83</v>
      </c>
      <c r="AD7" s="106">
        <v>10.83</v>
      </c>
      <c r="AE7" s="106">
        <v>10.83</v>
      </c>
      <c r="AF7" s="106">
        <v>10.83</v>
      </c>
      <c r="AG7" s="106">
        <v>10.83</v>
      </c>
      <c r="AH7" s="106">
        <v>10.83</v>
      </c>
      <c r="AI7" s="106">
        <v>10.83</v>
      </c>
      <c r="AJ7" s="106">
        <v>10.83</v>
      </c>
      <c r="AK7" s="106">
        <v>10.83</v>
      </c>
      <c r="AL7" s="106">
        <v>10.83</v>
      </c>
      <c r="AM7" s="106">
        <v>10.83</v>
      </c>
      <c r="AN7" s="106">
        <v>10.83</v>
      </c>
    </row>
    <row r="8" spans="1:40" hidden="1" outlineLevel="1" x14ac:dyDescent="0.25">
      <c r="B8" s="39" t="str">
        <v>Secondary Direct Staff</v>
      </c>
      <c r="C8" s="3"/>
      <c r="D8" s="3"/>
      <c r="E8" s="106">
        <v>0</v>
      </c>
      <c r="F8" s="106">
        <v>0</v>
      </c>
      <c r="G8" s="106">
        <v>0</v>
      </c>
      <c r="H8" s="106">
        <v>0</v>
      </c>
      <c r="I8" s="106">
        <v>9.9999999999999992E-2</v>
      </c>
      <c r="J8" s="106">
        <v>0.28000000000000003</v>
      </c>
      <c r="K8" s="106">
        <v>0.46</v>
      </c>
      <c r="L8" s="106">
        <v>0.55000000000000004</v>
      </c>
      <c r="M8" s="106">
        <v>0.73</v>
      </c>
      <c r="N8" s="106">
        <v>0.91</v>
      </c>
      <c r="O8" s="106">
        <v>1.1000000000000001</v>
      </c>
      <c r="P8" s="106">
        <v>1.19</v>
      </c>
      <c r="Q8" s="106">
        <v>1.37</v>
      </c>
      <c r="R8" s="106">
        <v>1.55</v>
      </c>
      <c r="S8" s="106">
        <v>1.64</v>
      </c>
      <c r="T8" s="106">
        <v>1.82</v>
      </c>
      <c r="U8" s="106">
        <v>2</v>
      </c>
      <c r="V8" s="106">
        <v>2.19</v>
      </c>
      <c r="W8" s="106">
        <v>2.19</v>
      </c>
      <c r="X8" s="106">
        <v>2.19</v>
      </c>
      <c r="Y8" s="106">
        <v>2.19</v>
      </c>
      <c r="Z8" s="106">
        <v>2.19</v>
      </c>
      <c r="AA8" s="106">
        <v>2.19</v>
      </c>
      <c r="AB8" s="106">
        <v>2.19</v>
      </c>
      <c r="AC8" s="106">
        <v>2.19</v>
      </c>
      <c r="AD8" s="106">
        <v>2.19</v>
      </c>
      <c r="AE8" s="106">
        <v>2.19</v>
      </c>
      <c r="AF8" s="106">
        <v>2.19</v>
      </c>
      <c r="AG8" s="106">
        <v>2.19</v>
      </c>
      <c r="AH8" s="106">
        <v>2.19</v>
      </c>
      <c r="AI8" s="106">
        <v>2.19</v>
      </c>
      <c r="AJ8" s="106">
        <v>2.19</v>
      </c>
      <c r="AK8" s="106">
        <v>2.19</v>
      </c>
      <c r="AL8" s="106">
        <v>2.19</v>
      </c>
      <c r="AM8" s="106">
        <v>2.19</v>
      </c>
      <c r="AN8" s="106">
        <v>2.19</v>
      </c>
    </row>
    <row r="9" spans="1:40" hidden="1" outlineLevel="1" x14ac:dyDescent="0.25">
      <c r="B9" s="39" t="str">
        <v>Center Manager</v>
      </c>
      <c r="C9" s="3"/>
      <c r="D9" s="3"/>
      <c r="E9" s="106">
        <v>0</v>
      </c>
      <c r="F9" s="106">
        <v>0</v>
      </c>
      <c r="G9" s="106">
        <v>0</v>
      </c>
      <c r="H9" s="106">
        <v>0</v>
      </c>
      <c r="I9" s="106">
        <v>1</v>
      </c>
      <c r="J9" s="106">
        <v>1</v>
      </c>
      <c r="K9" s="106">
        <v>1</v>
      </c>
      <c r="L9" s="106">
        <v>1</v>
      </c>
      <c r="M9" s="106">
        <v>1</v>
      </c>
      <c r="N9" s="106">
        <v>1</v>
      </c>
      <c r="O9" s="106">
        <v>1</v>
      </c>
      <c r="P9" s="106">
        <v>1</v>
      </c>
      <c r="Q9" s="106">
        <v>1</v>
      </c>
      <c r="R9" s="106">
        <v>1</v>
      </c>
      <c r="S9" s="106">
        <v>1</v>
      </c>
      <c r="T9" s="106">
        <v>1</v>
      </c>
      <c r="U9" s="106">
        <v>1</v>
      </c>
      <c r="V9" s="106">
        <v>1</v>
      </c>
      <c r="W9" s="106">
        <v>1</v>
      </c>
      <c r="X9" s="106">
        <v>1</v>
      </c>
      <c r="Y9" s="106">
        <v>1</v>
      </c>
      <c r="Z9" s="106">
        <v>1</v>
      </c>
      <c r="AA9" s="106">
        <v>1</v>
      </c>
      <c r="AB9" s="106">
        <v>1</v>
      </c>
      <c r="AC9" s="106">
        <v>1</v>
      </c>
      <c r="AD9" s="106">
        <v>1</v>
      </c>
      <c r="AE9" s="106">
        <v>1</v>
      </c>
      <c r="AF9" s="106">
        <v>1</v>
      </c>
      <c r="AG9" s="106">
        <v>1</v>
      </c>
      <c r="AH9" s="106">
        <v>1</v>
      </c>
      <c r="AI9" s="106">
        <v>1</v>
      </c>
      <c r="AJ9" s="106">
        <v>1</v>
      </c>
      <c r="AK9" s="106">
        <v>1</v>
      </c>
      <c r="AL9" s="106">
        <v>1</v>
      </c>
      <c r="AM9" s="106">
        <v>1</v>
      </c>
      <c r="AN9" s="106">
        <v>1</v>
      </c>
    </row>
    <row r="10" spans="1:40" hidden="1" outlineLevel="1" x14ac:dyDescent="0.25">
      <c r="B10" s="39" t="str">
        <v>Intake</v>
      </c>
      <c r="C10" s="3"/>
      <c r="D10" s="3"/>
      <c r="E10" s="106">
        <v>0</v>
      </c>
      <c r="F10" s="106">
        <v>0</v>
      </c>
      <c r="G10" s="106">
        <v>0</v>
      </c>
      <c r="H10" s="106">
        <v>0</v>
      </c>
      <c r="I10" s="106">
        <v>0</v>
      </c>
      <c r="J10" s="106">
        <v>1</v>
      </c>
      <c r="K10" s="106">
        <v>1</v>
      </c>
      <c r="L10" s="106">
        <v>1</v>
      </c>
      <c r="M10" s="106">
        <v>1</v>
      </c>
      <c r="N10" s="106">
        <v>1</v>
      </c>
      <c r="O10" s="106">
        <v>1</v>
      </c>
      <c r="P10" s="106">
        <v>1</v>
      </c>
      <c r="Q10" s="106">
        <v>1</v>
      </c>
      <c r="R10" s="106">
        <v>1</v>
      </c>
      <c r="S10" s="106">
        <v>1</v>
      </c>
      <c r="T10" s="106">
        <v>1</v>
      </c>
      <c r="U10" s="106">
        <v>1</v>
      </c>
      <c r="V10" s="106">
        <v>1</v>
      </c>
      <c r="W10" s="106">
        <v>1</v>
      </c>
      <c r="X10" s="106">
        <v>1</v>
      </c>
      <c r="Y10" s="106">
        <v>1</v>
      </c>
      <c r="Z10" s="106">
        <v>1</v>
      </c>
      <c r="AA10" s="106">
        <v>1</v>
      </c>
      <c r="AB10" s="106">
        <v>1</v>
      </c>
      <c r="AC10" s="106">
        <v>1</v>
      </c>
      <c r="AD10" s="106">
        <v>1</v>
      </c>
      <c r="AE10" s="106">
        <v>1</v>
      </c>
      <c r="AF10" s="106">
        <v>1</v>
      </c>
      <c r="AG10" s="106">
        <v>1</v>
      </c>
      <c r="AH10" s="106">
        <v>1</v>
      </c>
      <c r="AI10" s="106">
        <v>1</v>
      </c>
      <c r="AJ10" s="106">
        <v>1</v>
      </c>
      <c r="AK10" s="106">
        <v>1</v>
      </c>
      <c r="AL10" s="106">
        <v>1</v>
      </c>
      <c r="AM10" s="106">
        <v>1</v>
      </c>
      <c r="AN10" s="106">
        <v>1</v>
      </c>
    </row>
    <row r="11" spans="1:40" hidden="1" outlineLevel="1" x14ac:dyDescent="0.25">
      <c r="B11" s="39" t="str">
        <v>Scheduler</v>
      </c>
      <c r="C11" s="3"/>
      <c r="D11" s="3"/>
      <c r="E11" s="106">
        <v>0</v>
      </c>
      <c r="F11" s="106">
        <v>0</v>
      </c>
      <c r="G11" s="106">
        <v>0</v>
      </c>
      <c r="H11" s="106">
        <v>0</v>
      </c>
      <c r="I11" s="106">
        <v>0</v>
      </c>
      <c r="J11" s="106">
        <v>0</v>
      </c>
      <c r="K11" s="106">
        <v>0</v>
      </c>
      <c r="L11" s="106">
        <v>0</v>
      </c>
      <c r="M11" s="106">
        <v>0</v>
      </c>
      <c r="N11" s="106">
        <v>0</v>
      </c>
      <c r="O11" s="106">
        <v>0</v>
      </c>
      <c r="P11" s="106">
        <v>0</v>
      </c>
      <c r="Q11" s="106">
        <v>0</v>
      </c>
      <c r="R11" s="106">
        <v>0</v>
      </c>
      <c r="S11" s="106">
        <v>0</v>
      </c>
      <c r="T11" s="106">
        <v>0</v>
      </c>
      <c r="U11" s="106">
        <v>0</v>
      </c>
      <c r="V11" s="106">
        <v>0</v>
      </c>
      <c r="W11" s="106">
        <v>0</v>
      </c>
      <c r="X11" s="106">
        <v>0</v>
      </c>
      <c r="Y11" s="106">
        <v>0</v>
      </c>
      <c r="Z11" s="106">
        <v>0</v>
      </c>
      <c r="AA11" s="106">
        <v>0</v>
      </c>
      <c r="AB11" s="106">
        <v>0</v>
      </c>
      <c r="AC11" s="106">
        <v>0</v>
      </c>
      <c r="AD11" s="106">
        <v>0</v>
      </c>
      <c r="AE11" s="106">
        <v>0</v>
      </c>
      <c r="AF11" s="106">
        <v>0</v>
      </c>
      <c r="AG11" s="106">
        <v>0</v>
      </c>
      <c r="AH11" s="106">
        <v>0</v>
      </c>
      <c r="AI11" s="106">
        <v>0</v>
      </c>
      <c r="AJ11" s="106">
        <v>0</v>
      </c>
      <c r="AK11" s="106">
        <v>0</v>
      </c>
      <c r="AL11" s="106">
        <v>0</v>
      </c>
      <c r="AM11" s="106">
        <v>0</v>
      </c>
      <c r="AN11" s="106">
        <v>0</v>
      </c>
    </row>
    <row r="12" spans="1:40" hidden="1" outlineLevel="1" x14ac:dyDescent="0.25">
      <c r="B12" s="39" t="str">
        <v>Initial Consultation Expert</v>
      </c>
      <c r="C12" s="3"/>
      <c r="D12" s="3"/>
      <c r="E12" s="106">
        <v>0</v>
      </c>
      <c r="F12" s="106">
        <v>0</v>
      </c>
      <c r="G12" s="106">
        <v>0</v>
      </c>
      <c r="H12" s="106">
        <v>0</v>
      </c>
      <c r="I12" s="106">
        <v>0</v>
      </c>
      <c r="J12" s="106">
        <v>0.15000000000000002</v>
      </c>
      <c r="K12" s="106">
        <v>0.16</v>
      </c>
      <c r="L12" s="106">
        <v>0.18000000000000002</v>
      </c>
      <c r="M12" s="106">
        <v>0.19</v>
      </c>
      <c r="N12" s="106">
        <v>0.2</v>
      </c>
      <c r="O12" s="106">
        <v>0.21000000000000002</v>
      </c>
      <c r="P12" s="106">
        <v>0.23</v>
      </c>
      <c r="Q12" s="106">
        <v>0.24000000000000002</v>
      </c>
      <c r="R12" s="106">
        <v>0.25</v>
      </c>
      <c r="S12" s="106">
        <v>0.27</v>
      </c>
      <c r="T12" s="106">
        <v>0.28000000000000003</v>
      </c>
      <c r="U12" s="106">
        <v>0.29000000000000004</v>
      </c>
      <c r="V12" s="106">
        <v>0.16</v>
      </c>
      <c r="W12" s="106">
        <v>0.16</v>
      </c>
      <c r="X12" s="106">
        <v>0.16</v>
      </c>
      <c r="Y12" s="106">
        <v>0.16</v>
      </c>
      <c r="Z12" s="106">
        <v>0.16</v>
      </c>
      <c r="AA12" s="106">
        <v>0.16</v>
      </c>
      <c r="AB12" s="106">
        <v>0.16</v>
      </c>
      <c r="AC12" s="106">
        <v>0.16</v>
      </c>
      <c r="AD12" s="106">
        <v>0.16</v>
      </c>
      <c r="AE12" s="106">
        <v>0.16</v>
      </c>
      <c r="AF12" s="106">
        <v>0.16</v>
      </c>
      <c r="AG12" s="106">
        <v>0.16</v>
      </c>
      <c r="AH12" s="106">
        <v>0.16</v>
      </c>
      <c r="AI12" s="106">
        <v>0.16</v>
      </c>
      <c r="AJ12" s="106">
        <v>0.16</v>
      </c>
      <c r="AK12" s="106">
        <v>0.16</v>
      </c>
      <c r="AL12" s="106">
        <v>0.16</v>
      </c>
      <c r="AM12" s="106">
        <v>0.16</v>
      </c>
      <c r="AN12" s="106">
        <v>0.16</v>
      </c>
    </row>
    <row r="13" spans="1:40" hidden="1" outlineLevel="1" x14ac:dyDescent="0.25">
      <c r="B13" s="39" t="str">
        <v>Trainer</v>
      </c>
      <c r="C13" s="3"/>
      <c r="D13" s="3"/>
      <c r="E13" s="106">
        <v>0</v>
      </c>
      <c r="F13" s="106">
        <v>0</v>
      </c>
      <c r="G13" s="106">
        <v>0</v>
      </c>
      <c r="H13" s="106">
        <v>0</v>
      </c>
      <c r="I13" s="106">
        <v>0.01</v>
      </c>
      <c r="J13" s="106">
        <v>0.21000000000000002</v>
      </c>
      <c r="K13" s="106">
        <v>0.24000000000000002</v>
      </c>
      <c r="L13" s="106">
        <v>0.26</v>
      </c>
      <c r="M13" s="106">
        <v>0.29000000000000004</v>
      </c>
      <c r="N13" s="106">
        <v>0.31</v>
      </c>
      <c r="O13" s="106">
        <v>0.34</v>
      </c>
      <c r="P13" s="106">
        <v>0.36</v>
      </c>
      <c r="Q13" s="106">
        <v>0.39</v>
      </c>
      <c r="R13" s="106">
        <v>0.42</v>
      </c>
      <c r="S13" s="106">
        <v>0.44</v>
      </c>
      <c r="T13" s="106">
        <v>0.47000000000000003</v>
      </c>
      <c r="U13" s="106">
        <v>0.5</v>
      </c>
      <c r="V13" s="106">
        <v>0.34</v>
      </c>
      <c r="W13" s="106">
        <v>0.34</v>
      </c>
      <c r="X13" s="106">
        <v>0.34</v>
      </c>
      <c r="Y13" s="106">
        <v>0.34</v>
      </c>
      <c r="Z13" s="106">
        <v>0.34</v>
      </c>
      <c r="AA13" s="106">
        <v>0.34</v>
      </c>
      <c r="AB13" s="106">
        <v>0.34</v>
      </c>
      <c r="AC13" s="106">
        <v>0.34</v>
      </c>
      <c r="AD13" s="106">
        <v>0.34</v>
      </c>
      <c r="AE13" s="106">
        <v>0.34</v>
      </c>
      <c r="AF13" s="106">
        <v>0.34</v>
      </c>
      <c r="AG13" s="106">
        <v>0.34</v>
      </c>
      <c r="AH13" s="106">
        <v>0.34</v>
      </c>
      <c r="AI13" s="106">
        <v>0.34</v>
      </c>
      <c r="AJ13" s="106">
        <v>0.34</v>
      </c>
      <c r="AK13" s="106">
        <v>0.34</v>
      </c>
      <c r="AL13" s="106">
        <v>0.34</v>
      </c>
      <c r="AM13" s="106">
        <v>0.34</v>
      </c>
      <c r="AN13" s="106">
        <v>0.34</v>
      </c>
    </row>
    <row r="14" spans="1:40" hidden="1" outlineLevel="1" x14ac:dyDescent="0.25">
      <c r="B14" s="39" t="str">
        <v>Recruiter</v>
      </c>
      <c r="C14" s="3"/>
      <c r="D14" s="3"/>
      <c r="E14" s="106">
        <v>0</v>
      </c>
      <c r="F14" s="106">
        <v>0</v>
      </c>
      <c r="G14" s="106">
        <v>0</v>
      </c>
      <c r="H14" s="106">
        <v>0</v>
      </c>
      <c r="I14" s="106">
        <v>0.01</v>
      </c>
      <c r="J14" s="106">
        <v>0.12</v>
      </c>
      <c r="K14" s="106">
        <v>0.13</v>
      </c>
      <c r="L14" s="106">
        <v>0.15000000000000002</v>
      </c>
      <c r="M14" s="106">
        <v>0.17</v>
      </c>
      <c r="N14" s="106">
        <v>0.19</v>
      </c>
      <c r="O14" s="106">
        <v>0.21000000000000002</v>
      </c>
      <c r="P14" s="106">
        <v>0.22</v>
      </c>
      <c r="Q14" s="106">
        <v>0.24000000000000002</v>
      </c>
      <c r="R14" s="106">
        <v>0.26</v>
      </c>
      <c r="S14" s="106">
        <v>0.27</v>
      </c>
      <c r="T14" s="106">
        <v>0.29000000000000004</v>
      </c>
      <c r="U14" s="106">
        <v>0.31</v>
      </c>
      <c r="V14" s="106">
        <v>0.24000000000000002</v>
      </c>
      <c r="W14" s="106">
        <v>0.24000000000000002</v>
      </c>
      <c r="X14" s="106">
        <v>0.24000000000000002</v>
      </c>
      <c r="Y14" s="106">
        <v>0.24000000000000002</v>
      </c>
      <c r="Z14" s="106">
        <v>0.24000000000000002</v>
      </c>
      <c r="AA14" s="106">
        <v>0.24000000000000002</v>
      </c>
      <c r="AB14" s="106">
        <v>0.24000000000000002</v>
      </c>
      <c r="AC14" s="106">
        <v>0.24000000000000002</v>
      </c>
      <c r="AD14" s="106">
        <v>0.24000000000000002</v>
      </c>
      <c r="AE14" s="106">
        <v>0.24000000000000002</v>
      </c>
      <c r="AF14" s="106">
        <v>0.24000000000000002</v>
      </c>
      <c r="AG14" s="106">
        <v>0.24000000000000002</v>
      </c>
      <c r="AH14" s="106">
        <v>0.24000000000000002</v>
      </c>
      <c r="AI14" s="106">
        <v>0.24000000000000002</v>
      </c>
      <c r="AJ14" s="106">
        <v>0.24000000000000002</v>
      </c>
      <c r="AK14" s="106">
        <v>0.24000000000000002</v>
      </c>
      <c r="AL14" s="106">
        <v>0.24000000000000002</v>
      </c>
      <c r="AM14" s="106">
        <v>0.24000000000000002</v>
      </c>
      <c r="AN14" s="106">
        <v>0.24000000000000002</v>
      </c>
    </row>
    <row r="15" spans="1:40" hidden="1" outlineLevel="1" x14ac:dyDescent="0.25">
      <c r="B15" s="39" t="str">
        <v>Center Director / Remote Site Director</v>
      </c>
      <c r="C15" s="3"/>
      <c r="D15" s="3"/>
      <c r="E15" s="106">
        <v>0</v>
      </c>
      <c r="F15" s="106">
        <v>0</v>
      </c>
      <c r="G15" s="106">
        <v>0</v>
      </c>
      <c r="H15" s="106">
        <v>0</v>
      </c>
      <c r="I15" s="106">
        <v>0.01</v>
      </c>
      <c r="J15" s="106">
        <v>0.02</v>
      </c>
      <c r="K15" s="106">
        <v>0.02</v>
      </c>
      <c r="L15" s="106">
        <v>0.03</v>
      </c>
      <c r="M15" s="106">
        <v>0.04</v>
      </c>
      <c r="N15" s="106">
        <v>0.04</v>
      </c>
      <c r="O15" s="106">
        <v>0.05</v>
      </c>
      <c r="P15" s="106">
        <v>6.0000000000000005E-2</v>
      </c>
      <c r="Q15" s="106">
        <v>0.06</v>
      </c>
      <c r="R15" s="106">
        <v>6.9999999999999993E-2</v>
      </c>
      <c r="S15" s="106">
        <v>0.08</v>
      </c>
      <c r="T15" s="106">
        <v>0.08</v>
      </c>
      <c r="U15" s="106">
        <v>0.09</v>
      </c>
      <c r="V15" s="106">
        <v>9.9999999999999992E-2</v>
      </c>
      <c r="W15" s="106">
        <v>9.9999999999999992E-2</v>
      </c>
      <c r="X15" s="106">
        <v>9.9999999999999992E-2</v>
      </c>
      <c r="Y15" s="106">
        <v>9.9999999999999992E-2</v>
      </c>
      <c r="Z15" s="106">
        <v>9.9999999999999992E-2</v>
      </c>
      <c r="AA15" s="106">
        <v>9.9999999999999992E-2</v>
      </c>
      <c r="AB15" s="106">
        <v>9.9999999999999992E-2</v>
      </c>
      <c r="AC15" s="106">
        <v>9.9999999999999992E-2</v>
      </c>
      <c r="AD15" s="106">
        <v>9.9999999999999992E-2</v>
      </c>
      <c r="AE15" s="106">
        <v>9.9999999999999992E-2</v>
      </c>
      <c r="AF15" s="106">
        <v>9.9999999999999992E-2</v>
      </c>
      <c r="AG15" s="106">
        <v>9.9999999999999992E-2</v>
      </c>
      <c r="AH15" s="106">
        <v>9.9999999999999992E-2</v>
      </c>
      <c r="AI15" s="106">
        <v>9.9999999999999992E-2</v>
      </c>
      <c r="AJ15" s="106">
        <v>9.9999999999999992E-2</v>
      </c>
      <c r="AK15" s="106">
        <v>9.9999999999999992E-2</v>
      </c>
      <c r="AL15" s="106">
        <v>9.9999999999999992E-2</v>
      </c>
      <c r="AM15" s="106">
        <v>9.9999999999999992E-2</v>
      </c>
      <c r="AN15" s="106">
        <v>9.9999999999999992E-2</v>
      </c>
    </row>
    <row r="16" spans="1:40" hidden="1" outlineLevel="1" x14ac:dyDescent="0.25">
      <c r="B16" s="39" t="str">
        <v>Center Marketing Outreach</v>
      </c>
      <c r="C16" s="3"/>
      <c r="D16" s="3"/>
      <c r="E16" s="106">
        <v>0</v>
      </c>
      <c r="F16" s="106">
        <v>0</v>
      </c>
      <c r="G16" s="106">
        <v>0</v>
      </c>
      <c r="H16" s="106">
        <v>0</v>
      </c>
      <c r="I16" s="106">
        <v>0.01</v>
      </c>
      <c r="J16" s="106">
        <v>0.02</v>
      </c>
      <c r="K16" s="106">
        <v>0.02</v>
      </c>
      <c r="L16" s="106">
        <v>0.03</v>
      </c>
      <c r="M16" s="106">
        <v>0.04</v>
      </c>
      <c r="N16" s="106">
        <v>0.04</v>
      </c>
      <c r="O16" s="106">
        <v>0.05</v>
      </c>
      <c r="P16" s="106">
        <v>6.0000000000000005E-2</v>
      </c>
      <c r="Q16" s="106">
        <v>0.06</v>
      </c>
      <c r="R16" s="106">
        <v>6.9999999999999993E-2</v>
      </c>
      <c r="S16" s="106">
        <v>0.08</v>
      </c>
      <c r="T16" s="106">
        <v>0.08</v>
      </c>
      <c r="U16" s="106">
        <v>0.09</v>
      </c>
      <c r="V16" s="106">
        <v>9.9999999999999992E-2</v>
      </c>
      <c r="W16" s="106">
        <v>9.9999999999999992E-2</v>
      </c>
      <c r="X16" s="106">
        <v>9.9999999999999992E-2</v>
      </c>
      <c r="Y16" s="106">
        <v>9.9999999999999992E-2</v>
      </c>
      <c r="Z16" s="106">
        <v>9.9999999999999992E-2</v>
      </c>
      <c r="AA16" s="106">
        <v>9.9999999999999992E-2</v>
      </c>
      <c r="AB16" s="106">
        <v>9.9999999999999992E-2</v>
      </c>
      <c r="AC16" s="106">
        <v>9.9999999999999992E-2</v>
      </c>
      <c r="AD16" s="106">
        <v>9.9999999999999992E-2</v>
      </c>
      <c r="AE16" s="106">
        <v>9.9999999999999992E-2</v>
      </c>
      <c r="AF16" s="106">
        <v>9.9999999999999992E-2</v>
      </c>
      <c r="AG16" s="106">
        <v>9.9999999999999992E-2</v>
      </c>
      <c r="AH16" s="106">
        <v>9.9999999999999992E-2</v>
      </c>
      <c r="AI16" s="106">
        <v>9.9999999999999992E-2</v>
      </c>
      <c r="AJ16" s="106">
        <v>9.9999999999999992E-2</v>
      </c>
      <c r="AK16" s="106">
        <v>9.9999999999999992E-2</v>
      </c>
      <c r="AL16" s="106">
        <v>9.9999999999999992E-2</v>
      </c>
      <c r="AM16" s="106">
        <v>9.9999999999999992E-2</v>
      </c>
      <c r="AN16" s="106">
        <v>9.9999999999999992E-2</v>
      </c>
    </row>
    <row r="17" spans="2:50" hidden="1" outlineLevel="1" x14ac:dyDescent="0.25">
      <c r="B17" s="39" t="str">
        <v>Primary Direct Staff Lead</v>
      </c>
      <c r="C17" s="3"/>
      <c r="D17" s="3"/>
      <c r="E17" s="106">
        <v>0</v>
      </c>
      <c r="F17" s="106">
        <v>0</v>
      </c>
      <c r="G17" s="106">
        <v>0</v>
      </c>
      <c r="H17" s="106">
        <v>0</v>
      </c>
      <c r="I17" s="106">
        <v>0</v>
      </c>
      <c r="J17" s="106">
        <v>0</v>
      </c>
      <c r="K17" s="106">
        <v>0</v>
      </c>
      <c r="L17" s="106">
        <v>0</v>
      </c>
      <c r="M17" s="106">
        <v>0</v>
      </c>
      <c r="N17" s="106">
        <v>0</v>
      </c>
      <c r="O17" s="106">
        <v>0</v>
      </c>
      <c r="P17" s="106">
        <v>0</v>
      </c>
      <c r="Q17" s="106">
        <v>0</v>
      </c>
      <c r="R17" s="106">
        <v>0</v>
      </c>
      <c r="S17" s="106">
        <v>0</v>
      </c>
      <c r="T17" s="106">
        <v>0</v>
      </c>
      <c r="U17" s="106">
        <v>0</v>
      </c>
      <c r="V17" s="106">
        <v>0</v>
      </c>
      <c r="W17" s="106">
        <v>0</v>
      </c>
      <c r="X17" s="106">
        <v>0</v>
      </c>
      <c r="Y17" s="106">
        <v>0</v>
      </c>
      <c r="Z17" s="106">
        <v>0</v>
      </c>
      <c r="AA17" s="106">
        <v>0</v>
      </c>
      <c r="AB17" s="106">
        <v>0</v>
      </c>
      <c r="AC17" s="106">
        <v>0</v>
      </c>
      <c r="AD17" s="106">
        <v>0</v>
      </c>
      <c r="AE17" s="106">
        <v>0</v>
      </c>
      <c r="AF17" s="106">
        <v>0</v>
      </c>
      <c r="AG17" s="106">
        <v>0</v>
      </c>
      <c r="AH17" s="106">
        <v>0</v>
      </c>
      <c r="AI17" s="106">
        <v>0</v>
      </c>
      <c r="AJ17" s="106">
        <v>0</v>
      </c>
      <c r="AK17" s="106">
        <v>0</v>
      </c>
      <c r="AL17" s="106">
        <v>0</v>
      </c>
      <c r="AM17" s="106">
        <v>0</v>
      </c>
      <c r="AN17" s="106">
        <v>0</v>
      </c>
    </row>
    <row r="18" spans="2:50" hidden="1" outlineLevel="1" x14ac:dyDescent="0.25">
      <c r="B18" s="39" t="str">
        <v>Tertiary Direct Staff</v>
      </c>
      <c r="C18" s="3"/>
      <c r="D18" s="3"/>
      <c r="E18" s="106">
        <v>0</v>
      </c>
      <c r="F18" s="106">
        <v>0</v>
      </c>
      <c r="G18" s="106">
        <v>0</v>
      </c>
      <c r="H18" s="106">
        <v>0</v>
      </c>
      <c r="I18" s="106">
        <v>0</v>
      </c>
      <c r="J18" s="106">
        <v>0</v>
      </c>
      <c r="K18" s="106">
        <v>0</v>
      </c>
      <c r="L18" s="106">
        <v>0</v>
      </c>
      <c r="M18" s="106">
        <v>0</v>
      </c>
      <c r="N18" s="106">
        <v>0</v>
      </c>
      <c r="O18" s="106">
        <v>0</v>
      </c>
      <c r="P18" s="106">
        <v>0</v>
      </c>
      <c r="Q18" s="106">
        <v>0</v>
      </c>
      <c r="R18" s="106">
        <v>0</v>
      </c>
      <c r="S18" s="106">
        <v>0</v>
      </c>
      <c r="T18" s="106">
        <v>0</v>
      </c>
      <c r="U18" s="106">
        <v>0</v>
      </c>
      <c r="V18" s="106">
        <v>0</v>
      </c>
      <c r="W18" s="106">
        <v>0</v>
      </c>
      <c r="X18" s="106">
        <v>0</v>
      </c>
      <c r="Y18" s="106">
        <v>0</v>
      </c>
      <c r="Z18" s="106">
        <v>0</v>
      </c>
      <c r="AA18" s="106">
        <v>0</v>
      </c>
      <c r="AB18" s="106">
        <v>0</v>
      </c>
      <c r="AC18" s="106">
        <v>0</v>
      </c>
      <c r="AD18" s="106">
        <v>0</v>
      </c>
      <c r="AE18" s="106">
        <v>0</v>
      </c>
      <c r="AF18" s="106">
        <v>0</v>
      </c>
      <c r="AG18" s="106">
        <v>0</v>
      </c>
      <c r="AH18" s="106">
        <v>0</v>
      </c>
      <c r="AI18" s="106">
        <v>0</v>
      </c>
      <c r="AJ18" s="106">
        <v>0</v>
      </c>
      <c r="AK18" s="106">
        <v>0</v>
      </c>
      <c r="AL18" s="106">
        <v>0</v>
      </c>
      <c r="AM18" s="106">
        <v>0</v>
      </c>
      <c r="AN18" s="106">
        <v>0</v>
      </c>
    </row>
    <row r="19" spans="2:50" hidden="1" outlineLevel="1" x14ac:dyDescent="0.25">
      <c r="B19" s="39" t="str">
        <v>Quinary Direct Staff</v>
      </c>
      <c r="C19" s="3"/>
      <c r="D19" s="3"/>
      <c r="E19" s="106">
        <v>0</v>
      </c>
      <c r="F19" s="106">
        <v>0</v>
      </c>
      <c r="G19" s="106">
        <v>0</v>
      </c>
      <c r="H19" s="106">
        <v>0</v>
      </c>
      <c r="I19" s="106">
        <v>0</v>
      </c>
      <c r="J19" s="106">
        <v>0</v>
      </c>
      <c r="K19" s="106">
        <v>0</v>
      </c>
      <c r="L19" s="106">
        <v>0</v>
      </c>
      <c r="M19" s="106">
        <v>0</v>
      </c>
      <c r="N19" s="106">
        <v>0</v>
      </c>
      <c r="O19" s="106">
        <v>0</v>
      </c>
      <c r="P19" s="106">
        <v>0</v>
      </c>
      <c r="Q19" s="106">
        <v>0</v>
      </c>
      <c r="R19" s="106">
        <v>0</v>
      </c>
      <c r="S19" s="106">
        <v>0</v>
      </c>
      <c r="T19" s="106">
        <v>0</v>
      </c>
      <c r="U19" s="106">
        <v>0</v>
      </c>
      <c r="V19" s="106">
        <v>0</v>
      </c>
      <c r="W19" s="106">
        <v>0</v>
      </c>
      <c r="X19" s="106">
        <v>0</v>
      </c>
      <c r="Y19" s="106">
        <v>0</v>
      </c>
      <c r="Z19" s="106">
        <v>0</v>
      </c>
      <c r="AA19" s="106">
        <v>0</v>
      </c>
      <c r="AB19" s="106">
        <v>0</v>
      </c>
      <c r="AC19" s="106">
        <v>0</v>
      </c>
      <c r="AD19" s="106">
        <v>0</v>
      </c>
      <c r="AE19" s="106">
        <v>0</v>
      </c>
      <c r="AF19" s="106">
        <v>0</v>
      </c>
      <c r="AG19" s="106">
        <v>0</v>
      </c>
      <c r="AH19" s="106">
        <v>0</v>
      </c>
      <c r="AI19" s="106">
        <v>0</v>
      </c>
      <c r="AJ19" s="106">
        <v>0</v>
      </c>
      <c r="AK19" s="106">
        <v>0</v>
      </c>
      <c r="AL19" s="106">
        <v>0</v>
      </c>
      <c r="AM19" s="106">
        <v>0</v>
      </c>
      <c r="AN19" s="106">
        <v>0</v>
      </c>
    </row>
    <row r="20" spans="2:50" hidden="1" outlineLevel="1" x14ac:dyDescent="0.25">
      <c r="B20" s="39" t="str">
        <v>Quaternary Direct Staff</v>
      </c>
      <c r="C20" s="3"/>
      <c r="D20" s="3"/>
      <c r="E20" s="106">
        <v>0</v>
      </c>
      <c r="F20" s="106">
        <v>0</v>
      </c>
      <c r="G20" s="106">
        <v>0</v>
      </c>
      <c r="H20" s="106">
        <v>0</v>
      </c>
      <c r="I20" s="106">
        <v>0</v>
      </c>
      <c r="J20" s="106">
        <v>0</v>
      </c>
      <c r="K20" s="106">
        <v>0</v>
      </c>
      <c r="L20" s="106">
        <v>0</v>
      </c>
      <c r="M20" s="106">
        <v>0</v>
      </c>
      <c r="N20" s="106">
        <v>0</v>
      </c>
      <c r="O20" s="106">
        <v>0</v>
      </c>
      <c r="P20" s="106">
        <v>0</v>
      </c>
      <c r="Q20" s="106">
        <v>0</v>
      </c>
      <c r="R20" s="106">
        <v>0</v>
      </c>
      <c r="S20" s="106">
        <v>0</v>
      </c>
      <c r="T20" s="106">
        <v>0</v>
      </c>
      <c r="U20" s="106">
        <v>0</v>
      </c>
      <c r="V20" s="106">
        <v>0</v>
      </c>
      <c r="W20" s="106">
        <v>0</v>
      </c>
      <c r="X20" s="106">
        <v>0</v>
      </c>
      <c r="Y20" s="106">
        <v>0</v>
      </c>
      <c r="Z20" s="106">
        <v>0</v>
      </c>
      <c r="AA20" s="106">
        <v>0</v>
      </c>
      <c r="AB20" s="106">
        <v>0</v>
      </c>
      <c r="AC20" s="106">
        <v>0</v>
      </c>
      <c r="AD20" s="106">
        <v>0</v>
      </c>
      <c r="AE20" s="106">
        <v>0</v>
      </c>
      <c r="AF20" s="106">
        <v>0</v>
      </c>
      <c r="AG20" s="106">
        <v>0</v>
      </c>
      <c r="AH20" s="106">
        <v>0</v>
      </c>
      <c r="AI20" s="106">
        <v>0</v>
      </c>
      <c r="AJ20" s="106">
        <v>0</v>
      </c>
      <c r="AK20" s="106">
        <v>0</v>
      </c>
      <c r="AL20" s="106">
        <v>0</v>
      </c>
      <c r="AM20" s="106">
        <v>0</v>
      </c>
      <c r="AN20" s="106">
        <v>0</v>
      </c>
    </row>
    <row r="21" spans="2:50" collapsed="1" x14ac:dyDescent="0.25">
      <c r="B21" s="39" t="s">
        <v>389</v>
      </c>
      <c r="C21" s="3"/>
      <c r="D21" s="5"/>
      <c r="E21" s="117" cm="1">
        <f t="array" ref="E21:AN21">ROUND(_xlfn.BYCOL(_xlfn.CHOOSEROWS(_xlfn.ANCHORARRAY(E7),1,2),_xlfn.LAMBDA(_xlpm.col,SUM(_xlpm.col))),0)</f>
        <v>0</v>
      </c>
      <c r="F21" s="117">
        <v>0</v>
      </c>
      <c r="G21" s="117">
        <v>0</v>
      </c>
      <c r="H21" s="117">
        <v>0</v>
      </c>
      <c r="I21" s="117">
        <v>1</v>
      </c>
      <c r="J21" s="117">
        <v>2</v>
      </c>
      <c r="K21" s="117">
        <v>3</v>
      </c>
      <c r="L21" s="117">
        <v>3</v>
      </c>
      <c r="M21" s="117">
        <v>4</v>
      </c>
      <c r="N21" s="117">
        <v>5</v>
      </c>
      <c r="O21" s="117">
        <v>7</v>
      </c>
      <c r="P21" s="117">
        <v>7</v>
      </c>
      <c r="Q21" s="117">
        <v>8</v>
      </c>
      <c r="R21" s="117">
        <v>9</v>
      </c>
      <c r="S21" s="117">
        <v>10</v>
      </c>
      <c r="T21" s="117">
        <v>11</v>
      </c>
      <c r="U21" s="117">
        <v>12</v>
      </c>
      <c r="V21" s="117">
        <v>13</v>
      </c>
      <c r="W21" s="117">
        <v>13</v>
      </c>
      <c r="X21" s="117">
        <v>13</v>
      </c>
      <c r="Y21" s="117">
        <v>13</v>
      </c>
      <c r="Z21" s="117">
        <v>13</v>
      </c>
      <c r="AA21" s="117">
        <v>13</v>
      </c>
      <c r="AB21" s="117">
        <v>13</v>
      </c>
      <c r="AC21" s="117">
        <v>13</v>
      </c>
      <c r="AD21" s="117">
        <v>13</v>
      </c>
      <c r="AE21" s="117">
        <v>13</v>
      </c>
      <c r="AF21" s="117">
        <v>13</v>
      </c>
      <c r="AG21" s="117">
        <v>13</v>
      </c>
      <c r="AH21" s="117">
        <v>13</v>
      </c>
      <c r="AI21" s="117">
        <v>13</v>
      </c>
      <c r="AJ21" s="117">
        <v>13</v>
      </c>
      <c r="AK21" s="117">
        <v>13</v>
      </c>
      <c r="AL21" s="117">
        <v>13</v>
      </c>
      <c r="AM21" s="117">
        <v>13</v>
      </c>
      <c r="AN21" s="117">
        <v>13</v>
      </c>
    </row>
    <row r="22" spans="2:50" x14ac:dyDescent="0.25">
      <c r="B22" s="2" t="s">
        <v>394</v>
      </c>
      <c r="C22" s="3"/>
      <c r="D22" s="77">
        <f>MAX(_xlfn.ANCHORARRAY(E22))</f>
        <v>174.55720170454549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0</v>
      </c>
      <c r="F22" s="78">
        <v>0</v>
      </c>
      <c r="G22" s="78">
        <v>0</v>
      </c>
      <c r="H22" s="78">
        <v>0</v>
      </c>
      <c r="I22" s="78">
        <v>169.4730113636364</v>
      </c>
      <c r="J22" s="78">
        <v>169.47301136363637</v>
      </c>
      <c r="K22" s="78">
        <v>169.47301136363637</v>
      </c>
      <c r="L22" s="78">
        <v>169.47301136363637</v>
      </c>
      <c r="M22" s="78">
        <v>169.4730113636364</v>
      </c>
      <c r="N22" s="78">
        <v>169.47301136363637</v>
      </c>
      <c r="O22" s="78">
        <v>169.47301136363637</v>
      </c>
      <c r="P22" s="78">
        <v>169.47301136363637</v>
      </c>
      <c r="Q22" s="78">
        <v>174.55720170454546</v>
      </c>
      <c r="R22" s="78">
        <v>174.55720170454549</v>
      </c>
      <c r="S22" s="78">
        <v>174.55720170454549</v>
      </c>
      <c r="T22" s="78">
        <v>174.55720170454541</v>
      </c>
      <c r="U22" s="78">
        <v>174.55720170454541</v>
      </c>
      <c r="V22" s="78">
        <v>174.55720170454543</v>
      </c>
      <c r="W22" s="78">
        <v>174.55720170454543</v>
      </c>
      <c r="X22" s="78">
        <v>174.55720170454543</v>
      </c>
      <c r="Y22" s="78">
        <v>174.55720170454543</v>
      </c>
      <c r="Z22" s="78">
        <v>174.55720170454543</v>
      </c>
      <c r="AA22" s="78">
        <v>174.55720170454543</v>
      </c>
      <c r="AB22" s="78">
        <v>174.55720170454543</v>
      </c>
      <c r="AC22" s="78">
        <v>174.55720170454543</v>
      </c>
      <c r="AD22" s="78">
        <v>174.55720170454543</v>
      </c>
      <c r="AE22" s="78">
        <v>174.55720170454543</v>
      </c>
      <c r="AF22" s="78">
        <v>174.55720170454543</v>
      </c>
      <c r="AG22" s="78">
        <v>174.55720170454543</v>
      </c>
      <c r="AH22" s="78">
        <v>174.55720170454543</v>
      </c>
      <c r="AI22" s="78">
        <v>174.55720170454543</v>
      </c>
      <c r="AJ22" s="78">
        <v>174.55720170454543</v>
      </c>
      <c r="AK22" s="78">
        <v>174.55720170454543</v>
      </c>
      <c r="AL22" s="78">
        <v>174.55720170454543</v>
      </c>
      <c r="AM22" s="78">
        <v>174.55720170454543</v>
      </c>
      <c r="AN22" s="78">
        <v>174.55720170454543</v>
      </c>
    </row>
    <row r="23" spans="2:50" x14ac:dyDescent="0.25">
      <c r="B23" s="2" t="s">
        <v>53</v>
      </c>
      <c r="C23" s="3"/>
      <c r="D23" s="72"/>
      <c r="E23" s="52" cm="1">
        <f t="array" ref="E23:AN23">_xlfn.LET(_xlpm.site,$B$1&amp;"-"&amp;$C$1,_xlpm.locations,Base!$D$4:$BD$4,_xlpm.Customer,_xlfn.ANCHORARRAY(E1),_xlpm.hours,SUM(_xlfn.XLOOKUP(_xlpm.site,_xlpm.locations,Base!$D$74:$BD$78,0,0)),
_xlpm.collection,1-_xlfn.XLOOKUP(_xlpm.site,_xlpm.locations,Base!$D$26:$BD$26,0,0),
_xlpm.Customer*_xlpm.hours*_xlpm.collection*(52/12))</f>
        <v>0</v>
      </c>
      <c r="F23" s="52">
        <v>0</v>
      </c>
      <c r="G23" s="52">
        <v>0</v>
      </c>
      <c r="H23" s="52">
        <v>0</v>
      </c>
      <c r="I23" s="52">
        <v>51.626666666666658</v>
      </c>
      <c r="J23" s="52">
        <v>154.88</v>
      </c>
      <c r="K23" s="52">
        <v>258.13333333333333</v>
      </c>
      <c r="L23" s="52">
        <v>309.76</v>
      </c>
      <c r="M23" s="52">
        <v>413.01333333333326</v>
      </c>
      <c r="N23" s="52">
        <v>516.26666666666665</v>
      </c>
      <c r="O23" s="52">
        <v>619.52</v>
      </c>
      <c r="P23" s="52">
        <v>671.14666666666665</v>
      </c>
      <c r="Q23" s="52">
        <v>774.39999999999986</v>
      </c>
      <c r="R23" s="52">
        <v>877.65333333333331</v>
      </c>
      <c r="S23" s="52">
        <v>929.27999999999986</v>
      </c>
      <c r="T23" s="52">
        <v>1032.5333333333333</v>
      </c>
      <c r="U23" s="52">
        <v>1135.7866666666666</v>
      </c>
      <c r="V23" s="52">
        <v>1239.04</v>
      </c>
      <c r="W23" s="52">
        <v>1239.04</v>
      </c>
      <c r="X23" s="52">
        <v>1239.04</v>
      </c>
      <c r="Y23" s="52">
        <v>1239.04</v>
      </c>
      <c r="Z23" s="52">
        <v>1239.04</v>
      </c>
      <c r="AA23" s="52">
        <v>1239.04</v>
      </c>
      <c r="AB23" s="52">
        <v>1239.04</v>
      </c>
      <c r="AC23" s="52">
        <v>1239.04</v>
      </c>
      <c r="AD23" s="52">
        <v>1239.04</v>
      </c>
      <c r="AE23" s="52">
        <v>1239.04</v>
      </c>
      <c r="AF23" s="52">
        <v>1239.04</v>
      </c>
      <c r="AG23" s="52">
        <v>1239.04</v>
      </c>
      <c r="AH23" s="52">
        <v>1239.04</v>
      </c>
      <c r="AI23" s="52">
        <v>1239.04</v>
      </c>
      <c r="AJ23" s="52">
        <v>1239.04</v>
      </c>
      <c r="AK23" s="52">
        <v>1239.04</v>
      </c>
      <c r="AL23" s="52">
        <v>1239.04</v>
      </c>
      <c r="AM23" s="52">
        <v>1239.04</v>
      </c>
      <c r="AN23" s="52">
        <v>1239.04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21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_xlfn.LET(_xlpm.site,$B$1&amp;"-"&amp;$C$1,_xlpm.locations,Base!$D$4:$BD$4,_xlpm.rates,Base!$D31:$BD31,_xlpm.hours,Base!$D74:$BD74,_xlpm.comp,_xlpm.rates*_xlpm.hours,_xlpm.Customer,_xlfn.ANCHORARRAY($E$1),
_xlpm.Customer_comp,_xlfn.XLOOKUP(_xlpm.site,_xlpm.locations,_xlpm.comp,0,0),_xlpm.ann_incr,_xlfn.XLOOKUP(YEAR(_xlfn.ANCHORARRAY($E$25)),Base!$BJ$4:$BL$4,Base!$BJ74:$BL74,0,0),
_xlpm.bad_debt,_xlfn.XLOOKUP(_xlpm.site,_xlpm.locations,Base!$D$28:$BD$28,0,0),_xlpm.Customer_comp*_xlpm.Customer*_xlpm.bad_debt*_xlpm.ann_incr*(52/12))</f>
        <v>0</v>
      </c>
      <c r="F26" s="12">
        <v>0</v>
      </c>
      <c r="G26" s="12">
        <v>0</v>
      </c>
      <c r="H26" s="12">
        <v>0</v>
      </c>
      <c r="I26" s="12">
        <v>7916.5233333333326</v>
      </c>
      <c r="J26" s="12">
        <v>23749.57</v>
      </c>
      <c r="K26" s="12">
        <v>39582.616666666661</v>
      </c>
      <c r="L26" s="12">
        <v>47499.14</v>
      </c>
      <c r="M26" s="12">
        <v>63332.186666666661</v>
      </c>
      <c r="N26" s="12">
        <v>79165.233333333323</v>
      </c>
      <c r="O26" s="12">
        <v>94998.28</v>
      </c>
      <c r="P26" s="12">
        <v>102914.80333333333</v>
      </c>
      <c r="Q26" s="12">
        <v>122310.28549999998</v>
      </c>
      <c r="R26" s="12">
        <v>138618.32356666666</v>
      </c>
      <c r="S26" s="12">
        <v>146772.3426</v>
      </c>
      <c r="T26" s="12">
        <v>163080.38066666664</v>
      </c>
      <c r="U26" s="12">
        <v>179388.4187333333</v>
      </c>
      <c r="V26" s="12">
        <v>195696.45679999999</v>
      </c>
      <c r="W26" s="12">
        <v>195696.45679999999</v>
      </c>
      <c r="X26" s="12">
        <v>195696.45679999999</v>
      </c>
      <c r="Y26" s="12">
        <v>195696.45679999999</v>
      </c>
      <c r="Z26" s="12">
        <v>195696.45679999999</v>
      </c>
      <c r="AA26" s="12">
        <v>195696.45679999999</v>
      </c>
      <c r="AB26" s="12">
        <v>195696.45679999999</v>
      </c>
      <c r="AC26" s="12">
        <v>195696.45679999999</v>
      </c>
      <c r="AD26" s="12">
        <v>195696.45679999999</v>
      </c>
      <c r="AE26" s="12">
        <v>195696.45679999999</v>
      </c>
      <c r="AF26" s="12">
        <v>195696.45679999999</v>
      </c>
      <c r="AG26" s="12">
        <v>195696.45679999999</v>
      </c>
      <c r="AH26" s="12">
        <v>195696.45679999999</v>
      </c>
      <c r="AI26" s="12">
        <v>195696.45679999999</v>
      </c>
      <c r="AJ26" s="12">
        <v>195696.45679999999</v>
      </c>
      <c r="AK26" s="12">
        <v>195696.45679999999</v>
      </c>
      <c r="AL26" s="12">
        <v>195696.45679999999</v>
      </c>
      <c r="AM26" s="12">
        <v>195696.45679999999</v>
      </c>
      <c r="AN26" s="12">
        <v>195696.45679999999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_xlfn.LET(_xlpm.site,$B$1&amp;"-"&amp;$C$1,_xlpm.locations,Base!$D$4:$BD$4,_xlpm.rates,Base!$D32:$BD32,_xlpm.hours,Base!$D75:$BD75,_xlpm.comp,_xlpm.rates*_xlpm.hours,_xlpm.Customer,_xlfn.ANCHORARRAY($E$1),
_xlpm.Customer_comp,_xlfn.XLOOKUP(_xlpm.site,_xlpm.locations,_xlpm.comp,0,0),_xlpm.ann_incr,_xlfn.XLOOKUP(YEAR(_xlfn.ANCHORARRAY($E$25)),Base!$BJ$4:$BL$4,Base!$BJ75:$BL75,0,0),
_xlpm.bad_debt,_xlfn.XLOOKUP(_xlpm.site,_xlpm.locations,Base!$D$28:$BD$28,0,0),_xlpm.Customer_comp*_xlpm.Customer*_xlpm.bad_debt*_xlpm.ann_incr*(52/12))</f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12">
        <v>0</v>
      </c>
      <c r="AA27" s="12">
        <v>0</v>
      </c>
      <c r="AB27" s="12">
        <v>0</v>
      </c>
      <c r="AC27" s="12">
        <v>0</v>
      </c>
      <c r="AD27" s="12">
        <v>0</v>
      </c>
      <c r="AE27" s="12">
        <v>0</v>
      </c>
      <c r="AF27" s="12">
        <v>0</v>
      </c>
      <c r="AG27" s="12">
        <v>0</v>
      </c>
      <c r="AH27" s="12">
        <v>0</v>
      </c>
      <c r="AI27" s="12">
        <v>0</v>
      </c>
      <c r="AJ27" s="12">
        <v>0</v>
      </c>
      <c r="AK27" s="12">
        <v>0</v>
      </c>
      <c r="AL27" s="12">
        <v>0</v>
      </c>
      <c r="AM27" s="12">
        <v>0</v>
      </c>
      <c r="AN27" s="12">
        <v>0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_xlfn.LET(_xlpm.site,$B$1&amp;"-"&amp;$C$1,_xlpm.locations,Base!$D$4:$BD$4,_xlpm.rates,Base!$D33:$BD33,_xlpm.hours,Base!$D76:$BD76,_xlpm.comp,_xlpm.rates*_xlpm.hours,_xlpm.Customer,_xlfn.ANCHORARRAY($E$1),
_xlpm.Customer_comp,_xlfn.XLOOKUP(_xlpm.site,_xlpm.locations,_xlpm.comp,0,0),_xlpm.ann_incr,_xlfn.XLOOKUP(YEAR(_xlfn.ANCHORARRAY($E$25)),Base!$BJ$4:$BL$4,Base!$BJ76:$BL76,0,0),
_xlpm.bad_debt,_xlfn.XLOOKUP(_xlpm.site,_xlpm.locations,Base!$D$28:$BD$28,0,0),_xlpm.Customer_comp*_xlpm.Customer*_xlpm.bad_debt*_xlpm.ann_incr*(52/12))</f>
        <v>0</v>
      </c>
      <c r="F28" s="12">
        <v>0</v>
      </c>
      <c r="G28" s="12">
        <v>0</v>
      </c>
      <c r="H28" s="12">
        <v>0</v>
      </c>
      <c r="I28" s="12">
        <v>1055.1969999999997</v>
      </c>
      <c r="J28" s="12">
        <v>3165.590999999999</v>
      </c>
      <c r="K28" s="12">
        <v>5275.9849999999979</v>
      </c>
      <c r="L28" s="12">
        <v>6331.181999999998</v>
      </c>
      <c r="M28" s="12">
        <v>8441.5759999999973</v>
      </c>
      <c r="N28" s="12">
        <v>10551.969999999996</v>
      </c>
      <c r="O28" s="12">
        <v>12662.363999999996</v>
      </c>
      <c r="P28" s="12">
        <v>13717.560999999996</v>
      </c>
      <c r="Q28" s="12">
        <v>16302.793649999996</v>
      </c>
      <c r="R28" s="12">
        <v>18476.499469999999</v>
      </c>
      <c r="S28" s="12">
        <v>19563.352379999993</v>
      </c>
      <c r="T28" s="12">
        <v>21737.058199999992</v>
      </c>
      <c r="U28" s="12">
        <v>23910.764019999991</v>
      </c>
      <c r="V28" s="12">
        <v>26084.469839999991</v>
      </c>
      <c r="W28" s="12">
        <v>26084.469839999991</v>
      </c>
      <c r="X28" s="12">
        <v>26084.469839999991</v>
      </c>
      <c r="Y28" s="12">
        <v>26084.469839999991</v>
      </c>
      <c r="Z28" s="12">
        <v>26084.469839999991</v>
      </c>
      <c r="AA28" s="12">
        <v>26084.469839999991</v>
      </c>
      <c r="AB28" s="12">
        <v>26084.469839999991</v>
      </c>
      <c r="AC28" s="12">
        <v>26084.469839999991</v>
      </c>
      <c r="AD28" s="12">
        <v>26084.469839999991</v>
      </c>
      <c r="AE28" s="12">
        <v>26084.469839999991</v>
      </c>
      <c r="AF28" s="12">
        <v>26084.469839999991</v>
      </c>
      <c r="AG28" s="12">
        <v>26084.469839999991</v>
      </c>
      <c r="AH28" s="12">
        <v>26084.469839999991</v>
      </c>
      <c r="AI28" s="12">
        <v>26084.469839999991</v>
      </c>
      <c r="AJ28" s="12">
        <v>26084.469839999991</v>
      </c>
      <c r="AK28" s="12">
        <v>26084.469839999991</v>
      </c>
      <c r="AL28" s="12">
        <v>26084.469839999991</v>
      </c>
      <c r="AM28" s="12">
        <v>26084.469839999991</v>
      </c>
      <c r="AN28" s="12">
        <v>26084.469839999991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_xlfn.LET(_xlpm.site,$B$1&amp;"-"&amp;$C$1,_xlpm.locations,Base!$D$4:$BD$4,_xlpm.rates,Base!$D34:$BD34,_xlpm.hours,Base!$D77:$BD77,_xlpm.comp,_xlpm.rates*_xlpm.hours,_xlpm.Customer,_xlfn.ANCHORARRAY($E$1),
_xlpm.Customer_comp,_xlfn.XLOOKUP(_xlpm.site,_xlpm.locations,_xlpm.comp,0,0),_xlpm.ann_incr,_xlfn.XLOOKUP(YEAR(_xlfn.ANCHORARRAY($E$25)),Base!$BJ$4:$BL$4,Base!$BJ77:$BL77,0,0),
_xlpm.bad_debt,_xlfn.XLOOKUP(_xlpm.site,_xlpm.locations,Base!$D$28:$BD$28,0,0),_xlpm.Customer_comp*_xlpm.Customer*_xlpm.bad_debt*_xlpm.ann_incr*(52/12))</f>
        <v>0</v>
      </c>
      <c r="F29" s="12">
        <v>0</v>
      </c>
      <c r="G29" s="12">
        <v>0</v>
      </c>
      <c r="H29" s="12">
        <v>0</v>
      </c>
      <c r="I29" s="12">
        <v>162.33799999999999</v>
      </c>
      <c r="J29" s="12">
        <v>487.01399999999995</v>
      </c>
      <c r="K29" s="12">
        <v>811.68999999999994</v>
      </c>
      <c r="L29" s="12">
        <v>974.02799999999991</v>
      </c>
      <c r="M29" s="12">
        <v>1298.704</v>
      </c>
      <c r="N29" s="12">
        <v>1623.3799999999999</v>
      </c>
      <c r="O29" s="12">
        <v>1948.0559999999998</v>
      </c>
      <c r="P29" s="12">
        <v>2110.3939999999998</v>
      </c>
      <c r="Q29" s="12">
        <v>2508.1221</v>
      </c>
      <c r="R29" s="12">
        <v>2842.5383799999995</v>
      </c>
      <c r="S29" s="12">
        <v>3009.7465200000001</v>
      </c>
      <c r="T29" s="12">
        <v>3344.1628000000001</v>
      </c>
      <c r="U29" s="12">
        <v>3678.5790799999995</v>
      </c>
      <c r="V29" s="12">
        <v>4012.9953599999999</v>
      </c>
      <c r="W29" s="12">
        <v>4012.9953599999999</v>
      </c>
      <c r="X29" s="12">
        <v>4012.9953599999999</v>
      </c>
      <c r="Y29" s="12">
        <v>4012.9953599999999</v>
      </c>
      <c r="Z29" s="12">
        <v>4012.9953599999999</v>
      </c>
      <c r="AA29" s="12">
        <v>4012.9953599999999</v>
      </c>
      <c r="AB29" s="12">
        <v>4012.9953599999999</v>
      </c>
      <c r="AC29" s="12">
        <v>4012.9953599999999</v>
      </c>
      <c r="AD29" s="12">
        <v>4012.9953599999999</v>
      </c>
      <c r="AE29" s="12">
        <v>4012.9953599999999</v>
      </c>
      <c r="AF29" s="12">
        <v>4012.9953599999999</v>
      </c>
      <c r="AG29" s="12">
        <v>4012.9953599999999</v>
      </c>
      <c r="AH29" s="12">
        <v>4012.9953599999999</v>
      </c>
      <c r="AI29" s="12">
        <v>4012.9953599999999</v>
      </c>
      <c r="AJ29" s="12">
        <v>4012.9953599999999</v>
      </c>
      <c r="AK29" s="12">
        <v>4012.9953599999999</v>
      </c>
      <c r="AL29" s="12">
        <v>4012.9953599999999</v>
      </c>
      <c r="AM29" s="12">
        <v>4012.9953599999999</v>
      </c>
      <c r="AN29" s="12">
        <v>4012.9953599999999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_xlfn.LET(_xlpm.site,$B$1&amp;"-"&amp;$C$1,_xlpm.locations,Base!$D$4:$BD$4,_xlpm.rates,Base!$D35:$BD35,_xlpm.hours,Base!$D78:$BD78,_xlpm.comp,_xlpm.rates*_xlpm.hours,_xlpm.Customer,_xlfn.ANCHORARRAY($E$1),
_xlpm.Customer_comp,_xlfn.XLOOKUP(_xlpm.site,_xlpm.locations,_xlpm.comp,0,0),_xlpm.ann_incr,_xlfn.XLOOKUP(YEAR(_xlfn.ANCHORARRAY($E$25)),Base!$BJ$4:$BL$4,Base!$BJ78:$BL78,0,0),
_xlpm.bad_debt,_xlfn.XLOOKUP(_xlpm.site,_xlpm.locations,Base!$D$28:$BD$28,0,0),_xlpm.Customer_comp*_xlpm.Customer*_xlpm.bad_debt*_xlpm.ann_incr*(52/12))</f>
        <v>0</v>
      </c>
      <c r="F30" s="12">
        <v>0</v>
      </c>
      <c r="G30" s="12">
        <v>0</v>
      </c>
      <c r="H30" s="12">
        <v>0</v>
      </c>
      <c r="I30" s="12">
        <v>211.8133333333333</v>
      </c>
      <c r="J30" s="12">
        <v>635.43999999999994</v>
      </c>
      <c r="K30" s="12">
        <v>1059.0666666666666</v>
      </c>
      <c r="L30" s="12">
        <v>1270.8799999999999</v>
      </c>
      <c r="M30" s="12">
        <v>1694.5066666666664</v>
      </c>
      <c r="N30" s="12">
        <v>2118.1333333333332</v>
      </c>
      <c r="O30" s="12">
        <v>2541.7599999999998</v>
      </c>
      <c r="P30" s="12">
        <v>2753.5733333333328</v>
      </c>
      <c r="Q30" s="12">
        <v>3272.5159999999996</v>
      </c>
      <c r="R30" s="12">
        <v>3708.8514666666661</v>
      </c>
      <c r="S30" s="12">
        <v>3927.0191999999997</v>
      </c>
      <c r="T30" s="12">
        <v>4363.3546666666662</v>
      </c>
      <c r="U30" s="12">
        <v>4799.6901333333326</v>
      </c>
      <c r="V30" s="12">
        <v>5236.025599999999</v>
      </c>
      <c r="W30" s="12">
        <v>5236.025599999999</v>
      </c>
      <c r="X30" s="12">
        <v>5236.025599999999</v>
      </c>
      <c r="Y30" s="12">
        <v>5236.025599999999</v>
      </c>
      <c r="Z30" s="12">
        <v>5236.025599999999</v>
      </c>
      <c r="AA30" s="12">
        <v>5236.025599999999</v>
      </c>
      <c r="AB30" s="12">
        <v>5236.025599999999</v>
      </c>
      <c r="AC30" s="12">
        <v>5236.025599999999</v>
      </c>
      <c r="AD30" s="12">
        <v>5236.025599999999</v>
      </c>
      <c r="AE30" s="12">
        <v>5236.025599999999</v>
      </c>
      <c r="AF30" s="12">
        <v>5236.025599999999</v>
      </c>
      <c r="AG30" s="12">
        <v>5236.025599999999</v>
      </c>
      <c r="AH30" s="12">
        <v>5236.025599999999</v>
      </c>
      <c r="AI30" s="12">
        <v>5236.025599999999</v>
      </c>
      <c r="AJ30" s="12">
        <v>5236.025599999999</v>
      </c>
      <c r="AK30" s="12">
        <v>5236.025599999999</v>
      </c>
      <c r="AL30" s="12">
        <v>5236.025599999999</v>
      </c>
      <c r="AM30" s="12">
        <v>5236.025599999999</v>
      </c>
      <c r="AN30" s="12">
        <v>5236.025599999999</v>
      </c>
    </row>
    <row r="31" spans="2:50" x14ac:dyDescent="0.25">
      <c r="B31" s="39" t="str">
        <f>Base!B36</f>
        <v>Tertiary Direct Staff - Service A</v>
      </c>
      <c r="C31" s="4"/>
      <c r="E31" s="183" cm="1">
        <f t="array" ref="E31:AN31">_xlfn.LET(_xlpm.site,$B$1&amp;"-"&amp;$C$1,_xlpm.locations,Base!$D$4:$BD$4,_xlpm.rates,Base!$D36:$BD36,_xlpm.hours,Base!$D79:$BD79,_xlpm.comp,_xlpm.rates*_xlpm.hours,_xlpm.Customer,_xlfn.ANCHORARRAY($E$1)*0,
_xlpm.Customer_comp,_xlfn.XLOOKUP(_xlpm.site,_xlpm.locations,_xlpm.comp,0,0),_xlpm.ann_incr,_xlfn.XLOOKUP(YEAR(_xlfn.ANCHORARRAY($E$25)),Base!$BJ$4:$BL$4,Base!$BJ79:$BL79,0,0),
_xlpm.bad_debt,_xlfn.XLOOKUP(_xlpm.site,_xlpm.locations,Base!$D$28:$BD$28,0,0),_xlpm.Customer_comp*_xlpm.Customer*_xlpm.bad_debt*_xlpm.ann_incr*(52/12))</f>
        <v>0</v>
      </c>
      <c r="F31" s="183">
        <v>0</v>
      </c>
      <c r="G31" s="183">
        <v>0</v>
      </c>
      <c r="H31" s="183">
        <v>0</v>
      </c>
      <c r="I31" s="183">
        <v>0</v>
      </c>
      <c r="J31" s="183">
        <v>0</v>
      </c>
      <c r="K31" s="183">
        <v>0</v>
      </c>
      <c r="L31" s="183">
        <v>0</v>
      </c>
      <c r="M31" s="183">
        <v>0</v>
      </c>
      <c r="N31" s="183">
        <v>0</v>
      </c>
      <c r="O31" s="183">
        <v>0</v>
      </c>
      <c r="P31" s="183">
        <v>0</v>
      </c>
      <c r="Q31" s="183">
        <v>0</v>
      </c>
      <c r="R31" s="183">
        <v>0</v>
      </c>
      <c r="S31" s="183">
        <v>0</v>
      </c>
      <c r="T31" s="183">
        <v>0</v>
      </c>
      <c r="U31" s="183">
        <v>0</v>
      </c>
      <c r="V31" s="183">
        <v>0</v>
      </c>
      <c r="W31" s="183">
        <v>0</v>
      </c>
      <c r="X31" s="183">
        <v>0</v>
      </c>
      <c r="Y31" s="183">
        <v>0</v>
      </c>
      <c r="Z31" s="183">
        <v>0</v>
      </c>
      <c r="AA31" s="183">
        <v>0</v>
      </c>
      <c r="AB31" s="183">
        <v>0</v>
      </c>
      <c r="AC31" s="183">
        <v>0</v>
      </c>
      <c r="AD31" s="183">
        <v>0</v>
      </c>
      <c r="AE31" s="183">
        <v>0</v>
      </c>
      <c r="AF31" s="183">
        <v>0</v>
      </c>
      <c r="AG31" s="183">
        <v>0</v>
      </c>
      <c r="AH31" s="183">
        <v>0</v>
      </c>
      <c r="AI31" s="183">
        <v>0</v>
      </c>
      <c r="AJ31" s="183">
        <v>0</v>
      </c>
      <c r="AK31" s="183">
        <v>0</v>
      </c>
      <c r="AL31" s="183">
        <v>0</v>
      </c>
      <c r="AM31" s="183">
        <v>0</v>
      </c>
      <c r="AN31" s="183">
        <v>0</v>
      </c>
    </row>
    <row r="32" spans="2:50" x14ac:dyDescent="0.25">
      <c r="B32" s="39" t="str">
        <f>Base!B37</f>
        <v>Tertiary Direct Staff - Service B</v>
      </c>
      <c r="C32" s="4"/>
      <c r="E32" s="183" cm="1">
        <f t="array" ref="E32:AN32">_xlfn.LET(_xlpm.site,$B$1&amp;"-"&amp;$C$1,_xlpm.locations,Base!$D$4:$BD$4,_xlpm.rates,Base!$D37:$BD37,_xlpm.hours,Base!$D80:$BD80,_xlpm.comp,_xlpm.rates*_xlpm.hours,_xlpm.Customer,_xlfn.ANCHORARRAY($E$1)*0,
_xlpm.Customer_comp,_xlfn.XLOOKUP(_xlpm.site,_xlpm.locations,_xlpm.comp,0,0),_xlpm.ann_incr,_xlfn.XLOOKUP(YEAR(_xlfn.ANCHORARRAY($E$25)),Base!$BJ$4:$BL$4,Base!$BJ80:$BL80,0,0),
_xlpm.bad_debt,_xlfn.XLOOKUP(_xlpm.site,_xlpm.locations,Base!$D$28:$BD$28,0,0),_xlpm.Customer_comp*_xlpm.Customer*_xlpm.bad_debt*_xlpm.ann_incr*(52/12))</f>
        <v>0</v>
      </c>
      <c r="F32" s="183">
        <v>0</v>
      </c>
      <c r="G32" s="183">
        <v>0</v>
      </c>
      <c r="H32" s="183">
        <v>0</v>
      </c>
      <c r="I32" s="183">
        <v>0</v>
      </c>
      <c r="J32" s="183">
        <v>0</v>
      </c>
      <c r="K32" s="183">
        <v>0</v>
      </c>
      <c r="L32" s="183">
        <v>0</v>
      </c>
      <c r="M32" s="183">
        <v>0</v>
      </c>
      <c r="N32" s="183">
        <v>0</v>
      </c>
      <c r="O32" s="183">
        <v>0</v>
      </c>
      <c r="P32" s="183">
        <v>0</v>
      </c>
      <c r="Q32" s="183">
        <v>0</v>
      </c>
      <c r="R32" s="183">
        <v>0</v>
      </c>
      <c r="S32" s="183">
        <v>0</v>
      </c>
      <c r="T32" s="183">
        <v>0</v>
      </c>
      <c r="U32" s="183">
        <v>0</v>
      </c>
      <c r="V32" s="183">
        <v>0</v>
      </c>
      <c r="W32" s="183">
        <v>0</v>
      </c>
      <c r="X32" s="183">
        <v>0</v>
      </c>
      <c r="Y32" s="183">
        <v>0</v>
      </c>
      <c r="Z32" s="183">
        <v>0</v>
      </c>
      <c r="AA32" s="183">
        <v>0</v>
      </c>
      <c r="AB32" s="183">
        <v>0</v>
      </c>
      <c r="AC32" s="183">
        <v>0</v>
      </c>
      <c r="AD32" s="183">
        <v>0</v>
      </c>
      <c r="AE32" s="183">
        <v>0</v>
      </c>
      <c r="AF32" s="183">
        <v>0</v>
      </c>
      <c r="AG32" s="183">
        <v>0</v>
      </c>
      <c r="AH32" s="183">
        <v>0</v>
      </c>
      <c r="AI32" s="183">
        <v>0</v>
      </c>
      <c r="AJ32" s="183">
        <v>0</v>
      </c>
      <c r="AK32" s="183">
        <v>0</v>
      </c>
      <c r="AL32" s="183">
        <v>0</v>
      </c>
      <c r="AM32" s="183">
        <v>0</v>
      </c>
      <c r="AN32" s="183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_xlpm.Customer,_xlfn.ANCHORARRAY($E$2),_xlpm.ann_incr,_xlfn.XLOOKUP(YEAR(_xlfn.ANCHORARRAY($E$25)),Base!$BJ$4:$BL$4,Base!$BJ$81:$BL$81,0,0),
_xlpm.bad_debt,_xlfn.XLOOKUP(_xlpm.site,_xlpm.locations,Base!$D$28:$BD$28,0,0),
_xlpm.comp*_xlpm.bad_debt*_xlpm.ann_incr*(52/12))</f>
        <v>0</v>
      </c>
      <c r="F33" s="12">
        <v>0</v>
      </c>
      <c r="G33" s="12">
        <v>0</v>
      </c>
      <c r="H33" s="12">
        <v>0</v>
      </c>
      <c r="I33" s="12">
        <v>0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2">
        <v>0</v>
      </c>
      <c r="Y33" s="12">
        <v>0</v>
      </c>
      <c r="Z33" s="12">
        <v>0</v>
      </c>
      <c r="AA33" s="12">
        <v>0</v>
      </c>
      <c r="AB33" s="12">
        <v>0</v>
      </c>
      <c r="AC33" s="12">
        <v>0</v>
      </c>
      <c r="AD33" s="12">
        <v>0</v>
      </c>
      <c r="AE33" s="12">
        <v>0</v>
      </c>
      <c r="AF33" s="12">
        <v>0</v>
      </c>
      <c r="AG33" s="12">
        <v>0</v>
      </c>
      <c r="AH33" s="12">
        <v>0</v>
      </c>
      <c r="AI33" s="12">
        <v>0</v>
      </c>
      <c r="AJ33" s="12">
        <v>0</v>
      </c>
      <c r="AK33" s="12">
        <v>0</v>
      </c>
      <c r="AL33" s="12">
        <v>0</v>
      </c>
      <c r="AM33" s="12">
        <v>0</v>
      </c>
      <c r="AN33" s="12">
        <v>0</v>
      </c>
    </row>
    <row r="34" spans="2:40" x14ac:dyDescent="0.25">
      <c r="B34" s="39" t="str">
        <f>Base!B39</f>
        <v>Quinary Direct Staff - Service A</v>
      </c>
      <c r="C34" s="4"/>
      <c r="E34" s="183" cm="1">
        <f t="array" ref="E34:AN34">_xlfn.LET(_xlpm.site,$B$1&amp;"-"&amp;$C$1,_xlpm.locations,Base!$D$4:$BD$4,_xlpm.rates,Base!$D39:$BD39,_xlpm.hours,Base!$D82:$BD82,_xlpm.comp,_xlpm.rates*_xlpm.hours,_xlpm.Customer,_xlfn.ANCHORARRAY($E$1)*0,
_xlpm.Customer_comp,_xlfn.XLOOKUP(_xlpm.site,_xlpm.locations,_xlpm.comp,0,0),_xlpm.ann_incr,_xlfn.XLOOKUP(YEAR(_xlfn.ANCHORARRAY($E$25)),Base!$BJ$4:$BL$4,Base!$BJ82:$BL82,0,0),
_xlpm.bad_debt,_xlfn.XLOOKUP(_xlpm.site,_xlpm.locations,Base!$D$28:$BD$28,0,0),_xlpm.Customer_comp*_xlpm.Customer*_xlpm.bad_debt*_xlpm.ann_incr*(52/12))</f>
        <v>0</v>
      </c>
      <c r="F34" s="183">
        <v>0</v>
      </c>
      <c r="G34" s="183">
        <v>0</v>
      </c>
      <c r="H34" s="183">
        <v>0</v>
      </c>
      <c r="I34" s="183">
        <v>0</v>
      </c>
      <c r="J34" s="183">
        <v>0</v>
      </c>
      <c r="K34" s="183">
        <v>0</v>
      </c>
      <c r="L34" s="183">
        <v>0</v>
      </c>
      <c r="M34" s="183">
        <v>0</v>
      </c>
      <c r="N34" s="183">
        <v>0</v>
      </c>
      <c r="O34" s="183">
        <v>0</v>
      </c>
      <c r="P34" s="183">
        <v>0</v>
      </c>
      <c r="Q34" s="183">
        <v>0</v>
      </c>
      <c r="R34" s="183">
        <v>0</v>
      </c>
      <c r="S34" s="183">
        <v>0</v>
      </c>
      <c r="T34" s="183">
        <v>0</v>
      </c>
      <c r="U34" s="183">
        <v>0</v>
      </c>
      <c r="V34" s="183">
        <v>0</v>
      </c>
      <c r="W34" s="183">
        <v>0</v>
      </c>
      <c r="X34" s="183">
        <v>0</v>
      </c>
      <c r="Y34" s="183">
        <v>0</v>
      </c>
      <c r="Z34" s="183">
        <v>0</v>
      </c>
      <c r="AA34" s="183">
        <v>0</v>
      </c>
      <c r="AB34" s="183">
        <v>0</v>
      </c>
      <c r="AC34" s="183">
        <v>0</v>
      </c>
      <c r="AD34" s="183">
        <v>0</v>
      </c>
      <c r="AE34" s="183">
        <v>0</v>
      </c>
      <c r="AF34" s="183">
        <v>0</v>
      </c>
      <c r="AG34" s="183">
        <v>0</v>
      </c>
      <c r="AH34" s="183">
        <v>0</v>
      </c>
      <c r="AI34" s="183">
        <v>0</v>
      </c>
      <c r="AJ34" s="183">
        <v>0</v>
      </c>
      <c r="AK34" s="183">
        <v>0</v>
      </c>
      <c r="AL34" s="183">
        <v>0</v>
      </c>
      <c r="AM34" s="183">
        <v>0</v>
      </c>
      <c r="AN34" s="183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0</v>
      </c>
      <c r="F35" s="12">
        <v>0</v>
      </c>
      <c r="G35" s="12">
        <v>0</v>
      </c>
      <c r="H35" s="12">
        <v>0</v>
      </c>
      <c r="I35" s="12">
        <v>-1121.5046</v>
      </c>
      <c r="J35" s="12">
        <v>-3364.5137999999997</v>
      </c>
      <c r="K35" s="12">
        <v>-5607.5229999999992</v>
      </c>
      <c r="L35" s="12">
        <v>-6729.0275999999994</v>
      </c>
      <c r="M35" s="12">
        <v>-8972.0367999999999</v>
      </c>
      <c r="N35" s="12">
        <v>-11215.045999999998</v>
      </c>
      <c r="O35" s="12">
        <v>-13458.055199999999</v>
      </c>
      <c r="P35" s="12">
        <v>-14579.559799999999</v>
      </c>
      <c r="Q35" s="12">
        <v>-17327.246069999997</v>
      </c>
      <c r="R35" s="12">
        <v>-19637.545546000001</v>
      </c>
      <c r="S35" s="12">
        <v>-20792.695283999998</v>
      </c>
      <c r="T35" s="12">
        <v>-23102.994759999994</v>
      </c>
      <c r="U35" s="12">
        <v>-25413.294235999994</v>
      </c>
      <c r="V35" s="12">
        <v>-27723.593711999994</v>
      </c>
      <c r="W35" s="12">
        <v>-27723.593711999994</v>
      </c>
      <c r="X35" s="12">
        <v>-27723.593711999994</v>
      </c>
      <c r="Y35" s="12">
        <v>-27723.593711999994</v>
      </c>
      <c r="Z35" s="12">
        <v>-27723.593711999994</v>
      </c>
      <c r="AA35" s="12">
        <v>-27723.593711999994</v>
      </c>
      <c r="AB35" s="12">
        <v>-27723.593711999994</v>
      </c>
      <c r="AC35" s="12">
        <v>-27723.593711999994</v>
      </c>
      <c r="AD35" s="12">
        <v>-27723.593711999994</v>
      </c>
      <c r="AE35" s="12">
        <v>-27723.593711999994</v>
      </c>
      <c r="AF35" s="12">
        <v>-27723.593711999994</v>
      </c>
      <c r="AG35" s="12">
        <v>-27723.593711999994</v>
      </c>
      <c r="AH35" s="12">
        <v>-27723.593711999994</v>
      </c>
      <c r="AI35" s="12">
        <v>-27723.593711999994</v>
      </c>
      <c r="AJ35" s="12">
        <v>-27723.593711999994</v>
      </c>
      <c r="AK35" s="12">
        <v>-27723.593711999994</v>
      </c>
      <c r="AL35" s="12">
        <v>-27723.593711999994</v>
      </c>
      <c r="AM35" s="12">
        <v>-27723.593711999994</v>
      </c>
      <c r="AN35" s="12">
        <v>-27723.593711999994</v>
      </c>
    </row>
    <row r="36" spans="2:40" x14ac:dyDescent="0.25">
      <c r="B36" s="39" t="s">
        <v>261</v>
      </c>
      <c r="C36" s="15"/>
      <c r="E36" s="183" cm="1">
        <f t="array" ref="E36:AN36">_xlfn.BYCOL(_xlfn.ANCHORARRAY($E$25),_xlfn.LAMBDA(_xlpm.a,0))</f>
        <v>0</v>
      </c>
      <c r="F36" s="183">
        <v>0</v>
      </c>
      <c r="G36" s="183">
        <v>0</v>
      </c>
      <c r="H36" s="183">
        <v>0</v>
      </c>
      <c r="I36" s="183">
        <v>0</v>
      </c>
      <c r="J36" s="183">
        <v>0</v>
      </c>
      <c r="K36" s="183">
        <v>0</v>
      </c>
      <c r="L36" s="183">
        <v>0</v>
      </c>
      <c r="M36" s="183">
        <v>0</v>
      </c>
      <c r="N36" s="183">
        <v>0</v>
      </c>
      <c r="O36" s="183">
        <v>0</v>
      </c>
      <c r="P36" s="183">
        <v>0</v>
      </c>
      <c r="Q36" s="183">
        <v>0</v>
      </c>
      <c r="R36" s="183">
        <v>0</v>
      </c>
      <c r="S36" s="183">
        <v>0</v>
      </c>
      <c r="T36" s="183">
        <v>0</v>
      </c>
      <c r="U36" s="183">
        <v>0</v>
      </c>
      <c r="V36" s="183">
        <v>0</v>
      </c>
      <c r="W36" s="183">
        <v>0</v>
      </c>
      <c r="X36" s="183">
        <v>0</v>
      </c>
      <c r="Y36" s="183">
        <v>0</v>
      </c>
      <c r="Z36" s="183">
        <v>0</v>
      </c>
      <c r="AA36" s="183">
        <v>0</v>
      </c>
      <c r="AB36" s="183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271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0</v>
      </c>
      <c r="F37" s="13">
        <v>0</v>
      </c>
      <c r="G37" s="13">
        <v>0</v>
      </c>
      <c r="H37" s="13">
        <v>0</v>
      </c>
      <c r="I37" s="13">
        <v>8224.3670666666658</v>
      </c>
      <c r="J37" s="13">
        <v>24673.101199999997</v>
      </c>
      <c r="K37" s="13">
        <v>41121.835333333329</v>
      </c>
      <c r="L37" s="13">
        <v>49346.202399999995</v>
      </c>
      <c r="M37" s="13">
        <v>65794.936533333326</v>
      </c>
      <c r="N37" s="13">
        <v>82243.670666666658</v>
      </c>
      <c r="O37" s="13">
        <v>98692.404799999989</v>
      </c>
      <c r="P37" s="13">
        <v>106916.77186666666</v>
      </c>
      <c r="Q37" s="13">
        <v>127066.47117999999</v>
      </c>
      <c r="R37" s="13">
        <v>144008.66733733335</v>
      </c>
      <c r="S37" s="13">
        <v>152479.76541600001</v>
      </c>
      <c r="T37" s="13">
        <v>169421.96157333328</v>
      </c>
      <c r="U37" s="13">
        <v>186364.15773066663</v>
      </c>
      <c r="V37" s="13">
        <v>203306.35388799995</v>
      </c>
      <c r="W37" s="13">
        <v>203306.35388799995</v>
      </c>
      <c r="X37" s="13">
        <v>203306.35388799995</v>
      </c>
      <c r="Y37" s="13">
        <v>203306.35388799995</v>
      </c>
      <c r="Z37" s="13">
        <v>203306.35388799995</v>
      </c>
      <c r="AA37" s="13">
        <v>203306.35388799995</v>
      </c>
      <c r="AB37" s="13">
        <v>203306.35388799995</v>
      </c>
      <c r="AC37" s="13">
        <v>203306.35388799995</v>
      </c>
      <c r="AD37" s="13">
        <v>203306.35388799995</v>
      </c>
      <c r="AE37" s="13">
        <v>203306.35388799995</v>
      </c>
      <c r="AF37" s="13">
        <v>203306.35388799995</v>
      </c>
      <c r="AG37" s="13">
        <v>203306.35388799995</v>
      </c>
      <c r="AH37" s="13">
        <v>203306.35388799995</v>
      </c>
      <c r="AI37" s="13">
        <v>203306.35388799995</v>
      </c>
      <c r="AJ37" s="13">
        <v>203306.35388799995</v>
      </c>
      <c r="AK37" s="13">
        <v>203306.35388799995</v>
      </c>
      <c r="AL37" s="13">
        <v>203306.35388799995</v>
      </c>
      <c r="AM37" s="13">
        <v>203306.35388799995</v>
      </c>
      <c r="AN37" s="13">
        <v>203306.35388799995</v>
      </c>
    </row>
    <row r="38" spans="2:40" x14ac:dyDescent="0.25">
      <c r="E38" s="67"/>
      <c r="F38" s="67"/>
    </row>
    <row r="39" spans="2:40" x14ac:dyDescent="0.25">
      <c r="B39" s="1" t="s">
        <v>118</v>
      </c>
    </row>
    <row r="40" spans="2:40" x14ac:dyDescent="0.25">
      <c r="B40" s="39" t="s">
        <v>23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0</v>
      </c>
      <c r="F40" s="12">
        <v>0</v>
      </c>
      <c r="G40" s="12">
        <v>0</v>
      </c>
      <c r="H40" s="12">
        <v>0</v>
      </c>
      <c r="I40" s="12">
        <v>11983.585982178276</v>
      </c>
      <c r="J40" s="12">
        <v>25582.6354132015</v>
      </c>
      <c r="K40" s="12">
        <v>29668.718177558047</v>
      </c>
      <c r="L40" s="12">
        <v>32185.909559736327</v>
      </c>
      <c r="M40" s="12">
        <v>36538.792324092879</v>
      </c>
      <c r="N40" s="12">
        <v>40627.775088449431</v>
      </c>
      <c r="O40" s="12">
        <v>45098.419119472645</v>
      </c>
      <c r="P40" s="12">
        <v>47551.810501650929</v>
      </c>
      <c r="Q40" s="12">
        <v>56871.862592608231</v>
      </c>
      <c r="R40" s="12">
        <v>61660.033633400453</v>
      </c>
      <c r="S40" s="12">
        <v>64358.764153796539</v>
      </c>
      <c r="T40" s="12">
        <v>68923.635194588758</v>
      </c>
      <c r="U40" s="12">
        <v>73736.605295380956</v>
      </c>
      <c r="V40" s="12">
        <v>75236.41800283984</v>
      </c>
      <c r="W40" s="12">
        <v>75236.41800283984</v>
      </c>
      <c r="X40" s="12">
        <v>75236.41800283984</v>
      </c>
      <c r="Y40" s="12">
        <v>75236.41800283984</v>
      </c>
      <c r="Z40" s="12">
        <v>75236.41800283984</v>
      </c>
      <c r="AA40" s="12">
        <v>75236.41800283984</v>
      </c>
      <c r="AB40" s="12">
        <v>75236.41800283984</v>
      </c>
      <c r="AC40" s="12">
        <v>82760.059803123833</v>
      </c>
      <c r="AD40" s="12">
        <v>82760.059803123833</v>
      </c>
      <c r="AE40" s="12">
        <v>82760.059803123833</v>
      </c>
      <c r="AF40" s="12">
        <v>82760.059803123833</v>
      </c>
      <c r="AG40" s="12">
        <v>82760.059803123833</v>
      </c>
      <c r="AH40" s="12">
        <v>82760.059803123833</v>
      </c>
      <c r="AI40" s="12">
        <v>82760.059803123833</v>
      </c>
      <c r="AJ40" s="12">
        <v>82760.059803123833</v>
      </c>
      <c r="AK40" s="12">
        <v>82760.059803123833</v>
      </c>
      <c r="AL40" s="12">
        <v>82760.059803123833</v>
      </c>
      <c r="AM40" s="12">
        <v>82760.059803123833</v>
      </c>
      <c r="AN40" s="12">
        <v>82760.059803123833</v>
      </c>
    </row>
    <row r="41" spans="2:40" x14ac:dyDescent="0.25">
      <c r="B41" s="39" t="s">
        <v>388</v>
      </c>
      <c r="C41" s="142">
        <f>_xlfn.XLOOKUP($B$1&amp;"-"&amp;$C$1,Base!$D$4:$BD$4,Base!$D$12:$BD$12,0,0)</f>
        <v>0</v>
      </c>
      <c r="E41" s="183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28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0</v>
      </c>
      <c r="AJ42" s="12">
        <v>0</v>
      </c>
      <c r="AK42" s="12">
        <v>0</v>
      </c>
      <c r="AL42" s="12">
        <v>0</v>
      </c>
      <c r="AM42" s="12">
        <v>0</v>
      </c>
      <c r="AN42" s="12">
        <v>0</v>
      </c>
    </row>
    <row r="43" spans="2:40" x14ac:dyDescent="0.25">
      <c r="B43" s="39" t="s">
        <v>31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0</v>
      </c>
      <c r="X43" s="12">
        <v>0</v>
      </c>
      <c r="Y43" s="12">
        <v>0</v>
      </c>
      <c r="Z43" s="12">
        <v>0</v>
      </c>
      <c r="AA43" s="12">
        <v>0</v>
      </c>
      <c r="AB43" s="12">
        <v>0</v>
      </c>
      <c r="AC43" s="12">
        <v>0</v>
      </c>
      <c r="AD43" s="12">
        <v>0</v>
      </c>
      <c r="AE43" s="12">
        <v>0</v>
      </c>
      <c r="AF43" s="12">
        <v>0</v>
      </c>
      <c r="AG43" s="12">
        <v>0</v>
      </c>
      <c r="AH43" s="12">
        <v>0</v>
      </c>
      <c r="AI43" s="12">
        <v>0</v>
      </c>
      <c r="AJ43" s="12">
        <v>0</v>
      </c>
      <c r="AK43" s="12">
        <v>0</v>
      </c>
      <c r="AL43" s="12">
        <v>0</v>
      </c>
      <c r="AM43" s="12">
        <v>0</v>
      </c>
      <c r="AN43" s="12">
        <v>0</v>
      </c>
    </row>
    <row r="44" spans="2:40" x14ac:dyDescent="0.25">
      <c r="B44" s="39" t="s">
        <v>34</v>
      </c>
      <c r="C44" s="96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0</v>
      </c>
      <c r="F44" s="12">
        <v>0</v>
      </c>
      <c r="G44" s="12">
        <v>0</v>
      </c>
      <c r="H44" s="12">
        <v>0</v>
      </c>
      <c r="I44" s="12">
        <v>350.41759999999999</v>
      </c>
      <c r="J44" s="12">
        <v>849.08879999999999</v>
      </c>
      <c r="K44" s="12">
        <v>865.93580000000009</v>
      </c>
      <c r="L44" s="12">
        <v>892.89099999999996</v>
      </c>
      <c r="M44" s="12">
        <v>919.84619999999995</v>
      </c>
      <c r="N44" s="12">
        <v>936.69320000000005</v>
      </c>
      <c r="O44" s="12">
        <v>963.64839999999981</v>
      </c>
      <c r="P44" s="12">
        <v>987.2342000000001</v>
      </c>
      <c r="Q44" s="12">
        <v>1047.7486240000003</v>
      </c>
      <c r="R44" s="12">
        <v>1075.7820319999998</v>
      </c>
      <c r="S44" s="12">
        <v>1100.3112639999999</v>
      </c>
      <c r="T44" s="12">
        <v>1121.3363200000001</v>
      </c>
      <c r="U44" s="12">
        <v>1149.3697279999999</v>
      </c>
      <c r="V44" s="12">
        <v>1030.227744</v>
      </c>
      <c r="W44" s="12">
        <v>1030.227744</v>
      </c>
      <c r="X44" s="12">
        <v>1030.227744</v>
      </c>
      <c r="Y44" s="12">
        <v>1030.227744</v>
      </c>
      <c r="Z44" s="12">
        <v>1030.227744</v>
      </c>
      <c r="AA44" s="12">
        <v>1030.227744</v>
      </c>
      <c r="AB44" s="12">
        <v>1030.227744</v>
      </c>
      <c r="AC44" s="12">
        <v>1071.4368537600003</v>
      </c>
      <c r="AD44" s="12">
        <v>1071.4368537600003</v>
      </c>
      <c r="AE44" s="12">
        <v>1071.4368537600003</v>
      </c>
      <c r="AF44" s="12">
        <v>1071.4368537600003</v>
      </c>
      <c r="AG44" s="12">
        <v>1071.4368537600003</v>
      </c>
      <c r="AH44" s="12">
        <v>1071.4368537600003</v>
      </c>
      <c r="AI44" s="12">
        <v>1071.4368537600003</v>
      </c>
      <c r="AJ44" s="12">
        <v>1071.4368537600003</v>
      </c>
      <c r="AK44" s="12">
        <v>1071.4368537600003</v>
      </c>
      <c r="AL44" s="12">
        <v>1071.4368537600003</v>
      </c>
      <c r="AM44" s="12">
        <v>1071.4368537600003</v>
      </c>
      <c r="AN44" s="12">
        <v>1071.4368537600003</v>
      </c>
    </row>
    <row r="45" spans="2:40" x14ac:dyDescent="0.25">
      <c r="B45" s="39" t="s">
        <v>36</v>
      </c>
      <c r="C45" s="96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0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12">
        <v>0</v>
      </c>
      <c r="R45" s="12">
        <v>0</v>
      </c>
      <c r="S45" s="12">
        <v>0</v>
      </c>
      <c r="T45" s="12">
        <v>0</v>
      </c>
      <c r="U45" s="12">
        <v>0</v>
      </c>
      <c r="V45" s="12">
        <v>0</v>
      </c>
      <c r="W45" s="12">
        <v>0</v>
      </c>
      <c r="X45" s="12">
        <v>0</v>
      </c>
      <c r="Y45" s="12">
        <v>0</v>
      </c>
      <c r="Z45" s="12">
        <v>0</v>
      </c>
      <c r="AA45" s="12">
        <v>0</v>
      </c>
      <c r="AB45" s="12">
        <v>0</v>
      </c>
      <c r="AC45" s="12">
        <v>0</v>
      </c>
      <c r="AD45" s="12">
        <v>0</v>
      </c>
      <c r="AE45" s="12">
        <v>0</v>
      </c>
      <c r="AF45" s="12">
        <v>0</v>
      </c>
      <c r="AG45" s="12">
        <v>0</v>
      </c>
      <c r="AH45" s="12">
        <v>0</v>
      </c>
      <c r="AI45" s="12">
        <v>0</v>
      </c>
      <c r="AJ45" s="12">
        <v>0</v>
      </c>
      <c r="AK45" s="12">
        <v>0</v>
      </c>
      <c r="AL45" s="12">
        <v>0</v>
      </c>
      <c r="AM45" s="12">
        <v>0</v>
      </c>
      <c r="AN45" s="12">
        <v>0</v>
      </c>
    </row>
    <row r="46" spans="2:40" x14ac:dyDescent="0.25">
      <c r="B46" s="39" t="s">
        <v>38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0</v>
      </c>
      <c r="F46" s="12">
        <v>0</v>
      </c>
      <c r="G46" s="12">
        <v>0</v>
      </c>
      <c r="H46" s="12">
        <v>0</v>
      </c>
      <c r="I46" s="12">
        <v>2160</v>
      </c>
      <c r="J46" s="12">
        <v>3439.9999999999995</v>
      </c>
      <c r="K46" s="12">
        <v>4004.9999999999995</v>
      </c>
      <c r="L46" s="12">
        <v>4315</v>
      </c>
      <c r="M46" s="12">
        <v>4895</v>
      </c>
      <c r="N46" s="12">
        <v>5459.9999999999991</v>
      </c>
      <c r="O46" s="12">
        <v>6050.0000000000009</v>
      </c>
      <c r="P46" s="12">
        <v>6355.0000000000009</v>
      </c>
      <c r="Q46" s="12">
        <v>7063.5000000000009</v>
      </c>
      <c r="R46" s="12">
        <v>7655.1</v>
      </c>
      <c r="S46" s="12">
        <v>7966.1999999999989</v>
      </c>
      <c r="T46" s="12">
        <v>8547.6</v>
      </c>
      <c r="U46" s="12">
        <v>9144.2999999999993</v>
      </c>
      <c r="V46" s="12">
        <v>9526.7999999999993</v>
      </c>
      <c r="W46" s="12">
        <v>9526.7999999999993</v>
      </c>
      <c r="X46" s="12">
        <v>9526.7999999999993</v>
      </c>
      <c r="Y46" s="12">
        <v>9526.7999999999993</v>
      </c>
      <c r="Z46" s="12">
        <v>9526.7999999999993</v>
      </c>
      <c r="AA46" s="12">
        <v>9526.7999999999993</v>
      </c>
      <c r="AB46" s="12">
        <v>9526.7999999999993</v>
      </c>
      <c r="AC46" s="12">
        <v>9717.3359999999993</v>
      </c>
      <c r="AD46" s="12">
        <v>9717.3359999999993</v>
      </c>
      <c r="AE46" s="12">
        <v>9717.3359999999993</v>
      </c>
      <c r="AF46" s="12">
        <v>9717.3359999999993</v>
      </c>
      <c r="AG46" s="12">
        <v>9717.3359999999993</v>
      </c>
      <c r="AH46" s="12">
        <v>9717.3359999999993</v>
      </c>
      <c r="AI46" s="12">
        <v>9717.3359999999993</v>
      </c>
      <c r="AJ46" s="12">
        <v>9717.3359999999993</v>
      </c>
      <c r="AK46" s="12">
        <v>9717.3359999999993</v>
      </c>
      <c r="AL46" s="12">
        <v>9717.3359999999993</v>
      </c>
      <c r="AM46" s="12">
        <v>9717.3359999999993</v>
      </c>
      <c r="AN46" s="12">
        <v>9717.3359999999993</v>
      </c>
    </row>
    <row r="47" spans="2:40" x14ac:dyDescent="0.25">
      <c r="B47" s="39" t="s">
        <v>40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  <c r="O47" s="12">
        <v>0</v>
      </c>
      <c r="P47" s="12">
        <v>0</v>
      </c>
      <c r="Q47" s="12">
        <v>0</v>
      </c>
      <c r="R47" s="12">
        <v>0</v>
      </c>
      <c r="S47" s="12">
        <v>0</v>
      </c>
      <c r="T47" s="12">
        <v>0</v>
      </c>
      <c r="U47" s="12">
        <v>0</v>
      </c>
      <c r="V47" s="12">
        <v>0</v>
      </c>
      <c r="W47" s="12">
        <v>0</v>
      </c>
      <c r="X47" s="12">
        <v>0</v>
      </c>
      <c r="Y47" s="12">
        <v>0</v>
      </c>
      <c r="Z47" s="12">
        <v>0</v>
      </c>
      <c r="AA47" s="12">
        <v>0</v>
      </c>
      <c r="AB47" s="12">
        <v>0</v>
      </c>
      <c r="AC47" s="12">
        <v>0</v>
      </c>
      <c r="AD47" s="12">
        <v>0</v>
      </c>
      <c r="AE47" s="12">
        <v>0</v>
      </c>
      <c r="AF47" s="12">
        <v>0</v>
      </c>
      <c r="AG47" s="12">
        <v>0</v>
      </c>
      <c r="AH47" s="12">
        <v>0</v>
      </c>
      <c r="AI47" s="12">
        <v>0</v>
      </c>
      <c r="AJ47" s="12">
        <v>0</v>
      </c>
      <c r="AK47" s="12">
        <v>0</v>
      </c>
      <c r="AL47" s="12">
        <v>0</v>
      </c>
      <c r="AM47" s="12">
        <v>0</v>
      </c>
      <c r="AN47" s="12">
        <v>0</v>
      </c>
    </row>
    <row r="48" spans="2:40" x14ac:dyDescent="0.25">
      <c r="B48" s="39" t="s">
        <v>41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42</v>
      </c>
      <c r="E49" s="12">
        <f>'Corp.'!E$50*(E$37-(E31-E32-E34)*$C$35)/(SUM('MDA1:NCA9'!E$37)-SUM('MDA1:NCA9'!E$31)-SUM('MDA1:NCA9'!E$32)-SUM('MDA1:NCA9'!E$34))</f>
        <v>0</v>
      </c>
      <c r="F49" s="12">
        <f>'Corp.'!F$50*(F$37-(F31-F32-F34)*$C$35)/(SUM('MDA1:NCA9'!F$37)-SUM('MDA1:NCA9'!F$31)-SUM('MDA1:NCA9'!F$32)-SUM('MDA1:NCA9'!F$34))</f>
        <v>0</v>
      </c>
      <c r="G49" s="12">
        <f>'Corp.'!G$50*(G$37-(G31-G32-G34)*$C$35)/(SUM('MDA1:NCA9'!G$37)-SUM('MDA1:NCA9'!G$31)-SUM('MDA1:NCA9'!G$32)-SUM('MDA1:NCA9'!G$34))</f>
        <v>0</v>
      </c>
      <c r="H49" s="12">
        <f>'Corp.'!H$50*(H$37-(H31-H32-H34)*$C$35)/(SUM('MDA1:NCA9'!H$37)-SUM('MDA1:NCA9'!H$31)-SUM('MDA1:NCA9'!H$32)-SUM('MDA1:NCA9'!H$34))</f>
        <v>0</v>
      </c>
      <c r="I49" s="12">
        <f>'Corp.'!I$50*(I$37-(I31-I32-I34)*$C$35)/(SUM('MDA1:NCA9'!I$37)-SUM('MDA1:NCA9'!I$31)-SUM('MDA1:NCA9'!I$32)-SUM('MDA1:NCA9'!I$34))</f>
        <v>2003.633724703679</v>
      </c>
      <c r="J49" s="12">
        <f>'Corp.'!J$50*(J$37-(J31-J32-J34)*$C$35)/(SUM('MDA1:NCA9'!J$37)-SUM('MDA1:NCA9'!J$31)-SUM('MDA1:NCA9'!J$32)-SUM('MDA1:NCA9'!J$34))</f>
        <v>5618.1907655231189</v>
      </c>
      <c r="K49" s="12">
        <f>'Corp.'!K$50*(K$37-(K31-K32-K34)*$C$35)/(SUM('MDA1:NCA9'!K$37)-SUM('MDA1:NCA9'!K$31)-SUM('MDA1:NCA9'!K$32)-SUM('MDA1:NCA9'!K$34))</f>
        <v>8600.4039190645453</v>
      </c>
      <c r="L49" s="12">
        <f>'Corp.'!L$50*(L$37-(L31-L32-L34)*$C$35)/(SUM('MDA1:NCA9'!L$37)-SUM('MDA1:NCA9'!L$31)-SUM('MDA1:NCA9'!L$32)-SUM('MDA1:NCA9'!L$34))</f>
        <v>9752.8358017695246</v>
      </c>
      <c r="M49" s="12">
        <f>'Corp.'!M$50*(M$37-(M31-M32-M34)*$C$35)/(SUM('MDA1:NCA9'!M$37)-SUM('MDA1:NCA9'!M$31)-SUM('MDA1:NCA9'!M$32)-SUM('MDA1:NCA9'!M$34))</f>
        <v>12186.522273242219</v>
      </c>
      <c r="N49" s="12">
        <f>'Corp.'!N$50*(N$37-(N31-N32-N34)*$C$35)/(SUM('MDA1:NCA9'!N$37)-SUM('MDA1:NCA9'!N$31)-SUM('MDA1:NCA9'!N$32)-SUM('MDA1:NCA9'!N$34))</f>
        <v>14353.911381436239</v>
      </c>
      <c r="O49" s="12">
        <f>'Corp.'!O$50*(O$37-(O31-O32-O34)*$C$35)/(SUM('MDA1:NCA9'!O$37)-SUM('MDA1:NCA9'!O$31)-SUM('MDA1:NCA9'!O$32)-SUM('MDA1:NCA9'!O$34))</f>
        <v>16120.574478470673</v>
      </c>
      <c r="P49" s="12">
        <f>'Corp.'!P$50*(P$37-(P31-P32-P34)*$C$35)/(SUM('MDA1:NCA9'!P$37)-SUM('MDA1:NCA9'!P$31)-SUM('MDA1:NCA9'!P$32)-SUM('MDA1:NCA9'!P$34))</f>
        <v>16479.815572375574</v>
      </c>
      <c r="Q49" s="12">
        <f>'Corp.'!Q$50*(Q$37-(Q31-Q32-Q34)*$C$35)/(SUM('MDA1:NCA9'!Q$37)-SUM('MDA1:NCA9'!Q$31)-SUM('MDA1:NCA9'!Q$32)-SUM('MDA1:NCA9'!Q$34))</f>
        <v>19657.464903779532</v>
      </c>
      <c r="R49" s="12">
        <f>'Corp.'!R$50*(R$37-(R31-R32-R34)*$C$35)/(SUM('MDA1:NCA9'!R$37)-SUM('MDA1:NCA9'!R$31)-SUM('MDA1:NCA9'!R$32)-SUM('MDA1:NCA9'!R$34))</f>
        <v>21434.625349371672</v>
      </c>
      <c r="S49" s="12">
        <f>'Corp.'!S$50*(S$37-(S31-S32-S34)*$C$35)/(SUM('MDA1:NCA9'!S$37)-SUM('MDA1:NCA9'!S$31)-SUM('MDA1:NCA9'!S$32)-SUM('MDA1:NCA9'!S$34))</f>
        <v>21713.378707260559</v>
      </c>
      <c r="T49" s="12">
        <f>'Corp.'!T$50*(T$37-(T31-T32-T34)*$C$35)/(SUM('MDA1:NCA9'!T$37)-SUM('MDA1:NCA9'!T$31)-SUM('MDA1:NCA9'!T$32)-SUM('MDA1:NCA9'!T$34))</f>
        <v>23202.29366971385</v>
      </c>
      <c r="U49" s="12">
        <f>'Corp.'!U$50*(U$37-(U31-U32-U34)*$C$35)/(SUM('MDA1:NCA9'!U$37)-SUM('MDA1:NCA9'!U$31)-SUM('MDA1:NCA9'!U$32)-SUM('MDA1:NCA9'!U$34))</f>
        <v>24825.90496168481</v>
      </c>
      <c r="V49" s="12">
        <f>'Corp.'!V$50*(V$37-(V31-V32-V34)*$C$35)/(SUM('MDA1:NCA9'!V$37)-SUM('MDA1:NCA9'!V$31)-SUM('MDA1:NCA9'!V$32)-SUM('MDA1:NCA9'!V$34))</f>
        <v>26463.222424857202</v>
      </c>
      <c r="W49" s="12">
        <f>'Corp.'!W$50*(W$37-(W31-W32-W34)*$C$35)/(SUM('MDA1:NCA9'!W$37)-SUM('MDA1:NCA9'!W$31)-SUM('MDA1:NCA9'!W$32)-SUM('MDA1:NCA9'!W$34))</f>
        <v>25658.938776925617</v>
      </c>
      <c r="X49" s="12">
        <f>'Corp.'!X$50*(X$37-(X31-X32-X34)*$C$35)/(SUM('MDA1:NCA9'!X$37)-SUM('MDA1:NCA9'!X$31)-SUM('MDA1:NCA9'!X$32)-SUM('MDA1:NCA9'!X$34))</f>
        <v>24855.20695612995</v>
      </c>
      <c r="Y49" s="12">
        <f>'Corp.'!Y$50*(Y$37-(Y31-Y32-Y34)*$C$35)/(SUM('MDA1:NCA9'!Y$37)-SUM('MDA1:NCA9'!Y$31)-SUM('MDA1:NCA9'!Y$32)-SUM('MDA1:NCA9'!Y$34))</f>
        <v>24328.614149428795</v>
      </c>
      <c r="Z49" s="12">
        <f>'Corp.'!Z$50*(Z$37-(Z31-Z32-Z34)*$C$35)/(SUM('MDA1:NCA9'!Z$37)-SUM('MDA1:NCA9'!Z$31)-SUM('MDA1:NCA9'!Z$32)-SUM('MDA1:NCA9'!Z$34))</f>
        <v>23800.255036906216</v>
      </c>
      <c r="AA49" s="12">
        <f>'Corp.'!AA$50*(AA$37-(AA31-AA32-AA34)*$C$35)/(SUM('MDA1:NCA9'!AA$37)-SUM('MDA1:NCA9'!AA$31)-SUM('MDA1:NCA9'!AA$32)-SUM('MDA1:NCA9'!AA$34))</f>
        <v>23256.101793290807</v>
      </c>
      <c r="AB49" s="12">
        <f>'Corp.'!AB$50*(AB$37-(AB31-AB32-AB34)*$C$35)/(SUM('MDA1:NCA9'!AB$37)-SUM('MDA1:NCA9'!AB$31)-SUM('MDA1:NCA9'!AB$32)-SUM('MDA1:NCA9'!AB$34))</f>
        <v>22728.32805108387</v>
      </c>
      <c r="AC49" s="12">
        <f>'Corp.'!AC$50*(AC$37-(AC31-AC32-AC34)*$C$35)/(SUM('MDA1:NCA9'!AC$37)-SUM('MDA1:NCA9'!AC$31)-SUM('MDA1:NCA9'!AC$32)-SUM('MDA1:NCA9'!AC$34))</f>
        <v>24393.116262000727</v>
      </c>
      <c r="AD49" s="12">
        <f>'Corp.'!AD$50*(AD$37-(AD31-AD32-AD34)*$C$35)/(SUM('MDA1:NCA9'!AD$37)-SUM('MDA1:NCA9'!AD$31)-SUM('MDA1:NCA9'!AD$32)-SUM('MDA1:NCA9'!AD$34))</f>
        <v>23992.384246946993</v>
      </c>
      <c r="AE49" s="12">
        <f>'Corp.'!AE$50*(AE$37-(AE31-AE32-AE34)*$C$35)/(SUM('MDA1:NCA9'!AE$37)-SUM('MDA1:NCA9'!AE$31)-SUM('MDA1:NCA9'!AE$32)-SUM('MDA1:NCA9'!AE$34))</f>
        <v>23614.531887835434</v>
      </c>
      <c r="AF49" s="12">
        <f>'Corp.'!AF$50*(AF$37-(AF31-AF32-AF34)*$C$35)/(SUM('MDA1:NCA9'!AF$37)-SUM('MDA1:NCA9'!AF$31)-SUM('MDA1:NCA9'!AF$32)-SUM('MDA1:NCA9'!AF$34))</f>
        <v>23260.471839546066</v>
      </c>
      <c r="AG49" s="12">
        <f>'Corp.'!AG$50*(AG$37-(AG31-AG32-AG34)*$C$35)/(SUM('MDA1:NCA9'!AG$37)-SUM('MDA1:NCA9'!AG$31)-SUM('MDA1:NCA9'!AG$32)-SUM('MDA1:NCA9'!AG$34))</f>
        <v>22976.532152122585</v>
      </c>
      <c r="AH49" s="12">
        <f>'Corp.'!AH$50*(AH$37-(AH31-AH32-AH34)*$C$35)/(SUM('MDA1:NCA9'!AH$37)-SUM('MDA1:NCA9'!AH$31)-SUM('MDA1:NCA9'!AH$32)-SUM('MDA1:NCA9'!AH$34))</f>
        <v>22603.045450998201</v>
      </c>
      <c r="AI49" s="12">
        <f>'Corp.'!AI$50*(AI$37-(AI31-AI32-AI34)*$C$35)/(SUM('MDA1:NCA9'!AI$37)-SUM('MDA1:NCA9'!AI$31)-SUM('MDA1:NCA9'!AI$32)-SUM('MDA1:NCA9'!AI$34))</f>
        <v>22213.828616816445</v>
      </c>
      <c r="AJ49" s="12">
        <f>'Corp.'!AJ$50*(AJ$37-(AJ31-AJ32-AJ34)*$C$35)/(SUM('MDA1:NCA9'!AJ$37)-SUM('MDA1:NCA9'!AJ$31)-SUM('MDA1:NCA9'!AJ$32)-SUM('MDA1:NCA9'!AJ$34))</f>
        <v>21815.050997731094</v>
      </c>
      <c r="AK49" s="12">
        <f>'Corp.'!AK$50*(AK$37-(AK31-AK32-AK34)*$C$35)/(SUM('MDA1:NCA9'!AK$37)-SUM('MDA1:NCA9'!AK$31)-SUM('MDA1:NCA9'!AK$32)-SUM('MDA1:NCA9'!AK$34))</f>
        <v>21446.829438828536</v>
      </c>
      <c r="AL49" s="12">
        <f>'Corp.'!AL$50*(AL$37-(AL31-AL32-AL34)*$C$35)/(SUM('MDA1:NCA9'!AL$37)-SUM('MDA1:NCA9'!AL$31)-SUM('MDA1:NCA9'!AL$32)-SUM('MDA1:NCA9'!AL$34))</f>
        <v>21108.92697424068</v>
      </c>
      <c r="AM49" s="12">
        <f>'Corp.'!AM$50*(AM$37-(AM31-AM32-AM34)*$C$35)/(SUM('MDA1:NCA9'!AM$37)-SUM('MDA1:NCA9'!AM$31)-SUM('MDA1:NCA9'!AM$32)-SUM('MDA1:NCA9'!AM$34))</f>
        <v>20745.022866408221</v>
      </c>
      <c r="AN49" s="12">
        <f>'Corp.'!AN$50*(AN$37-(AN31-AN32-AN34)*$C$35)/(SUM('MDA1:NCA9'!AN$37)-SUM('MDA1:NCA9'!AN$31)-SUM('MDA1:NCA9'!AN$32)-SUM('MDA1:NCA9'!AN$34))</f>
        <v>20434.824344544046</v>
      </c>
    </row>
    <row r="50" spans="2:40" x14ac:dyDescent="0.25">
      <c r="B50" s="1" t="s">
        <v>272</v>
      </c>
      <c r="E50" s="13" cm="1">
        <f t="array" ref="E50:AN50">_xlfn.BYCOL(_xlfn.VSTACK(_xlfn.ANCHORARRAY(E40),_xlfn.ANCHORARRAY(E42),_xlfn.ANCHORARRAY(E43),_xlfn.ANCHORARRAY(E45),_xlfn.ANCHORARRAY(E46),_xlfn.ANCHORARRAY(E47),_xlfn.ANCHORARRAY(E48),_xlfn.HSTACK(E49:AN49)),_xlfn.LAMBDA(_xlpm.a,SUM(_xlpm.a)))</f>
        <v>0</v>
      </c>
      <c r="F50" s="13">
        <v>0</v>
      </c>
      <c r="G50" s="13">
        <v>0</v>
      </c>
      <c r="H50" s="13">
        <v>0</v>
      </c>
      <c r="I50" s="13">
        <v>16147.219706881955</v>
      </c>
      <c r="J50" s="13">
        <v>34640.826178724616</v>
      </c>
      <c r="K50" s="13">
        <v>42274.122096622596</v>
      </c>
      <c r="L50" s="13">
        <v>46253.745361505848</v>
      </c>
      <c r="M50" s="13">
        <v>53620.314597335098</v>
      </c>
      <c r="N50" s="13">
        <v>60441.686469885666</v>
      </c>
      <c r="O50" s="13">
        <v>67268.993597943321</v>
      </c>
      <c r="P50" s="13">
        <v>70386.626074026499</v>
      </c>
      <c r="Q50" s="13">
        <v>83592.827496387763</v>
      </c>
      <c r="R50" s="13">
        <v>90749.758982772124</v>
      </c>
      <c r="S50" s="13">
        <v>94038.342861057099</v>
      </c>
      <c r="T50" s="13">
        <v>100673.52886430261</v>
      </c>
      <c r="U50" s="13">
        <v>107706.81025706576</v>
      </c>
      <c r="V50" s="13">
        <v>111226.44042769705</v>
      </c>
      <c r="W50" s="13">
        <v>110422.15677976546</v>
      </c>
      <c r="X50" s="13">
        <v>109618.42495896979</v>
      </c>
      <c r="Y50" s="13">
        <v>109091.83215226865</v>
      </c>
      <c r="Z50" s="13">
        <v>108563.47303974605</v>
      </c>
      <c r="AA50" s="13">
        <v>108019.31979613064</v>
      </c>
      <c r="AB50" s="13">
        <v>107491.54605392371</v>
      </c>
      <c r="AC50" s="13">
        <v>116870.51206512455</v>
      </c>
      <c r="AD50" s="13">
        <v>116469.78005007083</v>
      </c>
      <c r="AE50" s="13">
        <v>116091.92769095926</v>
      </c>
      <c r="AF50" s="13">
        <v>115737.86764266989</v>
      </c>
      <c r="AG50" s="13">
        <v>115453.92795524641</v>
      </c>
      <c r="AH50" s="13">
        <v>115080.44125412204</v>
      </c>
      <c r="AI50" s="13">
        <v>114691.22441994028</v>
      </c>
      <c r="AJ50" s="13">
        <v>114292.44680085493</v>
      </c>
      <c r="AK50" s="13">
        <v>113924.22524195237</v>
      </c>
      <c r="AL50" s="13">
        <v>113586.3227773645</v>
      </c>
      <c r="AM50" s="13">
        <v>113222.41866953205</v>
      </c>
      <c r="AN50" s="13">
        <v>112912.22014766787</v>
      </c>
    </row>
    <row r="52" spans="2:40" x14ac:dyDescent="0.25">
      <c r="B52" s="1" t="s">
        <v>48</v>
      </c>
      <c r="E52" s="74">
        <f>E37-E50</f>
        <v>0</v>
      </c>
      <c r="F52" s="74">
        <f t="shared" ref="F52:AN52" si="0">F37-F50</f>
        <v>0</v>
      </c>
      <c r="G52" s="74">
        <f t="shared" si="0"/>
        <v>0</v>
      </c>
      <c r="H52" s="74">
        <f t="shared" si="0"/>
        <v>0</v>
      </c>
      <c r="I52" s="74">
        <f t="shared" si="0"/>
        <v>-7922.8526402152893</v>
      </c>
      <c r="J52" s="74">
        <f t="shared" si="0"/>
        <v>-9967.7249787246183</v>
      </c>
      <c r="K52" s="74">
        <f t="shared" si="0"/>
        <v>-1152.2867632892667</v>
      </c>
      <c r="L52" s="74">
        <f t="shared" si="0"/>
        <v>3092.4570384941471</v>
      </c>
      <c r="M52" s="74">
        <f t="shared" si="0"/>
        <v>12174.621935998228</v>
      </c>
      <c r="N52" s="74">
        <f t="shared" si="0"/>
        <v>21801.984196780992</v>
      </c>
      <c r="O52" s="74">
        <f t="shared" si="0"/>
        <v>31423.411202056668</v>
      </c>
      <c r="P52" s="74">
        <f t="shared" si="0"/>
        <v>36530.145792640164</v>
      </c>
      <c r="Q52" s="74">
        <f t="shared" si="0"/>
        <v>43473.64368361223</v>
      </c>
      <c r="R52" s="74">
        <f t="shared" si="0"/>
        <v>53258.908354561223</v>
      </c>
      <c r="S52" s="74">
        <f t="shared" si="0"/>
        <v>58441.42255494291</v>
      </c>
      <c r="T52" s="74">
        <f t="shared" si="0"/>
        <v>68748.432709030661</v>
      </c>
      <c r="U52" s="74">
        <f t="shared" si="0"/>
        <v>78657.347473600865</v>
      </c>
      <c r="V52" s="74">
        <f t="shared" si="0"/>
        <v>92079.913460302909</v>
      </c>
      <c r="W52" s="74">
        <f t="shared" si="0"/>
        <v>92884.197108234497</v>
      </c>
      <c r="X52" s="74">
        <f t="shared" si="0"/>
        <v>93687.928929030168</v>
      </c>
      <c r="Y52" s="74">
        <f t="shared" si="0"/>
        <v>94214.521735731309</v>
      </c>
      <c r="Z52" s="74">
        <f t="shared" si="0"/>
        <v>94742.880848253903</v>
      </c>
      <c r="AA52" s="74">
        <f t="shared" si="0"/>
        <v>95287.034091869311</v>
      </c>
      <c r="AB52" s="74">
        <f t="shared" si="0"/>
        <v>95814.807834076244</v>
      </c>
      <c r="AC52" s="74">
        <f t="shared" si="0"/>
        <v>86435.841822875402</v>
      </c>
      <c r="AD52" s="74">
        <f t="shared" si="0"/>
        <v>86836.573837929129</v>
      </c>
      <c r="AE52" s="74">
        <f t="shared" si="0"/>
        <v>87214.426197040695</v>
      </c>
      <c r="AF52" s="74">
        <f t="shared" si="0"/>
        <v>87568.486245330059</v>
      </c>
      <c r="AG52" s="74">
        <f t="shared" si="0"/>
        <v>87852.42593275354</v>
      </c>
      <c r="AH52" s="74">
        <f t="shared" si="0"/>
        <v>88225.912633877917</v>
      </c>
      <c r="AI52" s="74">
        <f t="shared" si="0"/>
        <v>88615.129468059677</v>
      </c>
      <c r="AJ52" s="74">
        <f t="shared" si="0"/>
        <v>89013.907087145024</v>
      </c>
      <c r="AK52" s="74">
        <f t="shared" si="0"/>
        <v>89382.128646047582</v>
      </c>
      <c r="AL52" s="74">
        <f t="shared" si="0"/>
        <v>89720.031110635449</v>
      </c>
      <c r="AM52" s="74">
        <f t="shared" si="0"/>
        <v>90083.935218467901</v>
      </c>
      <c r="AN52" s="74">
        <f t="shared" si="0"/>
        <v>90394.133740332079</v>
      </c>
    </row>
    <row r="53" spans="2:40" x14ac:dyDescent="0.25">
      <c r="E53" s="105" t="str">
        <f>IFERROR(E52/E37,"")</f>
        <v/>
      </c>
      <c r="F53" s="105" t="str">
        <f t="shared" ref="F53:AN53" si="1">IFERROR(F52/F37,"")</f>
        <v/>
      </c>
      <c r="G53" s="105" t="str">
        <f t="shared" si="1"/>
        <v/>
      </c>
      <c r="H53" s="105" t="str">
        <f t="shared" si="1"/>
        <v/>
      </c>
      <c r="I53" s="105">
        <f t="shared" si="1"/>
        <v>-0.96333888991003169</v>
      </c>
      <c r="J53" s="105">
        <f t="shared" si="1"/>
        <v>-0.40399157357343546</v>
      </c>
      <c r="K53" s="105">
        <f t="shared" si="1"/>
        <v>-2.8021287327008575E-2</v>
      </c>
      <c r="L53" s="105">
        <f t="shared" si="1"/>
        <v>6.2668592274370188E-2</v>
      </c>
      <c r="M53" s="105">
        <f t="shared" si="1"/>
        <v>0.18503888866630741</v>
      </c>
      <c r="N53" s="105">
        <f t="shared" si="1"/>
        <v>0.26509011599378102</v>
      </c>
      <c r="O53" s="105">
        <f t="shared" si="1"/>
        <v>0.31839746194994606</v>
      </c>
      <c r="P53" s="105">
        <f t="shared" si="1"/>
        <v>0.34166899313230326</v>
      </c>
      <c r="Q53" s="105">
        <f t="shared" si="1"/>
        <v>0.34213308420305683</v>
      </c>
      <c r="R53" s="105">
        <f t="shared" si="1"/>
        <v>0.36983127015407208</v>
      </c>
      <c r="S53" s="105">
        <f t="shared" si="1"/>
        <v>0.38327329790612685</v>
      </c>
      <c r="T53" s="105">
        <f t="shared" si="1"/>
        <v>0.4057822968793412</v>
      </c>
      <c r="U53" s="105">
        <f t="shared" si="1"/>
        <v>0.42206263495836155</v>
      </c>
      <c r="V53" s="105">
        <f t="shared" si="1"/>
        <v>0.45291212841792977</v>
      </c>
      <c r="W53" s="105">
        <f t="shared" si="1"/>
        <v>0.45686814667584735</v>
      </c>
      <c r="X53" s="105">
        <f t="shared" si="1"/>
        <v>0.46082145066967356</v>
      </c>
      <c r="Y53" s="105">
        <f t="shared" si="1"/>
        <v>0.46341159503373625</v>
      </c>
      <c r="Z53" s="105">
        <f t="shared" si="1"/>
        <v>0.46601042730050185</v>
      </c>
      <c r="AA53" s="105">
        <f t="shared" si="1"/>
        <v>0.46868694592969912</v>
      </c>
      <c r="AB53" s="105">
        <f t="shared" si="1"/>
        <v>0.47128289894402392</v>
      </c>
      <c r="AC53" s="105">
        <f t="shared" si="1"/>
        <v>0.42515071550834216</v>
      </c>
      <c r="AD53" s="105">
        <f t="shared" si="1"/>
        <v>0.42712179023075092</v>
      </c>
      <c r="AE53" s="105">
        <f t="shared" si="1"/>
        <v>0.42898032712291184</v>
      </c>
      <c r="AF53" s="105">
        <f t="shared" si="1"/>
        <v>0.4307218371225669</v>
      </c>
      <c r="AG53" s="105">
        <f t="shared" si="1"/>
        <v>0.43211844712512443</v>
      </c>
      <c r="AH53" s="105">
        <f t="shared" si="1"/>
        <v>0.43395551071896626</v>
      </c>
      <c r="AI53" s="105">
        <f t="shared" si="1"/>
        <v>0.43586994588903566</v>
      </c>
      <c r="AJ53" s="105">
        <f t="shared" si="1"/>
        <v>0.43783140755247701</v>
      </c>
      <c r="AK53" s="105">
        <f t="shared" si="1"/>
        <v>0.43964257356800351</v>
      </c>
      <c r="AL53" s="105">
        <f t="shared" si="1"/>
        <v>0.44130460949617734</v>
      </c>
      <c r="AM53" s="105">
        <f t="shared" si="1"/>
        <v>0.44309453932804532</v>
      </c>
      <c r="AN53" s="105">
        <f t="shared" si="1"/>
        <v>0.44462030827688531</v>
      </c>
    </row>
    <row r="55" spans="2:40" x14ac:dyDescent="0.25">
      <c r="B55" t="s">
        <v>57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0</v>
      </c>
      <c r="D55" s="12">
        <f>C55-SUM(_xlfn.ANCHORARRAY(E55))</f>
        <v>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</row>
    <row r="56" spans="2:40" x14ac:dyDescent="0.25">
      <c r="B56" t="s">
        <v>285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0</v>
      </c>
      <c r="F56" s="90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0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0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0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0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-1233.6550599999998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-3700.9651799999992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-6168.2752999999993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-7401.9303599999985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-9869.2404799999986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-12336.550599999999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-14803.860719999997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-16037.515779999998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-19059.970676999998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-21601.300100600001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-22871.964812400001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-25413.294235999991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-27954.623659599994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276</v>
      </c>
      <c r="E58" s="13">
        <f>E37-E50-E55+E56</f>
        <v>0</v>
      </c>
      <c r="F58" s="13">
        <f t="shared" ref="F58:AN58" si="2">F37-F50-F55+F56</f>
        <v>0</v>
      </c>
      <c r="G58" s="13">
        <f t="shared" si="2"/>
        <v>0</v>
      </c>
      <c r="H58" s="13">
        <f t="shared" si="2"/>
        <v>0</v>
      </c>
      <c r="I58" s="13">
        <f t="shared" si="2"/>
        <v>-7922.8526402152893</v>
      </c>
      <c r="J58" s="13">
        <f t="shared" si="2"/>
        <v>-9967.7249787246183</v>
      </c>
      <c r="K58" s="13">
        <f t="shared" si="2"/>
        <v>-1152.2867632892667</v>
      </c>
      <c r="L58" s="13">
        <f t="shared" si="2"/>
        <v>3092.4570384941471</v>
      </c>
      <c r="M58" s="13">
        <f t="shared" si="2"/>
        <v>12174.621935998228</v>
      </c>
      <c r="N58" s="13">
        <f t="shared" si="2"/>
        <v>20568.329136780991</v>
      </c>
      <c r="O58" s="13">
        <f t="shared" si="2"/>
        <v>27722.446022056669</v>
      </c>
      <c r="P58" s="13">
        <f t="shared" si="2"/>
        <v>30361.870492640162</v>
      </c>
      <c r="Q58" s="13">
        <f t="shared" si="2"/>
        <v>36071.713323612232</v>
      </c>
      <c r="R58" s="13">
        <f t="shared" si="2"/>
        <v>43389.667874561223</v>
      </c>
      <c r="S58" s="13">
        <f t="shared" si="2"/>
        <v>46104.871954942908</v>
      </c>
      <c r="T58" s="13">
        <f t="shared" si="2"/>
        <v>53944.571989030665</v>
      </c>
      <c r="U58" s="13">
        <f t="shared" si="2"/>
        <v>62619.831693600863</v>
      </c>
      <c r="V58" s="13">
        <f t="shared" si="2"/>
        <v>73019.942783302919</v>
      </c>
      <c r="W58" s="13">
        <f t="shared" si="2"/>
        <v>71282.897007634499</v>
      </c>
      <c r="X58" s="13">
        <f t="shared" si="2"/>
        <v>70815.964116630174</v>
      </c>
      <c r="Y58" s="13">
        <f t="shared" si="2"/>
        <v>68801.227499731322</v>
      </c>
      <c r="Z58" s="13">
        <f t="shared" si="2"/>
        <v>66788.257188653908</v>
      </c>
      <c r="AA58" s="13">
        <f t="shared" si="2"/>
        <v>64791.081008669324</v>
      </c>
      <c r="AB58" s="13">
        <f t="shared" si="2"/>
        <v>65318.854750876257</v>
      </c>
      <c r="AC58" s="13">
        <f t="shared" si="2"/>
        <v>55939.888739675414</v>
      </c>
      <c r="AD58" s="13">
        <f t="shared" si="2"/>
        <v>56340.620754729141</v>
      </c>
      <c r="AE58" s="13">
        <f t="shared" si="2"/>
        <v>56718.473113840708</v>
      </c>
      <c r="AF58" s="13">
        <f t="shared" si="2"/>
        <v>57072.533162130072</v>
      </c>
      <c r="AG58" s="13">
        <f t="shared" si="2"/>
        <v>57356.472849553553</v>
      </c>
      <c r="AH58" s="13">
        <f t="shared" si="2"/>
        <v>57729.95955067793</v>
      </c>
      <c r="AI58" s="13">
        <f t="shared" si="2"/>
        <v>58119.176384859689</v>
      </c>
      <c r="AJ58" s="13">
        <f t="shared" si="2"/>
        <v>58517.954003945037</v>
      </c>
      <c r="AK58" s="13">
        <f t="shared" si="2"/>
        <v>58886.175562847595</v>
      </c>
      <c r="AL58" s="13">
        <f t="shared" si="2"/>
        <v>59224.078027435462</v>
      </c>
      <c r="AM58" s="13">
        <f t="shared" si="2"/>
        <v>59587.982135267914</v>
      </c>
      <c r="AN58" s="13">
        <f t="shared" si="2"/>
        <v>59898.180657132092</v>
      </c>
    </row>
    <row r="59" spans="2:40" x14ac:dyDescent="0.25">
      <c r="B59" t="s">
        <v>277</v>
      </c>
      <c r="E59" s="12" cm="1">
        <f t="array" ref="E59:AN59">_xlfn.SCAN(-D55,E58:AN58,_xlfn.LAMBDA(_xlpm.capex,_xlpm.fcf,_xlpm.capex+_xlpm.fcf))</f>
        <v>0</v>
      </c>
      <c r="F59" s="12">
        <v>0</v>
      </c>
      <c r="G59" s="12">
        <v>0</v>
      </c>
      <c r="H59" s="12">
        <v>0</v>
      </c>
      <c r="I59" s="12">
        <v>-7922.8526402152893</v>
      </c>
      <c r="J59" s="12">
        <v>-17890.577618939908</v>
      </c>
      <c r="K59" s="12">
        <v>-19042.864382229174</v>
      </c>
      <c r="L59" s="12">
        <v>-15950.407343735027</v>
      </c>
      <c r="M59" s="12">
        <v>-3775.7854077367992</v>
      </c>
      <c r="N59" s="12">
        <v>16792.543729044191</v>
      </c>
      <c r="O59" s="12">
        <v>44514.98975110086</v>
      </c>
      <c r="P59" s="12">
        <v>74876.860243741015</v>
      </c>
      <c r="Q59" s="12">
        <v>110948.57356735325</v>
      </c>
      <c r="R59" s="12">
        <v>154338.24144191446</v>
      </c>
      <c r="S59" s="12">
        <v>200443.11339685737</v>
      </c>
      <c r="T59" s="12">
        <v>254387.68538588803</v>
      </c>
      <c r="U59" s="12">
        <v>317007.5170794889</v>
      </c>
      <c r="V59" s="12">
        <v>390027.45986279182</v>
      </c>
      <c r="W59" s="12">
        <v>461310.35687042633</v>
      </c>
      <c r="X59" s="12">
        <v>532126.32098705648</v>
      </c>
      <c r="Y59" s="12">
        <v>600927.54848678783</v>
      </c>
      <c r="Z59" s="12">
        <v>667715.80567544175</v>
      </c>
      <c r="AA59" s="12">
        <v>732506.88668411109</v>
      </c>
      <c r="AB59" s="12">
        <v>797825.7414349874</v>
      </c>
      <c r="AC59" s="12">
        <v>853765.6301746628</v>
      </c>
      <c r="AD59" s="12">
        <v>910106.25092939194</v>
      </c>
      <c r="AE59" s="12">
        <v>966824.72404323262</v>
      </c>
      <c r="AF59" s="12">
        <v>1023897.2572053627</v>
      </c>
      <c r="AG59" s="12">
        <v>1081253.7300549161</v>
      </c>
      <c r="AH59" s="12">
        <v>1138983.6896055941</v>
      </c>
      <c r="AI59" s="12">
        <v>1197102.8659904539</v>
      </c>
      <c r="AJ59" s="12">
        <v>1255620.8199943989</v>
      </c>
      <c r="AK59" s="12">
        <v>1314506.9955572465</v>
      </c>
      <c r="AL59" s="12">
        <v>1373731.0735846818</v>
      </c>
      <c r="AM59" s="12">
        <v>1433319.0557199498</v>
      </c>
      <c r="AN59" s="12">
        <v>1493217.2363770818</v>
      </c>
    </row>
    <row r="61" spans="2:40" x14ac:dyDescent="0.25">
      <c r="B61" s="1" t="s">
        <v>302</v>
      </c>
    </row>
    <row r="63" spans="2:40" x14ac:dyDescent="0.25">
      <c r="B63" s="39" t="s">
        <v>103</v>
      </c>
      <c r="E63" s="12" cm="1">
        <f t="array" ref="E63:AN63">_xlfn.LET(_xlpm.site,$B$1&amp;"-"&amp;$C$1,_xlpm.locations,Base!$D$4:$BD$4,_xlpm.rates,Base!$D$36:$BD$36,_xlpm.hours,Base!$D$79:$BD$79,_xlpm.comp,_xlpm.rates*_xlpm.hours,_xlpm.Customer,_xlfn.ANCHORARRAY($E$1),
_xlpm.Customer_comp,_xlfn.XLOOKUP(_xlpm.site,_xlpm.locations,_xlpm.comp,0,0),_xlpm.ann_incr,_xlfn.XLOOKUP(YEAR(_xlfn.ANCHORARRAY($E$25)),Base!$BJ$4:$BL$4,Base!$BJ$79:$BL$79,0,0),
_xlpm.bad_debt,_xlfn.XLOOKUP(_xlpm.site,_xlpm.locations,Base!$D$28:$BD$28,0,0),_xlpm.Customer_comp*_xlpm.Customer*_xlpm.bad_debt*_xlpm.ann_incr*(52/12)*(1-$C$35))</f>
        <v>0</v>
      </c>
      <c r="F63" s="12">
        <v>0</v>
      </c>
      <c r="G63" s="12">
        <v>0</v>
      </c>
      <c r="H63" s="12">
        <v>0</v>
      </c>
      <c r="I63" s="12">
        <v>0</v>
      </c>
      <c r="J63" s="12">
        <v>0</v>
      </c>
      <c r="K63" s="12">
        <v>0</v>
      </c>
      <c r="L63" s="12">
        <v>0</v>
      </c>
      <c r="M63" s="12">
        <v>0</v>
      </c>
      <c r="N63" s="12">
        <v>0</v>
      </c>
      <c r="O63" s="12">
        <v>0</v>
      </c>
      <c r="P63" s="12">
        <v>0</v>
      </c>
      <c r="Q63" s="12">
        <v>0</v>
      </c>
      <c r="R63" s="12">
        <v>0</v>
      </c>
      <c r="S63" s="12">
        <v>0</v>
      </c>
      <c r="T63" s="12">
        <v>0</v>
      </c>
      <c r="U63" s="12">
        <v>0</v>
      </c>
      <c r="V63" s="12">
        <v>0</v>
      </c>
      <c r="W63" s="12">
        <v>0</v>
      </c>
      <c r="X63" s="12">
        <v>0</v>
      </c>
      <c r="Y63" s="12">
        <v>0</v>
      </c>
      <c r="Z63" s="12">
        <v>0</v>
      </c>
      <c r="AA63" s="12">
        <v>0</v>
      </c>
      <c r="AB63" s="12">
        <v>0</v>
      </c>
      <c r="AC63" s="12">
        <v>0</v>
      </c>
      <c r="AD63" s="12">
        <v>0</v>
      </c>
      <c r="AE63" s="12">
        <v>0</v>
      </c>
      <c r="AF63" s="12">
        <v>0</v>
      </c>
      <c r="AG63" s="12">
        <v>0</v>
      </c>
      <c r="AH63" s="12">
        <v>0</v>
      </c>
      <c r="AI63" s="12">
        <v>0</v>
      </c>
      <c r="AJ63" s="12">
        <v>0</v>
      </c>
      <c r="AK63" s="12">
        <v>0</v>
      </c>
      <c r="AL63" s="12">
        <v>0</v>
      </c>
      <c r="AM63" s="12">
        <v>0</v>
      </c>
      <c r="AN63" s="12">
        <v>0</v>
      </c>
    </row>
    <row r="64" spans="2:40" x14ac:dyDescent="0.25">
      <c r="B64" s="39" t="s">
        <v>104</v>
      </c>
      <c r="E64" s="12" cm="1">
        <f t="array" ref="E64:AN64">_xlfn.LET(_xlpm.site,$B$1&amp;"-"&amp;$C$1,_xlpm.locations,Base!$D$4:$BD$4,_xlpm.rates,Base!$D$37:$BD$37,_xlpm.hours,Base!$D$80:$BD$80,_xlpm.comp,_xlpm.rates*_xlpm.hours,_xlpm.Customer,_xlfn.ANCHORARRAY($E$1),
_xlpm.Customer_comp,_xlfn.XLOOKUP(_xlpm.site,_xlpm.locations,_xlpm.comp,0,0),_xlpm.ann_incr,_xlfn.XLOOKUP(YEAR(_xlfn.ANCHORARRAY($E$25)),Base!$BJ$4:$BL$4,Base!$BJ$80:$BL$80,0,0),
_xlpm.bad_debt,_xlfn.XLOOKUP(_xlpm.site,_xlpm.locations,Base!$D$28:$BD$28,0,0),_xlpm.Customer_comp*_xlpm.Customer*_xlpm.bad_debt*_xlpm.ann_incr*(52/12)*(1-$C$35))</f>
        <v>0</v>
      </c>
      <c r="F64" s="12">
        <v>0</v>
      </c>
      <c r="G64" s="12">
        <v>0</v>
      </c>
      <c r="H64" s="12">
        <v>0</v>
      </c>
      <c r="I64" s="12">
        <v>0</v>
      </c>
      <c r="J64" s="12">
        <v>0</v>
      </c>
      <c r="K64" s="12">
        <v>0</v>
      </c>
      <c r="L64" s="12">
        <v>0</v>
      </c>
      <c r="M64" s="12">
        <v>0</v>
      </c>
      <c r="N64" s="12">
        <v>0</v>
      </c>
      <c r="O64" s="12">
        <v>0</v>
      </c>
      <c r="P64" s="12">
        <v>0</v>
      </c>
      <c r="Q64" s="12">
        <v>0</v>
      </c>
      <c r="R64" s="12">
        <v>0</v>
      </c>
      <c r="S64" s="12">
        <v>0</v>
      </c>
      <c r="T64" s="12">
        <v>0</v>
      </c>
      <c r="U64" s="12">
        <v>0</v>
      </c>
      <c r="V64" s="12">
        <v>0</v>
      </c>
      <c r="W64" s="12">
        <v>0</v>
      </c>
      <c r="X64" s="12">
        <v>0</v>
      </c>
      <c r="Y64" s="12">
        <v>0</v>
      </c>
      <c r="Z64" s="12">
        <v>0</v>
      </c>
      <c r="AA64" s="12">
        <v>0</v>
      </c>
      <c r="AB64" s="12">
        <v>0</v>
      </c>
      <c r="AC64" s="12">
        <v>0</v>
      </c>
      <c r="AD64" s="12">
        <v>0</v>
      </c>
      <c r="AE64" s="12">
        <v>0</v>
      </c>
      <c r="AF64" s="12">
        <v>0</v>
      </c>
      <c r="AG64" s="12">
        <v>0</v>
      </c>
      <c r="AH64" s="12">
        <v>0</v>
      </c>
      <c r="AI64" s="12">
        <v>0</v>
      </c>
      <c r="AJ64" s="12">
        <v>0</v>
      </c>
      <c r="AK64" s="12">
        <v>0</v>
      </c>
      <c r="AL64" s="12">
        <v>0</v>
      </c>
      <c r="AM64" s="12">
        <v>0</v>
      </c>
      <c r="AN64" s="12">
        <v>0</v>
      </c>
    </row>
    <row r="65" spans="2:40" x14ac:dyDescent="0.25">
      <c r="B65" s="39" t="s">
        <v>56</v>
      </c>
      <c r="E65" s="12" cm="1">
        <f t="array" ref="E65:AN65">_xlfn.LET(_xlpm.site,$B$1&amp;"-"&amp;$C$1,_xlpm.locations,Base!$D$4:$BD$4,_xlpm.rates,Base!$D$39:$BD$39,_xlpm.hours,Base!$D$82:$BD$82,_xlpm.comp,_xlpm.rates*_xlpm.hours,_xlpm.Customer,_xlfn.ANCHORARRAY($E$1),
_xlpm.Customer_comp,_xlfn.XLOOKUP(_xlpm.site,_xlpm.locations,_xlpm.comp,0,0),_xlpm.ann_incr,_xlfn.XLOOKUP(YEAR(_xlfn.ANCHORARRAY($E$25)),Base!$BJ$4:$BL$4,Base!$BJ$82:$BL$82,0,0),
_xlpm.bad_debt,_xlfn.XLOOKUP(_xlpm.site,_xlpm.locations,Base!$D$28:$BD$28,0,0),_xlpm.Customer_comp*_xlpm.Customer*_xlpm.bad_debt*_xlpm.ann_incr*(52/12)*(1-$C$35))</f>
        <v>0</v>
      </c>
      <c r="F65" s="12">
        <v>0</v>
      </c>
      <c r="G65" s="12">
        <v>0</v>
      </c>
      <c r="H65" s="12">
        <v>0</v>
      </c>
      <c r="I65" s="12">
        <v>0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  <c r="O65" s="12">
        <v>0</v>
      </c>
      <c r="P65" s="12">
        <v>0</v>
      </c>
      <c r="Q65" s="12">
        <v>0</v>
      </c>
      <c r="R65" s="12">
        <v>0</v>
      </c>
      <c r="S65" s="12">
        <v>0</v>
      </c>
      <c r="T65" s="12">
        <v>0</v>
      </c>
      <c r="U65" s="12">
        <v>0</v>
      </c>
      <c r="V65" s="12">
        <v>0</v>
      </c>
      <c r="W65" s="12">
        <v>0</v>
      </c>
      <c r="X65" s="12">
        <v>0</v>
      </c>
      <c r="Y65" s="12">
        <v>0</v>
      </c>
      <c r="Z65" s="12">
        <v>0</v>
      </c>
      <c r="AA65" s="12">
        <v>0</v>
      </c>
      <c r="AB65" s="12">
        <v>0</v>
      </c>
      <c r="AC65" s="12">
        <v>0</v>
      </c>
      <c r="AD65" s="12">
        <v>0</v>
      </c>
      <c r="AE65" s="12">
        <v>0</v>
      </c>
      <c r="AF65" s="12">
        <v>0</v>
      </c>
      <c r="AG65" s="12">
        <v>0</v>
      </c>
      <c r="AH65" s="12">
        <v>0</v>
      </c>
      <c r="AI65" s="12">
        <v>0</v>
      </c>
      <c r="AJ65" s="12">
        <v>0</v>
      </c>
      <c r="AK65" s="12">
        <v>0</v>
      </c>
      <c r="AL65" s="12">
        <v>0</v>
      </c>
      <c r="AM65" s="12">
        <v>0</v>
      </c>
      <c r="AN65" s="12">
        <v>0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303</v>
      </c>
      <c r="C67" s="12"/>
      <c r="E67" s="13" cm="1">
        <f t="array" ref="E67:AN67">_xlfn.BYCOL(_xlfn.VSTACK(_xlfn.ANCHORARRAY($E$63),_xlfn.ANCHORARRAY($E$64),_xlfn.ANCHORARRAY($E$65)),_xlfn.LAMBDA(_xlpm.a,SUM(_xlpm.a)))</f>
        <v>0</v>
      </c>
      <c r="F67" s="13">
        <v>0</v>
      </c>
      <c r="G67" s="13">
        <v>0</v>
      </c>
      <c r="H67" s="13">
        <v>0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  <c r="W67" s="13">
        <v>0</v>
      </c>
      <c r="X67" s="13">
        <v>0</v>
      </c>
      <c r="Y67" s="13">
        <v>0</v>
      </c>
      <c r="Z67" s="13">
        <v>0</v>
      </c>
      <c r="AA67" s="13">
        <v>0</v>
      </c>
      <c r="AB67" s="13">
        <v>0</v>
      </c>
      <c r="AC67" s="13">
        <v>0</v>
      </c>
      <c r="AD67" s="13">
        <v>0</v>
      </c>
      <c r="AE67" s="13">
        <v>0</v>
      </c>
      <c r="AF67" s="13">
        <v>0</v>
      </c>
      <c r="AG67" s="13">
        <v>0</v>
      </c>
      <c r="AH67" s="13">
        <v>0</v>
      </c>
      <c r="AI67" s="13">
        <v>0</v>
      </c>
      <c r="AJ67" s="13">
        <v>0</v>
      </c>
      <c r="AK67" s="13">
        <v>0</v>
      </c>
      <c r="AL67" s="13">
        <v>0</v>
      </c>
      <c r="AM67" s="13">
        <v>0</v>
      </c>
      <c r="AN67" s="13">
        <v>0</v>
      </c>
    </row>
    <row r="68" spans="2:40" x14ac:dyDescent="0.25">
      <c r="B68" s="39"/>
      <c r="C68" s="12"/>
    </row>
    <row r="69" spans="2:40" x14ac:dyDescent="0.25">
      <c r="B69" s="39" t="s">
        <v>304</v>
      </c>
      <c r="C69" s="12"/>
      <c r="E69" s="106" cm="1">
        <f t="array" ref="E69:AN70">_xlfn.LET(_xlpm.Customer_staff,_xlfn._xlws.FILTER(Base!$D$96:$BD$97,ISNUMBER(SEARCH($B$1&amp;"-"&amp;$C$1,Base!$D$4:$BD$4))),_xlpm.Customer,_xlfn.ANCHORARRAY($E$1),_xlpm.headcount,_xlpm.Customer/_xlpm.Customer_staff,
_xlpm.rounding,_xlfn.VSTACK(0,0),IFERROR(ROUND(_xlpm.headcount,_xlpm.rounding),0))</f>
        <v>0</v>
      </c>
      <c r="F69" s="106">
        <v>0</v>
      </c>
      <c r="G69" s="106">
        <v>0</v>
      </c>
      <c r="H69" s="106">
        <v>0</v>
      </c>
      <c r="I69" s="106">
        <v>0</v>
      </c>
      <c r="J69" s="106">
        <v>0</v>
      </c>
      <c r="K69" s="106">
        <v>0</v>
      </c>
      <c r="L69" s="106">
        <v>0</v>
      </c>
      <c r="M69" s="106">
        <v>0</v>
      </c>
      <c r="N69" s="106">
        <v>0</v>
      </c>
      <c r="O69" s="106">
        <v>0</v>
      </c>
      <c r="P69" s="106">
        <v>0</v>
      </c>
      <c r="Q69" s="106">
        <v>0</v>
      </c>
      <c r="R69" s="106">
        <v>0</v>
      </c>
      <c r="S69" s="106">
        <v>0</v>
      </c>
      <c r="T69" s="106">
        <v>0</v>
      </c>
      <c r="U69" s="106">
        <v>0</v>
      </c>
      <c r="V69" s="106">
        <v>0</v>
      </c>
      <c r="W69" s="106">
        <v>0</v>
      </c>
      <c r="X69" s="106">
        <v>0</v>
      </c>
      <c r="Y69" s="106">
        <v>0</v>
      </c>
      <c r="Z69" s="106">
        <v>0</v>
      </c>
      <c r="AA69" s="106">
        <v>0</v>
      </c>
      <c r="AB69" s="106">
        <v>0</v>
      </c>
      <c r="AC69" s="106">
        <v>0</v>
      </c>
      <c r="AD69" s="106">
        <v>0</v>
      </c>
      <c r="AE69" s="106">
        <v>0</v>
      </c>
      <c r="AF69" s="106">
        <v>0</v>
      </c>
      <c r="AG69" s="106">
        <v>0</v>
      </c>
      <c r="AH69" s="106">
        <v>0</v>
      </c>
      <c r="AI69" s="106">
        <v>0</v>
      </c>
      <c r="AJ69" s="106">
        <v>0</v>
      </c>
      <c r="AK69" s="106">
        <v>0</v>
      </c>
      <c r="AL69" s="106">
        <v>0</v>
      </c>
      <c r="AM69" s="106">
        <v>0</v>
      </c>
      <c r="AN69" s="106">
        <v>0</v>
      </c>
    </row>
    <row r="70" spans="2:40" x14ac:dyDescent="0.25">
      <c r="B70" s="39" t="s">
        <v>305</v>
      </c>
      <c r="C70" s="12"/>
      <c r="E70" s="106">
        <v>0</v>
      </c>
      <c r="F70" s="106">
        <v>0</v>
      </c>
      <c r="G70" s="106">
        <v>0</v>
      </c>
      <c r="H70" s="106">
        <v>0</v>
      </c>
      <c r="I70" s="106">
        <v>0</v>
      </c>
      <c r="J70" s="106">
        <v>0</v>
      </c>
      <c r="K70" s="106">
        <v>0</v>
      </c>
      <c r="L70" s="106">
        <v>0</v>
      </c>
      <c r="M70" s="106">
        <v>0</v>
      </c>
      <c r="N70" s="106">
        <v>0</v>
      </c>
      <c r="O70" s="106">
        <v>0</v>
      </c>
      <c r="P70" s="106">
        <v>0</v>
      </c>
      <c r="Q70" s="106">
        <v>0</v>
      </c>
      <c r="R70" s="106">
        <v>0</v>
      </c>
      <c r="S70" s="106">
        <v>0</v>
      </c>
      <c r="T70" s="106">
        <v>0</v>
      </c>
      <c r="U70" s="106">
        <v>0</v>
      </c>
      <c r="V70" s="106">
        <v>0</v>
      </c>
      <c r="W70" s="106">
        <v>0</v>
      </c>
      <c r="X70" s="106">
        <v>0</v>
      </c>
      <c r="Y70" s="106">
        <v>0</v>
      </c>
      <c r="Z70" s="106">
        <v>0</v>
      </c>
      <c r="AA70" s="106">
        <v>0</v>
      </c>
      <c r="AB70" s="106">
        <v>0</v>
      </c>
      <c r="AC70" s="106">
        <v>0</v>
      </c>
      <c r="AD70" s="106">
        <v>0</v>
      </c>
      <c r="AE70" s="106">
        <v>0</v>
      </c>
      <c r="AF70" s="106">
        <v>0</v>
      </c>
      <c r="AG70" s="106">
        <v>0</v>
      </c>
      <c r="AH70" s="106">
        <v>0</v>
      </c>
      <c r="AI70" s="106">
        <v>0</v>
      </c>
      <c r="AJ70" s="106">
        <v>0</v>
      </c>
      <c r="AK70" s="106">
        <v>0</v>
      </c>
      <c r="AL70" s="106">
        <v>0</v>
      </c>
      <c r="AM70" s="106">
        <v>0</v>
      </c>
      <c r="AN70" s="106">
        <v>0</v>
      </c>
    </row>
    <row r="71" spans="2:40" x14ac:dyDescent="0.25">
      <c r="B71" s="39"/>
      <c r="C71" s="12"/>
    </row>
    <row r="72" spans="2:40" x14ac:dyDescent="0.25">
      <c r="B72" s="39" t="s">
        <v>23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0</v>
      </c>
      <c r="F72" s="12">
        <v>0</v>
      </c>
      <c r="G72" s="12">
        <v>0</v>
      </c>
      <c r="H72" s="12">
        <v>0</v>
      </c>
      <c r="I72" s="12">
        <v>1.0488449438217826E-3</v>
      </c>
      <c r="J72" s="12">
        <v>3.1465348314653478E-3</v>
      </c>
      <c r="K72" s="12">
        <v>5.2442247191089144E-3</v>
      </c>
      <c r="L72" s="12">
        <v>6.2930696629306957E-3</v>
      </c>
      <c r="M72" s="12">
        <v>8.3907595505742609E-3</v>
      </c>
      <c r="N72" s="12">
        <v>1.0488449438217829E-2</v>
      </c>
      <c r="O72" s="12">
        <v>1.2586139325861391E-2</v>
      </c>
      <c r="P72" s="12">
        <v>1.3634984269683173E-2</v>
      </c>
      <c r="Q72" s="12">
        <v>1.7305941573059418E-2</v>
      </c>
      <c r="R72" s="12">
        <v>1.9613400449467334E-2</v>
      </c>
      <c r="S72" s="12">
        <v>2.0767129887671303E-2</v>
      </c>
      <c r="T72" s="12">
        <v>2.307458876407922E-2</v>
      </c>
      <c r="U72" s="12">
        <v>2.5382047640487147E-2</v>
      </c>
      <c r="V72" s="12">
        <v>2.7689506516895061E-2</v>
      </c>
      <c r="W72" s="12">
        <v>2.7689506516895061E-2</v>
      </c>
      <c r="X72" s="12">
        <v>2.7689506516895061E-2</v>
      </c>
      <c r="Y72" s="12">
        <v>2.7689506516895061E-2</v>
      </c>
      <c r="Z72" s="12">
        <v>2.7689506516895061E-2</v>
      </c>
      <c r="AA72" s="12">
        <v>2.7689506516895061E-2</v>
      </c>
      <c r="AB72" s="12">
        <v>2.7689506516895061E-2</v>
      </c>
      <c r="AC72" s="12">
        <v>3.0458457168584575E-2</v>
      </c>
      <c r="AD72" s="12">
        <v>3.0458457168584575E-2</v>
      </c>
      <c r="AE72" s="12">
        <v>3.0458457168584575E-2</v>
      </c>
      <c r="AF72" s="12">
        <v>3.0458457168584575E-2</v>
      </c>
      <c r="AG72" s="12">
        <v>3.0458457168584575E-2</v>
      </c>
      <c r="AH72" s="12">
        <v>3.0458457168584575E-2</v>
      </c>
      <c r="AI72" s="12">
        <v>3.0458457168584575E-2</v>
      </c>
      <c r="AJ72" s="12">
        <v>3.0458457168584575E-2</v>
      </c>
      <c r="AK72" s="12">
        <v>3.0458457168584575E-2</v>
      </c>
      <c r="AL72" s="12">
        <v>3.0458457168584575E-2</v>
      </c>
      <c r="AM72" s="12">
        <v>3.0458457168584575E-2</v>
      </c>
      <c r="AN72" s="12">
        <v>3.0458457168584575E-2</v>
      </c>
    </row>
    <row r="73" spans="2:40" x14ac:dyDescent="0.25">
      <c r="B73" s="39" t="s">
        <v>24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306</v>
      </c>
      <c r="E75" s="74" cm="1">
        <f t="array" ref="E75:AN75">_xlfn.ANCHORARRAY(E67)-_xlfn.ANCHORARRAY(E72)-_xlfn.ANCHORARRAY(E73)</f>
        <v>0</v>
      </c>
      <c r="F75" s="74">
        <v>0</v>
      </c>
      <c r="G75" s="74">
        <v>0</v>
      </c>
      <c r="H75" s="74">
        <v>0</v>
      </c>
      <c r="I75" s="74">
        <v>-1.0488449438217826E-3</v>
      </c>
      <c r="J75" s="74">
        <v>-3.1465348314653478E-3</v>
      </c>
      <c r="K75" s="74">
        <v>-5.2442247191089144E-3</v>
      </c>
      <c r="L75" s="74">
        <v>-6.2930696629306957E-3</v>
      </c>
      <c r="M75" s="74">
        <v>-8.3907595505742609E-3</v>
      </c>
      <c r="N75" s="74">
        <v>-1.0488449438217829E-2</v>
      </c>
      <c r="O75" s="74">
        <v>-1.2586139325861391E-2</v>
      </c>
      <c r="P75" s="74">
        <v>-1.3634984269683173E-2</v>
      </c>
      <c r="Q75" s="74">
        <v>-1.7305941573059418E-2</v>
      </c>
      <c r="R75" s="74">
        <v>-1.9613400449467334E-2</v>
      </c>
      <c r="S75" s="74">
        <v>-2.0767129887671303E-2</v>
      </c>
      <c r="T75" s="74">
        <v>-2.307458876407922E-2</v>
      </c>
      <c r="U75" s="74">
        <v>-2.5382047640487147E-2</v>
      </c>
      <c r="V75" s="74">
        <v>-2.7689506516895061E-2</v>
      </c>
      <c r="W75" s="74">
        <v>-2.7689506516895061E-2</v>
      </c>
      <c r="X75" s="74">
        <v>-2.7689506516895061E-2</v>
      </c>
      <c r="Y75" s="74">
        <v>-2.7689506516895061E-2</v>
      </c>
      <c r="Z75" s="74">
        <v>-2.7689506516895061E-2</v>
      </c>
      <c r="AA75" s="74">
        <v>-2.7689506516895061E-2</v>
      </c>
      <c r="AB75" s="74">
        <v>-2.7689506516895061E-2</v>
      </c>
      <c r="AC75" s="74">
        <v>-3.0458457168584575E-2</v>
      </c>
      <c r="AD75" s="74">
        <v>-3.0458457168584575E-2</v>
      </c>
      <c r="AE75" s="74">
        <v>-3.0458457168584575E-2</v>
      </c>
      <c r="AF75" s="74">
        <v>-3.0458457168584575E-2</v>
      </c>
      <c r="AG75" s="74">
        <v>-3.0458457168584575E-2</v>
      </c>
      <c r="AH75" s="74">
        <v>-3.0458457168584575E-2</v>
      </c>
      <c r="AI75" s="74">
        <v>-3.0458457168584575E-2</v>
      </c>
      <c r="AJ75" s="74">
        <v>-3.0458457168584575E-2</v>
      </c>
      <c r="AK75" s="74">
        <v>-3.0458457168584575E-2</v>
      </c>
      <c r="AL75" s="74">
        <v>-3.0458457168584575E-2</v>
      </c>
      <c r="AM75" s="74">
        <v>-3.0458457168584575E-2</v>
      </c>
      <c r="AN75" s="74">
        <v>-3.0458457168584575E-2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099A68-A704-4B47-A34A-4A5EDBF9B634}">
  <dimension ref="A1:AX75"/>
  <sheetViews>
    <sheetView workbookViewId="0">
      <pane xSplit="4" ySplit="25" topLeftCell="E26" activePane="bottomRight" state="frozen"/>
      <selection activeCell="E63" sqref="E63:E65"/>
      <selection pane="topRight" activeCell="E63" sqref="E63:E65"/>
      <selection pane="bottomLeft" activeCell="E63" sqref="E63:E65"/>
      <selection pane="bottomRight" activeCell="E63" sqref="E63:E65"/>
    </sheetView>
  </sheetViews>
  <sheetFormatPr defaultRowHeight="15" outlineLevelRow="1" x14ac:dyDescent="0.25"/>
  <cols>
    <col min="2" max="2" width="24.5703125" bestFit="1" customWidth="1"/>
    <col min="3" max="3" width="11.5703125" bestFit="1" customWidth="1"/>
    <col min="4" max="4" width="10" bestFit="1" customWidth="1"/>
    <col min="5" max="5" width="11.42578125" bestFit="1" customWidth="1"/>
    <col min="6" max="6" width="11.7109375" bestFit="1" customWidth="1"/>
    <col min="7" max="13" width="12.28515625" bestFit="1" customWidth="1"/>
    <col min="14" max="18" width="11.5703125" bestFit="1" customWidth="1"/>
    <col min="19" max="40" width="12.5703125" bestFit="1" customWidth="1"/>
  </cols>
  <sheetData>
    <row r="1" spans="1:40" x14ac:dyDescent="0.25">
      <c r="A1" s="96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>2026</v>
      </c>
      <c r="B1" s="58" t="s">
        <v>428</v>
      </c>
      <c r="C1" s="16" t="s">
        <v>61</v>
      </c>
      <c r="D1" s="3" t="s">
        <v>307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IFERROR(_xlpm.kiddos,0))</f>
        <v>0</v>
      </c>
      <c r="F1" s="69">
        <v>0</v>
      </c>
      <c r="G1" s="69">
        <v>3</v>
      </c>
      <c r="H1" s="69">
        <v>6</v>
      </c>
      <c r="I1" s="69">
        <v>9</v>
      </c>
      <c r="J1" s="69">
        <v>12</v>
      </c>
      <c r="K1" s="69">
        <v>15</v>
      </c>
      <c r="L1" s="69">
        <v>18</v>
      </c>
      <c r="M1" s="69">
        <v>21</v>
      </c>
      <c r="N1" s="69">
        <v>24</v>
      </c>
      <c r="O1" s="69">
        <v>27</v>
      </c>
      <c r="P1" s="69">
        <v>30</v>
      </c>
      <c r="Q1" s="69">
        <v>33</v>
      </c>
      <c r="R1" s="69">
        <v>36</v>
      </c>
      <c r="S1" s="69">
        <v>39</v>
      </c>
      <c r="T1" s="69">
        <v>42</v>
      </c>
      <c r="U1" s="69">
        <v>42</v>
      </c>
      <c r="V1" s="69">
        <v>42</v>
      </c>
      <c r="W1" s="69">
        <v>42</v>
      </c>
      <c r="X1" s="69">
        <v>42</v>
      </c>
      <c r="Y1" s="69">
        <v>42</v>
      </c>
      <c r="Z1" s="69">
        <v>42</v>
      </c>
      <c r="AA1" s="69">
        <v>42</v>
      </c>
      <c r="AB1" s="69">
        <v>42</v>
      </c>
      <c r="AC1" s="69">
        <v>42</v>
      </c>
      <c r="AD1" s="69">
        <v>42</v>
      </c>
      <c r="AE1" s="69">
        <v>42</v>
      </c>
      <c r="AF1" s="69">
        <v>42</v>
      </c>
      <c r="AG1" s="69">
        <v>42</v>
      </c>
      <c r="AH1" s="69">
        <v>42</v>
      </c>
      <c r="AI1" s="69">
        <v>42</v>
      </c>
      <c r="AJ1" s="69">
        <v>42</v>
      </c>
      <c r="AK1" s="69">
        <v>42</v>
      </c>
      <c r="AL1" s="69">
        <v>42</v>
      </c>
      <c r="AM1" s="69">
        <v>42</v>
      </c>
      <c r="AN1" s="69">
        <v>42</v>
      </c>
    </row>
    <row r="2" spans="1:40" x14ac:dyDescent="0.25">
      <c r="A2" s="65"/>
      <c r="B2" s="3" t="str">
        <f>_xlfn.XLOOKUP($B$1&amp;"-"&amp;$C$1,Base!$D$4:$BD$4,Base!$D$2:$BD$2,"",0)</f>
        <v>New Jersey</v>
      </c>
      <c r="C2" s="55"/>
      <c r="D2" s="55" t="s">
        <v>259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0</v>
      </c>
      <c r="F2" s="69">
        <v>0</v>
      </c>
      <c r="G2" s="69">
        <v>0</v>
      </c>
      <c r="H2" s="69">
        <v>3.1666666666666665</v>
      </c>
      <c r="I2" s="69">
        <v>3.3333333333333335</v>
      </c>
      <c r="J2" s="69">
        <v>3.5</v>
      </c>
      <c r="K2" s="69">
        <v>3.6666666666666665</v>
      </c>
      <c r="L2" s="69">
        <v>3.8333333333333335</v>
      </c>
      <c r="M2" s="69">
        <v>4</v>
      </c>
      <c r="N2" s="69">
        <v>4.166666666666667</v>
      </c>
      <c r="O2" s="69">
        <v>4.333333333333333</v>
      </c>
      <c r="P2" s="69">
        <v>4.5</v>
      </c>
      <c r="Q2" s="69">
        <v>4.666666666666667</v>
      </c>
      <c r="R2" s="69">
        <v>4.833333333333333</v>
      </c>
      <c r="S2" s="69">
        <v>5</v>
      </c>
      <c r="T2" s="69">
        <v>2.1666666666666665</v>
      </c>
      <c r="U2" s="69">
        <v>2.3333333333333335</v>
      </c>
      <c r="V2" s="69">
        <v>2.5</v>
      </c>
      <c r="W2" s="69">
        <v>2.6666666666666665</v>
      </c>
      <c r="X2" s="69">
        <v>2.8333333333333335</v>
      </c>
      <c r="Y2" s="69">
        <v>3</v>
      </c>
      <c r="Z2" s="69">
        <v>3.1666666666666665</v>
      </c>
      <c r="AA2" s="69">
        <v>3.3333333333333335</v>
      </c>
      <c r="AB2" s="69">
        <v>3.5</v>
      </c>
      <c r="AC2" s="69">
        <v>3.6666666666666665</v>
      </c>
      <c r="AD2" s="69">
        <v>3.8333333333333335</v>
      </c>
      <c r="AE2" s="69">
        <v>4</v>
      </c>
      <c r="AF2" s="69">
        <v>4</v>
      </c>
      <c r="AG2" s="69">
        <v>4</v>
      </c>
      <c r="AH2" s="69">
        <v>4</v>
      </c>
      <c r="AI2" s="69">
        <v>4</v>
      </c>
      <c r="AJ2" s="69">
        <v>4</v>
      </c>
      <c r="AK2" s="69">
        <v>4</v>
      </c>
      <c r="AL2" s="69">
        <v>4</v>
      </c>
      <c r="AM2" s="69">
        <v>4</v>
      </c>
      <c r="AN2" s="69">
        <v>4</v>
      </c>
    </row>
    <row r="3" spans="1:40" x14ac:dyDescent="0.25">
      <c r="A3" s="65"/>
      <c r="B3" s="55"/>
      <c r="C3" s="55"/>
      <c r="D3" s="55" t="s">
        <v>62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_xlpm.months_since,DATEDIF(_xlpm.launchdate,_xlfn.ANCHORARRAY($E$25),"m"),_xlfn.BYCOL(_xlpm.months_since,_xlfn.LAMBDA(_xlpm.a,IFERROR(MIN(_xlpm.a/6,_xlpm.max_kiddos),0))))</f>
        <v>0</v>
      </c>
      <c r="F3" s="69">
        <v>0</v>
      </c>
      <c r="G3" s="69">
        <v>0</v>
      </c>
      <c r="H3" s="69">
        <v>0.16666666666666666</v>
      </c>
      <c r="I3" s="69">
        <v>0.33333333333333331</v>
      </c>
      <c r="J3" s="69">
        <v>0.5</v>
      </c>
      <c r="K3" s="69">
        <v>0.66666666666666663</v>
      </c>
      <c r="L3" s="69">
        <v>0.83333333333333337</v>
      </c>
      <c r="M3" s="69">
        <v>1</v>
      </c>
      <c r="N3" s="69">
        <v>1.1666666666666667</v>
      </c>
      <c r="O3" s="69">
        <v>1.3333333333333333</v>
      </c>
      <c r="P3" s="69">
        <v>1.5</v>
      </c>
      <c r="Q3" s="69">
        <v>1.6666666666666667</v>
      </c>
      <c r="R3" s="69">
        <v>1.8333333333333333</v>
      </c>
      <c r="S3" s="69">
        <v>2</v>
      </c>
      <c r="T3" s="69">
        <v>2.1666666666666665</v>
      </c>
      <c r="U3" s="69">
        <v>2.3333333333333335</v>
      </c>
      <c r="V3" s="69">
        <v>2.5</v>
      </c>
      <c r="W3" s="69">
        <v>2.6666666666666665</v>
      </c>
      <c r="X3" s="69">
        <v>2.8333333333333335</v>
      </c>
      <c r="Y3" s="69">
        <v>3</v>
      </c>
      <c r="Z3" s="69">
        <v>3.1666666666666665</v>
      </c>
      <c r="AA3" s="69">
        <v>3.3333333333333335</v>
      </c>
      <c r="AB3" s="69">
        <v>3.5</v>
      </c>
      <c r="AC3" s="69">
        <v>3.6666666666666665</v>
      </c>
      <c r="AD3" s="69">
        <v>3.8333333333333335</v>
      </c>
      <c r="AE3" s="69">
        <v>4</v>
      </c>
      <c r="AF3" s="69">
        <v>4</v>
      </c>
      <c r="AG3" s="69">
        <v>4</v>
      </c>
      <c r="AH3" s="69">
        <v>4</v>
      </c>
      <c r="AI3" s="69">
        <v>4</v>
      </c>
      <c r="AJ3" s="69">
        <v>4</v>
      </c>
      <c r="AK3" s="69">
        <v>4</v>
      </c>
      <c r="AL3" s="69">
        <v>4</v>
      </c>
      <c r="AM3" s="69">
        <v>4</v>
      </c>
      <c r="AN3" s="69">
        <v>4</v>
      </c>
    </row>
    <row r="4" spans="1:40" x14ac:dyDescent="0.25">
      <c r="A4" s="65"/>
      <c r="B4" s="55"/>
      <c r="C4" s="55"/>
      <c r="D4" s="55" t="s">
        <v>260</v>
      </c>
      <c r="E4" s="69" cm="1">
        <f t="array" ref="E4:AN4">_xlfn.BYCOL(_xlfn.VSTACK(_xlfn.ANCHORARRAY($E$1),_xlfn.ANCHORARRAY($E$2)),_xlfn.LAMBDA(_xlpm.a,SUM(_xlpm.a)))</f>
        <v>0</v>
      </c>
      <c r="F4" s="69">
        <v>0</v>
      </c>
      <c r="G4" s="69">
        <v>3</v>
      </c>
      <c r="H4" s="69">
        <v>9.1666666666666661</v>
      </c>
      <c r="I4" s="69">
        <v>12.333333333333334</v>
      </c>
      <c r="J4" s="69">
        <v>15.5</v>
      </c>
      <c r="K4" s="69">
        <v>18.666666666666668</v>
      </c>
      <c r="L4" s="69">
        <v>21.833333333333332</v>
      </c>
      <c r="M4" s="69">
        <v>25</v>
      </c>
      <c r="N4" s="69">
        <v>28.166666666666668</v>
      </c>
      <c r="O4" s="69">
        <v>31.333333333333332</v>
      </c>
      <c r="P4" s="69">
        <v>34.5</v>
      </c>
      <c r="Q4" s="69">
        <v>37.666666666666664</v>
      </c>
      <c r="R4" s="69">
        <v>40.833333333333336</v>
      </c>
      <c r="S4" s="69">
        <v>44</v>
      </c>
      <c r="T4" s="69">
        <v>44.166666666666664</v>
      </c>
      <c r="U4" s="69">
        <v>44.333333333333336</v>
      </c>
      <c r="V4" s="69">
        <v>44.5</v>
      </c>
      <c r="W4" s="69">
        <v>44.666666666666664</v>
      </c>
      <c r="X4" s="69">
        <v>44.833333333333336</v>
      </c>
      <c r="Y4" s="69">
        <v>45</v>
      </c>
      <c r="Z4" s="69">
        <v>45.166666666666664</v>
      </c>
      <c r="AA4" s="69">
        <v>45.333333333333336</v>
      </c>
      <c r="AB4" s="69">
        <v>45.5</v>
      </c>
      <c r="AC4" s="69">
        <v>45.666666666666664</v>
      </c>
      <c r="AD4" s="69">
        <v>45.833333333333336</v>
      </c>
      <c r="AE4" s="69">
        <v>46</v>
      </c>
      <c r="AF4" s="69">
        <v>46</v>
      </c>
      <c r="AG4" s="69">
        <v>46</v>
      </c>
      <c r="AH4" s="69">
        <v>46</v>
      </c>
      <c r="AI4" s="69">
        <v>46</v>
      </c>
      <c r="AJ4" s="69">
        <v>46</v>
      </c>
      <c r="AK4" s="69">
        <v>46</v>
      </c>
      <c r="AL4" s="69">
        <v>46</v>
      </c>
      <c r="AM4" s="69">
        <v>46</v>
      </c>
      <c r="AN4" s="69">
        <v>46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107</v>
      </c>
      <c r="C6" s="3"/>
      <c r="D6" s="3"/>
      <c r="E6" s="66" cm="1">
        <f t="array" ref="E6:AN6">ROUND(_xlfn.BYCOL(_xlfn.ANCHORARRAY(E7),_xlfn.LAMBDA(_xlpm.a,SUM(_xlpm.a))),0)</f>
        <v>0</v>
      </c>
      <c r="F6" s="66">
        <v>0</v>
      </c>
      <c r="G6" s="66">
        <v>6</v>
      </c>
      <c r="H6" s="66">
        <v>11</v>
      </c>
      <c r="I6" s="66">
        <v>15</v>
      </c>
      <c r="J6" s="66">
        <v>18</v>
      </c>
      <c r="K6" s="66">
        <v>22</v>
      </c>
      <c r="L6" s="66">
        <v>26</v>
      </c>
      <c r="M6" s="66">
        <v>29</v>
      </c>
      <c r="N6" s="66">
        <v>33</v>
      </c>
      <c r="O6" s="66">
        <v>37</v>
      </c>
      <c r="P6" s="66">
        <v>40</v>
      </c>
      <c r="Q6" s="66">
        <v>44</v>
      </c>
      <c r="R6" s="66">
        <v>47</v>
      </c>
      <c r="S6" s="66">
        <v>51</v>
      </c>
      <c r="T6" s="66">
        <v>54</v>
      </c>
      <c r="U6" s="66">
        <v>54</v>
      </c>
      <c r="V6" s="66">
        <v>54</v>
      </c>
      <c r="W6" s="66">
        <v>54</v>
      </c>
      <c r="X6" s="66">
        <v>54</v>
      </c>
      <c r="Y6" s="66">
        <v>54</v>
      </c>
      <c r="Z6" s="66">
        <v>54</v>
      </c>
      <c r="AA6" s="66">
        <v>54</v>
      </c>
      <c r="AB6" s="66">
        <v>54</v>
      </c>
      <c r="AC6" s="66">
        <v>54</v>
      </c>
      <c r="AD6" s="66">
        <v>54</v>
      </c>
      <c r="AE6" s="66">
        <v>54</v>
      </c>
      <c r="AF6" s="66">
        <v>54</v>
      </c>
      <c r="AG6" s="66">
        <v>54</v>
      </c>
      <c r="AH6" s="66">
        <v>54</v>
      </c>
      <c r="AI6" s="66">
        <v>54</v>
      </c>
      <c r="AJ6" s="66">
        <v>54</v>
      </c>
      <c r="AK6" s="66">
        <v>54</v>
      </c>
      <c r="AL6" s="66">
        <v>54</v>
      </c>
      <c r="AM6" s="66">
        <v>54</v>
      </c>
      <c r="AN6" s="66">
        <v>54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1"/>
      <c r="E7" s="106" cm="1">
        <f t="array" ref="E7:AN20">_xlfn.LET(_xlpm.Customer_staff,_xlfn._xlws.FILTER(Base!$D$85:$BD$98,ISNUMBER(SEARCH($B$1&amp;"-"&amp;$C$1,Base!$D$4:$BD$4))),_xlpm.Customer,_xlfn.ANCHORARRAY($E$1),_xlpm.headcount,_xlpm.Customer/_xlpm.Customer_staff,
_xlpm.patient_staff,_xlfn.ANCHORARRAY($E$2)/_xlpm.Customer_staff,_xlpm.prim_staff_tr_rec,_xlfn.ANCHORARRAY($E$2)/_xlfn.CHOOSEROWS(_xlpm.Customer_staff,{7,8})+(_xlfn.ANCHORARRAY($E$1)*0.0055),_xlpm.rounding,_xlfn.VSTACK(2,2,0,0,2,2,2,2,2,2,2,0,0,0),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prim_staff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0</v>
      </c>
      <c r="F7" s="106">
        <v>0</v>
      </c>
      <c r="G7" s="106">
        <v>2.8299999999999996</v>
      </c>
      <c r="H7" s="106">
        <v>5.6499999999999995</v>
      </c>
      <c r="I7" s="106">
        <v>8.48</v>
      </c>
      <c r="J7" s="106">
        <v>11.299999999999999</v>
      </c>
      <c r="K7" s="106">
        <v>14.12</v>
      </c>
      <c r="L7" s="106">
        <v>16.950000000000003</v>
      </c>
      <c r="M7" s="106">
        <v>19.770000000000003</v>
      </c>
      <c r="N7" s="106">
        <v>22.59</v>
      </c>
      <c r="O7" s="106">
        <v>25.42</v>
      </c>
      <c r="P7" s="106">
        <v>28.240000000000002</v>
      </c>
      <c r="Q7" s="106">
        <v>31.060000000000002</v>
      </c>
      <c r="R7" s="106">
        <v>33.89</v>
      </c>
      <c r="S7" s="106">
        <v>36.71</v>
      </c>
      <c r="T7" s="106">
        <v>39.53</v>
      </c>
      <c r="U7" s="106">
        <v>39.53</v>
      </c>
      <c r="V7" s="106">
        <v>39.53</v>
      </c>
      <c r="W7" s="106">
        <v>39.53</v>
      </c>
      <c r="X7" s="106">
        <v>39.53</v>
      </c>
      <c r="Y7" s="106">
        <v>39.53</v>
      </c>
      <c r="Z7" s="106">
        <v>39.53</v>
      </c>
      <c r="AA7" s="106">
        <v>39.53</v>
      </c>
      <c r="AB7" s="106">
        <v>39.53</v>
      </c>
      <c r="AC7" s="106">
        <v>39.53</v>
      </c>
      <c r="AD7" s="106">
        <v>39.53</v>
      </c>
      <c r="AE7" s="106">
        <v>39.53</v>
      </c>
      <c r="AF7" s="106">
        <v>39.53</v>
      </c>
      <c r="AG7" s="106">
        <v>39.53</v>
      </c>
      <c r="AH7" s="106">
        <v>39.53</v>
      </c>
      <c r="AI7" s="106">
        <v>39.53</v>
      </c>
      <c r="AJ7" s="106">
        <v>39.53</v>
      </c>
      <c r="AK7" s="106">
        <v>39.53</v>
      </c>
      <c r="AL7" s="106">
        <v>39.53</v>
      </c>
      <c r="AM7" s="106">
        <v>39.53</v>
      </c>
      <c r="AN7" s="106">
        <v>39.53</v>
      </c>
    </row>
    <row r="8" spans="1:40" hidden="1" outlineLevel="1" x14ac:dyDescent="0.25">
      <c r="B8" s="39" t="str">
        <v>Secondary Direct Staff</v>
      </c>
      <c r="C8" s="3"/>
      <c r="D8" s="3"/>
      <c r="E8" s="106">
        <v>0</v>
      </c>
      <c r="F8" s="106">
        <v>0</v>
      </c>
      <c r="G8" s="106">
        <v>0.43</v>
      </c>
      <c r="H8" s="106">
        <v>0.86</v>
      </c>
      <c r="I8" s="106">
        <v>1.29</v>
      </c>
      <c r="J8" s="106">
        <v>1.72</v>
      </c>
      <c r="K8" s="106">
        <v>2.15</v>
      </c>
      <c r="L8" s="106">
        <v>2.5799999999999996</v>
      </c>
      <c r="M8" s="106">
        <v>3</v>
      </c>
      <c r="N8" s="106">
        <v>3.4299999999999997</v>
      </c>
      <c r="O8" s="106">
        <v>3.86</v>
      </c>
      <c r="P8" s="106">
        <v>4.29</v>
      </c>
      <c r="Q8" s="106">
        <v>4.72</v>
      </c>
      <c r="R8" s="106">
        <v>5.1499999999999995</v>
      </c>
      <c r="S8" s="106">
        <v>5.58</v>
      </c>
      <c r="T8" s="106">
        <v>6</v>
      </c>
      <c r="U8" s="106">
        <v>6</v>
      </c>
      <c r="V8" s="106">
        <v>6</v>
      </c>
      <c r="W8" s="106">
        <v>6</v>
      </c>
      <c r="X8" s="106">
        <v>6</v>
      </c>
      <c r="Y8" s="106">
        <v>6</v>
      </c>
      <c r="Z8" s="106">
        <v>6</v>
      </c>
      <c r="AA8" s="106">
        <v>6</v>
      </c>
      <c r="AB8" s="106">
        <v>6</v>
      </c>
      <c r="AC8" s="106">
        <v>6</v>
      </c>
      <c r="AD8" s="106">
        <v>6</v>
      </c>
      <c r="AE8" s="106">
        <v>6</v>
      </c>
      <c r="AF8" s="106">
        <v>6</v>
      </c>
      <c r="AG8" s="106">
        <v>6</v>
      </c>
      <c r="AH8" s="106">
        <v>6</v>
      </c>
      <c r="AI8" s="106">
        <v>6</v>
      </c>
      <c r="AJ8" s="106">
        <v>6</v>
      </c>
      <c r="AK8" s="106">
        <v>6</v>
      </c>
      <c r="AL8" s="106">
        <v>6</v>
      </c>
      <c r="AM8" s="106">
        <v>6</v>
      </c>
      <c r="AN8" s="106">
        <v>6</v>
      </c>
    </row>
    <row r="9" spans="1:40" hidden="1" outlineLevel="1" x14ac:dyDescent="0.25">
      <c r="B9" s="39" t="str">
        <v>Center Manager</v>
      </c>
      <c r="C9" s="3"/>
      <c r="D9" s="3"/>
      <c r="E9" s="106">
        <v>0</v>
      </c>
      <c r="F9" s="106">
        <v>0</v>
      </c>
      <c r="G9" s="106">
        <v>1</v>
      </c>
      <c r="H9" s="106">
        <v>1</v>
      </c>
      <c r="I9" s="106">
        <v>1</v>
      </c>
      <c r="J9" s="106">
        <v>1</v>
      </c>
      <c r="K9" s="106">
        <v>1</v>
      </c>
      <c r="L9" s="106">
        <v>1</v>
      </c>
      <c r="M9" s="106">
        <v>1</v>
      </c>
      <c r="N9" s="106">
        <v>1</v>
      </c>
      <c r="O9" s="106">
        <v>1</v>
      </c>
      <c r="P9" s="106">
        <v>1</v>
      </c>
      <c r="Q9" s="106">
        <v>1</v>
      </c>
      <c r="R9" s="106">
        <v>1</v>
      </c>
      <c r="S9" s="106">
        <v>1</v>
      </c>
      <c r="T9" s="106">
        <v>1</v>
      </c>
      <c r="U9" s="106">
        <v>1</v>
      </c>
      <c r="V9" s="106">
        <v>1</v>
      </c>
      <c r="W9" s="106">
        <v>1</v>
      </c>
      <c r="X9" s="106">
        <v>1</v>
      </c>
      <c r="Y9" s="106">
        <v>1</v>
      </c>
      <c r="Z9" s="106">
        <v>1</v>
      </c>
      <c r="AA9" s="106">
        <v>1</v>
      </c>
      <c r="AB9" s="106">
        <v>1</v>
      </c>
      <c r="AC9" s="106">
        <v>1</v>
      </c>
      <c r="AD9" s="106">
        <v>1</v>
      </c>
      <c r="AE9" s="106">
        <v>1</v>
      </c>
      <c r="AF9" s="106">
        <v>1</v>
      </c>
      <c r="AG9" s="106">
        <v>1</v>
      </c>
      <c r="AH9" s="106">
        <v>1</v>
      </c>
      <c r="AI9" s="106">
        <v>1</v>
      </c>
      <c r="AJ9" s="106">
        <v>1</v>
      </c>
      <c r="AK9" s="106">
        <v>1</v>
      </c>
      <c r="AL9" s="106">
        <v>1</v>
      </c>
      <c r="AM9" s="106">
        <v>1</v>
      </c>
      <c r="AN9" s="106">
        <v>1</v>
      </c>
    </row>
    <row r="10" spans="1:40" hidden="1" outlineLevel="1" x14ac:dyDescent="0.25">
      <c r="B10" s="39" t="str">
        <v>Intake</v>
      </c>
      <c r="C10" s="3"/>
      <c r="D10" s="3"/>
      <c r="E10" s="106">
        <v>0</v>
      </c>
      <c r="F10" s="106">
        <v>0</v>
      </c>
      <c r="G10" s="106">
        <v>0</v>
      </c>
      <c r="H10" s="106">
        <v>1</v>
      </c>
      <c r="I10" s="106">
        <v>1</v>
      </c>
      <c r="J10" s="106">
        <v>1</v>
      </c>
      <c r="K10" s="106">
        <v>1</v>
      </c>
      <c r="L10" s="106">
        <v>1</v>
      </c>
      <c r="M10" s="106">
        <v>1</v>
      </c>
      <c r="N10" s="106">
        <v>1</v>
      </c>
      <c r="O10" s="106">
        <v>1</v>
      </c>
      <c r="P10" s="106">
        <v>1</v>
      </c>
      <c r="Q10" s="106">
        <v>1</v>
      </c>
      <c r="R10" s="106">
        <v>1</v>
      </c>
      <c r="S10" s="106">
        <v>1</v>
      </c>
      <c r="T10" s="106">
        <v>1</v>
      </c>
      <c r="U10" s="106">
        <v>1</v>
      </c>
      <c r="V10" s="106">
        <v>1</v>
      </c>
      <c r="W10" s="106">
        <v>1</v>
      </c>
      <c r="X10" s="106">
        <v>1</v>
      </c>
      <c r="Y10" s="106">
        <v>1</v>
      </c>
      <c r="Z10" s="106">
        <v>1</v>
      </c>
      <c r="AA10" s="106">
        <v>1</v>
      </c>
      <c r="AB10" s="106">
        <v>1</v>
      </c>
      <c r="AC10" s="106">
        <v>1</v>
      </c>
      <c r="AD10" s="106">
        <v>1</v>
      </c>
      <c r="AE10" s="106">
        <v>1</v>
      </c>
      <c r="AF10" s="106">
        <v>1</v>
      </c>
      <c r="AG10" s="106">
        <v>1</v>
      </c>
      <c r="AH10" s="106">
        <v>1</v>
      </c>
      <c r="AI10" s="106">
        <v>1</v>
      </c>
      <c r="AJ10" s="106">
        <v>1</v>
      </c>
      <c r="AK10" s="106">
        <v>1</v>
      </c>
      <c r="AL10" s="106">
        <v>1</v>
      </c>
      <c r="AM10" s="106">
        <v>1</v>
      </c>
      <c r="AN10" s="106">
        <v>1</v>
      </c>
    </row>
    <row r="11" spans="1:40" hidden="1" outlineLevel="1" x14ac:dyDescent="0.25">
      <c r="B11" s="39" t="str">
        <v>Scheduler</v>
      </c>
      <c r="C11" s="3"/>
      <c r="D11" s="3"/>
      <c r="E11" s="106">
        <v>0</v>
      </c>
      <c r="F11" s="106">
        <v>0</v>
      </c>
      <c r="G11" s="106">
        <v>0</v>
      </c>
      <c r="H11" s="106">
        <v>0</v>
      </c>
      <c r="I11" s="106">
        <v>0</v>
      </c>
      <c r="J11" s="106">
        <v>0</v>
      </c>
      <c r="K11" s="106">
        <v>0</v>
      </c>
      <c r="L11" s="106">
        <v>0</v>
      </c>
      <c r="M11" s="106">
        <v>0</v>
      </c>
      <c r="N11" s="106">
        <v>0</v>
      </c>
      <c r="O11" s="106">
        <v>0</v>
      </c>
      <c r="P11" s="106">
        <v>0</v>
      </c>
      <c r="Q11" s="106">
        <v>0</v>
      </c>
      <c r="R11" s="106">
        <v>0</v>
      </c>
      <c r="S11" s="106">
        <v>0</v>
      </c>
      <c r="T11" s="106">
        <v>0</v>
      </c>
      <c r="U11" s="106">
        <v>0</v>
      </c>
      <c r="V11" s="106">
        <v>0</v>
      </c>
      <c r="W11" s="106">
        <v>0</v>
      </c>
      <c r="X11" s="106">
        <v>0</v>
      </c>
      <c r="Y11" s="106">
        <v>0</v>
      </c>
      <c r="Z11" s="106">
        <v>0</v>
      </c>
      <c r="AA11" s="106">
        <v>0</v>
      </c>
      <c r="AB11" s="106">
        <v>0</v>
      </c>
      <c r="AC11" s="106">
        <v>0</v>
      </c>
      <c r="AD11" s="106">
        <v>0</v>
      </c>
      <c r="AE11" s="106">
        <v>0</v>
      </c>
      <c r="AF11" s="106">
        <v>0</v>
      </c>
      <c r="AG11" s="106">
        <v>0</v>
      </c>
      <c r="AH11" s="106">
        <v>0</v>
      </c>
      <c r="AI11" s="106">
        <v>0</v>
      </c>
      <c r="AJ11" s="106">
        <v>0</v>
      </c>
      <c r="AK11" s="106">
        <v>0</v>
      </c>
      <c r="AL11" s="106">
        <v>0</v>
      </c>
      <c r="AM11" s="106">
        <v>0</v>
      </c>
      <c r="AN11" s="106">
        <v>0</v>
      </c>
    </row>
    <row r="12" spans="1:40" hidden="1" outlineLevel="1" x14ac:dyDescent="0.25">
      <c r="B12" s="39" t="str">
        <v>Initial Consultation Expert</v>
      </c>
      <c r="C12" s="3"/>
      <c r="D12" s="3"/>
      <c r="E12" s="106">
        <v>0</v>
      </c>
      <c r="F12" s="106">
        <v>0</v>
      </c>
      <c r="G12" s="106">
        <v>0</v>
      </c>
      <c r="H12" s="106">
        <v>0.25</v>
      </c>
      <c r="I12" s="106">
        <v>0.26</v>
      </c>
      <c r="J12" s="106">
        <v>0.27</v>
      </c>
      <c r="K12" s="106">
        <v>0.29000000000000004</v>
      </c>
      <c r="L12" s="106">
        <v>0.3</v>
      </c>
      <c r="M12" s="106">
        <v>0.31</v>
      </c>
      <c r="N12" s="106">
        <v>0.33</v>
      </c>
      <c r="O12" s="106">
        <v>0.34</v>
      </c>
      <c r="P12" s="106">
        <v>0.35000000000000003</v>
      </c>
      <c r="Q12" s="106">
        <v>0.36</v>
      </c>
      <c r="R12" s="106">
        <v>0.38</v>
      </c>
      <c r="S12" s="106">
        <v>0.39</v>
      </c>
      <c r="T12" s="106">
        <v>0.17</v>
      </c>
      <c r="U12" s="106">
        <v>0.18000000000000002</v>
      </c>
      <c r="V12" s="106">
        <v>0.2</v>
      </c>
      <c r="W12" s="106">
        <v>0.21000000000000002</v>
      </c>
      <c r="X12" s="106">
        <v>0.22</v>
      </c>
      <c r="Y12" s="106">
        <v>0.24000000000000002</v>
      </c>
      <c r="Z12" s="106">
        <v>0.25</v>
      </c>
      <c r="AA12" s="106">
        <v>0.26</v>
      </c>
      <c r="AB12" s="106">
        <v>0.27</v>
      </c>
      <c r="AC12" s="106">
        <v>0.29000000000000004</v>
      </c>
      <c r="AD12" s="106">
        <v>0.3</v>
      </c>
      <c r="AE12" s="106">
        <v>0.31</v>
      </c>
      <c r="AF12" s="106">
        <v>0.31</v>
      </c>
      <c r="AG12" s="106">
        <v>0.31</v>
      </c>
      <c r="AH12" s="106">
        <v>0.31</v>
      </c>
      <c r="AI12" s="106">
        <v>0.31</v>
      </c>
      <c r="AJ12" s="106">
        <v>0.31</v>
      </c>
      <c r="AK12" s="106">
        <v>0.31</v>
      </c>
      <c r="AL12" s="106">
        <v>0.31</v>
      </c>
      <c r="AM12" s="106">
        <v>0.31</v>
      </c>
      <c r="AN12" s="106">
        <v>0.31</v>
      </c>
    </row>
    <row r="13" spans="1:40" hidden="1" outlineLevel="1" x14ac:dyDescent="0.25">
      <c r="B13" s="39" t="str">
        <v>Trainer</v>
      </c>
      <c r="C13" s="3"/>
      <c r="D13" s="3"/>
      <c r="E13" s="106">
        <v>0</v>
      </c>
      <c r="F13" s="106">
        <v>0</v>
      </c>
      <c r="G13" s="106">
        <v>0.02</v>
      </c>
      <c r="H13" s="106">
        <v>0.35000000000000003</v>
      </c>
      <c r="I13" s="106">
        <v>0.39</v>
      </c>
      <c r="J13" s="106">
        <v>0.42</v>
      </c>
      <c r="K13" s="106">
        <v>0.45</v>
      </c>
      <c r="L13" s="106">
        <v>0.49</v>
      </c>
      <c r="M13" s="106">
        <v>0.52</v>
      </c>
      <c r="N13" s="106">
        <v>0.55000000000000004</v>
      </c>
      <c r="O13" s="106">
        <v>0.59</v>
      </c>
      <c r="P13" s="106">
        <v>0.62</v>
      </c>
      <c r="Q13" s="106">
        <v>0.65</v>
      </c>
      <c r="R13" s="106">
        <v>0.69000000000000006</v>
      </c>
      <c r="S13" s="106">
        <v>0.72</v>
      </c>
      <c r="T13" s="106">
        <v>0.45</v>
      </c>
      <c r="U13" s="106">
        <v>0.47000000000000003</v>
      </c>
      <c r="V13" s="106">
        <v>0.49</v>
      </c>
      <c r="W13" s="106">
        <v>0.5</v>
      </c>
      <c r="X13" s="106">
        <v>0.52</v>
      </c>
      <c r="Y13" s="106">
        <v>0.54</v>
      </c>
      <c r="Z13" s="106">
        <v>0.55000000000000004</v>
      </c>
      <c r="AA13" s="106">
        <v>0.57000000000000006</v>
      </c>
      <c r="AB13" s="106">
        <v>0.59</v>
      </c>
      <c r="AC13" s="106">
        <v>0.6</v>
      </c>
      <c r="AD13" s="106">
        <v>0.62</v>
      </c>
      <c r="AE13" s="106">
        <v>0.64</v>
      </c>
      <c r="AF13" s="106">
        <v>0.64</v>
      </c>
      <c r="AG13" s="106">
        <v>0.64</v>
      </c>
      <c r="AH13" s="106">
        <v>0.64</v>
      </c>
      <c r="AI13" s="106">
        <v>0.64</v>
      </c>
      <c r="AJ13" s="106">
        <v>0.64</v>
      </c>
      <c r="AK13" s="106">
        <v>0.64</v>
      </c>
      <c r="AL13" s="106">
        <v>0.64</v>
      </c>
      <c r="AM13" s="106">
        <v>0.64</v>
      </c>
      <c r="AN13" s="106">
        <v>0.64</v>
      </c>
    </row>
    <row r="14" spans="1:40" hidden="1" outlineLevel="1" x14ac:dyDescent="0.25">
      <c r="B14" s="39" t="str">
        <v>Recruiter</v>
      </c>
      <c r="C14" s="3"/>
      <c r="D14" s="3"/>
      <c r="E14" s="106">
        <v>0</v>
      </c>
      <c r="F14" s="106">
        <v>0</v>
      </c>
      <c r="G14" s="106">
        <v>0.02</v>
      </c>
      <c r="H14" s="106">
        <v>0.2</v>
      </c>
      <c r="I14" s="106">
        <v>0.22</v>
      </c>
      <c r="J14" s="106">
        <v>0.25</v>
      </c>
      <c r="K14" s="106">
        <v>0.27</v>
      </c>
      <c r="L14" s="106">
        <v>0.3</v>
      </c>
      <c r="M14" s="106">
        <v>0.32</v>
      </c>
      <c r="N14" s="106">
        <v>0.35000000000000003</v>
      </c>
      <c r="O14" s="106">
        <v>0.37</v>
      </c>
      <c r="P14" s="106">
        <v>0.39</v>
      </c>
      <c r="Q14" s="106">
        <v>0.42</v>
      </c>
      <c r="R14" s="106">
        <v>0.44</v>
      </c>
      <c r="S14" s="106">
        <v>0.47000000000000003</v>
      </c>
      <c r="T14" s="106">
        <v>0.34</v>
      </c>
      <c r="U14" s="106">
        <v>0.35000000000000003</v>
      </c>
      <c r="V14" s="106">
        <v>0.36</v>
      </c>
      <c r="W14" s="106">
        <v>0.37</v>
      </c>
      <c r="X14" s="106">
        <v>0.38</v>
      </c>
      <c r="Y14" s="106">
        <v>0.39</v>
      </c>
      <c r="Z14" s="106">
        <v>0.39</v>
      </c>
      <c r="AA14" s="106">
        <v>0.4</v>
      </c>
      <c r="AB14" s="106">
        <v>0.41000000000000003</v>
      </c>
      <c r="AC14" s="106">
        <v>0.42</v>
      </c>
      <c r="AD14" s="106">
        <v>0.43</v>
      </c>
      <c r="AE14" s="106">
        <v>0.44</v>
      </c>
      <c r="AF14" s="106">
        <v>0.44</v>
      </c>
      <c r="AG14" s="106">
        <v>0.44</v>
      </c>
      <c r="AH14" s="106">
        <v>0.44</v>
      </c>
      <c r="AI14" s="106">
        <v>0.44</v>
      </c>
      <c r="AJ14" s="106">
        <v>0.44</v>
      </c>
      <c r="AK14" s="106">
        <v>0.44</v>
      </c>
      <c r="AL14" s="106">
        <v>0.44</v>
      </c>
      <c r="AM14" s="106">
        <v>0.44</v>
      </c>
      <c r="AN14" s="106">
        <v>0.44</v>
      </c>
    </row>
    <row r="15" spans="1:40" hidden="1" outlineLevel="1" x14ac:dyDescent="0.25">
      <c r="B15" s="39" t="str">
        <v>Center Director / Remote Site Director</v>
      </c>
      <c r="C15" s="3"/>
      <c r="D15" s="3"/>
      <c r="E15" s="106">
        <v>0</v>
      </c>
      <c r="F15" s="106">
        <v>0</v>
      </c>
      <c r="G15" s="106">
        <v>0.02</v>
      </c>
      <c r="H15" s="106">
        <v>0.03</v>
      </c>
      <c r="I15" s="106">
        <v>0.04</v>
      </c>
      <c r="J15" s="106">
        <v>0.05</v>
      </c>
      <c r="K15" s="106">
        <v>0.06</v>
      </c>
      <c r="L15" s="106">
        <v>0.08</v>
      </c>
      <c r="M15" s="106">
        <v>0.09</v>
      </c>
      <c r="N15" s="106">
        <v>9.9999999999999992E-2</v>
      </c>
      <c r="O15" s="106">
        <v>0.11</v>
      </c>
      <c r="P15" s="106">
        <v>0.12</v>
      </c>
      <c r="Q15" s="106">
        <v>0.14000000000000001</v>
      </c>
      <c r="R15" s="106">
        <v>0.15000000000000002</v>
      </c>
      <c r="S15" s="106">
        <v>0.16</v>
      </c>
      <c r="T15" s="106">
        <v>0.17</v>
      </c>
      <c r="U15" s="106">
        <v>0.17</v>
      </c>
      <c r="V15" s="106">
        <v>0.17</v>
      </c>
      <c r="W15" s="106">
        <v>0.17</v>
      </c>
      <c r="X15" s="106">
        <v>0.17</v>
      </c>
      <c r="Y15" s="106">
        <v>0.17</v>
      </c>
      <c r="Z15" s="106">
        <v>0.17</v>
      </c>
      <c r="AA15" s="106">
        <v>0.17</v>
      </c>
      <c r="AB15" s="106">
        <v>0.17</v>
      </c>
      <c r="AC15" s="106">
        <v>0.17</v>
      </c>
      <c r="AD15" s="106">
        <v>0.17</v>
      </c>
      <c r="AE15" s="106">
        <v>0.17</v>
      </c>
      <c r="AF15" s="106">
        <v>0.17</v>
      </c>
      <c r="AG15" s="106">
        <v>0.17</v>
      </c>
      <c r="AH15" s="106">
        <v>0.17</v>
      </c>
      <c r="AI15" s="106">
        <v>0.17</v>
      </c>
      <c r="AJ15" s="106">
        <v>0.17</v>
      </c>
      <c r="AK15" s="106">
        <v>0.17</v>
      </c>
      <c r="AL15" s="106">
        <v>0.17</v>
      </c>
      <c r="AM15" s="106">
        <v>0.17</v>
      </c>
      <c r="AN15" s="106">
        <v>0.17</v>
      </c>
    </row>
    <row r="16" spans="1:40" hidden="1" outlineLevel="1" x14ac:dyDescent="0.25">
      <c r="B16" s="39" t="str">
        <v>Center Marketing Outreach</v>
      </c>
      <c r="C16" s="3"/>
      <c r="D16" s="3"/>
      <c r="E16" s="106">
        <v>0</v>
      </c>
      <c r="F16" s="106">
        <v>0</v>
      </c>
      <c r="G16" s="106">
        <v>0.02</v>
      </c>
      <c r="H16" s="106">
        <v>0.03</v>
      </c>
      <c r="I16" s="106">
        <v>0.04</v>
      </c>
      <c r="J16" s="106">
        <v>0.05</v>
      </c>
      <c r="K16" s="106">
        <v>0.06</v>
      </c>
      <c r="L16" s="106">
        <v>0.08</v>
      </c>
      <c r="M16" s="106">
        <v>0.09</v>
      </c>
      <c r="N16" s="106">
        <v>9.9999999999999992E-2</v>
      </c>
      <c r="O16" s="106">
        <v>0.11</v>
      </c>
      <c r="P16" s="106">
        <v>0.12</v>
      </c>
      <c r="Q16" s="106">
        <v>0.14000000000000001</v>
      </c>
      <c r="R16" s="106">
        <v>0.15000000000000002</v>
      </c>
      <c r="S16" s="106">
        <v>0.16</v>
      </c>
      <c r="T16" s="106">
        <v>0.17</v>
      </c>
      <c r="U16" s="106">
        <v>0.17</v>
      </c>
      <c r="V16" s="106">
        <v>0.17</v>
      </c>
      <c r="W16" s="106">
        <v>0.17</v>
      </c>
      <c r="X16" s="106">
        <v>0.17</v>
      </c>
      <c r="Y16" s="106">
        <v>0.17</v>
      </c>
      <c r="Z16" s="106">
        <v>0.17</v>
      </c>
      <c r="AA16" s="106">
        <v>0.17</v>
      </c>
      <c r="AB16" s="106">
        <v>0.17</v>
      </c>
      <c r="AC16" s="106">
        <v>0.17</v>
      </c>
      <c r="AD16" s="106">
        <v>0.17</v>
      </c>
      <c r="AE16" s="106">
        <v>0.17</v>
      </c>
      <c r="AF16" s="106">
        <v>0.17</v>
      </c>
      <c r="AG16" s="106">
        <v>0.17</v>
      </c>
      <c r="AH16" s="106">
        <v>0.17</v>
      </c>
      <c r="AI16" s="106">
        <v>0.17</v>
      </c>
      <c r="AJ16" s="106">
        <v>0.17</v>
      </c>
      <c r="AK16" s="106">
        <v>0.17</v>
      </c>
      <c r="AL16" s="106">
        <v>0.17</v>
      </c>
      <c r="AM16" s="106">
        <v>0.17</v>
      </c>
      <c r="AN16" s="106">
        <v>0.17</v>
      </c>
    </row>
    <row r="17" spans="2:50" hidden="1" outlineLevel="1" x14ac:dyDescent="0.25">
      <c r="B17" s="39" t="str">
        <v>Primary Direct Staff Lead</v>
      </c>
      <c r="C17" s="3"/>
      <c r="D17" s="3"/>
      <c r="E17" s="106">
        <v>0</v>
      </c>
      <c r="F17" s="106">
        <v>0</v>
      </c>
      <c r="G17" s="106">
        <v>0.3</v>
      </c>
      <c r="H17" s="106">
        <v>0.6</v>
      </c>
      <c r="I17" s="106">
        <v>0.9</v>
      </c>
      <c r="J17" s="106">
        <v>1.2</v>
      </c>
      <c r="K17" s="106">
        <v>1.5</v>
      </c>
      <c r="L17" s="106">
        <v>1.8</v>
      </c>
      <c r="M17" s="106">
        <v>2.1</v>
      </c>
      <c r="N17" s="106">
        <v>2.4</v>
      </c>
      <c r="O17" s="106">
        <v>2.7</v>
      </c>
      <c r="P17" s="106">
        <v>3</v>
      </c>
      <c r="Q17" s="106">
        <v>3.3</v>
      </c>
      <c r="R17" s="106">
        <v>3.6</v>
      </c>
      <c r="S17" s="106">
        <v>3.9</v>
      </c>
      <c r="T17" s="106">
        <v>4.2</v>
      </c>
      <c r="U17" s="106">
        <v>4.2</v>
      </c>
      <c r="V17" s="106">
        <v>4.2</v>
      </c>
      <c r="W17" s="106">
        <v>4.2</v>
      </c>
      <c r="X17" s="106">
        <v>4.2</v>
      </c>
      <c r="Y17" s="106">
        <v>4.2</v>
      </c>
      <c r="Z17" s="106">
        <v>4.2</v>
      </c>
      <c r="AA17" s="106">
        <v>4.2</v>
      </c>
      <c r="AB17" s="106">
        <v>4.2</v>
      </c>
      <c r="AC17" s="106">
        <v>4.2</v>
      </c>
      <c r="AD17" s="106">
        <v>4.2</v>
      </c>
      <c r="AE17" s="106">
        <v>4.2</v>
      </c>
      <c r="AF17" s="106">
        <v>4.2</v>
      </c>
      <c r="AG17" s="106">
        <v>4.2</v>
      </c>
      <c r="AH17" s="106">
        <v>4.2</v>
      </c>
      <c r="AI17" s="106">
        <v>4.2</v>
      </c>
      <c r="AJ17" s="106">
        <v>4.2</v>
      </c>
      <c r="AK17" s="106">
        <v>4.2</v>
      </c>
      <c r="AL17" s="106">
        <v>4.2</v>
      </c>
      <c r="AM17" s="106">
        <v>4.2</v>
      </c>
      <c r="AN17" s="106">
        <v>4.2</v>
      </c>
    </row>
    <row r="18" spans="2:50" hidden="1" outlineLevel="1" x14ac:dyDescent="0.25">
      <c r="B18" s="39" t="str">
        <v>Tertiary Direct Staff</v>
      </c>
      <c r="C18" s="3"/>
      <c r="D18" s="3"/>
      <c r="E18" s="106">
        <v>0</v>
      </c>
      <c r="F18" s="106">
        <v>0</v>
      </c>
      <c r="G18" s="106">
        <v>0</v>
      </c>
      <c r="H18" s="106">
        <v>0</v>
      </c>
      <c r="I18" s="106">
        <v>0</v>
      </c>
      <c r="J18" s="106">
        <v>0</v>
      </c>
      <c r="K18" s="106">
        <v>0</v>
      </c>
      <c r="L18" s="106">
        <v>0</v>
      </c>
      <c r="M18" s="106">
        <v>0</v>
      </c>
      <c r="N18" s="106">
        <v>0</v>
      </c>
      <c r="O18" s="106">
        <v>0</v>
      </c>
      <c r="P18" s="106">
        <v>0</v>
      </c>
      <c r="Q18" s="106">
        <v>0</v>
      </c>
      <c r="R18" s="106">
        <v>0</v>
      </c>
      <c r="S18" s="106">
        <v>0</v>
      </c>
      <c r="T18" s="106">
        <v>0</v>
      </c>
      <c r="U18" s="106">
        <v>0</v>
      </c>
      <c r="V18" s="106">
        <v>0</v>
      </c>
      <c r="W18" s="106">
        <v>0</v>
      </c>
      <c r="X18" s="106">
        <v>0</v>
      </c>
      <c r="Y18" s="106">
        <v>0</v>
      </c>
      <c r="Z18" s="106">
        <v>0</v>
      </c>
      <c r="AA18" s="106">
        <v>0</v>
      </c>
      <c r="AB18" s="106">
        <v>0</v>
      </c>
      <c r="AC18" s="106">
        <v>0</v>
      </c>
      <c r="AD18" s="106">
        <v>0</v>
      </c>
      <c r="AE18" s="106">
        <v>0</v>
      </c>
      <c r="AF18" s="106">
        <v>0</v>
      </c>
      <c r="AG18" s="106">
        <v>0</v>
      </c>
      <c r="AH18" s="106">
        <v>0</v>
      </c>
      <c r="AI18" s="106">
        <v>0</v>
      </c>
      <c r="AJ18" s="106">
        <v>0</v>
      </c>
      <c r="AK18" s="106">
        <v>0</v>
      </c>
      <c r="AL18" s="106">
        <v>0</v>
      </c>
      <c r="AM18" s="106">
        <v>0</v>
      </c>
      <c r="AN18" s="106">
        <v>0</v>
      </c>
    </row>
    <row r="19" spans="2:50" hidden="1" outlineLevel="1" x14ac:dyDescent="0.25">
      <c r="B19" s="39" t="str">
        <v>Quinary Direct Staff</v>
      </c>
      <c r="C19" s="3"/>
      <c r="D19" s="3"/>
      <c r="E19" s="106">
        <v>0</v>
      </c>
      <c r="F19" s="106">
        <v>0</v>
      </c>
      <c r="G19" s="106">
        <v>0</v>
      </c>
      <c r="H19" s="106">
        <v>0</v>
      </c>
      <c r="I19" s="106">
        <v>0</v>
      </c>
      <c r="J19" s="106">
        <v>0</v>
      </c>
      <c r="K19" s="106">
        <v>0</v>
      </c>
      <c r="L19" s="106">
        <v>0</v>
      </c>
      <c r="M19" s="106">
        <v>0</v>
      </c>
      <c r="N19" s="106">
        <v>0</v>
      </c>
      <c r="O19" s="106">
        <v>0</v>
      </c>
      <c r="P19" s="106">
        <v>0</v>
      </c>
      <c r="Q19" s="106">
        <v>0</v>
      </c>
      <c r="R19" s="106">
        <v>0</v>
      </c>
      <c r="S19" s="106">
        <v>0</v>
      </c>
      <c r="T19" s="106">
        <v>0</v>
      </c>
      <c r="U19" s="106">
        <v>0</v>
      </c>
      <c r="V19" s="106">
        <v>0</v>
      </c>
      <c r="W19" s="106">
        <v>0</v>
      </c>
      <c r="X19" s="106">
        <v>0</v>
      </c>
      <c r="Y19" s="106">
        <v>0</v>
      </c>
      <c r="Z19" s="106">
        <v>0</v>
      </c>
      <c r="AA19" s="106">
        <v>0</v>
      </c>
      <c r="AB19" s="106">
        <v>0</v>
      </c>
      <c r="AC19" s="106">
        <v>0</v>
      </c>
      <c r="AD19" s="106">
        <v>0</v>
      </c>
      <c r="AE19" s="106">
        <v>0</v>
      </c>
      <c r="AF19" s="106">
        <v>0</v>
      </c>
      <c r="AG19" s="106">
        <v>0</v>
      </c>
      <c r="AH19" s="106">
        <v>0</v>
      </c>
      <c r="AI19" s="106">
        <v>0</v>
      </c>
      <c r="AJ19" s="106">
        <v>0</v>
      </c>
      <c r="AK19" s="106">
        <v>0</v>
      </c>
      <c r="AL19" s="106">
        <v>0</v>
      </c>
      <c r="AM19" s="106">
        <v>0</v>
      </c>
      <c r="AN19" s="106">
        <v>0</v>
      </c>
    </row>
    <row r="20" spans="2:50" hidden="1" outlineLevel="1" x14ac:dyDescent="0.25">
      <c r="B20" s="39" t="str">
        <v>Quaternary Direct Staff</v>
      </c>
      <c r="C20" s="3"/>
      <c r="D20" s="3"/>
      <c r="E20" s="106">
        <v>0</v>
      </c>
      <c r="F20" s="106">
        <v>0</v>
      </c>
      <c r="G20" s="106">
        <v>1</v>
      </c>
      <c r="H20" s="106">
        <v>1</v>
      </c>
      <c r="I20" s="106">
        <v>1</v>
      </c>
      <c r="J20" s="106">
        <v>1</v>
      </c>
      <c r="K20" s="106">
        <v>1</v>
      </c>
      <c r="L20" s="106">
        <v>1</v>
      </c>
      <c r="M20" s="106">
        <v>1</v>
      </c>
      <c r="N20" s="106">
        <v>1</v>
      </c>
      <c r="O20" s="106">
        <v>1</v>
      </c>
      <c r="P20" s="106">
        <v>1</v>
      </c>
      <c r="Q20" s="106">
        <v>1</v>
      </c>
      <c r="R20" s="106">
        <v>1</v>
      </c>
      <c r="S20" s="106">
        <v>1</v>
      </c>
      <c r="T20" s="106">
        <v>1</v>
      </c>
      <c r="U20" s="106">
        <v>1</v>
      </c>
      <c r="V20" s="106">
        <v>1</v>
      </c>
      <c r="W20" s="106">
        <v>1</v>
      </c>
      <c r="X20" s="106">
        <v>1</v>
      </c>
      <c r="Y20" s="106">
        <v>1</v>
      </c>
      <c r="Z20" s="106">
        <v>1</v>
      </c>
      <c r="AA20" s="106">
        <v>1</v>
      </c>
      <c r="AB20" s="106">
        <v>1</v>
      </c>
      <c r="AC20" s="106">
        <v>1</v>
      </c>
      <c r="AD20" s="106">
        <v>1</v>
      </c>
      <c r="AE20" s="106">
        <v>1</v>
      </c>
      <c r="AF20" s="106">
        <v>1</v>
      </c>
      <c r="AG20" s="106">
        <v>1</v>
      </c>
      <c r="AH20" s="106">
        <v>1</v>
      </c>
      <c r="AI20" s="106">
        <v>1</v>
      </c>
      <c r="AJ20" s="106">
        <v>1</v>
      </c>
      <c r="AK20" s="106">
        <v>1</v>
      </c>
      <c r="AL20" s="106">
        <v>1</v>
      </c>
      <c r="AM20" s="106">
        <v>1</v>
      </c>
      <c r="AN20" s="106">
        <v>1</v>
      </c>
    </row>
    <row r="21" spans="2:50" collapsed="1" x14ac:dyDescent="0.25">
      <c r="B21" s="39" t="s">
        <v>389</v>
      </c>
      <c r="C21" s="3"/>
      <c r="D21" s="5"/>
      <c r="E21" s="117" cm="1">
        <f t="array" ref="E21:AN21">ROUND(_xlfn.BYCOL(_xlfn.CHOOSEROWS(_xlfn.ANCHORARRAY(E7),1,2),_xlfn.LAMBDA(_xlpm.col,SUM(_xlpm.col))),0)</f>
        <v>0</v>
      </c>
      <c r="F21" s="117">
        <v>0</v>
      </c>
      <c r="G21" s="117">
        <v>3</v>
      </c>
      <c r="H21" s="117">
        <v>7</v>
      </c>
      <c r="I21" s="117">
        <v>10</v>
      </c>
      <c r="J21" s="117">
        <v>13</v>
      </c>
      <c r="K21" s="117">
        <v>16</v>
      </c>
      <c r="L21" s="117">
        <v>20</v>
      </c>
      <c r="M21" s="117">
        <v>23</v>
      </c>
      <c r="N21" s="117">
        <v>26</v>
      </c>
      <c r="O21" s="117">
        <v>29</v>
      </c>
      <c r="P21" s="117">
        <v>33</v>
      </c>
      <c r="Q21" s="117">
        <v>36</v>
      </c>
      <c r="R21" s="117">
        <v>39</v>
      </c>
      <c r="S21" s="117">
        <v>42</v>
      </c>
      <c r="T21" s="117">
        <v>46</v>
      </c>
      <c r="U21" s="117">
        <v>46</v>
      </c>
      <c r="V21" s="117">
        <v>46</v>
      </c>
      <c r="W21" s="117">
        <v>46</v>
      </c>
      <c r="X21" s="117">
        <v>46</v>
      </c>
      <c r="Y21" s="117">
        <v>46</v>
      </c>
      <c r="Z21" s="117">
        <v>46</v>
      </c>
      <c r="AA21" s="117">
        <v>46</v>
      </c>
      <c r="AB21" s="117">
        <v>46</v>
      </c>
      <c r="AC21" s="117">
        <v>46</v>
      </c>
      <c r="AD21" s="117">
        <v>46</v>
      </c>
      <c r="AE21" s="117">
        <v>46</v>
      </c>
      <c r="AF21" s="117">
        <v>46</v>
      </c>
      <c r="AG21" s="117">
        <v>46</v>
      </c>
      <c r="AH21" s="117">
        <v>46</v>
      </c>
      <c r="AI21" s="117">
        <v>46</v>
      </c>
      <c r="AJ21" s="117">
        <v>46</v>
      </c>
      <c r="AK21" s="117">
        <v>46</v>
      </c>
      <c r="AL21" s="117">
        <v>46</v>
      </c>
      <c r="AM21" s="117">
        <v>46</v>
      </c>
      <c r="AN21" s="117">
        <v>46</v>
      </c>
    </row>
    <row r="22" spans="2:50" x14ac:dyDescent="0.25">
      <c r="B22" s="2" t="s">
        <v>394</v>
      </c>
      <c r="C22" s="3"/>
      <c r="D22" s="77">
        <f>MAX(_xlfn.ANCHORARRAY(E22))</f>
        <v>170.02883240223468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0</v>
      </c>
      <c r="F22" s="78">
        <v>0</v>
      </c>
      <c r="G22" s="78">
        <v>165.07653631284921</v>
      </c>
      <c r="H22" s="78">
        <v>165.07653631284921</v>
      </c>
      <c r="I22" s="78">
        <v>165.07653631284916</v>
      </c>
      <c r="J22" s="78">
        <v>165.07653631284921</v>
      </c>
      <c r="K22" s="78">
        <v>165.07653631284919</v>
      </c>
      <c r="L22" s="78">
        <v>165.07653631284916</v>
      </c>
      <c r="M22" s="78">
        <v>165.07653631284916</v>
      </c>
      <c r="N22" s="78">
        <v>165.07653631284921</v>
      </c>
      <c r="O22" s="78">
        <v>165.07653631284921</v>
      </c>
      <c r="P22" s="78">
        <v>165.07653631284919</v>
      </c>
      <c r="Q22" s="78">
        <v>170.02883240223468</v>
      </c>
      <c r="R22" s="78">
        <v>170.02883240223466</v>
      </c>
      <c r="S22" s="78">
        <v>170.02883240223466</v>
      </c>
      <c r="T22" s="78">
        <v>170.02883240223463</v>
      </c>
      <c r="U22" s="78">
        <v>170.02883240223463</v>
      </c>
      <c r="V22" s="78">
        <v>170.02883240223463</v>
      </c>
      <c r="W22" s="78">
        <v>170.02883240223463</v>
      </c>
      <c r="X22" s="78">
        <v>170.02883240223463</v>
      </c>
      <c r="Y22" s="78">
        <v>170.02883240223463</v>
      </c>
      <c r="Z22" s="78">
        <v>170.02883240223463</v>
      </c>
      <c r="AA22" s="78">
        <v>170.02883240223463</v>
      </c>
      <c r="AB22" s="78">
        <v>170.02883240223463</v>
      </c>
      <c r="AC22" s="78">
        <v>170.02883240223463</v>
      </c>
      <c r="AD22" s="78">
        <v>170.02883240223463</v>
      </c>
      <c r="AE22" s="78">
        <v>170.02883240223463</v>
      </c>
      <c r="AF22" s="78">
        <v>170.02883240223463</v>
      </c>
      <c r="AG22" s="78">
        <v>170.02883240223463</v>
      </c>
      <c r="AH22" s="78">
        <v>170.02883240223463</v>
      </c>
      <c r="AI22" s="78">
        <v>170.02883240223463</v>
      </c>
      <c r="AJ22" s="78">
        <v>170.02883240223463</v>
      </c>
      <c r="AK22" s="78">
        <v>170.02883240223463</v>
      </c>
      <c r="AL22" s="78">
        <v>170.02883240223463</v>
      </c>
      <c r="AM22" s="78">
        <v>170.02883240223463</v>
      </c>
      <c r="AN22" s="78">
        <v>170.02883240223463</v>
      </c>
    </row>
    <row r="23" spans="2:50" x14ac:dyDescent="0.25">
      <c r="B23" s="2" t="s">
        <v>53</v>
      </c>
      <c r="C23" s="3"/>
      <c r="D23" s="72"/>
      <c r="E23" s="52" cm="1">
        <f t="array" ref="E23:AN23">_xlfn.LET(_xlpm.site,$B$1&amp;"-"&amp;$C$1,_xlpm.locations,Base!$D$4:$BD$4,_xlpm.Customer,_xlfn.ANCHORARRAY(E1),_xlpm.hours,SUM(_xlfn.XLOOKUP(_xlpm.site,_xlpm.locations,Base!$D$74:$BD$78,0,0)),
_xlpm.collection,1-_xlfn.XLOOKUP(_xlpm.site,_xlpm.locations,Base!$D$26:$BD$26,0,0),
_xlpm.Customer*_xlpm.hours*_xlpm.collection*(52/12))</f>
        <v>0</v>
      </c>
      <c r="F23" s="52">
        <v>0</v>
      </c>
      <c r="G23" s="52">
        <v>315.03999999999996</v>
      </c>
      <c r="H23" s="52">
        <v>630.07999999999993</v>
      </c>
      <c r="I23" s="52">
        <v>945.11999999999989</v>
      </c>
      <c r="J23" s="52">
        <v>1260.1599999999999</v>
      </c>
      <c r="K23" s="52">
        <v>1575.1999999999996</v>
      </c>
      <c r="L23" s="52">
        <v>1890.2399999999998</v>
      </c>
      <c r="M23" s="52">
        <v>2205.2799999999997</v>
      </c>
      <c r="N23" s="52">
        <v>2520.3199999999997</v>
      </c>
      <c r="O23" s="52">
        <v>2835.3599999999992</v>
      </c>
      <c r="P23" s="52">
        <v>3150.3999999999992</v>
      </c>
      <c r="Q23" s="52">
        <v>3465.4399999999996</v>
      </c>
      <c r="R23" s="52">
        <v>3780.4799999999996</v>
      </c>
      <c r="S23" s="52">
        <v>4095.5199999999995</v>
      </c>
      <c r="T23" s="52">
        <v>4410.5599999999995</v>
      </c>
      <c r="U23" s="52">
        <v>4410.5599999999995</v>
      </c>
      <c r="V23" s="52">
        <v>4410.5599999999995</v>
      </c>
      <c r="W23" s="52">
        <v>4410.5599999999995</v>
      </c>
      <c r="X23" s="52">
        <v>4410.5599999999995</v>
      </c>
      <c r="Y23" s="52">
        <v>4410.5599999999995</v>
      </c>
      <c r="Z23" s="52">
        <v>4410.5599999999995</v>
      </c>
      <c r="AA23" s="52">
        <v>4410.5599999999995</v>
      </c>
      <c r="AB23" s="52">
        <v>4410.5599999999995</v>
      </c>
      <c r="AC23" s="52">
        <v>4410.5599999999995</v>
      </c>
      <c r="AD23" s="52">
        <v>4410.5599999999995</v>
      </c>
      <c r="AE23" s="52">
        <v>4410.5599999999995</v>
      </c>
      <c r="AF23" s="52">
        <v>4410.5599999999995</v>
      </c>
      <c r="AG23" s="52">
        <v>4410.5599999999995</v>
      </c>
      <c r="AH23" s="52">
        <v>4410.5599999999995</v>
      </c>
      <c r="AI23" s="52">
        <v>4410.5599999999995</v>
      </c>
      <c r="AJ23" s="52">
        <v>4410.5599999999995</v>
      </c>
      <c r="AK23" s="52">
        <v>4410.5599999999995</v>
      </c>
      <c r="AL23" s="52">
        <v>4410.5599999999995</v>
      </c>
      <c r="AM23" s="52">
        <v>4410.5599999999995</v>
      </c>
      <c r="AN23" s="52">
        <v>4410.5599999999995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21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_xlfn.LET(_xlpm.site,$B$1&amp;"-"&amp;$C$1,_xlpm.locations,Base!$D$4:$BD$4,_xlpm.rates,Base!$D31:$BD31,_xlpm.hours,Base!$D74:$BD74,_xlpm.comp,_xlpm.rates*_xlpm.hours,_xlpm.Customer,_xlfn.ANCHORARRAY($E$1),
_xlpm.Customer_comp,_xlfn.XLOOKUP(_xlpm.site,_xlpm.locations,_xlpm.comp,0,0),_xlpm.ann_incr,_xlfn.XLOOKUP(YEAR(_xlfn.ANCHORARRAY($E$25)),Base!$BJ$4:$BL$4,Base!$BJ74:$BL74,0,0),
_xlpm.bad_debt,_xlfn.XLOOKUP(_xlpm.site,_xlpm.locations,Base!$D$28:$BD$28,0,0),_xlpm.Customer_comp*_xlpm.Customer*_xlpm.bad_debt*_xlpm.ann_incr*(52/12))</f>
        <v>0</v>
      </c>
      <c r="F26" s="12">
        <v>0</v>
      </c>
      <c r="G26" s="12">
        <v>45433.96</v>
      </c>
      <c r="H26" s="12">
        <v>90867.92</v>
      </c>
      <c r="I26" s="12">
        <v>136301.87999999998</v>
      </c>
      <c r="J26" s="12">
        <v>181735.84</v>
      </c>
      <c r="K26" s="12">
        <v>227169.79999999996</v>
      </c>
      <c r="L26" s="12">
        <v>272603.75999999995</v>
      </c>
      <c r="M26" s="12">
        <v>318037.71999999997</v>
      </c>
      <c r="N26" s="12">
        <v>363471.68</v>
      </c>
      <c r="O26" s="12">
        <v>408905.63999999996</v>
      </c>
      <c r="P26" s="12">
        <v>454339.59999999992</v>
      </c>
      <c r="Q26" s="12">
        <v>514766.76679999998</v>
      </c>
      <c r="R26" s="12">
        <v>561563.74560000002</v>
      </c>
      <c r="S26" s="12">
        <v>608360.72439999995</v>
      </c>
      <c r="T26" s="12">
        <v>655157.70319999987</v>
      </c>
      <c r="U26" s="12">
        <v>655157.70319999987</v>
      </c>
      <c r="V26" s="12">
        <v>655157.70319999987</v>
      </c>
      <c r="W26" s="12">
        <v>655157.70319999987</v>
      </c>
      <c r="X26" s="12">
        <v>655157.70319999987</v>
      </c>
      <c r="Y26" s="12">
        <v>655157.70319999987</v>
      </c>
      <c r="Z26" s="12">
        <v>655157.70319999987</v>
      </c>
      <c r="AA26" s="12">
        <v>655157.70319999987</v>
      </c>
      <c r="AB26" s="12">
        <v>655157.70319999987</v>
      </c>
      <c r="AC26" s="12">
        <v>655157.70319999987</v>
      </c>
      <c r="AD26" s="12">
        <v>655157.70319999987</v>
      </c>
      <c r="AE26" s="12">
        <v>655157.70319999987</v>
      </c>
      <c r="AF26" s="12">
        <v>655157.70319999987</v>
      </c>
      <c r="AG26" s="12">
        <v>655157.70319999987</v>
      </c>
      <c r="AH26" s="12">
        <v>655157.70319999987</v>
      </c>
      <c r="AI26" s="12">
        <v>655157.70319999987</v>
      </c>
      <c r="AJ26" s="12">
        <v>655157.70319999987</v>
      </c>
      <c r="AK26" s="12">
        <v>655157.70319999987</v>
      </c>
      <c r="AL26" s="12">
        <v>655157.70319999987</v>
      </c>
      <c r="AM26" s="12">
        <v>655157.70319999987</v>
      </c>
      <c r="AN26" s="12">
        <v>655157.70319999987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_xlfn.LET(_xlpm.site,$B$1&amp;"-"&amp;$C$1,_xlpm.locations,Base!$D$4:$BD$4,_xlpm.rates,Base!$D32:$BD32,_xlpm.hours,Base!$D75:$BD75,_xlpm.comp,_xlpm.rates*_xlpm.hours,_xlpm.Customer,_xlfn.ANCHORARRAY($E$1),
_xlpm.Customer_comp,_xlfn.XLOOKUP(_xlpm.site,_xlpm.locations,_xlpm.comp,0,0),_xlpm.ann_incr,_xlfn.XLOOKUP(YEAR(_xlfn.ANCHORARRAY($E$25)),Base!$BJ$4:$BL$4,Base!$BJ75:$BL75,0,0),
_xlpm.bad_debt,_xlfn.XLOOKUP(_xlpm.site,_xlpm.locations,Base!$D$28:$BD$28,0,0),_xlpm.Customer_comp*_xlpm.Customer*_xlpm.bad_debt*_xlpm.ann_incr*(52/12))</f>
        <v>0</v>
      </c>
      <c r="F27" s="12">
        <v>0</v>
      </c>
      <c r="G27" s="12">
        <v>2663.9599999999996</v>
      </c>
      <c r="H27" s="12">
        <v>5327.9199999999992</v>
      </c>
      <c r="I27" s="12">
        <v>7991.8799999999992</v>
      </c>
      <c r="J27" s="12">
        <v>10655.839999999998</v>
      </c>
      <c r="K27" s="12">
        <v>13319.799999999997</v>
      </c>
      <c r="L27" s="12">
        <v>15983.759999999998</v>
      </c>
      <c r="M27" s="12">
        <v>18647.719999999998</v>
      </c>
      <c r="N27" s="12">
        <v>21311.679999999997</v>
      </c>
      <c r="O27" s="12">
        <v>23975.639999999996</v>
      </c>
      <c r="P27" s="12">
        <v>26639.599999999995</v>
      </c>
      <c r="Q27" s="12">
        <v>30182.666799999999</v>
      </c>
      <c r="R27" s="12">
        <v>32926.545599999998</v>
      </c>
      <c r="S27" s="12">
        <v>35670.424399999996</v>
      </c>
      <c r="T27" s="12">
        <v>38414.303200000002</v>
      </c>
      <c r="U27" s="12">
        <v>38414.303200000002</v>
      </c>
      <c r="V27" s="12">
        <v>38414.303200000002</v>
      </c>
      <c r="W27" s="12">
        <v>38414.303200000002</v>
      </c>
      <c r="X27" s="12">
        <v>38414.303200000002</v>
      </c>
      <c r="Y27" s="12">
        <v>38414.303200000002</v>
      </c>
      <c r="Z27" s="12">
        <v>38414.303200000002</v>
      </c>
      <c r="AA27" s="12">
        <v>38414.303200000002</v>
      </c>
      <c r="AB27" s="12">
        <v>38414.303200000002</v>
      </c>
      <c r="AC27" s="12">
        <v>38414.303200000002</v>
      </c>
      <c r="AD27" s="12">
        <v>38414.303200000002</v>
      </c>
      <c r="AE27" s="12">
        <v>38414.303200000002</v>
      </c>
      <c r="AF27" s="12">
        <v>38414.303200000002</v>
      </c>
      <c r="AG27" s="12">
        <v>38414.303200000002</v>
      </c>
      <c r="AH27" s="12">
        <v>38414.303200000002</v>
      </c>
      <c r="AI27" s="12">
        <v>38414.303200000002</v>
      </c>
      <c r="AJ27" s="12">
        <v>38414.303200000002</v>
      </c>
      <c r="AK27" s="12">
        <v>38414.303200000002</v>
      </c>
      <c r="AL27" s="12">
        <v>38414.303200000002</v>
      </c>
      <c r="AM27" s="12">
        <v>38414.303200000002</v>
      </c>
      <c r="AN27" s="12">
        <v>38414.303200000002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_xlfn.LET(_xlpm.site,$B$1&amp;"-"&amp;$C$1,_xlpm.locations,Base!$D$4:$BD$4,_xlpm.rates,Base!$D33:$BD33,_xlpm.hours,Base!$D76:$BD76,_xlpm.comp,_xlpm.rates*_xlpm.hours,_xlpm.Customer,_xlfn.ANCHORARRAY($E$1),
_xlpm.Customer_comp,_xlfn.XLOOKUP(_xlpm.site,_xlpm.locations,_xlpm.comp,0,0),_xlpm.ann_incr,_xlfn.XLOOKUP(YEAR(_xlfn.ANCHORARRAY($E$25)),Base!$BJ$4:$BL$4,Base!$BJ76:$BL76,0,0),
_xlpm.bad_debt,_xlfn.XLOOKUP(_xlpm.site,_xlpm.locations,Base!$D$28:$BD$28,0,0),_xlpm.Customer_comp*_xlpm.Customer*_xlpm.bad_debt*_xlpm.ann_incr*(52/12))</f>
        <v>0</v>
      </c>
      <c r="F28" s="12">
        <v>0</v>
      </c>
      <c r="G28" s="12">
        <v>6331.181999999998</v>
      </c>
      <c r="H28" s="12">
        <v>12662.363999999996</v>
      </c>
      <c r="I28" s="12">
        <v>18993.545999999995</v>
      </c>
      <c r="J28" s="12">
        <v>25324.727999999992</v>
      </c>
      <c r="K28" s="12">
        <v>31655.909999999989</v>
      </c>
      <c r="L28" s="12">
        <v>37987.09199999999</v>
      </c>
      <c r="M28" s="12">
        <v>44318.27399999999</v>
      </c>
      <c r="N28" s="12">
        <v>50649.455999999984</v>
      </c>
      <c r="O28" s="12">
        <v>56980.637999999984</v>
      </c>
      <c r="P28" s="12">
        <v>63311.819999999978</v>
      </c>
      <c r="Q28" s="12">
        <v>71732.292059999978</v>
      </c>
      <c r="R28" s="12">
        <v>78253.409519999972</v>
      </c>
      <c r="S28" s="12">
        <v>84774.526979999995</v>
      </c>
      <c r="T28" s="12">
        <v>91295.644439999975</v>
      </c>
      <c r="U28" s="12">
        <v>91295.644439999975</v>
      </c>
      <c r="V28" s="12">
        <v>91295.644439999975</v>
      </c>
      <c r="W28" s="12">
        <v>91295.644439999975</v>
      </c>
      <c r="X28" s="12">
        <v>91295.644439999975</v>
      </c>
      <c r="Y28" s="12">
        <v>91295.644439999975</v>
      </c>
      <c r="Z28" s="12">
        <v>91295.644439999975</v>
      </c>
      <c r="AA28" s="12">
        <v>91295.644439999975</v>
      </c>
      <c r="AB28" s="12">
        <v>91295.644439999975</v>
      </c>
      <c r="AC28" s="12">
        <v>91295.644439999975</v>
      </c>
      <c r="AD28" s="12">
        <v>91295.644439999975</v>
      </c>
      <c r="AE28" s="12">
        <v>91295.644439999975</v>
      </c>
      <c r="AF28" s="12">
        <v>91295.644439999975</v>
      </c>
      <c r="AG28" s="12">
        <v>91295.644439999975</v>
      </c>
      <c r="AH28" s="12">
        <v>91295.644439999975</v>
      </c>
      <c r="AI28" s="12">
        <v>91295.644439999975</v>
      </c>
      <c r="AJ28" s="12">
        <v>91295.644439999975</v>
      </c>
      <c r="AK28" s="12">
        <v>91295.644439999975</v>
      </c>
      <c r="AL28" s="12">
        <v>91295.644439999975</v>
      </c>
      <c r="AM28" s="12">
        <v>91295.644439999975</v>
      </c>
      <c r="AN28" s="12">
        <v>91295.644439999975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_xlfn.LET(_xlpm.site,$B$1&amp;"-"&amp;$C$1,_xlpm.locations,Base!$D$4:$BD$4,_xlpm.rates,Base!$D34:$BD34,_xlpm.hours,Base!$D77:$BD77,_xlpm.comp,_xlpm.rates*_xlpm.hours,_xlpm.Customer,_xlfn.ANCHORARRAY($E$1),
_xlpm.Customer_comp,_xlfn.XLOOKUP(_xlpm.site,_xlpm.locations,_xlpm.comp,0,0),_xlpm.ann_incr,_xlfn.XLOOKUP(YEAR(_xlfn.ANCHORARRAY($E$25)),Base!$BJ$4:$BL$4,Base!$BJ77:$BL77,0,0),
_xlpm.bad_debt,_xlfn.XLOOKUP(_xlpm.site,_xlpm.locations,Base!$D$28:$BD$28,0,0),_xlpm.Customer_comp*_xlpm.Customer*_xlpm.bad_debt*_xlpm.ann_incr*(52/12))</f>
        <v>0</v>
      </c>
      <c r="F29" s="12">
        <v>0</v>
      </c>
      <c r="G29" s="12">
        <v>487.01399999999995</v>
      </c>
      <c r="H29" s="12">
        <v>974.02799999999991</v>
      </c>
      <c r="I29" s="12">
        <v>1461.0420000000001</v>
      </c>
      <c r="J29" s="12">
        <v>1948.0559999999998</v>
      </c>
      <c r="K29" s="12">
        <v>2435.0699999999997</v>
      </c>
      <c r="L29" s="12">
        <v>2922.0840000000003</v>
      </c>
      <c r="M29" s="12">
        <v>3409.098</v>
      </c>
      <c r="N29" s="12">
        <v>3896.1119999999996</v>
      </c>
      <c r="O29" s="12">
        <v>4383.1260000000002</v>
      </c>
      <c r="P29" s="12">
        <v>4870.1399999999994</v>
      </c>
      <c r="Q29" s="12">
        <v>5517.8686199999993</v>
      </c>
      <c r="R29" s="12">
        <v>6019.4930400000003</v>
      </c>
      <c r="S29" s="12">
        <v>6521.1174600000013</v>
      </c>
      <c r="T29" s="12">
        <v>7022.7418800000005</v>
      </c>
      <c r="U29" s="12">
        <v>7022.7418800000005</v>
      </c>
      <c r="V29" s="12">
        <v>7022.7418800000005</v>
      </c>
      <c r="W29" s="12">
        <v>7022.7418800000005</v>
      </c>
      <c r="X29" s="12">
        <v>7022.7418800000005</v>
      </c>
      <c r="Y29" s="12">
        <v>7022.7418800000005</v>
      </c>
      <c r="Z29" s="12">
        <v>7022.7418800000005</v>
      </c>
      <c r="AA29" s="12">
        <v>7022.7418800000005</v>
      </c>
      <c r="AB29" s="12">
        <v>7022.7418800000005</v>
      </c>
      <c r="AC29" s="12">
        <v>7022.7418800000005</v>
      </c>
      <c r="AD29" s="12">
        <v>7022.7418800000005</v>
      </c>
      <c r="AE29" s="12">
        <v>7022.7418800000005</v>
      </c>
      <c r="AF29" s="12">
        <v>7022.7418800000005</v>
      </c>
      <c r="AG29" s="12">
        <v>7022.7418800000005</v>
      </c>
      <c r="AH29" s="12">
        <v>7022.7418800000005</v>
      </c>
      <c r="AI29" s="12">
        <v>7022.7418800000005</v>
      </c>
      <c r="AJ29" s="12">
        <v>7022.7418800000005</v>
      </c>
      <c r="AK29" s="12">
        <v>7022.7418800000005</v>
      </c>
      <c r="AL29" s="12">
        <v>7022.7418800000005</v>
      </c>
      <c r="AM29" s="12">
        <v>7022.7418800000005</v>
      </c>
      <c r="AN29" s="12">
        <v>7022.7418800000005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_xlfn.LET(_xlpm.site,$B$1&amp;"-"&amp;$C$1,_xlpm.locations,Base!$D$4:$BD$4,_xlpm.rates,Base!$D35:$BD35,_xlpm.hours,Base!$D78:$BD78,_xlpm.comp,_xlpm.rates*_xlpm.hours,_xlpm.Customer,_xlfn.ANCHORARRAY($E$1),
_xlpm.Customer_comp,_xlfn.XLOOKUP(_xlpm.site,_xlpm.locations,_xlpm.comp,0,0),_xlpm.ann_incr,_xlfn.XLOOKUP(YEAR(_xlfn.ANCHORARRAY($E$25)),Base!$BJ$4:$BL$4,Base!$BJ78:$BL78,0,0),
_xlpm.bad_debt,_xlfn.XLOOKUP(_xlpm.site,_xlpm.locations,Base!$D$28:$BD$28,0,0),_xlpm.Customer_comp*_xlpm.Customer*_xlpm.bad_debt*_xlpm.ann_incr*(52/12))</f>
        <v>0</v>
      </c>
      <c r="F30" s="12">
        <v>0</v>
      </c>
      <c r="G30" s="12">
        <v>635.43999999999994</v>
      </c>
      <c r="H30" s="12">
        <v>1270.8799999999999</v>
      </c>
      <c r="I30" s="12">
        <v>1906.3199999999997</v>
      </c>
      <c r="J30" s="12">
        <v>2541.7599999999998</v>
      </c>
      <c r="K30" s="12">
        <v>3177.1999999999994</v>
      </c>
      <c r="L30" s="12">
        <v>3812.6399999999994</v>
      </c>
      <c r="M30" s="12">
        <v>4448.08</v>
      </c>
      <c r="N30" s="12">
        <v>5083.5199999999995</v>
      </c>
      <c r="O30" s="12">
        <v>5718.9599999999991</v>
      </c>
      <c r="P30" s="12">
        <v>6354.3999999999987</v>
      </c>
      <c r="Q30" s="12">
        <v>7199.5351999999993</v>
      </c>
      <c r="R30" s="12">
        <v>7854.0383999999995</v>
      </c>
      <c r="S30" s="12">
        <v>8508.5416000000005</v>
      </c>
      <c r="T30" s="12">
        <v>9163.0447999999997</v>
      </c>
      <c r="U30" s="12">
        <v>9163.0447999999997</v>
      </c>
      <c r="V30" s="12">
        <v>9163.0447999999997</v>
      </c>
      <c r="W30" s="12">
        <v>9163.0447999999997</v>
      </c>
      <c r="X30" s="12">
        <v>9163.0447999999997</v>
      </c>
      <c r="Y30" s="12">
        <v>9163.0447999999997</v>
      </c>
      <c r="Z30" s="12">
        <v>9163.0447999999997</v>
      </c>
      <c r="AA30" s="12">
        <v>9163.0447999999997</v>
      </c>
      <c r="AB30" s="12">
        <v>9163.0447999999997</v>
      </c>
      <c r="AC30" s="12">
        <v>9163.0447999999997</v>
      </c>
      <c r="AD30" s="12">
        <v>9163.0447999999997</v>
      </c>
      <c r="AE30" s="12">
        <v>9163.0447999999997</v>
      </c>
      <c r="AF30" s="12">
        <v>9163.0447999999997</v>
      </c>
      <c r="AG30" s="12">
        <v>9163.0447999999997</v>
      </c>
      <c r="AH30" s="12">
        <v>9163.0447999999997</v>
      </c>
      <c r="AI30" s="12">
        <v>9163.0447999999997</v>
      </c>
      <c r="AJ30" s="12">
        <v>9163.0447999999997</v>
      </c>
      <c r="AK30" s="12">
        <v>9163.0447999999997</v>
      </c>
      <c r="AL30" s="12">
        <v>9163.0447999999997</v>
      </c>
      <c r="AM30" s="12">
        <v>9163.0447999999997</v>
      </c>
      <c r="AN30" s="12">
        <v>9163.0447999999997</v>
      </c>
    </row>
    <row r="31" spans="2:50" x14ac:dyDescent="0.25">
      <c r="B31" s="39" t="str">
        <f>Base!B36</f>
        <v>Tertiary Direct Staff - Service A</v>
      </c>
      <c r="C31" s="4"/>
      <c r="E31" s="183" cm="1">
        <f t="array" ref="E31:AN31">_xlfn.LET(_xlpm.site,$B$1&amp;"-"&amp;$C$1,_xlpm.locations,Base!$D$4:$BD$4,_xlpm.rates,Base!$D36:$BD36,_xlpm.hours,Base!$D79:$BD79,_xlpm.comp,_xlpm.rates*_xlpm.hours,_xlpm.Customer,_xlfn.ANCHORARRAY($E$1)*0,
_xlpm.Customer_comp,_xlfn.XLOOKUP(_xlpm.site,_xlpm.locations,_xlpm.comp,0,0),_xlpm.ann_incr,_xlfn.XLOOKUP(YEAR(_xlfn.ANCHORARRAY($E$25)),Base!$BJ$4:$BL$4,Base!$BJ79:$BL79,0,0),
_xlpm.bad_debt,_xlfn.XLOOKUP(_xlpm.site,_xlpm.locations,Base!$D$28:$BD$28,0,0),_xlpm.Customer_comp*_xlpm.Customer*_xlpm.bad_debt*_xlpm.ann_incr*(52/12))</f>
        <v>0</v>
      </c>
      <c r="F31" s="183">
        <v>0</v>
      </c>
      <c r="G31" s="183">
        <v>0</v>
      </c>
      <c r="H31" s="183">
        <v>0</v>
      </c>
      <c r="I31" s="183">
        <v>0</v>
      </c>
      <c r="J31" s="183">
        <v>0</v>
      </c>
      <c r="K31" s="183">
        <v>0</v>
      </c>
      <c r="L31" s="183">
        <v>0</v>
      </c>
      <c r="M31" s="183">
        <v>0</v>
      </c>
      <c r="N31" s="183">
        <v>0</v>
      </c>
      <c r="O31" s="183">
        <v>0</v>
      </c>
      <c r="P31" s="183">
        <v>0</v>
      </c>
      <c r="Q31" s="183">
        <v>0</v>
      </c>
      <c r="R31" s="183">
        <v>0</v>
      </c>
      <c r="S31" s="183">
        <v>0</v>
      </c>
      <c r="T31" s="183">
        <v>0</v>
      </c>
      <c r="U31" s="183">
        <v>0</v>
      </c>
      <c r="V31" s="183">
        <v>0</v>
      </c>
      <c r="W31" s="183">
        <v>0</v>
      </c>
      <c r="X31" s="183">
        <v>0</v>
      </c>
      <c r="Y31" s="183">
        <v>0</v>
      </c>
      <c r="Z31" s="183">
        <v>0</v>
      </c>
      <c r="AA31" s="183">
        <v>0</v>
      </c>
      <c r="AB31" s="183">
        <v>0</v>
      </c>
      <c r="AC31" s="183">
        <v>0</v>
      </c>
      <c r="AD31" s="183">
        <v>0</v>
      </c>
      <c r="AE31" s="183">
        <v>0</v>
      </c>
      <c r="AF31" s="183">
        <v>0</v>
      </c>
      <c r="AG31" s="183">
        <v>0</v>
      </c>
      <c r="AH31" s="183">
        <v>0</v>
      </c>
      <c r="AI31" s="183">
        <v>0</v>
      </c>
      <c r="AJ31" s="183">
        <v>0</v>
      </c>
      <c r="AK31" s="183">
        <v>0</v>
      </c>
      <c r="AL31" s="183">
        <v>0</v>
      </c>
      <c r="AM31" s="183">
        <v>0</v>
      </c>
      <c r="AN31" s="183">
        <v>0</v>
      </c>
    </row>
    <row r="32" spans="2:50" x14ac:dyDescent="0.25">
      <c r="B32" s="39" t="str">
        <f>Base!B37</f>
        <v>Tertiary Direct Staff - Service B</v>
      </c>
      <c r="C32" s="4"/>
      <c r="E32" s="183" cm="1">
        <f t="array" ref="E32:AN32">_xlfn.LET(_xlpm.site,$B$1&amp;"-"&amp;$C$1,_xlpm.locations,Base!$D$4:$BD$4,_xlpm.rates,Base!$D37:$BD37,_xlpm.hours,Base!$D80:$BD80,_xlpm.comp,_xlpm.rates*_xlpm.hours,_xlpm.Customer,_xlfn.ANCHORARRAY($E$1)*0,
_xlpm.Customer_comp,_xlfn.XLOOKUP(_xlpm.site,_xlpm.locations,_xlpm.comp,0,0),_xlpm.ann_incr,_xlfn.XLOOKUP(YEAR(_xlfn.ANCHORARRAY($E$25)),Base!$BJ$4:$BL$4,Base!$BJ80:$BL80,0,0),
_xlpm.bad_debt,_xlfn.XLOOKUP(_xlpm.site,_xlpm.locations,Base!$D$28:$BD$28,0,0),_xlpm.Customer_comp*_xlpm.Customer*_xlpm.bad_debt*_xlpm.ann_incr*(52/12))</f>
        <v>0</v>
      </c>
      <c r="F32" s="183">
        <v>0</v>
      </c>
      <c r="G32" s="183">
        <v>0</v>
      </c>
      <c r="H32" s="183">
        <v>0</v>
      </c>
      <c r="I32" s="183">
        <v>0</v>
      </c>
      <c r="J32" s="183">
        <v>0</v>
      </c>
      <c r="K32" s="183">
        <v>0</v>
      </c>
      <c r="L32" s="183">
        <v>0</v>
      </c>
      <c r="M32" s="183">
        <v>0</v>
      </c>
      <c r="N32" s="183">
        <v>0</v>
      </c>
      <c r="O32" s="183">
        <v>0</v>
      </c>
      <c r="P32" s="183">
        <v>0</v>
      </c>
      <c r="Q32" s="183">
        <v>0</v>
      </c>
      <c r="R32" s="183">
        <v>0</v>
      </c>
      <c r="S32" s="183">
        <v>0</v>
      </c>
      <c r="T32" s="183">
        <v>0</v>
      </c>
      <c r="U32" s="183">
        <v>0</v>
      </c>
      <c r="V32" s="183">
        <v>0</v>
      </c>
      <c r="W32" s="183">
        <v>0</v>
      </c>
      <c r="X32" s="183">
        <v>0</v>
      </c>
      <c r="Y32" s="183">
        <v>0</v>
      </c>
      <c r="Z32" s="183">
        <v>0</v>
      </c>
      <c r="AA32" s="183">
        <v>0</v>
      </c>
      <c r="AB32" s="183">
        <v>0</v>
      </c>
      <c r="AC32" s="183">
        <v>0</v>
      </c>
      <c r="AD32" s="183">
        <v>0</v>
      </c>
      <c r="AE32" s="183">
        <v>0</v>
      </c>
      <c r="AF32" s="183">
        <v>0</v>
      </c>
      <c r="AG32" s="183">
        <v>0</v>
      </c>
      <c r="AH32" s="183">
        <v>0</v>
      </c>
      <c r="AI32" s="183">
        <v>0</v>
      </c>
      <c r="AJ32" s="183">
        <v>0</v>
      </c>
      <c r="AK32" s="183">
        <v>0</v>
      </c>
      <c r="AL32" s="183">
        <v>0</v>
      </c>
      <c r="AM32" s="183">
        <v>0</v>
      </c>
      <c r="AN32" s="183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_xlpm.Customer,_xlfn.ANCHORARRAY($E$2),_xlpm.ann_incr,_xlfn.XLOOKUP(YEAR(_xlfn.ANCHORARRAY($E$25)),Base!$BJ$4:$BL$4,Base!$BJ$81:$BL$81,0,0),
_xlpm.bad_debt,_xlfn.XLOOKUP(_xlpm.site,_xlpm.locations,Base!$D$28:$BD$28,0,0),
_xlpm.comp*_xlpm.bad_debt*_xlpm.ann_incr*(52/12))</f>
        <v>0</v>
      </c>
      <c r="F33" s="12">
        <v>0</v>
      </c>
      <c r="G33" s="12">
        <v>25911.491666666665</v>
      </c>
      <c r="H33" s="12">
        <v>25911.491666666665</v>
      </c>
      <c r="I33" s="12">
        <v>25911.491666666665</v>
      </c>
      <c r="J33" s="12">
        <v>25911.491666666665</v>
      </c>
      <c r="K33" s="12">
        <v>25911.491666666665</v>
      </c>
      <c r="L33" s="12">
        <v>25911.491666666665</v>
      </c>
      <c r="M33" s="12">
        <v>25911.491666666665</v>
      </c>
      <c r="N33" s="12">
        <v>25911.491666666665</v>
      </c>
      <c r="O33" s="12">
        <v>25911.491666666665</v>
      </c>
      <c r="P33" s="12">
        <v>25911.491666666665</v>
      </c>
      <c r="Q33" s="12">
        <v>26688.836416666662</v>
      </c>
      <c r="R33" s="12">
        <v>26688.836416666662</v>
      </c>
      <c r="S33" s="12">
        <v>26688.836416666662</v>
      </c>
      <c r="T33" s="12">
        <v>26688.836416666662</v>
      </c>
      <c r="U33" s="12">
        <v>26688.836416666662</v>
      </c>
      <c r="V33" s="12">
        <v>26688.836416666662</v>
      </c>
      <c r="W33" s="12">
        <v>26688.836416666662</v>
      </c>
      <c r="X33" s="12">
        <v>26688.836416666662</v>
      </c>
      <c r="Y33" s="12">
        <v>26688.836416666662</v>
      </c>
      <c r="Z33" s="12">
        <v>26688.836416666662</v>
      </c>
      <c r="AA33" s="12">
        <v>26688.836416666662</v>
      </c>
      <c r="AB33" s="12">
        <v>26688.836416666662</v>
      </c>
      <c r="AC33" s="12">
        <v>26688.836416666662</v>
      </c>
      <c r="AD33" s="12">
        <v>26688.836416666662</v>
      </c>
      <c r="AE33" s="12">
        <v>26688.836416666662</v>
      </c>
      <c r="AF33" s="12">
        <v>26688.836416666662</v>
      </c>
      <c r="AG33" s="12">
        <v>26688.836416666662</v>
      </c>
      <c r="AH33" s="12">
        <v>26688.836416666662</v>
      </c>
      <c r="AI33" s="12">
        <v>26688.836416666662</v>
      </c>
      <c r="AJ33" s="12">
        <v>26688.836416666662</v>
      </c>
      <c r="AK33" s="12">
        <v>26688.836416666662</v>
      </c>
      <c r="AL33" s="12">
        <v>26688.836416666662</v>
      </c>
      <c r="AM33" s="12">
        <v>26688.836416666662</v>
      </c>
      <c r="AN33" s="12">
        <v>26688.836416666662</v>
      </c>
    </row>
    <row r="34" spans="2:40" x14ac:dyDescent="0.25">
      <c r="B34" s="39" t="str">
        <f>Base!B39</f>
        <v>Quinary Direct Staff - Service A</v>
      </c>
      <c r="C34" s="4"/>
      <c r="E34" s="183" cm="1">
        <f t="array" ref="E34:AN34">_xlfn.LET(_xlpm.site,$B$1&amp;"-"&amp;$C$1,_xlpm.locations,Base!$D$4:$BD$4,_xlpm.rates,Base!$D39:$BD39,_xlpm.hours,Base!$D82:$BD82,_xlpm.comp,_xlpm.rates*_xlpm.hours,_xlpm.Customer,_xlfn.ANCHORARRAY($E$1)*0,
_xlpm.Customer_comp,_xlfn.XLOOKUP(_xlpm.site,_xlpm.locations,_xlpm.comp,0,0),_xlpm.ann_incr,_xlfn.XLOOKUP(YEAR(_xlfn.ANCHORARRAY($E$25)),Base!$BJ$4:$BL$4,Base!$BJ82:$BL82,0,0),
_xlpm.bad_debt,_xlfn.XLOOKUP(_xlpm.site,_xlpm.locations,Base!$D$28:$BD$28,0,0),_xlpm.Customer_comp*_xlpm.Customer*_xlpm.bad_debt*_xlpm.ann_incr*(52/12))</f>
        <v>0</v>
      </c>
      <c r="F34" s="183">
        <v>0</v>
      </c>
      <c r="G34" s="183">
        <v>0</v>
      </c>
      <c r="H34" s="183">
        <v>0</v>
      </c>
      <c r="I34" s="183">
        <v>0</v>
      </c>
      <c r="J34" s="183">
        <v>0</v>
      </c>
      <c r="K34" s="183">
        <v>0</v>
      </c>
      <c r="L34" s="183">
        <v>0</v>
      </c>
      <c r="M34" s="183">
        <v>0</v>
      </c>
      <c r="N34" s="183">
        <v>0</v>
      </c>
      <c r="O34" s="183">
        <v>0</v>
      </c>
      <c r="P34" s="183">
        <v>0</v>
      </c>
      <c r="Q34" s="183">
        <v>0</v>
      </c>
      <c r="R34" s="183">
        <v>0</v>
      </c>
      <c r="S34" s="183">
        <v>0</v>
      </c>
      <c r="T34" s="183">
        <v>0</v>
      </c>
      <c r="U34" s="183">
        <v>0</v>
      </c>
      <c r="V34" s="183">
        <v>0</v>
      </c>
      <c r="W34" s="183">
        <v>0</v>
      </c>
      <c r="X34" s="183">
        <v>0</v>
      </c>
      <c r="Y34" s="183">
        <v>0</v>
      </c>
      <c r="Z34" s="183">
        <v>0</v>
      </c>
      <c r="AA34" s="183">
        <v>0</v>
      </c>
      <c r="AB34" s="183">
        <v>0</v>
      </c>
      <c r="AC34" s="183">
        <v>0</v>
      </c>
      <c r="AD34" s="183">
        <v>0</v>
      </c>
      <c r="AE34" s="183">
        <v>0</v>
      </c>
      <c r="AF34" s="183">
        <v>0</v>
      </c>
      <c r="AG34" s="183">
        <v>0</v>
      </c>
      <c r="AH34" s="183">
        <v>0</v>
      </c>
      <c r="AI34" s="183">
        <v>0</v>
      </c>
      <c r="AJ34" s="183">
        <v>0</v>
      </c>
      <c r="AK34" s="183">
        <v>0</v>
      </c>
      <c r="AL34" s="183">
        <v>0</v>
      </c>
      <c r="AM34" s="183">
        <v>0</v>
      </c>
      <c r="AN34" s="183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0</v>
      </c>
      <c r="F35" s="12">
        <v>0</v>
      </c>
      <c r="G35" s="12">
        <v>-9775.5657199999987</v>
      </c>
      <c r="H35" s="12">
        <v>-16441.75244</v>
      </c>
      <c r="I35" s="12">
        <v>-23107.939159999998</v>
      </c>
      <c r="J35" s="12">
        <v>-29774.12588</v>
      </c>
      <c r="K35" s="12">
        <v>-36440.31259999999</v>
      </c>
      <c r="L35" s="12">
        <v>-43106.499319999988</v>
      </c>
      <c r="M35" s="12">
        <v>-49772.686039999986</v>
      </c>
      <c r="N35" s="12">
        <v>-56438.872759999998</v>
      </c>
      <c r="O35" s="12">
        <v>-63105.059479999996</v>
      </c>
      <c r="P35" s="12">
        <v>-69771.246199999994</v>
      </c>
      <c r="Q35" s="12">
        <v>-78730.555907599992</v>
      </c>
      <c r="R35" s="12">
        <v>-85596.728229199987</v>
      </c>
      <c r="S35" s="12">
        <v>-92462.900550799983</v>
      </c>
      <c r="T35" s="12">
        <v>-99329.072872399964</v>
      </c>
      <c r="U35" s="12">
        <v>-99329.072872399964</v>
      </c>
      <c r="V35" s="12">
        <v>-99329.072872399964</v>
      </c>
      <c r="W35" s="12">
        <v>-99329.072872399964</v>
      </c>
      <c r="X35" s="12">
        <v>-99329.072872399964</v>
      </c>
      <c r="Y35" s="12">
        <v>-99329.072872399964</v>
      </c>
      <c r="Z35" s="12">
        <v>-99329.072872399964</v>
      </c>
      <c r="AA35" s="12">
        <v>-99329.072872399964</v>
      </c>
      <c r="AB35" s="12">
        <v>-99329.072872399964</v>
      </c>
      <c r="AC35" s="12">
        <v>-99329.072872399964</v>
      </c>
      <c r="AD35" s="12">
        <v>-99329.072872399964</v>
      </c>
      <c r="AE35" s="12">
        <v>-99329.072872399964</v>
      </c>
      <c r="AF35" s="12">
        <v>-99329.072872399964</v>
      </c>
      <c r="AG35" s="12">
        <v>-99329.072872399964</v>
      </c>
      <c r="AH35" s="12">
        <v>-99329.072872399964</v>
      </c>
      <c r="AI35" s="12">
        <v>-99329.072872399964</v>
      </c>
      <c r="AJ35" s="12">
        <v>-99329.072872399964</v>
      </c>
      <c r="AK35" s="12">
        <v>-99329.072872399964</v>
      </c>
      <c r="AL35" s="12">
        <v>-99329.072872399964</v>
      </c>
      <c r="AM35" s="12">
        <v>-99329.072872399964</v>
      </c>
      <c r="AN35" s="12">
        <v>-99329.072872399964</v>
      </c>
    </row>
    <row r="36" spans="2:40" x14ac:dyDescent="0.25">
      <c r="B36" s="39" t="s">
        <v>261</v>
      </c>
      <c r="C36" s="15"/>
      <c r="E36" s="183" cm="1">
        <f t="array" ref="E36:AN36">_xlfn.BYCOL(_xlfn.ANCHORARRAY($E$25),_xlfn.LAMBDA(_xlpm.a,0))</f>
        <v>0</v>
      </c>
      <c r="F36" s="183">
        <v>0</v>
      </c>
      <c r="G36" s="183">
        <v>0</v>
      </c>
      <c r="H36" s="183">
        <v>0</v>
      </c>
      <c r="I36" s="183">
        <v>0</v>
      </c>
      <c r="J36" s="183">
        <v>0</v>
      </c>
      <c r="K36" s="183">
        <v>0</v>
      </c>
      <c r="L36" s="183">
        <v>0</v>
      </c>
      <c r="M36" s="183">
        <v>0</v>
      </c>
      <c r="N36" s="183">
        <v>0</v>
      </c>
      <c r="O36" s="183">
        <v>0</v>
      </c>
      <c r="P36" s="183">
        <v>0</v>
      </c>
      <c r="Q36" s="183">
        <v>0</v>
      </c>
      <c r="R36" s="183">
        <v>0</v>
      </c>
      <c r="S36" s="183">
        <v>0</v>
      </c>
      <c r="T36" s="183">
        <v>0</v>
      </c>
      <c r="U36" s="183">
        <v>0</v>
      </c>
      <c r="V36" s="183">
        <v>0</v>
      </c>
      <c r="W36" s="183">
        <v>0</v>
      </c>
      <c r="X36" s="183">
        <v>0</v>
      </c>
      <c r="Y36" s="183">
        <v>0</v>
      </c>
      <c r="Z36" s="183">
        <v>0</v>
      </c>
      <c r="AA36" s="183">
        <v>0</v>
      </c>
      <c r="AB36" s="183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271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0</v>
      </c>
      <c r="F37" s="13">
        <v>0</v>
      </c>
      <c r="G37" s="13">
        <v>69023.521946666675</v>
      </c>
      <c r="H37" s="13">
        <v>115244.93122666668</v>
      </c>
      <c r="I37" s="13">
        <v>161466.34050666663</v>
      </c>
      <c r="J37" s="13">
        <v>207687.74978666668</v>
      </c>
      <c r="K37" s="13">
        <v>253909.15906666662</v>
      </c>
      <c r="L37" s="13">
        <v>300130.56834666658</v>
      </c>
      <c r="M37" s="13">
        <v>346351.9776266666</v>
      </c>
      <c r="N37" s="13">
        <v>392573.38690666668</v>
      </c>
      <c r="O37" s="13">
        <v>438794.79618666659</v>
      </c>
      <c r="P37" s="13">
        <v>485016.20546666667</v>
      </c>
      <c r="Q37" s="13">
        <v>547174.74318906665</v>
      </c>
      <c r="R37" s="13">
        <v>594782.79474746657</v>
      </c>
      <c r="S37" s="13">
        <v>642390.84630586649</v>
      </c>
      <c r="T37" s="13">
        <v>689998.89786426653</v>
      </c>
      <c r="U37" s="13">
        <v>689998.89786426653</v>
      </c>
      <c r="V37" s="13">
        <v>689998.89786426653</v>
      </c>
      <c r="W37" s="13">
        <v>689998.89786426653</v>
      </c>
      <c r="X37" s="13">
        <v>689998.89786426653</v>
      </c>
      <c r="Y37" s="13">
        <v>689998.89786426653</v>
      </c>
      <c r="Z37" s="13">
        <v>689998.89786426653</v>
      </c>
      <c r="AA37" s="13">
        <v>689998.89786426653</v>
      </c>
      <c r="AB37" s="13">
        <v>689998.89786426653</v>
      </c>
      <c r="AC37" s="13">
        <v>689998.89786426653</v>
      </c>
      <c r="AD37" s="13">
        <v>689998.89786426653</v>
      </c>
      <c r="AE37" s="13">
        <v>689998.89786426653</v>
      </c>
      <c r="AF37" s="13">
        <v>689998.89786426653</v>
      </c>
      <c r="AG37" s="13">
        <v>689998.89786426653</v>
      </c>
      <c r="AH37" s="13">
        <v>689998.89786426653</v>
      </c>
      <c r="AI37" s="13">
        <v>689998.89786426653</v>
      </c>
      <c r="AJ37" s="13">
        <v>689998.89786426653</v>
      </c>
      <c r="AK37" s="13">
        <v>689998.89786426653</v>
      </c>
      <c r="AL37" s="13">
        <v>689998.89786426653</v>
      </c>
      <c r="AM37" s="13">
        <v>689998.89786426653</v>
      </c>
      <c r="AN37" s="13">
        <v>689998.89786426653</v>
      </c>
    </row>
    <row r="38" spans="2:40" x14ac:dyDescent="0.25">
      <c r="E38" s="67"/>
      <c r="F38" s="67"/>
    </row>
    <row r="39" spans="2:40" x14ac:dyDescent="0.25">
      <c r="B39" s="1" t="s">
        <v>118</v>
      </c>
    </row>
    <row r="40" spans="2:40" x14ac:dyDescent="0.25">
      <c r="B40" s="39" t="s">
        <v>23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0</v>
      </c>
      <c r="F40" s="12">
        <v>0</v>
      </c>
      <c r="G40" s="12">
        <v>43612.98992400329</v>
      </c>
      <c r="H40" s="12">
        <v>74421.884381339914</v>
      </c>
      <c r="I40" s="12">
        <v>93883.674305343186</v>
      </c>
      <c r="J40" s="12">
        <v>113305.23542934647</v>
      </c>
      <c r="K40" s="12">
        <v>132759.66322001643</v>
      </c>
      <c r="L40" s="12">
        <v>152488.25314401975</v>
      </c>
      <c r="M40" s="12">
        <v>171750.79760135635</v>
      </c>
      <c r="N40" s="12">
        <v>191269.02539202629</v>
      </c>
      <c r="O40" s="12">
        <v>210730.81531602962</v>
      </c>
      <c r="P40" s="12">
        <v>230088.57644003286</v>
      </c>
      <c r="Q40" s="12">
        <v>274684.45132043981</v>
      </c>
      <c r="R40" s="12">
        <v>296198.75357017672</v>
      </c>
      <c r="S40" s="12">
        <v>317562.47080658033</v>
      </c>
      <c r="T40" s="12">
        <v>333243.20304298401</v>
      </c>
      <c r="U40" s="12">
        <v>333553.69637631736</v>
      </c>
      <c r="V40" s="12">
        <v>333970.52304298396</v>
      </c>
      <c r="W40" s="12">
        <v>334214.02637631731</v>
      </c>
      <c r="X40" s="12">
        <v>334524.51970965072</v>
      </c>
      <c r="Y40" s="12">
        <v>334941.34637631732</v>
      </c>
      <c r="Z40" s="12">
        <v>335114.66970965068</v>
      </c>
      <c r="AA40" s="12">
        <v>335425.16304298397</v>
      </c>
      <c r="AB40" s="12">
        <v>335735.65637631732</v>
      </c>
      <c r="AC40" s="12">
        <v>369694.04234728246</v>
      </c>
      <c r="AD40" s="12">
        <v>370035.58501394914</v>
      </c>
      <c r="AE40" s="12">
        <v>370377.12768061581</v>
      </c>
      <c r="AF40" s="12">
        <v>370377.12768061581</v>
      </c>
      <c r="AG40" s="12">
        <v>370377.12768061581</v>
      </c>
      <c r="AH40" s="12">
        <v>370377.12768061581</v>
      </c>
      <c r="AI40" s="12">
        <v>370377.12768061581</v>
      </c>
      <c r="AJ40" s="12">
        <v>370377.12768061581</v>
      </c>
      <c r="AK40" s="12">
        <v>370377.12768061581</v>
      </c>
      <c r="AL40" s="12">
        <v>370377.12768061581</v>
      </c>
      <c r="AM40" s="12">
        <v>370377.12768061581</v>
      </c>
      <c r="AN40" s="12">
        <v>370377.12768061581</v>
      </c>
    </row>
    <row r="41" spans="2:40" x14ac:dyDescent="0.25">
      <c r="B41" s="39" t="s">
        <v>388</v>
      </c>
      <c r="C41" s="142">
        <f>_xlfn.XLOOKUP($B$1&amp;"-"&amp;$C$1,Base!$D$4:$BD$4,Base!$D$12:$BD$12,0,0)</f>
        <v>0</v>
      </c>
      <c r="E41" s="183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28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0</v>
      </c>
      <c r="F42" s="12">
        <v>0</v>
      </c>
      <c r="G42" s="12">
        <v>15000</v>
      </c>
      <c r="H42" s="12">
        <v>15000</v>
      </c>
      <c r="I42" s="12">
        <v>15000</v>
      </c>
      <c r="J42" s="12">
        <v>15000</v>
      </c>
      <c r="K42" s="12">
        <v>15000</v>
      </c>
      <c r="L42" s="12">
        <v>15000</v>
      </c>
      <c r="M42" s="12">
        <v>15000</v>
      </c>
      <c r="N42" s="12">
        <v>15000</v>
      </c>
      <c r="O42" s="12">
        <v>15000</v>
      </c>
      <c r="P42" s="12">
        <v>15000</v>
      </c>
      <c r="Q42" s="12">
        <v>15450</v>
      </c>
      <c r="R42" s="12">
        <v>15450</v>
      </c>
      <c r="S42" s="12">
        <v>15450</v>
      </c>
      <c r="T42" s="12">
        <v>15450</v>
      </c>
      <c r="U42" s="12">
        <v>15450</v>
      </c>
      <c r="V42" s="12">
        <v>15450</v>
      </c>
      <c r="W42" s="12">
        <v>15450</v>
      </c>
      <c r="X42" s="12">
        <v>15450</v>
      </c>
      <c r="Y42" s="12">
        <v>15450</v>
      </c>
      <c r="Z42" s="12">
        <v>15450</v>
      </c>
      <c r="AA42" s="12">
        <v>15450</v>
      </c>
      <c r="AB42" s="12">
        <v>15450</v>
      </c>
      <c r="AC42" s="12">
        <v>15913.5</v>
      </c>
      <c r="AD42" s="12">
        <v>15913.5</v>
      </c>
      <c r="AE42" s="12">
        <v>15913.5</v>
      </c>
      <c r="AF42" s="12">
        <v>15913.5</v>
      </c>
      <c r="AG42" s="12">
        <v>15913.5</v>
      </c>
      <c r="AH42" s="12">
        <v>15913.5</v>
      </c>
      <c r="AI42" s="12">
        <v>15913.5</v>
      </c>
      <c r="AJ42" s="12">
        <v>15913.5</v>
      </c>
      <c r="AK42" s="12">
        <v>15913.5</v>
      </c>
      <c r="AL42" s="12">
        <v>15913.5</v>
      </c>
      <c r="AM42" s="12">
        <v>15913.5</v>
      </c>
      <c r="AN42" s="12">
        <v>15913.5</v>
      </c>
    </row>
    <row r="43" spans="2:40" x14ac:dyDescent="0.25">
      <c r="B43" s="39" t="s">
        <v>31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0</v>
      </c>
      <c r="F43" s="12">
        <v>0</v>
      </c>
      <c r="G43" s="12">
        <v>8700</v>
      </c>
      <c r="H43" s="12">
        <v>8700</v>
      </c>
      <c r="I43" s="12">
        <v>8700</v>
      </c>
      <c r="J43" s="12">
        <v>8700</v>
      </c>
      <c r="K43" s="12">
        <v>8700</v>
      </c>
      <c r="L43" s="12">
        <v>8700</v>
      </c>
      <c r="M43" s="12">
        <v>8700</v>
      </c>
      <c r="N43" s="12">
        <v>8700</v>
      </c>
      <c r="O43" s="12">
        <v>8700</v>
      </c>
      <c r="P43" s="12">
        <v>8700</v>
      </c>
      <c r="Q43" s="12">
        <v>9048</v>
      </c>
      <c r="R43" s="12">
        <v>9048</v>
      </c>
      <c r="S43" s="12">
        <v>9048</v>
      </c>
      <c r="T43" s="12">
        <v>9048</v>
      </c>
      <c r="U43" s="12">
        <v>9048</v>
      </c>
      <c r="V43" s="12">
        <v>9048</v>
      </c>
      <c r="W43" s="12">
        <v>9048</v>
      </c>
      <c r="X43" s="12">
        <v>9048</v>
      </c>
      <c r="Y43" s="12">
        <v>9048</v>
      </c>
      <c r="Z43" s="12">
        <v>9048</v>
      </c>
      <c r="AA43" s="12">
        <v>9048</v>
      </c>
      <c r="AB43" s="12">
        <v>9048</v>
      </c>
      <c r="AC43" s="12">
        <v>9409.9200000000019</v>
      </c>
      <c r="AD43" s="12">
        <v>9409.9200000000019</v>
      </c>
      <c r="AE43" s="12">
        <v>9409.9200000000019</v>
      </c>
      <c r="AF43" s="12">
        <v>9409.9200000000019</v>
      </c>
      <c r="AG43" s="12">
        <v>9409.9200000000019</v>
      </c>
      <c r="AH43" s="12">
        <v>9409.9200000000019</v>
      </c>
      <c r="AI43" s="12">
        <v>9409.9200000000019</v>
      </c>
      <c r="AJ43" s="12">
        <v>9409.9200000000019</v>
      </c>
      <c r="AK43" s="12">
        <v>9409.9200000000019</v>
      </c>
      <c r="AL43" s="12">
        <v>9409.9200000000019</v>
      </c>
      <c r="AM43" s="12">
        <v>9409.9200000000019</v>
      </c>
      <c r="AN43" s="12">
        <v>9409.9200000000019</v>
      </c>
    </row>
    <row r="44" spans="2:40" x14ac:dyDescent="0.25">
      <c r="B44" s="39" t="s">
        <v>34</v>
      </c>
      <c r="C44" s="96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0</v>
      </c>
      <c r="F44" s="12">
        <v>0</v>
      </c>
      <c r="G44" s="12">
        <v>363.89520000000005</v>
      </c>
      <c r="H44" s="12">
        <v>963.64839999999992</v>
      </c>
      <c r="I44" s="12">
        <v>993.97300000000007</v>
      </c>
      <c r="J44" s="12">
        <v>1024.2975999999999</v>
      </c>
      <c r="K44" s="12">
        <v>1054.6222</v>
      </c>
      <c r="L44" s="12">
        <v>1095.0550000000001</v>
      </c>
      <c r="M44" s="12">
        <v>1122.0101999999999</v>
      </c>
      <c r="N44" s="12">
        <v>1155.7042000000001</v>
      </c>
      <c r="O44" s="12">
        <v>1186.0287999999998</v>
      </c>
      <c r="P44" s="12">
        <v>1212.9840000000002</v>
      </c>
      <c r="Q44" s="12">
        <v>1300.0492959999999</v>
      </c>
      <c r="R44" s="12">
        <v>1335.0910559999998</v>
      </c>
      <c r="S44" s="12">
        <v>1366.6286400000004</v>
      </c>
      <c r="T44" s="12">
        <v>1156.37808</v>
      </c>
      <c r="U44" s="12">
        <v>1170.3947840000001</v>
      </c>
      <c r="V44" s="12">
        <v>1187.9156640000001</v>
      </c>
      <c r="W44" s="12">
        <v>1198.4281919999999</v>
      </c>
      <c r="X44" s="12">
        <v>1212.444896</v>
      </c>
      <c r="Y44" s="12">
        <v>1229.965776</v>
      </c>
      <c r="Z44" s="12">
        <v>1236.9741279999998</v>
      </c>
      <c r="AA44" s="12">
        <v>1250.990832</v>
      </c>
      <c r="AB44" s="12">
        <v>1265.0075359999998</v>
      </c>
      <c r="AC44" s="12">
        <v>1330.1852096000002</v>
      </c>
      <c r="AD44" s="12">
        <v>1344.7625817600001</v>
      </c>
      <c r="AE44" s="12">
        <v>1359.3399539200002</v>
      </c>
      <c r="AF44" s="12">
        <v>1359.3399539200002</v>
      </c>
      <c r="AG44" s="12">
        <v>1359.3399539200002</v>
      </c>
      <c r="AH44" s="12">
        <v>1359.3399539200002</v>
      </c>
      <c r="AI44" s="12">
        <v>1359.3399539200002</v>
      </c>
      <c r="AJ44" s="12">
        <v>1359.3399539200002</v>
      </c>
      <c r="AK44" s="12">
        <v>1359.3399539200002</v>
      </c>
      <c r="AL44" s="12">
        <v>1359.3399539200002</v>
      </c>
      <c r="AM44" s="12">
        <v>1359.3399539200002</v>
      </c>
      <c r="AN44" s="12">
        <v>1359.3399539200002</v>
      </c>
    </row>
    <row r="45" spans="2:40" x14ac:dyDescent="0.25">
      <c r="B45" s="39" t="s">
        <v>36</v>
      </c>
      <c r="C45" s="96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0</v>
      </c>
      <c r="F45" s="12">
        <v>0</v>
      </c>
      <c r="G45" s="12">
        <v>7500</v>
      </c>
      <c r="H45" s="12">
        <v>7500</v>
      </c>
      <c r="I45" s="12">
        <v>7500</v>
      </c>
      <c r="J45" s="12">
        <v>7500</v>
      </c>
      <c r="K45" s="12">
        <v>7500</v>
      </c>
      <c r="L45" s="12">
        <v>7500</v>
      </c>
      <c r="M45" s="12">
        <v>7500</v>
      </c>
      <c r="N45" s="12">
        <v>7500</v>
      </c>
      <c r="O45" s="12">
        <v>7500</v>
      </c>
      <c r="P45" s="12">
        <v>7500</v>
      </c>
      <c r="Q45" s="12">
        <v>7650</v>
      </c>
      <c r="R45" s="12">
        <v>7650</v>
      </c>
      <c r="S45" s="12">
        <v>7650</v>
      </c>
      <c r="T45" s="12">
        <v>7650</v>
      </c>
      <c r="U45" s="12">
        <v>7650</v>
      </c>
      <c r="V45" s="12">
        <v>7650</v>
      </c>
      <c r="W45" s="12">
        <v>7650</v>
      </c>
      <c r="X45" s="12">
        <v>7650</v>
      </c>
      <c r="Y45" s="12">
        <v>7650</v>
      </c>
      <c r="Z45" s="12">
        <v>7650</v>
      </c>
      <c r="AA45" s="12">
        <v>7650</v>
      </c>
      <c r="AB45" s="12">
        <v>7650</v>
      </c>
      <c r="AC45" s="12">
        <v>7803</v>
      </c>
      <c r="AD45" s="12">
        <v>7803</v>
      </c>
      <c r="AE45" s="12">
        <v>7803</v>
      </c>
      <c r="AF45" s="12">
        <v>7803</v>
      </c>
      <c r="AG45" s="12">
        <v>7803</v>
      </c>
      <c r="AH45" s="12">
        <v>7803</v>
      </c>
      <c r="AI45" s="12">
        <v>7803</v>
      </c>
      <c r="AJ45" s="12">
        <v>7803</v>
      </c>
      <c r="AK45" s="12">
        <v>7803</v>
      </c>
      <c r="AL45" s="12">
        <v>7803</v>
      </c>
      <c r="AM45" s="12">
        <v>7803</v>
      </c>
      <c r="AN45" s="12">
        <v>7803</v>
      </c>
    </row>
    <row r="46" spans="2:40" x14ac:dyDescent="0.25">
      <c r="B46" s="39" t="s">
        <v>38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0</v>
      </c>
      <c r="F46" s="12">
        <v>0</v>
      </c>
      <c r="G46" s="12">
        <v>3533.9999999999991</v>
      </c>
      <c r="H46" s="12">
        <v>5399.4999999999991</v>
      </c>
      <c r="I46" s="12">
        <v>6677</v>
      </c>
      <c r="J46" s="12">
        <v>7950.9999999999991</v>
      </c>
      <c r="K46" s="12">
        <v>9224.9999999999982</v>
      </c>
      <c r="L46" s="12">
        <v>10513</v>
      </c>
      <c r="M46" s="12">
        <v>11780.000000000002</v>
      </c>
      <c r="N46" s="12">
        <v>13057.5</v>
      </c>
      <c r="O46" s="12">
        <v>14335</v>
      </c>
      <c r="P46" s="12">
        <v>15605.499999999998</v>
      </c>
      <c r="Q46" s="12">
        <v>17224.23</v>
      </c>
      <c r="R46" s="12">
        <v>18530.849999999999</v>
      </c>
      <c r="S46" s="12">
        <v>19830.329999999998</v>
      </c>
      <c r="T46" s="12">
        <v>20879.910000000007</v>
      </c>
      <c r="U46" s="12">
        <v>20894.190000000002</v>
      </c>
      <c r="V46" s="12">
        <v>20912.040000000005</v>
      </c>
      <c r="W46" s="12">
        <v>20922.750000000004</v>
      </c>
      <c r="X46" s="12">
        <v>20937.030000000006</v>
      </c>
      <c r="Y46" s="12">
        <v>20954.880000000005</v>
      </c>
      <c r="Z46" s="12">
        <v>20962.020000000004</v>
      </c>
      <c r="AA46" s="12">
        <v>20976.300000000003</v>
      </c>
      <c r="AB46" s="12">
        <v>20990.580000000005</v>
      </c>
      <c r="AC46" s="12">
        <v>21424.957200000004</v>
      </c>
      <c r="AD46" s="12">
        <v>21439.522800000002</v>
      </c>
      <c r="AE46" s="12">
        <v>21454.088400000004</v>
      </c>
      <c r="AF46" s="12">
        <v>21454.088400000004</v>
      </c>
      <c r="AG46" s="12">
        <v>21454.088400000004</v>
      </c>
      <c r="AH46" s="12">
        <v>21454.088400000004</v>
      </c>
      <c r="AI46" s="12">
        <v>21454.088400000004</v>
      </c>
      <c r="AJ46" s="12">
        <v>21454.088400000004</v>
      </c>
      <c r="AK46" s="12">
        <v>21454.088400000004</v>
      </c>
      <c r="AL46" s="12">
        <v>21454.088400000004</v>
      </c>
      <c r="AM46" s="12">
        <v>21454.088400000004</v>
      </c>
      <c r="AN46" s="12">
        <v>21454.088400000004</v>
      </c>
    </row>
    <row r="47" spans="2:40" x14ac:dyDescent="0.25">
      <c r="B47" s="39" t="s">
        <v>40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0</v>
      </c>
      <c r="F47" s="12">
        <v>0</v>
      </c>
      <c r="G47" s="12">
        <v>6000</v>
      </c>
      <c r="H47" s="12">
        <v>6000</v>
      </c>
      <c r="I47" s="12">
        <v>6000</v>
      </c>
      <c r="J47" s="12">
        <v>6000</v>
      </c>
      <c r="K47" s="12">
        <v>6000</v>
      </c>
      <c r="L47" s="12">
        <v>6000</v>
      </c>
      <c r="M47" s="12">
        <v>6000</v>
      </c>
      <c r="N47" s="12">
        <v>6000</v>
      </c>
      <c r="O47" s="12">
        <v>6000</v>
      </c>
      <c r="P47" s="12">
        <v>6000</v>
      </c>
      <c r="Q47" s="12">
        <v>6300</v>
      </c>
      <c r="R47" s="12">
        <v>6300</v>
      </c>
      <c r="S47" s="12">
        <v>6300</v>
      </c>
      <c r="T47" s="12">
        <v>6300</v>
      </c>
      <c r="U47" s="12">
        <v>6300</v>
      </c>
      <c r="V47" s="12">
        <v>6300</v>
      </c>
      <c r="W47" s="12">
        <v>6300</v>
      </c>
      <c r="X47" s="12">
        <v>6300</v>
      </c>
      <c r="Y47" s="12">
        <v>6300</v>
      </c>
      <c r="Z47" s="12">
        <v>6300</v>
      </c>
      <c r="AA47" s="12">
        <v>6300</v>
      </c>
      <c r="AB47" s="12">
        <v>6300</v>
      </c>
      <c r="AC47" s="12">
        <v>6615</v>
      </c>
      <c r="AD47" s="12">
        <v>6615</v>
      </c>
      <c r="AE47" s="12">
        <v>6615</v>
      </c>
      <c r="AF47" s="12">
        <v>6615</v>
      </c>
      <c r="AG47" s="12">
        <v>6615</v>
      </c>
      <c r="AH47" s="12">
        <v>6615</v>
      </c>
      <c r="AI47" s="12">
        <v>6615</v>
      </c>
      <c r="AJ47" s="12">
        <v>6615</v>
      </c>
      <c r="AK47" s="12">
        <v>6615</v>
      </c>
      <c r="AL47" s="12">
        <v>6615</v>
      </c>
      <c r="AM47" s="12">
        <v>6615</v>
      </c>
      <c r="AN47" s="12">
        <v>6615</v>
      </c>
    </row>
    <row r="48" spans="2:40" x14ac:dyDescent="0.25">
      <c r="B48" s="39" t="s">
        <v>41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151234.47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42</v>
      </c>
      <c r="E49" s="12">
        <f>'Corp.'!E$50*(E$37-(E31-E32-E34)*$C$35)/(SUM('MDA1:NCA9'!E$37)-SUM('MDA1:NCA9'!E$31)-SUM('MDA1:NCA9'!E$32)-SUM('MDA1:NCA9'!E$34))</f>
        <v>0</v>
      </c>
      <c r="F49" s="12">
        <f>'Corp.'!F$50*(F$37-(F31-F32-F34)*$C$35)/(SUM('MDA1:NCA9'!F$37)-SUM('MDA1:NCA9'!F$31)-SUM('MDA1:NCA9'!F$32)-SUM('MDA1:NCA9'!F$34))</f>
        <v>0</v>
      </c>
      <c r="G49" s="12">
        <f>'Corp.'!G$50*(G$37-(G31-G32-G34)*$C$35)/(SUM('MDA1:NCA9'!G$37)-SUM('MDA1:NCA9'!G$31)-SUM('MDA1:NCA9'!G$32)-SUM('MDA1:NCA9'!G$34))</f>
        <v>19545.199961024457</v>
      </c>
      <c r="H49" s="12">
        <f>'Corp.'!H$50*(H$37-(H31-H32-H34)*$C$35)/(SUM('MDA1:NCA9'!H$37)-SUM('MDA1:NCA9'!H$31)-SUM('MDA1:NCA9'!H$32)-SUM('MDA1:NCA9'!H$34))</f>
        <v>29836.31181118204</v>
      </c>
      <c r="I49" s="12">
        <f>'Corp.'!I$50*(I$37-(I31-I32-I34)*$C$35)/(SUM('MDA1:NCA9'!I$37)-SUM('MDA1:NCA9'!I$31)-SUM('MDA1:NCA9'!I$32)-SUM('MDA1:NCA9'!I$34))</f>
        <v>39336.693343232226</v>
      </c>
      <c r="J49" s="12">
        <f>'Corp.'!J$50*(J$37-(J31-J32-J34)*$C$35)/(SUM('MDA1:NCA9'!J$37)-SUM('MDA1:NCA9'!J$31)-SUM('MDA1:NCA9'!J$32)-SUM('MDA1:NCA9'!J$34))</f>
        <v>47291.558061769996</v>
      </c>
      <c r="K49" s="12">
        <f>'Corp.'!K$50*(K$37-(K31-K32-K34)*$C$35)/(SUM('MDA1:NCA9'!K$37)-SUM('MDA1:NCA9'!K$31)-SUM('MDA1:NCA9'!K$32)-SUM('MDA1:NCA9'!K$34))</f>
        <v>53103.693184463002</v>
      </c>
      <c r="L49" s="12">
        <f>'Corp.'!L$50*(L$37-(L31-L32-L34)*$C$35)/(SUM('MDA1:NCA9'!L$37)-SUM('MDA1:NCA9'!L$31)-SUM('MDA1:NCA9'!L$32)-SUM('MDA1:NCA9'!L$34))</f>
        <v>59318.123985500562</v>
      </c>
      <c r="M49" s="12">
        <f>'Corp.'!M$50*(M$37-(M31-M32-M34)*$C$35)/(SUM('MDA1:NCA9'!M$37)-SUM('MDA1:NCA9'!M$31)-SUM('MDA1:NCA9'!M$32)-SUM('MDA1:NCA9'!M$34))</f>
        <v>64151.229746843666</v>
      </c>
      <c r="N49" s="12">
        <f>'Corp.'!N$50*(N$37-(N31-N32-N34)*$C$35)/(SUM('MDA1:NCA9'!N$37)-SUM('MDA1:NCA9'!N$31)-SUM('MDA1:NCA9'!N$32)-SUM('MDA1:NCA9'!N$34))</f>
        <v>68515.468250524296</v>
      </c>
      <c r="O49" s="12">
        <f>'Corp.'!O$50*(O$37-(O31-O32-O34)*$C$35)/(SUM('MDA1:NCA9'!O$37)-SUM('MDA1:NCA9'!O$31)-SUM('MDA1:NCA9'!O$32)-SUM('MDA1:NCA9'!O$34))</f>
        <v>71673.440393181285</v>
      </c>
      <c r="P49" s="12">
        <f>'Corp.'!P$50*(P$37-(P31-P32-P34)*$C$35)/(SUM('MDA1:NCA9'!P$37)-SUM('MDA1:NCA9'!P$31)-SUM('MDA1:NCA9'!P$32)-SUM('MDA1:NCA9'!P$34))</f>
        <v>74758.875302295273</v>
      </c>
      <c r="Q49" s="12">
        <f>'Corp.'!Q$50*(Q$37-(Q31-Q32-Q34)*$C$35)/(SUM('MDA1:NCA9'!Q$37)-SUM('MDA1:NCA9'!Q$31)-SUM('MDA1:NCA9'!Q$32)-SUM('MDA1:NCA9'!Q$34))</f>
        <v>84649.146313639329</v>
      </c>
      <c r="R49" s="12">
        <f>'Corp.'!R$50*(R$37-(R31-R32-R34)*$C$35)/(SUM('MDA1:NCA9'!R$37)-SUM('MDA1:NCA9'!R$31)-SUM('MDA1:NCA9'!R$32)-SUM('MDA1:NCA9'!R$34))</f>
        <v>88529.021241481139</v>
      </c>
      <c r="S49" s="12">
        <f>'Corp.'!S$50*(S$37-(S31-S32-S34)*$C$35)/(SUM('MDA1:NCA9'!S$37)-SUM('MDA1:NCA9'!S$31)-SUM('MDA1:NCA9'!S$32)-SUM('MDA1:NCA9'!S$34))</f>
        <v>91477.552354977917</v>
      </c>
      <c r="T49" s="12">
        <f>'Corp.'!T$50*(T$37-(T31-T32-T34)*$C$35)/(SUM('MDA1:NCA9'!T$37)-SUM('MDA1:NCA9'!T$31)-SUM('MDA1:NCA9'!T$32)-SUM('MDA1:NCA9'!T$34))</f>
        <v>94495.169996576646</v>
      </c>
      <c r="U49" s="12">
        <f>'Corp.'!U$50*(U$37-(U31-U32-U34)*$C$35)/(SUM('MDA1:NCA9'!U$37)-SUM('MDA1:NCA9'!U$31)-SUM('MDA1:NCA9'!U$32)-SUM('MDA1:NCA9'!U$34))</f>
        <v>91915.99538577364</v>
      </c>
      <c r="V49" s="12">
        <f>'Corp.'!V$50*(V$37-(V31-V32-V34)*$C$35)/(SUM('MDA1:NCA9'!V$37)-SUM('MDA1:NCA9'!V$31)-SUM('MDA1:NCA9'!V$32)-SUM('MDA1:NCA9'!V$34))</f>
        <v>89813.200413536979</v>
      </c>
      <c r="W49" s="12">
        <f>'Corp.'!W$50*(W$37-(W31-W32-W34)*$C$35)/(SUM('MDA1:NCA9'!W$37)-SUM('MDA1:NCA9'!W$31)-SUM('MDA1:NCA9'!W$32)-SUM('MDA1:NCA9'!W$34))</f>
        <v>87083.552175642923</v>
      </c>
      <c r="X49" s="12">
        <f>'Corp.'!X$50*(X$37-(X31-X32-X34)*$C$35)/(SUM('MDA1:NCA9'!X$37)-SUM('MDA1:NCA9'!X$31)-SUM('MDA1:NCA9'!X$32)-SUM('MDA1:NCA9'!X$34))</f>
        <v>84355.776776980463</v>
      </c>
      <c r="Y49" s="12">
        <f>'Corp.'!Y$50*(Y$37-(Y31-Y32-Y34)*$C$35)/(SUM('MDA1:NCA9'!Y$37)-SUM('MDA1:NCA9'!Y$31)-SUM('MDA1:NCA9'!Y$32)-SUM('MDA1:NCA9'!Y$34))</f>
        <v>82568.580020467809</v>
      </c>
      <c r="Z49" s="12">
        <f>'Corp.'!Z$50*(Z$37-(Z31-Z32-Z34)*$C$35)/(SUM('MDA1:NCA9'!Z$37)-SUM('MDA1:NCA9'!Z$31)-SUM('MDA1:NCA9'!Z$32)-SUM('MDA1:NCA9'!Z$34))</f>
        <v>80775.388620665501</v>
      </c>
      <c r="AA49" s="12">
        <f>'Corp.'!AA$50*(AA$37-(AA31-AA32-AA34)*$C$35)/(SUM('MDA1:NCA9'!AA$37)-SUM('MDA1:NCA9'!AA$31)-SUM('MDA1:NCA9'!AA$32)-SUM('MDA1:NCA9'!AA$34))</f>
        <v>78928.593716406205</v>
      </c>
      <c r="AB49" s="12">
        <f>'Corp.'!AB$50*(AB$37-(AB31-AB32-AB34)*$C$35)/(SUM('MDA1:NCA9'!AB$37)-SUM('MDA1:NCA9'!AB$31)-SUM('MDA1:NCA9'!AB$32)-SUM('MDA1:NCA9'!AB$34))</f>
        <v>77137.388997614675</v>
      </c>
      <c r="AC49" s="12">
        <f>'Corp.'!AC$50*(AC$37-(AC31-AC32-AC34)*$C$35)/(SUM('MDA1:NCA9'!AC$37)-SUM('MDA1:NCA9'!AC$31)-SUM('MDA1:NCA9'!AC$32)-SUM('MDA1:NCA9'!AC$34))</f>
        <v>82787.492935550952</v>
      </c>
      <c r="AD49" s="12">
        <f>'Corp.'!AD$50*(AD$37-(AD31-AD32-AD34)*$C$35)/(SUM('MDA1:NCA9'!AD$37)-SUM('MDA1:NCA9'!AD$31)-SUM('MDA1:NCA9'!AD$32)-SUM('MDA1:NCA9'!AD$34))</f>
        <v>81427.453549480764</v>
      </c>
      <c r="AE49" s="12">
        <f>'Corp.'!AE$50*(AE$37-(AE31-AE32-AE34)*$C$35)/(SUM('MDA1:NCA9'!AE$37)-SUM('MDA1:NCA9'!AE$31)-SUM('MDA1:NCA9'!AE$32)-SUM('MDA1:NCA9'!AE$34))</f>
        <v>80145.065142249689</v>
      </c>
      <c r="AF49" s="12">
        <f>'Corp.'!AF$50*(AF$37-(AF31-AF32-AF34)*$C$35)/(SUM('MDA1:NCA9'!AF$37)-SUM('MDA1:NCA9'!AF$31)-SUM('MDA1:NCA9'!AF$32)-SUM('MDA1:NCA9'!AF$34))</f>
        <v>78943.425161868086</v>
      </c>
      <c r="AG49" s="12">
        <f>'Corp.'!AG$50*(AG$37-(AG31-AG32-AG34)*$C$35)/(SUM('MDA1:NCA9'!AG$37)-SUM('MDA1:NCA9'!AG$31)-SUM('MDA1:NCA9'!AG$32)-SUM('MDA1:NCA9'!AG$34))</f>
        <v>77979.765799357177</v>
      </c>
      <c r="AH49" s="12">
        <f>'Corp.'!AH$50*(AH$37-(AH31-AH32-AH34)*$C$35)/(SUM('MDA1:NCA9'!AH$37)-SUM('MDA1:NCA9'!AH$31)-SUM('MDA1:NCA9'!AH$32)-SUM('MDA1:NCA9'!AH$34))</f>
        <v>76712.193944299695</v>
      </c>
      <c r="AI49" s="12">
        <f>'Corp.'!AI$50*(AI$37-(AI31-AI32-AI34)*$C$35)/(SUM('MDA1:NCA9'!AI$37)-SUM('MDA1:NCA9'!AI$31)-SUM('MDA1:NCA9'!AI$32)-SUM('MDA1:NCA9'!AI$34))</f>
        <v>75391.235786919249</v>
      </c>
      <c r="AJ49" s="12">
        <f>'Corp.'!AJ$50*(AJ$37-(AJ31-AJ32-AJ34)*$C$35)/(SUM('MDA1:NCA9'!AJ$37)-SUM('MDA1:NCA9'!AJ$31)-SUM('MDA1:NCA9'!AJ$32)-SUM('MDA1:NCA9'!AJ$34))</f>
        <v>74037.829400941715</v>
      </c>
      <c r="AK49" s="12">
        <f>'Corp.'!AK$50*(AK$37-(AK31-AK32-AK34)*$C$35)/(SUM('MDA1:NCA9'!AK$37)-SUM('MDA1:NCA9'!AK$31)-SUM('MDA1:NCA9'!AK$32)-SUM('MDA1:NCA9'!AK$34))</f>
        <v>72788.126846379178</v>
      </c>
      <c r="AL49" s="12">
        <f>'Corp.'!AL$50*(AL$37-(AL31-AL32-AL34)*$C$35)/(SUM('MDA1:NCA9'!AL$37)-SUM('MDA1:NCA9'!AL$31)-SUM('MDA1:NCA9'!AL$32)-SUM('MDA1:NCA9'!AL$34))</f>
        <v>71641.323887728504</v>
      </c>
      <c r="AM49" s="12">
        <f>'Corp.'!AM$50*(AM$37-(AM31-AM32-AM34)*$C$35)/(SUM('MDA1:NCA9'!AM$37)-SUM('MDA1:NCA9'!AM$31)-SUM('MDA1:NCA9'!AM$32)-SUM('MDA1:NCA9'!AM$34))</f>
        <v>70406.274276485157</v>
      </c>
      <c r="AN49" s="12">
        <f>'Corp.'!AN$50*(AN$37-(AN31-AN32-AN34)*$C$35)/(SUM('MDA1:NCA9'!AN$37)-SUM('MDA1:NCA9'!AN$31)-SUM('MDA1:NCA9'!AN$32)-SUM('MDA1:NCA9'!AN$34))</f>
        <v>69353.495383390065</v>
      </c>
    </row>
    <row r="50" spans="2:40" x14ac:dyDescent="0.25">
      <c r="B50" s="1" t="s">
        <v>272</v>
      </c>
      <c r="E50" s="13" cm="1">
        <f t="array" ref="E50:AN50">_xlfn.BYCOL(_xlfn.VSTACK(_xlfn.ANCHORARRAY(E40),_xlfn.ANCHORARRAY(E42),_xlfn.ANCHORARRAY(E43),_xlfn.ANCHORARRAY(E45),_xlfn.ANCHORARRAY(E46),_xlfn.ANCHORARRAY(E47),_xlfn.ANCHORARRAY(E48),_xlfn.HSTACK(E49:AN49)),_xlfn.LAMBDA(_xlpm.a,SUM(_xlpm.a)))</f>
        <v>151234.47</v>
      </c>
      <c r="F50" s="13">
        <v>0</v>
      </c>
      <c r="G50" s="13">
        <v>103892.18988502774</v>
      </c>
      <c r="H50" s="13">
        <v>146857.69619252195</v>
      </c>
      <c r="I50" s="13">
        <v>177097.3676485754</v>
      </c>
      <c r="J50" s="13">
        <v>205747.79349111646</v>
      </c>
      <c r="K50" s="13">
        <v>232288.35640447942</v>
      </c>
      <c r="L50" s="13">
        <v>259519.37712952032</v>
      </c>
      <c r="M50" s="13">
        <v>284882.02734820003</v>
      </c>
      <c r="N50" s="13">
        <v>310041.9936425506</v>
      </c>
      <c r="O50" s="13">
        <v>333939.25570921088</v>
      </c>
      <c r="P50" s="13">
        <v>357652.95174232812</v>
      </c>
      <c r="Q50" s="13">
        <v>415005.82763407915</v>
      </c>
      <c r="R50" s="13">
        <v>441706.62481165782</v>
      </c>
      <c r="S50" s="13">
        <v>467318.35316155828</v>
      </c>
      <c r="T50" s="13">
        <v>487066.28303956066</v>
      </c>
      <c r="U50" s="13">
        <v>484811.88176209101</v>
      </c>
      <c r="V50" s="13">
        <v>483143.76345652092</v>
      </c>
      <c r="W50" s="13">
        <v>480668.32855196024</v>
      </c>
      <c r="X50" s="13">
        <v>478265.32648663118</v>
      </c>
      <c r="Y50" s="13">
        <v>476912.80639678513</v>
      </c>
      <c r="Z50" s="13">
        <v>475300.07833031623</v>
      </c>
      <c r="AA50" s="13">
        <v>473778.05675939017</v>
      </c>
      <c r="AB50" s="13">
        <v>472311.62537393201</v>
      </c>
      <c r="AC50" s="13">
        <v>513647.91248283337</v>
      </c>
      <c r="AD50" s="13">
        <v>512643.98136342986</v>
      </c>
      <c r="AE50" s="13">
        <v>511717.70122286549</v>
      </c>
      <c r="AF50" s="13">
        <v>510516.06124248391</v>
      </c>
      <c r="AG50" s="13">
        <v>509552.40187997301</v>
      </c>
      <c r="AH50" s="13">
        <v>508284.83002491551</v>
      </c>
      <c r="AI50" s="13">
        <v>506963.87186753505</v>
      </c>
      <c r="AJ50" s="13">
        <v>505610.46548155753</v>
      </c>
      <c r="AK50" s="13">
        <v>504360.762926995</v>
      </c>
      <c r="AL50" s="13">
        <v>503213.95996834431</v>
      </c>
      <c r="AM50" s="13">
        <v>501978.91035710095</v>
      </c>
      <c r="AN50" s="13">
        <v>500926.13146400586</v>
      </c>
    </row>
    <row r="52" spans="2:40" x14ac:dyDescent="0.25">
      <c r="B52" s="1" t="s">
        <v>48</v>
      </c>
      <c r="E52" s="74">
        <f>E37-E50</f>
        <v>-151234.47</v>
      </c>
      <c r="F52" s="74">
        <f t="shared" ref="F52:AN52" si="0">F37-F50</f>
        <v>0</v>
      </c>
      <c r="G52" s="74">
        <f t="shared" si="0"/>
        <v>-34868.667938361061</v>
      </c>
      <c r="H52" s="74">
        <f t="shared" si="0"/>
        <v>-31612.764965855269</v>
      </c>
      <c r="I52" s="74">
        <f t="shared" si="0"/>
        <v>-15631.027141908766</v>
      </c>
      <c r="J52" s="74">
        <f t="shared" si="0"/>
        <v>1939.9562955502188</v>
      </c>
      <c r="K52" s="74">
        <f t="shared" si="0"/>
        <v>21620.802662187198</v>
      </c>
      <c r="L52" s="74">
        <f t="shared" si="0"/>
        <v>40611.191217146261</v>
      </c>
      <c r="M52" s="74">
        <f t="shared" si="0"/>
        <v>61469.950278466567</v>
      </c>
      <c r="N52" s="74">
        <f t="shared" si="0"/>
        <v>82531.393264116079</v>
      </c>
      <c r="O52" s="74">
        <f t="shared" si="0"/>
        <v>104855.54047745571</v>
      </c>
      <c r="P52" s="74">
        <f t="shared" si="0"/>
        <v>127363.25372433854</v>
      </c>
      <c r="Q52" s="74">
        <f t="shared" si="0"/>
        <v>132168.9155549875</v>
      </c>
      <c r="R52" s="74">
        <f t="shared" si="0"/>
        <v>153076.16993580875</v>
      </c>
      <c r="S52" s="74">
        <f t="shared" si="0"/>
        <v>175072.49314430822</v>
      </c>
      <c r="T52" s="74">
        <f t="shared" si="0"/>
        <v>202932.61482470587</v>
      </c>
      <c r="U52" s="74">
        <f t="shared" si="0"/>
        <v>205187.01610217552</v>
      </c>
      <c r="V52" s="74">
        <f t="shared" si="0"/>
        <v>206855.13440774562</v>
      </c>
      <c r="W52" s="74">
        <f t="shared" si="0"/>
        <v>209330.5693123063</v>
      </c>
      <c r="X52" s="74">
        <f t="shared" si="0"/>
        <v>211733.57137763535</v>
      </c>
      <c r="Y52" s="74">
        <f t="shared" si="0"/>
        <v>213086.0914674814</v>
      </c>
      <c r="Z52" s="74">
        <f t="shared" si="0"/>
        <v>214698.8195339503</v>
      </c>
      <c r="AA52" s="74">
        <f t="shared" si="0"/>
        <v>216220.84110487637</v>
      </c>
      <c r="AB52" s="74">
        <f t="shared" si="0"/>
        <v>217687.27249033452</v>
      </c>
      <c r="AC52" s="74">
        <f t="shared" si="0"/>
        <v>176350.98538143316</v>
      </c>
      <c r="AD52" s="74">
        <f t="shared" si="0"/>
        <v>177354.91650083667</v>
      </c>
      <c r="AE52" s="74">
        <f t="shared" si="0"/>
        <v>178281.19664140104</v>
      </c>
      <c r="AF52" s="74">
        <f t="shared" si="0"/>
        <v>179482.83662178263</v>
      </c>
      <c r="AG52" s="74">
        <f t="shared" si="0"/>
        <v>180446.49598429352</v>
      </c>
      <c r="AH52" s="74">
        <f t="shared" si="0"/>
        <v>181714.06783935102</v>
      </c>
      <c r="AI52" s="74">
        <f t="shared" si="0"/>
        <v>183035.02599673148</v>
      </c>
      <c r="AJ52" s="74">
        <f t="shared" si="0"/>
        <v>184388.432382709</v>
      </c>
      <c r="AK52" s="74">
        <f t="shared" si="0"/>
        <v>185638.13493727153</v>
      </c>
      <c r="AL52" s="74">
        <f t="shared" si="0"/>
        <v>186784.93789592222</v>
      </c>
      <c r="AM52" s="74">
        <f t="shared" si="0"/>
        <v>188019.98750716558</v>
      </c>
      <c r="AN52" s="74">
        <f t="shared" si="0"/>
        <v>189072.76640026068</v>
      </c>
    </row>
    <row r="53" spans="2:40" x14ac:dyDescent="0.25">
      <c r="E53" s="105" t="str">
        <f>IFERROR(E52/E37,"")</f>
        <v/>
      </c>
      <c r="F53" s="105" t="str">
        <f t="shared" ref="F53:AN53" si="1">IFERROR(F52/F37,"")</f>
        <v/>
      </c>
      <c r="G53" s="105">
        <f t="shared" si="1"/>
        <v>-0.50517080199563702</v>
      </c>
      <c r="H53" s="105">
        <f t="shared" si="1"/>
        <v>-0.274309374211682</v>
      </c>
      <c r="I53" s="105">
        <f t="shared" si="1"/>
        <v>-9.6806722025531949E-2</v>
      </c>
      <c r="J53" s="105">
        <f t="shared" si="1"/>
        <v>9.3407352987497274E-3</v>
      </c>
      <c r="K53" s="105">
        <f t="shared" si="1"/>
        <v>8.5151724111340227E-2</v>
      </c>
      <c r="L53" s="105">
        <f t="shared" si="1"/>
        <v>0.13531174595397494</v>
      </c>
      <c r="M53" s="105">
        <f t="shared" si="1"/>
        <v>0.17747827138069683</v>
      </c>
      <c r="N53" s="105">
        <f t="shared" si="1"/>
        <v>0.21023175797634419</v>
      </c>
      <c r="O53" s="105">
        <f t="shared" si="1"/>
        <v>0.23896258886545541</v>
      </c>
      <c r="P53" s="105">
        <f t="shared" si="1"/>
        <v>0.26259587265088141</v>
      </c>
      <c r="Q53" s="105">
        <f t="shared" si="1"/>
        <v>0.24154790987733665</v>
      </c>
      <c r="R53" s="105">
        <f t="shared" si="1"/>
        <v>0.2573648250884627</v>
      </c>
      <c r="S53" s="105">
        <f t="shared" si="1"/>
        <v>0.27253267096049127</v>
      </c>
      <c r="T53" s="105">
        <f t="shared" si="1"/>
        <v>0.29410570865089392</v>
      </c>
      <c r="U53" s="105">
        <f t="shared" si="1"/>
        <v>0.29737296209788872</v>
      </c>
      <c r="V53" s="105">
        <f t="shared" si="1"/>
        <v>0.29979052872115924</v>
      </c>
      <c r="W53" s="105">
        <f t="shared" si="1"/>
        <v>0.30337812126981811</v>
      </c>
      <c r="X53" s="105">
        <f t="shared" si="1"/>
        <v>0.30686073852147894</v>
      </c>
      <c r="Y53" s="105">
        <f t="shared" si="1"/>
        <v>0.30882091569572151</v>
      </c>
      <c r="Z53" s="105">
        <f t="shared" si="1"/>
        <v>0.31115820648192527</v>
      </c>
      <c r="AA53" s="105">
        <f t="shared" si="1"/>
        <v>0.31336403836895743</v>
      </c>
      <c r="AB53" s="105">
        <f t="shared" si="1"/>
        <v>0.31548930464111696</v>
      </c>
      <c r="AC53" s="105">
        <f t="shared" si="1"/>
        <v>0.25558154647389614</v>
      </c>
      <c r="AD53" s="105">
        <f t="shared" si="1"/>
        <v>0.25703652143474165</v>
      </c>
      <c r="AE53" s="105">
        <f t="shared" si="1"/>
        <v>0.25837895856533921</v>
      </c>
      <c r="AF53" s="105">
        <f t="shared" si="1"/>
        <v>0.26012046856499427</v>
      </c>
      <c r="AG53" s="105">
        <f t="shared" si="1"/>
        <v>0.2615170785675518</v>
      </c>
      <c r="AH53" s="105">
        <f t="shared" si="1"/>
        <v>0.26335414216139369</v>
      </c>
      <c r="AI53" s="105">
        <f t="shared" si="1"/>
        <v>0.26526857733146308</v>
      </c>
      <c r="AJ53" s="105">
        <f t="shared" si="1"/>
        <v>0.26723003899490438</v>
      </c>
      <c r="AK53" s="105">
        <f t="shared" si="1"/>
        <v>0.26904120501043094</v>
      </c>
      <c r="AL53" s="105">
        <f t="shared" si="1"/>
        <v>0.27070324093860465</v>
      </c>
      <c r="AM53" s="105">
        <f t="shared" si="1"/>
        <v>0.2724931707704728</v>
      </c>
      <c r="AN53" s="105">
        <f t="shared" si="1"/>
        <v>0.27401893971931274</v>
      </c>
    </row>
    <row r="55" spans="2:40" x14ac:dyDescent="0.25">
      <c r="B55" t="s">
        <v>57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1411000</v>
      </c>
      <c r="D55" s="12">
        <f>C55-SUM(_xlfn.ANCHORARRAY(E55))</f>
        <v>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235166.66666666666</v>
      </c>
      <c r="F55" s="12">
        <v>235166.66666666666</v>
      </c>
      <c r="G55" s="12">
        <v>235166.66666666666</v>
      </c>
      <c r="H55" s="12">
        <v>235166.66666666666</v>
      </c>
      <c r="I55" s="12">
        <v>235166.66666666666</v>
      </c>
      <c r="J55" s="12">
        <v>235166.66666666666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</row>
    <row r="56" spans="2:40" x14ac:dyDescent="0.25">
      <c r="B56" t="s">
        <v>285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0</v>
      </c>
      <c r="F56" s="90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0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-48316.46536266667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-56513.219177333332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-72690.712425333302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-81965.853478666671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-90070.029701333304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-95863.135459999961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-102796.34685199996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-109729.55824400003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-116662.7696359999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-38086.373859999992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-45019.585251999983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-51952.796643999987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-58886.008035999999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-65819.219427999982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-72752.430819999994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-82076.211478359997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-89217.419212119989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-96358.626945879965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276</v>
      </c>
      <c r="E58" s="13">
        <f>E37-E50-E55+E56</f>
        <v>-386401.13666666666</v>
      </c>
      <c r="F58" s="13">
        <f t="shared" ref="F58:AN58" si="2">F37-F50-F55+F56</f>
        <v>-235166.66666666666</v>
      </c>
      <c r="G58" s="13">
        <f t="shared" si="2"/>
        <v>-318351.79996769433</v>
      </c>
      <c r="H58" s="13">
        <f t="shared" si="2"/>
        <v>-323292.65080985526</v>
      </c>
      <c r="I58" s="13">
        <f t="shared" si="2"/>
        <v>-323488.40623390872</v>
      </c>
      <c r="J58" s="13">
        <f t="shared" si="2"/>
        <v>-315192.5638497831</v>
      </c>
      <c r="K58" s="13">
        <f t="shared" si="2"/>
        <v>-68449.227039146106</v>
      </c>
      <c r="L58" s="13">
        <f t="shared" si="2"/>
        <v>-55251.9442428537</v>
      </c>
      <c r="M58" s="13">
        <f t="shared" si="2"/>
        <v>-41326.396573533391</v>
      </c>
      <c r="N58" s="13">
        <f t="shared" si="2"/>
        <v>-27198.16497988395</v>
      </c>
      <c r="O58" s="13">
        <f t="shared" si="2"/>
        <v>-11807.229158544185</v>
      </c>
      <c r="P58" s="13">
        <f t="shared" si="2"/>
        <v>89276.879864338553</v>
      </c>
      <c r="Q58" s="13">
        <f t="shared" si="2"/>
        <v>87149.33030298751</v>
      </c>
      <c r="R58" s="13">
        <f t="shared" si="2"/>
        <v>101123.37329180876</v>
      </c>
      <c r="S58" s="13">
        <f t="shared" si="2"/>
        <v>116186.48510830822</v>
      </c>
      <c r="T58" s="13">
        <f t="shared" si="2"/>
        <v>137113.39539670589</v>
      </c>
      <c r="U58" s="13">
        <f t="shared" si="2"/>
        <v>132434.58528217551</v>
      </c>
      <c r="V58" s="13">
        <f t="shared" si="2"/>
        <v>124778.92292938562</v>
      </c>
      <c r="W58" s="13">
        <f t="shared" si="2"/>
        <v>120113.15010018631</v>
      </c>
      <c r="X58" s="13">
        <f t="shared" si="2"/>
        <v>115374.94443175539</v>
      </c>
      <c r="Y58" s="13">
        <f t="shared" si="2"/>
        <v>109586.25678784143</v>
      </c>
      <c r="Z58" s="13">
        <f t="shared" si="2"/>
        <v>111198.98485431033</v>
      </c>
      <c r="AA58" s="13">
        <f t="shared" si="2"/>
        <v>112721.0064252364</v>
      </c>
      <c r="AB58" s="13">
        <f t="shared" si="2"/>
        <v>114187.43781069455</v>
      </c>
      <c r="AC58" s="13">
        <f t="shared" si="2"/>
        <v>72851.150701793187</v>
      </c>
      <c r="AD58" s="13">
        <f t="shared" si="2"/>
        <v>73855.081821196698</v>
      </c>
      <c r="AE58" s="13">
        <f t="shared" si="2"/>
        <v>74781.361961761068</v>
      </c>
      <c r="AF58" s="13">
        <f t="shared" si="2"/>
        <v>75983.001942142655</v>
      </c>
      <c r="AG58" s="13">
        <f t="shared" si="2"/>
        <v>76946.661304653549</v>
      </c>
      <c r="AH58" s="13">
        <f t="shared" si="2"/>
        <v>78214.233159711046</v>
      </c>
      <c r="AI58" s="13">
        <f t="shared" si="2"/>
        <v>79535.191317091507</v>
      </c>
      <c r="AJ58" s="13">
        <f t="shared" si="2"/>
        <v>80888.597703069026</v>
      </c>
      <c r="AK58" s="13">
        <f t="shared" si="2"/>
        <v>82138.300257631563</v>
      </c>
      <c r="AL58" s="13">
        <f t="shared" si="2"/>
        <v>83285.103216282252</v>
      </c>
      <c r="AM58" s="13">
        <f t="shared" si="2"/>
        <v>84520.152827525613</v>
      </c>
      <c r="AN58" s="13">
        <f t="shared" si="2"/>
        <v>85572.931720620705</v>
      </c>
    </row>
    <row r="59" spans="2:40" x14ac:dyDescent="0.25">
      <c r="B59" t="s">
        <v>277</v>
      </c>
      <c r="E59" s="12" cm="1">
        <f t="array" ref="E59:AN59">_xlfn.SCAN(-D55,E58:AN58,_xlfn.LAMBDA(_xlpm.capex,_xlpm.fcf,_xlpm.capex+_xlpm.fcf))</f>
        <v>-386401.13666666666</v>
      </c>
      <c r="F59" s="12">
        <v>-621567.80333333334</v>
      </c>
      <c r="G59" s="12">
        <v>-939919.60330102767</v>
      </c>
      <c r="H59" s="12">
        <v>-1263212.254110883</v>
      </c>
      <c r="I59" s="12">
        <v>-1586700.6603447916</v>
      </c>
      <c r="J59" s="12">
        <v>-1901893.2241945746</v>
      </c>
      <c r="K59" s="12">
        <v>-1970342.4512337206</v>
      </c>
      <c r="L59" s="12">
        <v>-2025594.3954765743</v>
      </c>
      <c r="M59" s="12">
        <v>-2066920.7920501076</v>
      </c>
      <c r="N59" s="12">
        <v>-2094118.9570299916</v>
      </c>
      <c r="O59" s="12">
        <v>-2105926.1861885358</v>
      </c>
      <c r="P59" s="12">
        <v>-2016649.3063241972</v>
      </c>
      <c r="Q59" s="12">
        <v>-1929499.9760212097</v>
      </c>
      <c r="R59" s="12">
        <v>-1828376.6027294011</v>
      </c>
      <c r="S59" s="12">
        <v>-1712190.1176210928</v>
      </c>
      <c r="T59" s="12">
        <v>-1575076.7222243869</v>
      </c>
      <c r="U59" s="12">
        <v>-1442642.1369422113</v>
      </c>
      <c r="V59" s="12">
        <v>-1317863.2140128256</v>
      </c>
      <c r="W59" s="12">
        <v>-1197750.0639126394</v>
      </c>
      <c r="X59" s="12">
        <v>-1082375.1194808839</v>
      </c>
      <c r="Y59" s="12">
        <v>-972788.86269304249</v>
      </c>
      <c r="Z59" s="12">
        <v>-861589.87783873221</v>
      </c>
      <c r="AA59" s="12">
        <v>-748868.87141349586</v>
      </c>
      <c r="AB59" s="12">
        <v>-634681.43360280129</v>
      </c>
      <c r="AC59" s="12">
        <v>-561830.28290100815</v>
      </c>
      <c r="AD59" s="12">
        <v>-487975.20107981144</v>
      </c>
      <c r="AE59" s="12">
        <v>-413193.83911805035</v>
      </c>
      <c r="AF59" s="12">
        <v>-337210.83717590768</v>
      </c>
      <c r="AG59" s="12">
        <v>-260264.17587125412</v>
      </c>
      <c r="AH59" s="12">
        <v>-182049.94271154306</v>
      </c>
      <c r="AI59" s="12">
        <v>-102514.75139445155</v>
      </c>
      <c r="AJ59" s="12">
        <v>-21626.153691382526</v>
      </c>
      <c r="AK59" s="12">
        <v>60512.146566249037</v>
      </c>
      <c r="AL59" s="12">
        <v>143797.24978253129</v>
      </c>
      <c r="AM59" s="12">
        <v>228317.40261005692</v>
      </c>
      <c r="AN59" s="12">
        <v>313890.33433067764</v>
      </c>
    </row>
    <row r="61" spans="2:40" x14ac:dyDescent="0.25">
      <c r="B61" s="1" t="s">
        <v>302</v>
      </c>
    </row>
    <row r="63" spans="2:40" x14ac:dyDescent="0.25">
      <c r="B63" s="39" t="s">
        <v>103</v>
      </c>
      <c r="E63" s="12" cm="1">
        <f t="array" ref="E63:AN63">_xlfn.LET(_xlpm.site,$B$1&amp;"-"&amp;$C$1,_xlpm.locations,Base!$D$4:$BD$4,_xlpm.rates,Base!$D$36:$BD$36,_xlpm.hours,Base!$D$79:$BD$79,_xlpm.comp,_xlpm.rates*_xlpm.hours,_xlpm.Customer,_xlfn.ANCHORARRAY($E$1),
_xlpm.Customer_comp,_xlfn.XLOOKUP(_xlpm.site,_xlpm.locations,_xlpm.comp,0,0),_xlpm.ann_incr,_xlfn.XLOOKUP(YEAR(_xlfn.ANCHORARRAY($E$25)),Base!$BJ$4:$BL$4,Base!$BJ$79:$BL$79,0,0),
_xlpm.bad_debt,_xlfn.XLOOKUP(_xlpm.site,_xlpm.locations,Base!$D$28:$BD$28,0,0),_xlpm.Customer_comp*_xlpm.Customer*_xlpm.bad_debt*_xlpm.ann_incr*(52/12)*(1-$C$35))</f>
        <v>0</v>
      </c>
      <c r="F63" s="12">
        <v>0</v>
      </c>
      <c r="G63" s="12">
        <v>2887.8263378764791</v>
      </c>
      <c r="H63" s="12">
        <v>5775.6526757529582</v>
      </c>
      <c r="I63" s="12">
        <v>8663.4790136294396</v>
      </c>
      <c r="J63" s="12">
        <v>11551.305351505916</v>
      </c>
      <c r="K63" s="12">
        <v>14439.131689382399</v>
      </c>
      <c r="L63" s="12">
        <v>17326.958027258879</v>
      </c>
      <c r="M63" s="12">
        <v>20214.784365135358</v>
      </c>
      <c r="N63" s="12">
        <v>23102.610703011833</v>
      </c>
      <c r="O63" s="12">
        <v>25990.437040888315</v>
      </c>
      <c r="P63" s="12">
        <v>28878.263378764797</v>
      </c>
      <c r="Q63" s="12">
        <v>32719.072408140517</v>
      </c>
      <c r="R63" s="12">
        <v>35693.533536153293</v>
      </c>
      <c r="S63" s="12">
        <v>38667.994664166064</v>
      </c>
      <c r="T63" s="12">
        <v>41642.455792178836</v>
      </c>
      <c r="U63" s="12">
        <v>41642.455792178836</v>
      </c>
      <c r="V63" s="12">
        <v>41642.455792178836</v>
      </c>
      <c r="W63" s="12">
        <v>41642.455792178836</v>
      </c>
      <c r="X63" s="12">
        <v>41642.455792178836</v>
      </c>
      <c r="Y63" s="12">
        <v>41642.455792178836</v>
      </c>
      <c r="Z63" s="12">
        <v>41642.455792178836</v>
      </c>
      <c r="AA63" s="12">
        <v>41642.455792178836</v>
      </c>
      <c r="AB63" s="12">
        <v>41642.455792178836</v>
      </c>
      <c r="AC63" s="12">
        <v>41642.455792178836</v>
      </c>
      <c r="AD63" s="12">
        <v>41642.455792178836</v>
      </c>
      <c r="AE63" s="12">
        <v>41642.455792178836</v>
      </c>
      <c r="AF63" s="12">
        <v>41642.455792178836</v>
      </c>
      <c r="AG63" s="12">
        <v>41642.455792178836</v>
      </c>
      <c r="AH63" s="12">
        <v>41642.455792178836</v>
      </c>
      <c r="AI63" s="12">
        <v>41642.455792178836</v>
      </c>
      <c r="AJ63" s="12">
        <v>41642.455792178836</v>
      </c>
      <c r="AK63" s="12">
        <v>41642.455792178836</v>
      </c>
      <c r="AL63" s="12">
        <v>41642.455792178836</v>
      </c>
      <c r="AM63" s="12">
        <v>41642.455792178836</v>
      </c>
      <c r="AN63" s="12">
        <v>41642.455792178836</v>
      </c>
    </row>
    <row r="64" spans="2:40" x14ac:dyDescent="0.25">
      <c r="B64" s="39" t="s">
        <v>104</v>
      </c>
      <c r="E64" s="12" cm="1">
        <f t="array" ref="E64:AN64">_xlfn.LET(_xlpm.site,$B$1&amp;"-"&amp;$C$1,_xlpm.locations,Base!$D$4:$BD$4,_xlpm.rates,Base!$D$37:$BD$37,_xlpm.hours,Base!$D$80:$BD$80,_xlpm.comp,_xlpm.rates*_xlpm.hours,_xlpm.Customer,_xlfn.ANCHORARRAY($E$1),
_xlpm.Customer_comp,_xlfn.XLOOKUP(_xlpm.site,_xlpm.locations,_xlpm.comp,0,0),_xlpm.ann_incr,_xlfn.XLOOKUP(YEAR(_xlfn.ANCHORARRAY($E$25)),Base!$BJ$4:$BL$4,Base!$BJ$80:$BL$80,0,0),
_xlpm.bad_debt,_xlfn.XLOOKUP(_xlpm.site,_xlpm.locations,Base!$D$28:$BD$28,0,0),_xlpm.Customer_comp*_xlpm.Customer*_xlpm.bad_debt*_xlpm.ann_incr*(52/12)*(1-$C$35))</f>
        <v>0</v>
      </c>
      <c r="F64" s="12">
        <v>0</v>
      </c>
      <c r="G64" s="12">
        <v>385.87127394816008</v>
      </c>
      <c r="H64" s="12">
        <v>771.74254789632016</v>
      </c>
      <c r="I64" s="12">
        <v>1157.6138218444801</v>
      </c>
      <c r="J64" s="12">
        <v>1543.4850957926403</v>
      </c>
      <c r="K64" s="12">
        <v>1929.3563697408006</v>
      </c>
      <c r="L64" s="12">
        <v>2315.2276436889601</v>
      </c>
      <c r="M64" s="12">
        <v>2701.0989176371204</v>
      </c>
      <c r="N64" s="12">
        <v>3086.9701915852806</v>
      </c>
      <c r="O64" s="12">
        <v>3472.8414655334409</v>
      </c>
      <c r="P64" s="12">
        <v>3858.7127394816011</v>
      </c>
      <c r="Q64" s="12">
        <v>4371.9215338326539</v>
      </c>
      <c r="R64" s="12">
        <v>4769.3689459992584</v>
      </c>
      <c r="S64" s="12">
        <v>5166.8163581658646</v>
      </c>
      <c r="T64" s="12">
        <v>5564.2637703324681</v>
      </c>
      <c r="U64" s="12">
        <v>5564.2637703324681</v>
      </c>
      <c r="V64" s="12">
        <v>5564.2637703324681</v>
      </c>
      <c r="W64" s="12">
        <v>5564.2637703324681</v>
      </c>
      <c r="X64" s="12">
        <v>5564.2637703324681</v>
      </c>
      <c r="Y64" s="12">
        <v>5564.2637703324681</v>
      </c>
      <c r="Z64" s="12">
        <v>5564.2637703324681</v>
      </c>
      <c r="AA64" s="12">
        <v>5564.2637703324681</v>
      </c>
      <c r="AB64" s="12">
        <v>5564.2637703324681</v>
      </c>
      <c r="AC64" s="12">
        <v>5564.2637703324681</v>
      </c>
      <c r="AD64" s="12">
        <v>5564.2637703324681</v>
      </c>
      <c r="AE64" s="12">
        <v>5564.2637703324681</v>
      </c>
      <c r="AF64" s="12">
        <v>5564.2637703324681</v>
      </c>
      <c r="AG64" s="12">
        <v>5564.2637703324681</v>
      </c>
      <c r="AH64" s="12">
        <v>5564.2637703324681</v>
      </c>
      <c r="AI64" s="12">
        <v>5564.2637703324681</v>
      </c>
      <c r="AJ64" s="12">
        <v>5564.2637703324681</v>
      </c>
      <c r="AK64" s="12">
        <v>5564.2637703324681</v>
      </c>
      <c r="AL64" s="12">
        <v>5564.2637703324681</v>
      </c>
      <c r="AM64" s="12">
        <v>5564.2637703324681</v>
      </c>
      <c r="AN64" s="12">
        <v>5564.2637703324681</v>
      </c>
    </row>
    <row r="65" spans="2:40" x14ac:dyDescent="0.25">
      <c r="B65" s="39" t="s">
        <v>56</v>
      </c>
      <c r="E65" s="12" cm="1">
        <f t="array" ref="E65:AN65">_xlfn.LET(_xlpm.site,$B$1&amp;"-"&amp;$C$1,_xlpm.locations,Base!$D$4:$BD$4,_xlpm.rates,Base!$D$39:$BD$39,_xlpm.hours,Base!$D$82:$BD$82,_xlpm.comp,_xlpm.rates*_xlpm.hours,_xlpm.Customer,_xlfn.ANCHORARRAY($E$1),
_xlpm.Customer_comp,_xlfn.XLOOKUP(_xlpm.site,_xlpm.locations,_xlpm.comp,0,0),_xlpm.ann_incr,_xlfn.XLOOKUP(YEAR(_xlfn.ANCHORARRAY($E$25)),Base!$BJ$4:$BL$4,Base!$BJ$82:$BL$82,0,0),
_xlpm.bad_debt,_xlfn.XLOOKUP(_xlpm.site,_xlpm.locations,Base!$D$28:$BD$28,0,0),_xlpm.Customer_comp*_xlpm.Customer*_xlpm.bad_debt*_xlpm.ann_incr*(52/12)*(1-$C$35))</f>
        <v>0</v>
      </c>
      <c r="F65" s="12">
        <v>0</v>
      </c>
      <c r="G65" s="12">
        <v>2346.7496455603195</v>
      </c>
      <c r="H65" s="12">
        <v>4693.4992911206391</v>
      </c>
      <c r="I65" s="12">
        <v>7040.2489366809596</v>
      </c>
      <c r="J65" s="12">
        <v>9386.9985822412782</v>
      </c>
      <c r="K65" s="12">
        <v>11733.7482278016</v>
      </c>
      <c r="L65" s="12">
        <v>14080.497873361919</v>
      </c>
      <c r="M65" s="12">
        <v>16427.247518922235</v>
      </c>
      <c r="N65" s="12">
        <v>18773.997164482556</v>
      </c>
      <c r="O65" s="12">
        <v>21120.746810042881</v>
      </c>
      <c r="P65" s="12">
        <v>23467.496455603199</v>
      </c>
      <c r="Q65" s="12">
        <v>26588.673484198422</v>
      </c>
      <c r="R65" s="12">
        <v>29005.82561912555</v>
      </c>
      <c r="S65" s="12">
        <v>31422.977754052685</v>
      </c>
      <c r="T65" s="12">
        <v>33840.129888979805</v>
      </c>
      <c r="U65" s="12">
        <v>33840.129888979805</v>
      </c>
      <c r="V65" s="12">
        <v>33840.129888979805</v>
      </c>
      <c r="W65" s="12">
        <v>33840.129888979805</v>
      </c>
      <c r="X65" s="12">
        <v>33840.129888979805</v>
      </c>
      <c r="Y65" s="12">
        <v>33840.129888979805</v>
      </c>
      <c r="Z65" s="12">
        <v>33840.129888979805</v>
      </c>
      <c r="AA65" s="12">
        <v>33840.129888979805</v>
      </c>
      <c r="AB65" s="12">
        <v>33840.129888979805</v>
      </c>
      <c r="AC65" s="12">
        <v>33840.129888979805</v>
      </c>
      <c r="AD65" s="12">
        <v>33840.129888979805</v>
      </c>
      <c r="AE65" s="12">
        <v>33840.129888979805</v>
      </c>
      <c r="AF65" s="12">
        <v>33840.129888979805</v>
      </c>
      <c r="AG65" s="12">
        <v>33840.129888979805</v>
      </c>
      <c r="AH65" s="12">
        <v>33840.129888979805</v>
      </c>
      <c r="AI65" s="12">
        <v>33840.129888979805</v>
      </c>
      <c r="AJ65" s="12">
        <v>33840.129888979805</v>
      </c>
      <c r="AK65" s="12">
        <v>33840.129888979805</v>
      </c>
      <c r="AL65" s="12">
        <v>33840.129888979805</v>
      </c>
      <c r="AM65" s="12">
        <v>33840.129888979805</v>
      </c>
      <c r="AN65" s="12">
        <v>33840.129888979805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303</v>
      </c>
      <c r="C67" s="12"/>
      <c r="E67" s="13" cm="1">
        <f t="array" ref="E67:AN67">_xlfn.BYCOL(_xlfn.VSTACK(_xlfn.ANCHORARRAY($E$63),_xlfn.ANCHORARRAY($E$64),_xlfn.ANCHORARRAY($E$65)),_xlfn.LAMBDA(_xlpm.a,SUM(_xlpm.a)))</f>
        <v>0</v>
      </c>
      <c r="F67" s="13">
        <v>0</v>
      </c>
      <c r="G67" s="13">
        <v>5620.4472573849589</v>
      </c>
      <c r="H67" s="13">
        <v>11240.894514769918</v>
      </c>
      <c r="I67" s="13">
        <v>16861.341772154879</v>
      </c>
      <c r="J67" s="13">
        <v>22481.789029539836</v>
      </c>
      <c r="K67" s="13">
        <v>28102.236286924799</v>
      </c>
      <c r="L67" s="13">
        <v>33722.683544309759</v>
      </c>
      <c r="M67" s="13">
        <v>39343.130801694715</v>
      </c>
      <c r="N67" s="13">
        <v>44963.578059079671</v>
      </c>
      <c r="O67" s="13">
        <v>50584.025316464642</v>
      </c>
      <c r="P67" s="13">
        <v>56204.472573849598</v>
      </c>
      <c r="Q67" s="13">
        <v>63679.667426171589</v>
      </c>
      <c r="R67" s="13">
        <v>69468.728101278102</v>
      </c>
      <c r="S67" s="13">
        <v>75257.788776384608</v>
      </c>
      <c r="T67" s="13">
        <v>81046.849451491114</v>
      </c>
      <c r="U67" s="13">
        <v>81046.849451491114</v>
      </c>
      <c r="V67" s="13">
        <v>81046.849451491114</v>
      </c>
      <c r="W67" s="13">
        <v>81046.849451491114</v>
      </c>
      <c r="X67" s="13">
        <v>81046.849451491114</v>
      </c>
      <c r="Y67" s="13">
        <v>81046.849451491114</v>
      </c>
      <c r="Z67" s="13">
        <v>81046.849451491114</v>
      </c>
      <c r="AA67" s="13">
        <v>81046.849451491114</v>
      </c>
      <c r="AB67" s="13">
        <v>81046.849451491114</v>
      </c>
      <c r="AC67" s="13">
        <v>81046.849451491114</v>
      </c>
      <c r="AD67" s="13">
        <v>81046.849451491114</v>
      </c>
      <c r="AE67" s="13">
        <v>81046.849451491114</v>
      </c>
      <c r="AF67" s="13">
        <v>81046.849451491114</v>
      </c>
      <c r="AG67" s="13">
        <v>81046.849451491114</v>
      </c>
      <c r="AH67" s="13">
        <v>81046.849451491114</v>
      </c>
      <c r="AI67" s="13">
        <v>81046.849451491114</v>
      </c>
      <c r="AJ67" s="13">
        <v>81046.849451491114</v>
      </c>
      <c r="AK67" s="13">
        <v>81046.849451491114</v>
      </c>
      <c r="AL67" s="13">
        <v>81046.849451491114</v>
      </c>
      <c r="AM67" s="13">
        <v>81046.849451491114</v>
      </c>
      <c r="AN67" s="13">
        <v>81046.849451491114</v>
      </c>
    </row>
    <row r="68" spans="2:40" x14ac:dyDescent="0.25">
      <c r="B68" s="39"/>
      <c r="C68" s="12"/>
    </row>
    <row r="69" spans="2:40" x14ac:dyDescent="0.25">
      <c r="B69" s="39" t="s">
        <v>304</v>
      </c>
      <c r="C69" s="12"/>
      <c r="E69" s="106" cm="1">
        <f t="array" ref="E69:AN70">_xlfn.LET(_xlpm.Customer_staff,_xlfn._xlws.FILTER(Base!$D$96:$BD$97,ISNUMBER(SEARCH($B$1&amp;"-"&amp;$C$1,Base!$D$4:$BD$4))),_xlpm.Customer,_xlfn.ANCHORARRAY($E$1),_xlpm.headcount,_xlpm.Customer/_xlpm.Customer_staff,
_xlpm.rounding,_xlfn.VSTACK(0,0),IFERROR(ROUND(_xlpm.headcount,_xlpm.rounding),0))</f>
        <v>0</v>
      </c>
      <c r="F69" s="106">
        <v>0</v>
      </c>
      <c r="G69" s="106">
        <v>0</v>
      </c>
      <c r="H69" s="106">
        <v>0</v>
      </c>
      <c r="I69" s="106">
        <v>0</v>
      </c>
      <c r="J69" s="106">
        <v>0</v>
      </c>
      <c r="K69" s="106">
        <v>0</v>
      </c>
      <c r="L69" s="106">
        <v>0</v>
      </c>
      <c r="M69" s="106">
        <v>1</v>
      </c>
      <c r="N69" s="106">
        <v>1</v>
      </c>
      <c r="O69" s="106">
        <v>1</v>
      </c>
      <c r="P69" s="106">
        <v>1</v>
      </c>
      <c r="Q69" s="106">
        <v>1</v>
      </c>
      <c r="R69" s="106">
        <v>1</v>
      </c>
      <c r="S69" s="106">
        <v>1</v>
      </c>
      <c r="T69" s="106">
        <v>1</v>
      </c>
      <c r="U69" s="106">
        <v>1</v>
      </c>
      <c r="V69" s="106">
        <v>1</v>
      </c>
      <c r="W69" s="106">
        <v>1</v>
      </c>
      <c r="X69" s="106">
        <v>1</v>
      </c>
      <c r="Y69" s="106">
        <v>1</v>
      </c>
      <c r="Z69" s="106">
        <v>1</v>
      </c>
      <c r="AA69" s="106">
        <v>1</v>
      </c>
      <c r="AB69" s="106">
        <v>1</v>
      </c>
      <c r="AC69" s="106">
        <v>1</v>
      </c>
      <c r="AD69" s="106">
        <v>1</v>
      </c>
      <c r="AE69" s="106">
        <v>1</v>
      </c>
      <c r="AF69" s="106">
        <v>1</v>
      </c>
      <c r="AG69" s="106">
        <v>1</v>
      </c>
      <c r="AH69" s="106">
        <v>1</v>
      </c>
      <c r="AI69" s="106">
        <v>1</v>
      </c>
      <c r="AJ69" s="106">
        <v>1</v>
      </c>
      <c r="AK69" s="106">
        <v>1</v>
      </c>
      <c r="AL69" s="106">
        <v>1</v>
      </c>
      <c r="AM69" s="106">
        <v>1</v>
      </c>
      <c r="AN69" s="106">
        <v>1</v>
      </c>
    </row>
    <row r="70" spans="2:40" x14ac:dyDescent="0.25">
      <c r="B70" s="39" t="s">
        <v>305</v>
      </c>
      <c r="C70" s="12"/>
      <c r="E70" s="106">
        <v>0</v>
      </c>
      <c r="F70" s="106">
        <v>0</v>
      </c>
      <c r="G70" s="106">
        <v>0</v>
      </c>
      <c r="H70" s="106">
        <v>0</v>
      </c>
      <c r="I70" s="106">
        <v>0</v>
      </c>
      <c r="J70" s="106">
        <v>0</v>
      </c>
      <c r="K70" s="106">
        <v>0</v>
      </c>
      <c r="L70" s="106">
        <v>0</v>
      </c>
      <c r="M70" s="106">
        <v>0</v>
      </c>
      <c r="N70" s="106">
        <v>1</v>
      </c>
      <c r="O70" s="106">
        <v>1</v>
      </c>
      <c r="P70" s="106">
        <v>1</v>
      </c>
      <c r="Q70" s="106">
        <v>1</v>
      </c>
      <c r="R70" s="106">
        <v>1</v>
      </c>
      <c r="S70" s="106">
        <v>1</v>
      </c>
      <c r="T70" s="106">
        <v>1</v>
      </c>
      <c r="U70" s="106">
        <v>1</v>
      </c>
      <c r="V70" s="106">
        <v>1</v>
      </c>
      <c r="W70" s="106">
        <v>1</v>
      </c>
      <c r="X70" s="106">
        <v>1</v>
      </c>
      <c r="Y70" s="106">
        <v>1</v>
      </c>
      <c r="Z70" s="106">
        <v>1</v>
      </c>
      <c r="AA70" s="106">
        <v>1</v>
      </c>
      <c r="AB70" s="106">
        <v>1</v>
      </c>
      <c r="AC70" s="106">
        <v>1</v>
      </c>
      <c r="AD70" s="106">
        <v>1</v>
      </c>
      <c r="AE70" s="106">
        <v>1</v>
      </c>
      <c r="AF70" s="106">
        <v>1</v>
      </c>
      <c r="AG70" s="106">
        <v>1</v>
      </c>
      <c r="AH70" s="106">
        <v>1</v>
      </c>
      <c r="AI70" s="106">
        <v>1</v>
      </c>
      <c r="AJ70" s="106">
        <v>1</v>
      </c>
      <c r="AK70" s="106">
        <v>1</v>
      </c>
      <c r="AL70" s="106">
        <v>1</v>
      </c>
      <c r="AM70" s="106">
        <v>1</v>
      </c>
      <c r="AN70" s="106">
        <v>1</v>
      </c>
    </row>
    <row r="71" spans="2:40" x14ac:dyDescent="0.25">
      <c r="B71" s="39"/>
      <c r="C71" s="12"/>
    </row>
    <row r="72" spans="2:40" x14ac:dyDescent="0.25">
      <c r="B72" s="39" t="s">
        <v>23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0</v>
      </c>
      <c r="F72" s="12">
        <v>0</v>
      </c>
      <c r="G72" s="12">
        <v>629.35619066995855</v>
      </c>
      <c r="H72" s="12">
        <v>1258.7123813399171</v>
      </c>
      <c r="I72" s="12">
        <v>1888.0685720098741</v>
      </c>
      <c r="J72" s="12">
        <v>2517.4247626798342</v>
      </c>
      <c r="K72" s="12">
        <v>3146.7809533497898</v>
      </c>
      <c r="L72" s="12">
        <v>3776.1371440197481</v>
      </c>
      <c r="M72" s="12">
        <v>18209.493334689705</v>
      </c>
      <c r="N72" s="12">
        <v>32642.849525359663</v>
      </c>
      <c r="O72" s="12">
        <v>33272.205716029617</v>
      </c>
      <c r="P72" s="12">
        <v>33901.561906699579</v>
      </c>
      <c r="Q72" s="12">
        <v>37984.009907106498</v>
      </c>
      <c r="R72" s="12">
        <v>38676.301716843453</v>
      </c>
      <c r="S72" s="12">
        <v>39368.5935265804</v>
      </c>
      <c r="T72" s="12">
        <v>40060.885336317362</v>
      </c>
      <c r="U72" s="12">
        <v>40060.885336317362</v>
      </c>
      <c r="V72" s="12">
        <v>40060.885336317362</v>
      </c>
      <c r="W72" s="12">
        <v>40060.885336317362</v>
      </c>
      <c r="X72" s="12">
        <v>40060.885336317362</v>
      </c>
      <c r="Y72" s="12">
        <v>40060.885336317362</v>
      </c>
      <c r="Z72" s="12">
        <v>40060.885336317362</v>
      </c>
      <c r="AA72" s="12">
        <v>40060.885336317362</v>
      </c>
      <c r="AB72" s="12">
        <v>40060.885336317362</v>
      </c>
      <c r="AC72" s="12">
        <v>44066.973869949092</v>
      </c>
      <c r="AD72" s="12">
        <v>44066.973869949092</v>
      </c>
      <c r="AE72" s="12">
        <v>44066.973869949092</v>
      </c>
      <c r="AF72" s="12">
        <v>44066.973869949092</v>
      </c>
      <c r="AG72" s="12">
        <v>44066.973869949092</v>
      </c>
      <c r="AH72" s="12">
        <v>44066.973869949092</v>
      </c>
      <c r="AI72" s="12">
        <v>44066.973869949092</v>
      </c>
      <c r="AJ72" s="12">
        <v>44066.973869949092</v>
      </c>
      <c r="AK72" s="12">
        <v>44066.973869949092</v>
      </c>
      <c r="AL72" s="12">
        <v>44066.973869949092</v>
      </c>
      <c r="AM72" s="12">
        <v>44066.973869949092</v>
      </c>
      <c r="AN72" s="12">
        <v>44066.973869949092</v>
      </c>
    </row>
    <row r="73" spans="2:40" x14ac:dyDescent="0.25">
      <c r="B73" s="39" t="s">
        <v>24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306</v>
      </c>
      <c r="E75" s="74" cm="1">
        <f t="array" ref="E75:AN75">_xlfn.ANCHORARRAY(E67)-_xlfn.ANCHORARRAY(E72)-_xlfn.ANCHORARRAY(E73)</f>
        <v>0</v>
      </c>
      <c r="F75" s="74">
        <v>0</v>
      </c>
      <c r="G75" s="74">
        <v>4991.0910667150001</v>
      </c>
      <c r="H75" s="74">
        <v>9982.1821334300002</v>
      </c>
      <c r="I75" s="74">
        <v>14973.273200145006</v>
      </c>
      <c r="J75" s="74">
        <v>19964.36426686</v>
      </c>
      <c r="K75" s="74">
        <v>24955.45533357501</v>
      </c>
      <c r="L75" s="74">
        <v>29946.546400290012</v>
      </c>
      <c r="M75" s="74">
        <v>21133.63746700501</v>
      </c>
      <c r="N75" s="74">
        <v>12320.728533720008</v>
      </c>
      <c r="O75" s="74">
        <v>17311.819600435025</v>
      </c>
      <c r="P75" s="74">
        <v>22302.910667150019</v>
      </c>
      <c r="Q75" s="74">
        <v>25695.657519065091</v>
      </c>
      <c r="R75" s="74">
        <v>30792.42638443465</v>
      </c>
      <c r="S75" s="74">
        <v>35889.195249804208</v>
      </c>
      <c r="T75" s="74">
        <v>40985.964115173752</v>
      </c>
      <c r="U75" s="74">
        <v>40985.964115173752</v>
      </c>
      <c r="V75" s="74">
        <v>40985.964115173752</v>
      </c>
      <c r="W75" s="74">
        <v>40985.964115173752</v>
      </c>
      <c r="X75" s="74">
        <v>40985.964115173752</v>
      </c>
      <c r="Y75" s="74">
        <v>40985.964115173752</v>
      </c>
      <c r="Z75" s="74">
        <v>40985.964115173752</v>
      </c>
      <c r="AA75" s="74">
        <v>40985.964115173752</v>
      </c>
      <c r="AB75" s="74">
        <v>40985.964115173752</v>
      </c>
      <c r="AC75" s="74">
        <v>36979.875581542023</v>
      </c>
      <c r="AD75" s="74">
        <v>36979.875581542023</v>
      </c>
      <c r="AE75" s="74">
        <v>36979.875581542023</v>
      </c>
      <c r="AF75" s="74">
        <v>36979.875581542023</v>
      </c>
      <c r="AG75" s="74">
        <v>36979.875581542023</v>
      </c>
      <c r="AH75" s="74">
        <v>36979.875581542023</v>
      </c>
      <c r="AI75" s="74">
        <v>36979.875581542023</v>
      </c>
      <c r="AJ75" s="74">
        <v>36979.875581542023</v>
      </c>
      <c r="AK75" s="74">
        <v>36979.875581542023</v>
      </c>
      <c r="AL75" s="74">
        <v>36979.875581542023</v>
      </c>
      <c r="AM75" s="74">
        <v>36979.875581542023</v>
      </c>
      <c r="AN75" s="74">
        <v>36979.875581542023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FFDC90-E8BE-4518-916B-9914956D634E}">
  <dimension ref="A1:AX75"/>
  <sheetViews>
    <sheetView workbookViewId="0">
      <pane xSplit="4" ySplit="25" topLeftCell="E26" activePane="bottomRight" state="frozen"/>
      <selection activeCell="E63" sqref="E63:E65"/>
      <selection pane="topRight" activeCell="E63" sqref="E63:E65"/>
      <selection pane="bottomLeft" activeCell="E63" sqref="E63:E65"/>
      <selection pane="bottomRight" activeCell="E63" sqref="E63:E65"/>
    </sheetView>
  </sheetViews>
  <sheetFormatPr defaultRowHeight="15" outlineLevelRow="1" x14ac:dyDescent="0.25"/>
  <cols>
    <col min="2" max="2" width="24.5703125" bestFit="1" customWidth="1"/>
    <col min="3" max="3" width="11.5703125" bestFit="1" customWidth="1"/>
    <col min="4" max="4" width="10" bestFit="1" customWidth="1"/>
    <col min="5" max="5" width="11.42578125" bestFit="1" customWidth="1"/>
    <col min="6" max="6" width="11.7109375" bestFit="1" customWidth="1"/>
    <col min="7" max="13" width="12.28515625" bestFit="1" customWidth="1"/>
    <col min="14" max="18" width="11.5703125" bestFit="1" customWidth="1"/>
    <col min="19" max="40" width="12.5703125" bestFit="1" customWidth="1"/>
  </cols>
  <sheetData>
    <row r="1" spans="1:40" x14ac:dyDescent="0.25">
      <c r="A1" s="96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>2026</v>
      </c>
      <c r="B1" s="58" t="s">
        <v>429</v>
      </c>
      <c r="C1" s="16" t="s">
        <v>61</v>
      </c>
      <c r="D1" s="3" t="s">
        <v>307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IFERROR(_xlpm.kiddos,0))</f>
        <v>0</v>
      </c>
      <c r="F1" s="69">
        <v>0</v>
      </c>
      <c r="G1" s="69">
        <v>0</v>
      </c>
      <c r="H1" s="69">
        <v>0</v>
      </c>
      <c r="I1" s="69">
        <v>0</v>
      </c>
      <c r="J1" s="69">
        <v>0</v>
      </c>
      <c r="K1" s="69">
        <v>0</v>
      </c>
      <c r="L1" s="69">
        <v>0</v>
      </c>
      <c r="M1" s="69">
        <v>0</v>
      </c>
      <c r="N1" s="69">
        <v>0</v>
      </c>
      <c r="O1" s="69">
        <v>3</v>
      </c>
      <c r="P1" s="69">
        <v>6</v>
      </c>
      <c r="Q1" s="69">
        <v>9</v>
      </c>
      <c r="R1" s="69">
        <v>12</v>
      </c>
      <c r="S1" s="69">
        <v>15</v>
      </c>
      <c r="T1" s="69">
        <v>18</v>
      </c>
      <c r="U1" s="69">
        <v>21</v>
      </c>
      <c r="V1" s="69">
        <v>24</v>
      </c>
      <c r="W1" s="69">
        <v>27</v>
      </c>
      <c r="X1" s="69">
        <v>30</v>
      </c>
      <c r="Y1" s="69">
        <v>33</v>
      </c>
      <c r="Z1" s="69">
        <v>36</v>
      </c>
      <c r="AA1" s="69">
        <v>39</v>
      </c>
      <c r="AB1" s="69">
        <v>42</v>
      </c>
      <c r="AC1" s="69">
        <v>42</v>
      </c>
      <c r="AD1" s="69">
        <v>42</v>
      </c>
      <c r="AE1" s="69">
        <v>42</v>
      </c>
      <c r="AF1" s="69">
        <v>42</v>
      </c>
      <c r="AG1" s="69">
        <v>42</v>
      </c>
      <c r="AH1" s="69">
        <v>42</v>
      </c>
      <c r="AI1" s="69">
        <v>42</v>
      </c>
      <c r="AJ1" s="69">
        <v>42</v>
      </c>
      <c r="AK1" s="69">
        <v>42</v>
      </c>
      <c r="AL1" s="69">
        <v>42</v>
      </c>
      <c r="AM1" s="69">
        <v>42</v>
      </c>
      <c r="AN1" s="69">
        <v>42</v>
      </c>
    </row>
    <row r="2" spans="1:40" x14ac:dyDescent="0.25">
      <c r="A2" s="65"/>
      <c r="B2" s="3" t="str">
        <f>_xlfn.XLOOKUP($B$1&amp;"-"&amp;$C$1,Base!$D$4:$BD$4,Base!$D$2:$BD$2,"",0)</f>
        <v>New Jersey</v>
      </c>
      <c r="C2" s="55"/>
      <c r="D2" s="55" t="s">
        <v>259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0</v>
      </c>
      <c r="F2" s="69">
        <v>0</v>
      </c>
      <c r="G2" s="69">
        <v>0</v>
      </c>
      <c r="H2" s="69">
        <v>0</v>
      </c>
      <c r="I2" s="69">
        <v>0</v>
      </c>
      <c r="J2" s="69">
        <v>0</v>
      </c>
      <c r="K2" s="69">
        <v>0</v>
      </c>
      <c r="L2" s="69">
        <v>0</v>
      </c>
      <c r="M2" s="69">
        <v>0</v>
      </c>
      <c r="N2" s="69">
        <v>0</v>
      </c>
      <c r="O2" s="69">
        <v>0</v>
      </c>
      <c r="P2" s="69">
        <v>3.1666666666666665</v>
      </c>
      <c r="Q2" s="69">
        <v>3.3333333333333335</v>
      </c>
      <c r="R2" s="69">
        <v>3.5</v>
      </c>
      <c r="S2" s="69">
        <v>3.6666666666666665</v>
      </c>
      <c r="T2" s="69">
        <v>3.8333333333333335</v>
      </c>
      <c r="U2" s="69">
        <v>4</v>
      </c>
      <c r="V2" s="69">
        <v>4.166666666666667</v>
      </c>
      <c r="W2" s="69">
        <v>4.333333333333333</v>
      </c>
      <c r="X2" s="69">
        <v>4.5</v>
      </c>
      <c r="Y2" s="69">
        <v>4.666666666666667</v>
      </c>
      <c r="Z2" s="69">
        <v>4.833333333333333</v>
      </c>
      <c r="AA2" s="69">
        <v>5</v>
      </c>
      <c r="AB2" s="69">
        <v>2.1666666666666665</v>
      </c>
      <c r="AC2" s="69">
        <v>2.3333333333333335</v>
      </c>
      <c r="AD2" s="69">
        <v>2.5</v>
      </c>
      <c r="AE2" s="69">
        <v>2.6666666666666665</v>
      </c>
      <c r="AF2" s="69">
        <v>2.8333333333333335</v>
      </c>
      <c r="AG2" s="69">
        <v>3</v>
      </c>
      <c r="AH2" s="69">
        <v>3.1666666666666665</v>
      </c>
      <c r="AI2" s="69">
        <v>3.3333333333333335</v>
      </c>
      <c r="AJ2" s="69">
        <v>3.5</v>
      </c>
      <c r="AK2" s="69">
        <v>3.6666666666666665</v>
      </c>
      <c r="AL2" s="69">
        <v>3.8333333333333335</v>
      </c>
      <c r="AM2" s="69">
        <v>4</v>
      </c>
      <c r="AN2" s="69">
        <v>4</v>
      </c>
    </row>
    <row r="3" spans="1:40" x14ac:dyDescent="0.25">
      <c r="A3" s="65"/>
      <c r="B3" s="55"/>
      <c r="C3" s="55"/>
      <c r="D3" s="55" t="s">
        <v>62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_xlpm.months_since,DATEDIF(_xlpm.launchdate,_xlfn.ANCHORARRAY($E$25),"m"),_xlfn.BYCOL(_xlpm.months_since,_xlfn.LAMBDA(_xlpm.a,IFERROR(MIN(_xlpm.a/6,_xlpm.max_kiddos),0))))</f>
        <v>0</v>
      </c>
      <c r="F3" s="69">
        <v>0</v>
      </c>
      <c r="G3" s="69">
        <v>0</v>
      </c>
      <c r="H3" s="69">
        <v>0</v>
      </c>
      <c r="I3" s="69">
        <v>0</v>
      </c>
      <c r="J3" s="69">
        <v>0</v>
      </c>
      <c r="K3" s="69">
        <v>0</v>
      </c>
      <c r="L3" s="69">
        <v>0</v>
      </c>
      <c r="M3" s="69">
        <v>0</v>
      </c>
      <c r="N3" s="69">
        <v>0</v>
      </c>
      <c r="O3" s="69">
        <v>0</v>
      </c>
      <c r="P3" s="69">
        <v>0.16666666666666666</v>
      </c>
      <c r="Q3" s="69">
        <v>0.33333333333333331</v>
      </c>
      <c r="R3" s="69">
        <v>0.5</v>
      </c>
      <c r="S3" s="69">
        <v>0.66666666666666663</v>
      </c>
      <c r="T3" s="69">
        <v>0.83333333333333337</v>
      </c>
      <c r="U3" s="69">
        <v>1</v>
      </c>
      <c r="V3" s="69">
        <v>1.1666666666666667</v>
      </c>
      <c r="W3" s="69">
        <v>1.3333333333333333</v>
      </c>
      <c r="X3" s="69">
        <v>1.5</v>
      </c>
      <c r="Y3" s="69">
        <v>1.6666666666666667</v>
      </c>
      <c r="Z3" s="69">
        <v>1.8333333333333333</v>
      </c>
      <c r="AA3" s="69">
        <v>2</v>
      </c>
      <c r="AB3" s="69">
        <v>2.1666666666666665</v>
      </c>
      <c r="AC3" s="69">
        <v>2.3333333333333335</v>
      </c>
      <c r="AD3" s="69">
        <v>2.5</v>
      </c>
      <c r="AE3" s="69">
        <v>2.6666666666666665</v>
      </c>
      <c r="AF3" s="69">
        <v>2.8333333333333335</v>
      </c>
      <c r="AG3" s="69">
        <v>3</v>
      </c>
      <c r="AH3" s="69">
        <v>3.1666666666666665</v>
      </c>
      <c r="AI3" s="69">
        <v>3.3333333333333335</v>
      </c>
      <c r="AJ3" s="69">
        <v>3.5</v>
      </c>
      <c r="AK3" s="69">
        <v>3.6666666666666665</v>
      </c>
      <c r="AL3" s="69">
        <v>3.8333333333333335</v>
      </c>
      <c r="AM3" s="69">
        <v>4</v>
      </c>
      <c r="AN3" s="69">
        <v>4</v>
      </c>
    </row>
    <row r="4" spans="1:40" x14ac:dyDescent="0.25">
      <c r="A4" s="65"/>
      <c r="B4" s="55"/>
      <c r="C4" s="55"/>
      <c r="D4" s="55" t="s">
        <v>260</v>
      </c>
      <c r="E4" s="69" cm="1">
        <f t="array" ref="E4:AN4">_xlfn.BYCOL(_xlfn.VSTACK(_xlfn.ANCHORARRAY($E$1),_xlfn.ANCHORARRAY($E$2)),_xlfn.LAMBDA(_xlpm.a,SUM(_xlpm.a)))</f>
        <v>0</v>
      </c>
      <c r="F4" s="69">
        <v>0</v>
      </c>
      <c r="G4" s="69">
        <v>0</v>
      </c>
      <c r="H4" s="69">
        <v>0</v>
      </c>
      <c r="I4" s="69">
        <v>0</v>
      </c>
      <c r="J4" s="69">
        <v>0</v>
      </c>
      <c r="K4" s="69">
        <v>0</v>
      </c>
      <c r="L4" s="69">
        <v>0</v>
      </c>
      <c r="M4" s="69">
        <v>0</v>
      </c>
      <c r="N4" s="69">
        <v>0</v>
      </c>
      <c r="O4" s="69">
        <v>3</v>
      </c>
      <c r="P4" s="69">
        <v>9.1666666666666661</v>
      </c>
      <c r="Q4" s="69">
        <v>12.333333333333334</v>
      </c>
      <c r="R4" s="69">
        <v>15.5</v>
      </c>
      <c r="S4" s="69">
        <v>18.666666666666668</v>
      </c>
      <c r="T4" s="69">
        <v>21.833333333333332</v>
      </c>
      <c r="U4" s="69">
        <v>25</v>
      </c>
      <c r="V4" s="69">
        <v>28.166666666666668</v>
      </c>
      <c r="W4" s="69">
        <v>31.333333333333332</v>
      </c>
      <c r="X4" s="69">
        <v>34.5</v>
      </c>
      <c r="Y4" s="69">
        <v>37.666666666666664</v>
      </c>
      <c r="Z4" s="69">
        <v>40.833333333333336</v>
      </c>
      <c r="AA4" s="69">
        <v>44</v>
      </c>
      <c r="AB4" s="69">
        <v>44.166666666666664</v>
      </c>
      <c r="AC4" s="69">
        <v>44.333333333333336</v>
      </c>
      <c r="AD4" s="69">
        <v>44.5</v>
      </c>
      <c r="AE4" s="69">
        <v>44.666666666666664</v>
      </c>
      <c r="AF4" s="69">
        <v>44.833333333333336</v>
      </c>
      <c r="AG4" s="69">
        <v>45</v>
      </c>
      <c r="AH4" s="69">
        <v>45.166666666666664</v>
      </c>
      <c r="AI4" s="69">
        <v>45.333333333333336</v>
      </c>
      <c r="AJ4" s="69">
        <v>45.5</v>
      </c>
      <c r="AK4" s="69">
        <v>45.666666666666664</v>
      </c>
      <c r="AL4" s="69">
        <v>45.833333333333336</v>
      </c>
      <c r="AM4" s="69">
        <v>46</v>
      </c>
      <c r="AN4" s="69">
        <v>46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107</v>
      </c>
      <c r="C6" s="3"/>
      <c r="D6" s="3"/>
      <c r="E6" s="66" cm="1">
        <f t="array" ref="E6:AN6">ROUND(_xlfn.BYCOL(_xlfn.ANCHORARRAY(E7),_xlfn.LAMBDA(_xlpm.a,SUM(_xlpm.a))),0)</f>
        <v>0</v>
      </c>
      <c r="F6" s="66">
        <v>0</v>
      </c>
      <c r="G6" s="66">
        <v>0</v>
      </c>
      <c r="H6" s="66">
        <v>0</v>
      </c>
      <c r="I6" s="66">
        <v>0</v>
      </c>
      <c r="J6" s="66">
        <v>0</v>
      </c>
      <c r="K6" s="66">
        <v>0</v>
      </c>
      <c r="L6" s="66">
        <v>0</v>
      </c>
      <c r="M6" s="66">
        <v>0</v>
      </c>
      <c r="N6" s="66">
        <v>0</v>
      </c>
      <c r="O6" s="66">
        <v>6</v>
      </c>
      <c r="P6" s="66">
        <v>11</v>
      </c>
      <c r="Q6" s="66">
        <v>15</v>
      </c>
      <c r="R6" s="66">
        <v>18</v>
      </c>
      <c r="S6" s="66">
        <v>22</v>
      </c>
      <c r="T6" s="66">
        <v>26</v>
      </c>
      <c r="U6" s="66">
        <v>29</v>
      </c>
      <c r="V6" s="66">
        <v>33</v>
      </c>
      <c r="W6" s="66">
        <v>37</v>
      </c>
      <c r="X6" s="66">
        <v>40</v>
      </c>
      <c r="Y6" s="66">
        <v>44</v>
      </c>
      <c r="Z6" s="66">
        <v>47</v>
      </c>
      <c r="AA6" s="66">
        <v>51</v>
      </c>
      <c r="AB6" s="66">
        <v>54</v>
      </c>
      <c r="AC6" s="66">
        <v>54</v>
      </c>
      <c r="AD6" s="66">
        <v>54</v>
      </c>
      <c r="AE6" s="66">
        <v>54</v>
      </c>
      <c r="AF6" s="66">
        <v>54</v>
      </c>
      <c r="AG6" s="66">
        <v>54</v>
      </c>
      <c r="AH6" s="66">
        <v>54</v>
      </c>
      <c r="AI6" s="66">
        <v>54</v>
      </c>
      <c r="AJ6" s="66">
        <v>54</v>
      </c>
      <c r="AK6" s="66">
        <v>54</v>
      </c>
      <c r="AL6" s="66">
        <v>54</v>
      </c>
      <c r="AM6" s="66">
        <v>54</v>
      </c>
      <c r="AN6" s="66">
        <v>54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1"/>
      <c r="E7" s="106" cm="1">
        <f t="array" ref="E7:AN20">_xlfn.LET(_xlpm.Customer_staff,_xlfn._xlws.FILTER(Base!$D$85:$BD$98,ISNUMBER(SEARCH($B$1&amp;"-"&amp;$C$1,Base!$D$4:$BD$4))),_xlpm.Customer,_xlfn.ANCHORARRAY($E$1),_xlpm.headcount,_xlpm.Customer/_xlpm.Customer_staff,
_xlpm.patient_staff,_xlfn.ANCHORARRAY($E$2)/_xlpm.Customer_staff,_xlpm.prim_staff_tr_rec,_xlfn.ANCHORARRAY($E$2)/_xlfn.CHOOSEROWS(_xlpm.Customer_staff,{7,8})+(_xlfn.ANCHORARRAY($E$1)*0.0055),_xlpm.rounding,_xlfn.VSTACK(2,2,0,0,2,2,2,2,2,2,2,0,0,0),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prim_staff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0</v>
      </c>
      <c r="F7" s="106">
        <v>0</v>
      </c>
      <c r="G7" s="106">
        <v>0</v>
      </c>
      <c r="H7" s="106">
        <v>0</v>
      </c>
      <c r="I7" s="106">
        <v>0</v>
      </c>
      <c r="J7" s="106">
        <v>0</v>
      </c>
      <c r="K7" s="106">
        <v>0</v>
      </c>
      <c r="L7" s="106">
        <v>0</v>
      </c>
      <c r="M7" s="106">
        <v>0</v>
      </c>
      <c r="N7" s="106">
        <v>0</v>
      </c>
      <c r="O7" s="106">
        <v>2.8299999999999996</v>
      </c>
      <c r="P7" s="106">
        <v>5.6499999999999995</v>
      </c>
      <c r="Q7" s="106">
        <v>8.48</v>
      </c>
      <c r="R7" s="106">
        <v>11.299999999999999</v>
      </c>
      <c r="S7" s="106">
        <v>14.12</v>
      </c>
      <c r="T7" s="106">
        <v>16.950000000000003</v>
      </c>
      <c r="U7" s="106">
        <v>19.770000000000003</v>
      </c>
      <c r="V7" s="106">
        <v>22.59</v>
      </c>
      <c r="W7" s="106">
        <v>25.42</v>
      </c>
      <c r="X7" s="106">
        <v>28.240000000000002</v>
      </c>
      <c r="Y7" s="106">
        <v>31.060000000000002</v>
      </c>
      <c r="Z7" s="106">
        <v>33.89</v>
      </c>
      <c r="AA7" s="106">
        <v>36.71</v>
      </c>
      <c r="AB7" s="106">
        <v>39.53</v>
      </c>
      <c r="AC7" s="106">
        <v>39.53</v>
      </c>
      <c r="AD7" s="106">
        <v>39.53</v>
      </c>
      <c r="AE7" s="106">
        <v>39.53</v>
      </c>
      <c r="AF7" s="106">
        <v>39.53</v>
      </c>
      <c r="AG7" s="106">
        <v>39.53</v>
      </c>
      <c r="AH7" s="106">
        <v>39.53</v>
      </c>
      <c r="AI7" s="106">
        <v>39.53</v>
      </c>
      <c r="AJ7" s="106">
        <v>39.53</v>
      </c>
      <c r="AK7" s="106">
        <v>39.53</v>
      </c>
      <c r="AL7" s="106">
        <v>39.53</v>
      </c>
      <c r="AM7" s="106">
        <v>39.53</v>
      </c>
      <c r="AN7" s="106">
        <v>39.53</v>
      </c>
    </row>
    <row r="8" spans="1:40" hidden="1" outlineLevel="1" x14ac:dyDescent="0.25">
      <c r="B8" s="39" t="str">
        <v>Secondary Direct Staff</v>
      </c>
      <c r="C8" s="3"/>
      <c r="D8" s="3"/>
      <c r="E8" s="106">
        <v>0</v>
      </c>
      <c r="F8" s="106">
        <v>0</v>
      </c>
      <c r="G8" s="106">
        <v>0</v>
      </c>
      <c r="H8" s="106">
        <v>0</v>
      </c>
      <c r="I8" s="106">
        <v>0</v>
      </c>
      <c r="J8" s="106">
        <v>0</v>
      </c>
      <c r="K8" s="106">
        <v>0</v>
      </c>
      <c r="L8" s="106">
        <v>0</v>
      </c>
      <c r="M8" s="106">
        <v>0</v>
      </c>
      <c r="N8" s="106">
        <v>0</v>
      </c>
      <c r="O8" s="106">
        <v>0.43</v>
      </c>
      <c r="P8" s="106">
        <v>0.86</v>
      </c>
      <c r="Q8" s="106">
        <v>1.29</v>
      </c>
      <c r="R8" s="106">
        <v>1.72</v>
      </c>
      <c r="S8" s="106">
        <v>2.15</v>
      </c>
      <c r="T8" s="106">
        <v>2.5799999999999996</v>
      </c>
      <c r="U8" s="106">
        <v>3</v>
      </c>
      <c r="V8" s="106">
        <v>3.4299999999999997</v>
      </c>
      <c r="W8" s="106">
        <v>3.86</v>
      </c>
      <c r="X8" s="106">
        <v>4.29</v>
      </c>
      <c r="Y8" s="106">
        <v>4.72</v>
      </c>
      <c r="Z8" s="106">
        <v>5.1499999999999995</v>
      </c>
      <c r="AA8" s="106">
        <v>5.58</v>
      </c>
      <c r="AB8" s="106">
        <v>6</v>
      </c>
      <c r="AC8" s="106">
        <v>6</v>
      </c>
      <c r="AD8" s="106">
        <v>6</v>
      </c>
      <c r="AE8" s="106">
        <v>6</v>
      </c>
      <c r="AF8" s="106">
        <v>6</v>
      </c>
      <c r="AG8" s="106">
        <v>6</v>
      </c>
      <c r="AH8" s="106">
        <v>6</v>
      </c>
      <c r="AI8" s="106">
        <v>6</v>
      </c>
      <c r="AJ8" s="106">
        <v>6</v>
      </c>
      <c r="AK8" s="106">
        <v>6</v>
      </c>
      <c r="AL8" s="106">
        <v>6</v>
      </c>
      <c r="AM8" s="106">
        <v>6</v>
      </c>
      <c r="AN8" s="106">
        <v>6</v>
      </c>
    </row>
    <row r="9" spans="1:40" hidden="1" outlineLevel="1" x14ac:dyDescent="0.25">
      <c r="B9" s="39" t="str">
        <v>Center Manager</v>
      </c>
      <c r="C9" s="3"/>
      <c r="D9" s="3"/>
      <c r="E9" s="106">
        <v>0</v>
      </c>
      <c r="F9" s="106">
        <v>0</v>
      </c>
      <c r="G9" s="106">
        <v>0</v>
      </c>
      <c r="H9" s="106">
        <v>0</v>
      </c>
      <c r="I9" s="106">
        <v>0</v>
      </c>
      <c r="J9" s="106">
        <v>0</v>
      </c>
      <c r="K9" s="106">
        <v>0</v>
      </c>
      <c r="L9" s="106">
        <v>0</v>
      </c>
      <c r="M9" s="106">
        <v>0</v>
      </c>
      <c r="N9" s="106">
        <v>0</v>
      </c>
      <c r="O9" s="106">
        <v>1</v>
      </c>
      <c r="P9" s="106">
        <v>1</v>
      </c>
      <c r="Q9" s="106">
        <v>1</v>
      </c>
      <c r="R9" s="106">
        <v>1</v>
      </c>
      <c r="S9" s="106">
        <v>1</v>
      </c>
      <c r="T9" s="106">
        <v>1</v>
      </c>
      <c r="U9" s="106">
        <v>1</v>
      </c>
      <c r="V9" s="106">
        <v>1</v>
      </c>
      <c r="W9" s="106">
        <v>1</v>
      </c>
      <c r="X9" s="106">
        <v>1</v>
      </c>
      <c r="Y9" s="106">
        <v>1</v>
      </c>
      <c r="Z9" s="106">
        <v>1</v>
      </c>
      <c r="AA9" s="106">
        <v>1</v>
      </c>
      <c r="AB9" s="106">
        <v>1</v>
      </c>
      <c r="AC9" s="106">
        <v>1</v>
      </c>
      <c r="AD9" s="106">
        <v>1</v>
      </c>
      <c r="AE9" s="106">
        <v>1</v>
      </c>
      <c r="AF9" s="106">
        <v>1</v>
      </c>
      <c r="AG9" s="106">
        <v>1</v>
      </c>
      <c r="AH9" s="106">
        <v>1</v>
      </c>
      <c r="AI9" s="106">
        <v>1</v>
      </c>
      <c r="AJ9" s="106">
        <v>1</v>
      </c>
      <c r="AK9" s="106">
        <v>1</v>
      </c>
      <c r="AL9" s="106">
        <v>1</v>
      </c>
      <c r="AM9" s="106">
        <v>1</v>
      </c>
      <c r="AN9" s="106">
        <v>1</v>
      </c>
    </row>
    <row r="10" spans="1:40" hidden="1" outlineLevel="1" x14ac:dyDescent="0.25">
      <c r="B10" s="39" t="str">
        <v>Intake</v>
      </c>
      <c r="C10" s="3"/>
      <c r="D10" s="3"/>
      <c r="E10" s="106">
        <v>0</v>
      </c>
      <c r="F10" s="106">
        <v>0</v>
      </c>
      <c r="G10" s="106">
        <v>0</v>
      </c>
      <c r="H10" s="106">
        <v>0</v>
      </c>
      <c r="I10" s="106">
        <v>0</v>
      </c>
      <c r="J10" s="106">
        <v>0</v>
      </c>
      <c r="K10" s="106">
        <v>0</v>
      </c>
      <c r="L10" s="106">
        <v>0</v>
      </c>
      <c r="M10" s="106">
        <v>0</v>
      </c>
      <c r="N10" s="106">
        <v>0</v>
      </c>
      <c r="O10" s="106">
        <v>0</v>
      </c>
      <c r="P10" s="106">
        <v>1</v>
      </c>
      <c r="Q10" s="106">
        <v>1</v>
      </c>
      <c r="R10" s="106">
        <v>1</v>
      </c>
      <c r="S10" s="106">
        <v>1</v>
      </c>
      <c r="T10" s="106">
        <v>1</v>
      </c>
      <c r="U10" s="106">
        <v>1</v>
      </c>
      <c r="V10" s="106">
        <v>1</v>
      </c>
      <c r="W10" s="106">
        <v>1</v>
      </c>
      <c r="X10" s="106">
        <v>1</v>
      </c>
      <c r="Y10" s="106">
        <v>1</v>
      </c>
      <c r="Z10" s="106">
        <v>1</v>
      </c>
      <c r="AA10" s="106">
        <v>1</v>
      </c>
      <c r="AB10" s="106">
        <v>1</v>
      </c>
      <c r="AC10" s="106">
        <v>1</v>
      </c>
      <c r="AD10" s="106">
        <v>1</v>
      </c>
      <c r="AE10" s="106">
        <v>1</v>
      </c>
      <c r="AF10" s="106">
        <v>1</v>
      </c>
      <c r="AG10" s="106">
        <v>1</v>
      </c>
      <c r="AH10" s="106">
        <v>1</v>
      </c>
      <c r="AI10" s="106">
        <v>1</v>
      </c>
      <c r="AJ10" s="106">
        <v>1</v>
      </c>
      <c r="AK10" s="106">
        <v>1</v>
      </c>
      <c r="AL10" s="106">
        <v>1</v>
      </c>
      <c r="AM10" s="106">
        <v>1</v>
      </c>
      <c r="AN10" s="106">
        <v>1</v>
      </c>
    </row>
    <row r="11" spans="1:40" hidden="1" outlineLevel="1" x14ac:dyDescent="0.25">
      <c r="B11" s="39" t="str">
        <v>Scheduler</v>
      </c>
      <c r="C11" s="3"/>
      <c r="D11" s="3"/>
      <c r="E11" s="106">
        <v>0</v>
      </c>
      <c r="F11" s="106">
        <v>0</v>
      </c>
      <c r="G11" s="106">
        <v>0</v>
      </c>
      <c r="H11" s="106">
        <v>0</v>
      </c>
      <c r="I11" s="106">
        <v>0</v>
      </c>
      <c r="J11" s="106">
        <v>0</v>
      </c>
      <c r="K11" s="106">
        <v>0</v>
      </c>
      <c r="L11" s="106">
        <v>0</v>
      </c>
      <c r="M11" s="106">
        <v>0</v>
      </c>
      <c r="N11" s="106">
        <v>0</v>
      </c>
      <c r="O11" s="106">
        <v>0</v>
      </c>
      <c r="P11" s="106">
        <v>0</v>
      </c>
      <c r="Q11" s="106">
        <v>0</v>
      </c>
      <c r="R11" s="106">
        <v>0</v>
      </c>
      <c r="S11" s="106">
        <v>0</v>
      </c>
      <c r="T11" s="106">
        <v>0</v>
      </c>
      <c r="U11" s="106">
        <v>0</v>
      </c>
      <c r="V11" s="106">
        <v>0</v>
      </c>
      <c r="W11" s="106">
        <v>0</v>
      </c>
      <c r="X11" s="106">
        <v>0</v>
      </c>
      <c r="Y11" s="106">
        <v>0</v>
      </c>
      <c r="Z11" s="106">
        <v>0</v>
      </c>
      <c r="AA11" s="106">
        <v>0</v>
      </c>
      <c r="AB11" s="106">
        <v>0</v>
      </c>
      <c r="AC11" s="106">
        <v>0</v>
      </c>
      <c r="AD11" s="106">
        <v>0</v>
      </c>
      <c r="AE11" s="106">
        <v>0</v>
      </c>
      <c r="AF11" s="106">
        <v>0</v>
      </c>
      <c r="AG11" s="106">
        <v>0</v>
      </c>
      <c r="AH11" s="106">
        <v>0</v>
      </c>
      <c r="AI11" s="106">
        <v>0</v>
      </c>
      <c r="AJ11" s="106">
        <v>0</v>
      </c>
      <c r="AK11" s="106">
        <v>0</v>
      </c>
      <c r="AL11" s="106">
        <v>0</v>
      </c>
      <c r="AM11" s="106">
        <v>0</v>
      </c>
      <c r="AN11" s="106">
        <v>0</v>
      </c>
    </row>
    <row r="12" spans="1:40" hidden="1" outlineLevel="1" x14ac:dyDescent="0.25">
      <c r="B12" s="39" t="str">
        <v>Initial Consultation Expert</v>
      </c>
      <c r="C12" s="3"/>
      <c r="D12" s="3"/>
      <c r="E12" s="106">
        <v>0</v>
      </c>
      <c r="F12" s="106">
        <v>0</v>
      </c>
      <c r="G12" s="106">
        <v>0</v>
      </c>
      <c r="H12" s="106">
        <v>0</v>
      </c>
      <c r="I12" s="106">
        <v>0</v>
      </c>
      <c r="J12" s="106">
        <v>0</v>
      </c>
      <c r="K12" s="106">
        <v>0</v>
      </c>
      <c r="L12" s="106">
        <v>0</v>
      </c>
      <c r="M12" s="106">
        <v>0</v>
      </c>
      <c r="N12" s="106">
        <v>0</v>
      </c>
      <c r="O12" s="106">
        <v>0</v>
      </c>
      <c r="P12" s="106">
        <v>0.25</v>
      </c>
      <c r="Q12" s="106">
        <v>0.26</v>
      </c>
      <c r="R12" s="106">
        <v>0.27</v>
      </c>
      <c r="S12" s="106">
        <v>0.29000000000000004</v>
      </c>
      <c r="T12" s="106">
        <v>0.3</v>
      </c>
      <c r="U12" s="106">
        <v>0.31</v>
      </c>
      <c r="V12" s="106">
        <v>0.33</v>
      </c>
      <c r="W12" s="106">
        <v>0.34</v>
      </c>
      <c r="X12" s="106">
        <v>0.35000000000000003</v>
      </c>
      <c r="Y12" s="106">
        <v>0.36</v>
      </c>
      <c r="Z12" s="106">
        <v>0.38</v>
      </c>
      <c r="AA12" s="106">
        <v>0.39</v>
      </c>
      <c r="AB12" s="106">
        <v>0.17</v>
      </c>
      <c r="AC12" s="106">
        <v>0.18000000000000002</v>
      </c>
      <c r="AD12" s="106">
        <v>0.2</v>
      </c>
      <c r="AE12" s="106">
        <v>0.21000000000000002</v>
      </c>
      <c r="AF12" s="106">
        <v>0.22</v>
      </c>
      <c r="AG12" s="106">
        <v>0.24000000000000002</v>
      </c>
      <c r="AH12" s="106">
        <v>0.25</v>
      </c>
      <c r="AI12" s="106">
        <v>0.26</v>
      </c>
      <c r="AJ12" s="106">
        <v>0.27</v>
      </c>
      <c r="AK12" s="106">
        <v>0.29000000000000004</v>
      </c>
      <c r="AL12" s="106">
        <v>0.3</v>
      </c>
      <c r="AM12" s="106">
        <v>0.31</v>
      </c>
      <c r="AN12" s="106">
        <v>0.31</v>
      </c>
    </row>
    <row r="13" spans="1:40" hidden="1" outlineLevel="1" x14ac:dyDescent="0.25">
      <c r="B13" s="39" t="str">
        <v>Trainer</v>
      </c>
      <c r="C13" s="3"/>
      <c r="D13" s="3"/>
      <c r="E13" s="106">
        <v>0</v>
      </c>
      <c r="F13" s="106">
        <v>0</v>
      </c>
      <c r="G13" s="106">
        <v>0</v>
      </c>
      <c r="H13" s="106">
        <v>0</v>
      </c>
      <c r="I13" s="106">
        <v>0</v>
      </c>
      <c r="J13" s="106">
        <v>0</v>
      </c>
      <c r="K13" s="106">
        <v>0</v>
      </c>
      <c r="L13" s="106">
        <v>0</v>
      </c>
      <c r="M13" s="106">
        <v>0</v>
      </c>
      <c r="N13" s="106">
        <v>0</v>
      </c>
      <c r="O13" s="106">
        <v>0.02</v>
      </c>
      <c r="P13" s="106">
        <v>0.35000000000000003</v>
      </c>
      <c r="Q13" s="106">
        <v>0.39</v>
      </c>
      <c r="R13" s="106">
        <v>0.42</v>
      </c>
      <c r="S13" s="106">
        <v>0.45</v>
      </c>
      <c r="T13" s="106">
        <v>0.49</v>
      </c>
      <c r="U13" s="106">
        <v>0.52</v>
      </c>
      <c r="V13" s="106">
        <v>0.55000000000000004</v>
      </c>
      <c r="W13" s="106">
        <v>0.59</v>
      </c>
      <c r="X13" s="106">
        <v>0.62</v>
      </c>
      <c r="Y13" s="106">
        <v>0.65</v>
      </c>
      <c r="Z13" s="106">
        <v>0.69000000000000006</v>
      </c>
      <c r="AA13" s="106">
        <v>0.72</v>
      </c>
      <c r="AB13" s="106">
        <v>0.45</v>
      </c>
      <c r="AC13" s="106">
        <v>0.47000000000000003</v>
      </c>
      <c r="AD13" s="106">
        <v>0.49</v>
      </c>
      <c r="AE13" s="106">
        <v>0.5</v>
      </c>
      <c r="AF13" s="106">
        <v>0.52</v>
      </c>
      <c r="AG13" s="106">
        <v>0.54</v>
      </c>
      <c r="AH13" s="106">
        <v>0.55000000000000004</v>
      </c>
      <c r="AI13" s="106">
        <v>0.57000000000000006</v>
      </c>
      <c r="AJ13" s="106">
        <v>0.59</v>
      </c>
      <c r="AK13" s="106">
        <v>0.6</v>
      </c>
      <c r="AL13" s="106">
        <v>0.62</v>
      </c>
      <c r="AM13" s="106">
        <v>0.64</v>
      </c>
      <c r="AN13" s="106">
        <v>0.64</v>
      </c>
    </row>
    <row r="14" spans="1:40" hidden="1" outlineLevel="1" x14ac:dyDescent="0.25">
      <c r="B14" s="39" t="str">
        <v>Recruiter</v>
      </c>
      <c r="C14" s="3"/>
      <c r="D14" s="3"/>
      <c r="E14" s="106">
        <v>0</v>
      </c>
      <c r="F14" s="106">
        <v>0</v>
      </c>
      <c r="G14" s="106">
        <v>0</v>
      </c>
      <c r="H14" s="106">
        <v>0</v>
      </c>
      <c r="I14" s="106">
        <v>0</v>
      </c>
      <c r="J14" s="106">
        <v>0</v>
      </c>
      <c r="K14" s="106">
        <v>0</v>
      </c>
      <c r="L14" s="106">
        <v>0</v>
      </c>
      <c r="M14" s="106">
        <v>0</v>
      </c>
      <c r="N14" s="106">
        <v>0</v>
      </c>
      <c r="O14" s="106">
        <v>0.02</v>
      </c>
      <c r="P14" s="106">
        <v>0.2</v>
      </c>
      <c r="Q14" s="106">
        <v>0.22</v>
      </c>
      <c r="R14" s="106">
        <v>0.25</v>
      </c>
      <c r="S14" s="106">
        <v>0.27</v>
      </c>
      <c r="T14" s="106">
        <v>0.3</v>
      </c>
      <c r="U14" s="106">
        <v>0.32</v>
      </c>
      <c r="V14" s="106">
        <v>0.35000000000000003</v>
      </c>
      <c r="W14" s="106">
        <v>0.37</v>
      </c>
      <c r="X14" s="106">
        <v>0.39</v>
      </c>
      <c r="Y14" s="106">
        <v>0.42</v>
      </c>
      <c r="Z14" s="106">
        <v>0.44</v>
      </c>
      <c r="AA14" s="106">
        <v>0.47000000000000003</v>
      </c>
      <c r="AB14" s="106">
        <v>0.34</v>
      </c>
      <c r="AC14" s="106">
        <v>0.35000000000000003</v>
      </c>
      <c r="AD14" s="106">
        <v>0.36</v>
      </c>
      <c r="AE14" s="106">
        <v>0.37</v>
      </c>
      <c r="AF14" s="106">
        <v>0.38</v>
      </c>
      <c r="AG14" s="106">
        <v>0.39</v>
      </c>
      <c r="AH14" s="106">
        <v>0.39</v>
      </c>
      <c r="AI14" s="106">
        <v>0.4</v>
      </c>
      <c r="AJ14" s="106">
        <v>0.41000000000000003</v>
      </c>
      <c r="AK14" s="106">
        <v>0.42</v>
      </c>
      <c r="AL14" s="106">
        <v>0.43</v>
      </c>
      <c r="AM14" s="106">
        <v>0.44</v>
      </c>
      <c r="AN14" s="106">
        <v>0.44</v>
      </c>
    </row>
    <row r="15" spans="1:40" hidden="1" outlineLevel="1" x14ac:dyDescent="0.25">
      <c r="B15" s="39" t="str">
        <v>Center Director / Remote Site Director</v>
      </c>
      <c r="C15" s="3"/>
      <c r="D15" s="3"/>
      <c r="E15" s="106">
        <v>0</v>
      </c>
      <c r="F15" s="106">
        <v>0</v>
      </c>
      <c r="G15" s="106">
        <v>0</v>
      </c>
      <c r="H15" s="106">
        <v>0</v>
      </c>
      <c r="I15" s="106">
        <v>0</v>
      </c>
      <c r="J15" s="106">
        <v>0</v>
      </c>
      <c r="K15" s="106">
        <v>0</v>
      </c>
      <c r="L15" s="106">
        <v>0</v>
      </c>
      <c r="M15" s="106">
        <v>0</v>
      </c>
      <c r="N15" s="106">
        <v>0</v>
      </c>
      <c r="O15" s="106">
        <v>0.02</v>
      </c>
      <c r="P15" s="106">
        <v>0.03</v>
      </c>
      <c r="Q15" s="106">
        <v>0.04</v>
      </c>
      <c r="R15" s="106">
        <v>0.05</v>
      </c>
      <c r="S15" s="106">
        <v>0.06</v>
      </c>
      <c r="T15" s="106">
        <v>0.08</v>
      </c>
      <c r="U15" s="106">
        <v>0.09</v>
      </c>
      <c r="V15" s="106">
        <v>9.9999999999999992E-2</v>
      </c>
      <c r="W15" s="106">
        <v>0.11</v>
      </c>
      <c r="X15" s="106">
        <v>0.12</v>
      </c>
      <c r="Y15" s="106">
        <v>0.14000000000000001</v>
      </c>
      <c r="Z15" s="106">
        <v>0.15000000000000002</v>
      </c>
      <c r="AA15" s="106">
        <v>0.16</v>
      </c>
      <c r="AB15" s="106">
        <v>0.17</v>
      </c>
      <c r="AC15" s="106">
        <v>0.17</v>
      </c>
      <c r="AD15" s="106">
        <v>0.17</v>
      </c>
      <c r="AE15" s="106">
        <v>0.17</v>
      </c>
      <c r="AF15" s="106">
        <v>0.17</v>
      </c>
      <c r="AG15" s="106">
        <v>0.17</v>
      </c>
      <c r="AH15" s="106">
        <v>0.17</v>
      </c>
      <c r="AI15" s="106">
        <v>0.17</v>
      </c>
      <c r="AJ15" s="106">
        <v>0.17</v>
      </c>
      <c r="AK15" s="106">
        <v>0.17</v>
      </c>
      <c r="AL15" s="106">
        <v>0.17</v>
      </c>
      <c r="AM15" s="106">
        <v>0.17</v>
      </c>
      <c r="AN15" s="106">
        <v>0.17</v>
      </c>
    </row>
    <row r="16" spans="1:40" hidden="1" outlineLevel="1" x14ac:dyDescent="0.25">
      <c r="B16" s="39" t="str">
        <v>Center Marketing Outreach</v>
      </c>
      <c r="C16" s="3"/>
      <c r="D16" s="3"/>
      <c r="E16" s="106">
        <v>0</v>
      </c>
      <c r="F16" s="106">
        <v>0</v>
      </c>
      <c r="G16" s="106">
        <v>0</v>
      </c>
      <c r="H16" s="106">
        <v>0</v>
      </c>
      <c r="I16" s="106">
        <v>0</v>
      </c>
      <c r="J16" s="106">
        <v>0</v>
      </c>
      <c r="K16" s="106">
        <v>0</v>
      </c>
      <c r="L16" s="106">
        <v>0</v>
      </c>
      <c r="M16" s="106">
        <v>0</v>
      </c>
      <c r="N16" s="106">
        <v>0</v>
      </c>
      <c r="O16" s="106">
        <v>0.02</v>
      </c>
      <c r="P16" s="106">
        <v>0.03</v>
      </c>
      <c r="Q16" s="106">
        <v>0.04</v>
      </c>
      <c r="R16" s="106">
        <v>0.05</v>
      </c>
      <c r="S16" s="106">
        <v>0.06</v>
      </c>
      <c r="T16" s="106">
        <v>0.08</v>
      </c>
      <c r="U16" s="106">
        <v>0.09</v>
      </c>
      <c r="V16" s="106">
        <v>9.9999999999999992E-2</v>
      </c>
      <c r="W16" s="106">
        <v>0.11</v>
      </c>
      <c r="X16" s="106">
        <v>0.12</v>
      </c>
      <c r="Y16" s="106">
        <v>0.14000000000000001</v>
      </c>
      <c r="Z16" s="106">
        <v>0.15000000000000002</v>
      </c>
      <c r="AA16" s="106">
        <v>0.16</v>
      </c>
      <c r="AB16" s="106">
        <v>0.17</v>
      </c>
      <c r="AC16" s="106">
        <v>0.17</v>
      </c>
      <c r="AD16" s="106">
        <v>0.17</v>
      </c>
      <c r="AE16" s="106">
        <v>0.17</v>
      </c>
      <c r="AF16" s="106">
        <v>0.17</v>
      </c>
      <c r="AG16" s="106">
        <v>0.17</v>
      </c>
      <c r="AH16" s="106">
        <v>0.17</v>
      </c>
      <c r="AI16" s="106">
        <v>0.17</v>
      </c>
      <c r="AJ16" s="106">
        <v>0.17</v>
      </c>
      <c r="AK16" s="106">
        <v>0.17</v>
      </c>
      <c r="AL16" s="106">
        <v>0.17</v>
      </c>
      <c r="AM16" s="106">
        <v>0.17</v>
      </c>
      <c r="AN16" s="106">
        <v>0.17</v>
      </c>
    </row>
    <row r="17" spans="2:50" hidden="1" outlineLevel="1" x14ac:dyDescent="0.25">
      <c r="B17" s="39" t="str">
        <v>Primary Direct Staff Lead</v>
      </c>
      <c r="C17" s="3"/>
      <c r="D17" s="3"/>
      <c r="E17" s="106">
        <v>0</v>
      </c>
      <c r="F17" s="106">
        <v>0</v>
      </c>
      <c r="G17" s="106">
        <v>0</v>
      </c>
      <c r="H17" s="106">
        <v>0</v>
      </c>
      <c r="I17" s="106">
        <v>0</v>
      </c>
      <c r="J17" s="106">
        <v>0</v>
      </c>
      <c r="K17" s="106">
        <v>0</v>
      </c>
      <c r="L17" s="106">
        <v>0</v>
      </c>
      <c r="M17" s="106">
        <v>0</v>
      </c>
      <c r="N17" s="106">
        <v>0</v>
      </c>
      <c r="O17" s="106">
        <v>0.3</v>
      </c>
      <c r="P17" s="106">
        <v>0.6</v>
      </c>
      <c r="Q17" s="106">
        <v>0.9</v>
      </c>
      <c r="R17" s="106">
        <v>1.2</v>
      </c>
      <c r="S17" s="106">
        <v>1.5</v>
      </c>
      <c r="T17" s="106">
        <v>1.8</v>
      </c>
      <c r="U17" s="106">
        <v>2.1</v>
      </c>
      <c r="V17" s="106">
        <v>2.4</v>
      </c>
      <c r="W17" s="106">
        <v>2.7</v>
      </c>
      <c r="X17" s="106">
        <v>3</v>
      </c>
      <c r="Y17" s="106">
        <v>3.3</v>
      </c>
      <c r="Z17" s="106">
        <v>3.6</v>
      </c>
      <c r="AA17" s="106">
        <v>3.9</v>
      </c>
      <c r="AB17" s="106">
        <v>4.2</v>
      </c>
      <c r="AC17" s="106">
        <v>4.2</v>
      </c>
      <c r="AD17" s="106">
        <v>4.2</v>
      </c>
      <c r="AE17" s="106">
        <v>4.2</v>
      </c>
      <c r="AF17" s="106">
        <v>4.2</v>
      </c>
      <c r="AG17" s="106">
        <v>4.2</v>
      </c>
      <c r="AH17" s="106">
        <v>4.2</v>
      </c>
      <c r="AI17" s="106">
        <v>4.2</v>
      </c>
      <c r="AJ17" s="106">
        <v>4.2</v>
      </c>
      <c r="AK17" s="106">
        <v>4.2</v>
      </c>
      <c r="AL17" s="106">
        <v>4.2</v>
      </c>
      <c r="AM17" s="106">
        <v>4.2</v>
      </c>
      <c r="AN17" s="106">
        <v>4.2</v>
      </c>
    </row>
    <row r="18" spans="2:50" hidden="1" outlineLevel="1" x14ac:dyDescent="0.25">
      <c r="B18" s="39" t="str">
        <v>Tertiary Direct Staff</v>
      </c>
      <c r="C18" s="3"/>
      <c r="D18" s="3"/>
      <c r="E18" s="106">
        <v>0</v>
      </c>
      <c r="F18" s="106">
        <v>0</v>
      </c>
      <c r="G18" s="106">
        <v>0</v>
      </c>
      <c r="H18" s="106">
        <v>0</v>
      </c>
      <c r="I18" s="106">
        <v>0</v>
      </c>
      <c r="J18" s="106">
        <v>0</v>
      </c>
      <c r="K18" s="106">
        <v>0</v>
      </c>
      <c r="L18" s="106">
        <v>0</v>
      </c>
      <c r="M18" s="106">
        <v>0</v>
      </c>
      <c r="N18" s="106">
        <v>0</v>
      </c>
      <c r="O18" s="106">
        <v>0</v>
      </c>
      <c r="P18" s="106">
        <v>0</v>
      </c>
      <c r="Q18" s="106">
        <v>0</v>
      </c>
      <c r="R18" s="106">
        <v>0</v>
      </c>
      <c r="S18" s="106">
        <v>0</v>
      </c>
      <c r="T18" s="106">
        <v>0</v>
      </c>
      <c r="U18" s="106">
        <v>0</v>
      </c>
      <c r="V18" s="106">
        <v>0</v>
      </c>
      <c r="W18" s="106">
        <v>0</v>
      </c>
      <c r="X18" s="106">
        <v>0</v>
      </c>
      <c r="Y18" s="106">
        <v>0</v>
      </c>
      <c r="Z18" s="106">
        <v>0</v>
      </c>
      <c r="AA18" s="106">
        <v>0</v>
      </c>
      <c r="AB18" s="106">
        <v>0</v>
      </c>
      <c r="AC18" s="106">
        <v>0</v>
      </c>
      <c r="AD18" s="106">
        <v>0</v>
      </c>
      <c r="AE18" s="106">
        <v>0</v>
      </c>
      <c r="AF18" s="106">
        <v>0</v>
      </c>
      <c r="AG18" s="106">
        <v>0</v>
      </c>
      <c r="AH18" s="106">
        <v>0</v>
      </c>
      <c r="AI18" s="106">
        <v>0</v>
      </c>
      <c r="AJ18" s="106">
        <v>0</v>
      </c>
      <c r="AK18" s="106">
        <v>0</v>
      </c>
      <c r="AL18" s="106">
        <v>0</v>
      </c>
      <c r="AM18" s="106">
        <v>0</v>
      </c>
      <c r="AN18" s="106">
        <v>0</v>
      </c>
    </row>
    <row r="19" spans="2:50" hidden="1" outlineLevel="1" x14ac:dyDescent="0.25">
      <c r="B19" s="39" t="str">
        <v>Quinary Direct Staff</v>
      </c>
      <c r="C19" s="3"/>
      <c r="D19" s="3"/>
      <c r="E19" s="106">
        <v>0</v>
      </c>
      <c r="F19" s="106">
        <v>0</v>
      </c>
      <c r="G19" s="106">
        <v>0</v>
      </c>
      <c r="H19" s="106">
        <v>0</v>
      </c>
      <c r="I19" s="106">
        <v>0</v>
      </c>
      <c r="J19" s="106">
        <v>0</v>
      </c>
      <c r="K19" s="106">
        <v>0</v>
      </c>
      <c r="L19" s="106">
        <v>0</v>
      </c>
      <c r="M19" s="106">
        <v>0</v>
      </c>
      <c r="N19" s="106">
        <v>0</v>
      </c>
      <c r="O19" s="106">
        <v>0</v>
      </c>
      <c r="P19" s="106">
        <v>0</v>
      </c>
      <c r="Q19" s="106">
        <v>0</v>
      </c>
      <c r="R19" s="106">
        <v>0</v>
      </c>
      <c r="S19" s="106">
        <v>0</v>
      </c>
      <c r="T19" s="106">
        <v>0</v>
      </c>
      <c r="U19" s="106">
        <v>0</v>
      </c>
      <c r="V19" s="106">
        <v>0</v>
      </c>
      <c r="W19" s="106">
        <v>0</v>
      </c>
      <c r="X19" s="106">
        <v>0</v>
      </c>
      <c r="Y19" s="106">
        <v>0</v>
      </c>
      <c r="Z19" s="106">
        <v>0</v>
      </c>
      <c r="AA19" s="106">
        <v>0</v>
      </c>
      <c r="AB19" s="106">
        <v>0</v>
      </c>
      <c r="AC19" s="106">
        <v>0</v>
      </c>
      <c r="AD19" s="106">
        <v>0</v>
      </c>
      <c r="AE19" s="106">
        <v>0</v>
      </c>
      <c r="AF19" s="106">
        <v>0</v>
      </c>
      <c r="AG19" s="106">
        <v>0</v>
      </c>
      <c r="AH19" s="106">
        <v>0</v>
      </c>
      <c r="AI19" s="106">
        <v>0</v>
      </c>
      <c r="AJ19" s="106">
        <v>0</v>
      </c>
      <c r="AK19" s="106">
        <v>0</v>
      </c>
      <c r="AL19" s="106">
        <v>0</v>
      </c>
      <c r="AM19" s="106">
        <v>0</v>
      </c>
      <c r="AN19" s="106">
        <v>0</v>
      </c>
    </row>
    <row r="20" spans="2:50" hidden="1" outlineLevel="1" x14ac:dyDescent="0.25">
      <c r="B20" s="39" t="str">
        <v>Quaternary Direct Staff</v>
      </c>
      <c r="C20" s="3"/>
      <c r="D20" s="3"/>
      <c r="E20" s="106">
        <v>0</v>
      </c>
      <c r="F20" s="106">
        <v>0</v>
      </c>
      <c r="G20" s="106">
        <v>0</v>
      </c>
      <c r="H20" s="106">
        <v>0</v>
      </c>
      <c r="I20" s="106">
        <v>0</v>
      </c>
      <c r="J20" s="106">
        <v>0</v>
      </c>
      <c r="K20" s="106">
        <v>0</v>
      </c>
      <c r="L20" s="106">
        <v>0</v>
      </c>
      <c r="M20" s="106">
        <v>0</v>
      </c>
      <c r="N20" s="106">
        <v>0</v>
      </c>
      <c r="O20" s="106">
        <v>1</v>
      </c>
      <c r="P20" s="106">
        <v>1</v>
      </c>
      <c r="Q20" s="106">
        <v>1</v>
      </c>
      <c r="R20" s="106">
        <v>1</v>
      </c>
      <c r="S20" s="106">
        <v>1</v>
      </c>
      <c r="T20" s="106">
        <v>1</v>
      </c>
      <c r="U20" s="106">
        <v>1</v>
      </c>
      <c r="V20" s="106">
        <v>1</v>
      </c>
      <c r="W20" s="106">
        <v>1</v>
      </c>
      <c r="X20" s="106">
        <v>1</v>
      </c>
      <c r="Y20" s="106">
        <v>1</v>
      </c>
      <c r="Z20" s="106">
        <v>1</v>
      </c>
      <c r="AA20" s="106">
        <v>1</v>
      </c>
      <c r="AB20" s="106">
        <v>1</v>
      </c>
      <c r="AC20" s="106">
        <v>1</v>
      </c>
      <c r="AD20" s="106">
        <v>1</v>
      </c>
      <c r="AE20" s="106">
        <v>1</v>
      </c>
      <c r="AF20" s="106">
        <v>1</v>
      </c>
      <c r="AG20" s="106">
        <v>1</v>
      </c>
      <c r="AH20" s="106">
        <v>1</v>
      </c>
      <c r="AI20" s="106">
        <v>1</v>
      </c>
      <c r="AJ20" s="106">
        <v>1</v>
      </c>
      <c r="AK20" s="106">
        <v>1</v>
      </c>
      <c r="AL20" s="106">
        <v>1</v>
      </c>
      <c r="AM20" s="106">
        <v>1</v>
      </c>
      <c r="AN20" s="106">
        <v>1</v>
      </c>
    </row>
    <row r="21" spans="2:50" collapsed="1" x14ac:dyDescent="0.25">
      <c r="B21" s="39" t="s">
        <v>389</v>
      </c>
      <c r="C21" s="3"/>
      <c r="D21" s="5"/>
      <c r="E21" s="117" cm="1">
        <f t="array" ref="E21:AN21">ROUND(_xlfn.BYCOL(_xlfn.CHOOSEROWS(_xlfn.ANCHORARRAY(E7),1,2),_xlfn.LAMBDA(_xlpm.col,SUM(_xlpm.col))),0)</f>
        <v>0</v>
      </c>
      <c r="F21" s="117">
        <v>0</v>
      </c>
      <c r="G21" s="117">
        <v>0</v>
      </c>
      <c r="H21" s="117">
        <v>0</v>
      </c>
      <c r="I21" s="117">
        <v>0</v>
      </c>
      <c r="J21" s="117">
        <v>0</v>
      </c>
      <c r="K21" s="117">
        <v>0</v>
      </c>
      <c r="L21" s="117">
        <v>0</v>
      </c>
      <c r="M21" s="117">
        <v>0</v>
      </c>
      <c r="N21" s="117">
        <v>0</v>
      </c>
      <c r="O21" s="117">
        <v>3</v>
      </c>
      <c r="P21" s="117">
        <v>7</v>
      </c>
      <c r="Q21" s="117">
        <v>10</v>
      </c>
      <c r="R21" s="117">
        <v>13</v>
      </c>
      <c r="S21" s="117">
        <v>16</v>
      </c>
      <c r="T21" s="117">
        <v>20</v>
      </c>
      <c r="U21" s="117">
        <v>23</v>
      </c>
      <c r="V21" s="117">
        <v>26</v>
      </c>
      <c r="W21" s="117">
        <v>29</v>
      </c>
      <c r="X21" s="117">
        <v>33</v>
      </c>
      <c r="Y21" s="117">
        <v>36</v>
      </c>
      <c r="Z21" s="117">
        <v>39</v>
      </c>
      <c r="AA21" s="117">
        <v>42</v>
      </c>
      <c r="AB21" s="117">
        <v>46</v>
      </c>
      <c r="AC21" s="117">
        <v>46</v>
      </c>
      <c r="AD21" s="117">
        <v>46</v>
      </c>
      <c r="AE21" s="117">
        <v>46</v>
      </c>
      <c r="AF21" s="117">
        <v>46</v>
      </c>
      <c r="AG21" s="117">
        <v>46</v>
      </c>
      <c r="AH21" s="117">
        <v>46</v>
      </c>
      <c r="AI21" s="117">
        <v>46</v>
      </c>
      <c r="AJ21" s="117">
        <v>46</v>
      </c>
      <c r="AK21" s="117">
        <v>46</v>
      </c>
      <c r="AL21" s="117">
        <v>46</v>
      </c>
      <c r="AM21" s="117">
        <v>46</v>
      </c>
      <c r="AN21" s="117">
        <v>46</v>
      </c>
    </row>
    <row r="22" spans="2:50" x14ac:dyDescent="0.25">
      <c r="B22" s="2" t="s">
        <v>394</v>
      </c>
      <c r="C22" s="3"/>
      <c r="D22" s="77">
        <f>MAX(_xlfn.ANCHORARRAY(E22))</f>
        <v>170.02883240223468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0</v>
      </c>
      <c r="F22" s="78">
        <v>0</v>
      </c>
      <c r="G22" s="78">
        <v>0</v>
      </c>
      <c r="H22" s="78">
        <v>0</v>
      </c>
      <c r="I22" s="78">
        <v>0</v>
      </c>
      <c r="J22" s="78">
        <v>0</v>
      </c>
      <c r="K22" s="78">
        <v>0</v>
      </c>
      <c r="L22" s="78">
        <v>0</v>
      </c>
      <c r="M22" s="78">
        <v>0</v>
      </c>
      <c r="N22" s="78">
        <v>0</v>
      </c>
      <c r="O22" s="78">
        <v>165.07653631284921</v>
      </c>
      <c r="P22" s="78">
        <v>165.07653631284921</v>
      </c>
      <c r="Q22" s="78">
        <v>170.02883240223466</v>
      </c>
      <c r="R22" s="78">
        <v>170.02883240223466</v>
      </c>
      <c r="S22" s="78">
        <v>170.02883240223466</v>
      </c>
      <c r="T22" s="78">
        <v>170.02883240223466</v>
      </c>
      <c r="U22" s="78">
        <v>170.02883240223463</v>
      </c>
      <c r="V22" s="78">
        <v>170.02883240223466</v>
      </c>
      <c r="W22" s="78">
        <v>170.02883240223468</v>
      </c>
      <c r="X22" s="78">
        <v>170.02883240223466</v>
      </c>
      <c r="Y22" s="78">
        <v>170.02883240223468</v>
      </c>
      <c r="Z22" s="78">
        <v>170.02883240223466</v>
      </c>
      <c r="AA22" s="78">
        <v>170.02883240223466</v>
      </c>
      <c r="AB22" s="78">
        <v>170.02883240223463</v>
      </c>
      <c r="AC22" s="78">
        <v>170.02883240223463</v>
      </c>
      <c r="AD22" s="78">
        <v>170.02883240223463</v>
      </c>
      <c r="AE22" s="78">
        <v>170.02883240223463</v>
      </c>
      <c r="AF22" s="78">
        <v>170.02883240223463</v>
      </c>
      <c r="AG22" s="78">
        <v>170.02883240223463</v>
      </c>
      <c r="AH22" s="78">
        <v>170.02883240223463</v>
      </c>
      <c r="AI22" s="78">
        <v>170.02883240223463</v>
      </c>
      <c r="AJ22" s="78">
        <v>170.02883240223463</v>
      </c>
      <c r="AK22" s="78">
        <v>170.02883240223463</v>
      </c>
      <c r="AL22" s="78">
        <v>170.02883240223463</v>
      </c>
      <c r="AM22" s="78">
        <v>170.02883240223463</v>
      </c>
      <c r="AN22" s="78">
        <v>170.02883240223463</v>
      </c>
    </row>
    <row r="23" spans="2:50" x14ac:dyDescent="0.25">
      <c r="B23" s="2" t="s">
        <v>53</v>
      </c>
      <c r="C23" s="3"/>
      <c r="D23" s="72"/>
      <c r="E23" s="52" cm="1">
        <f t="array" ref="E23:AN23">_xlfn.LET(_xlpm.site,$B$1&amp;"-"&amp;$C$1,_xlpm.locations,Base!$D$4:$BD$4,_xlpm.Customer,_xlfn.ANCHORARRAY(E1),_xlpm.hours,SUM(_xlfn.XLOOKUP(_xlpm.site,_xlpm.locations,Base!$D$74:$BD$78,0,0)),
_xlpm.collection,1-_xlfn.XLOOKUP(_xlpm.site,_xlpm.locations,Base!$D$26:$BD$26,0,0),
_xlpm.Customer*_xlpm.hours*_xlpm.collection*(52/12))</f>
        <v>0</v>
      </c>
      <c r="F23" s="52">
        <v>0</v>
      </c>
      <c r="G23" s="52">
        <v>0</v>
      </c>
      <c r="H23" s="52">
        <v>0</v>
      </c>
      <c r="I23" s="52">
        <v>0</v>
      </c>
      <c r="J23" s="52">
        <v>0</v>
      </c>
      <c r="K23" s="52">
        <v>0</v>
      </c>
      <c r="L23" s="52">
        <v>0</v>
      </c>
      <c r="M23" s="52">
        <v>0</v>
      </c>
      <c r="N23" s="52">
        <v>0</v>
      </c>
      <c r="O23" s="52">
        <v>315.03999999999996</v>
      </c>
      <c r="P23" s="52">
        <v>630.07999999999993</v>
      </c>
      <c r="Q23" s="52">
        <v>945.11999999999989</v>
      </c>
      <c r="R23" s="52">
        <v>1260.1599999999999</v>
      </c>
      <c r="S23" s="52">
        <v>1575.1999999999996</v>
      </c>
      <c r="T23" s="52">
        <v>1890.2399999999998</v>
      </c>
      <c r="U23" s="52">
        <v>2205.2799999999997</v>
      </c>
      <c r="V23" s="52">
        <v>2520.3199999999997</v>
      </c>
      <c r="W23" s="52">
        <v>2835.3599999999992</v>
      </c>
      <c r="X23" s="52">
        <v>3150.3999999999992</v>
      </c>
      <c r="Y23" s="52">
        <v>3465.4399999999996</v>
      </c>
      <c r="Z23" s="52">
        <v>3780.4799999999996</v>
      </c>
      <c r="AA23" s="52">
        <v>4095.5199999999995</v>
      </c>
      <c r="AB23" s="52">
        <v>4410.5599999999995</v>
      </c>
      <c r="AC23" s="52">
        <v>4410.5599999999995</v>
      </c>
      <c r="AD23" s="52">
        <v>4410.5599999999995</v>
      </c>
      <c r="AE23" s="52">
        <v>4410.5599999999995</v>
      </c>
      <c r="AF23" s="52">
        <v>4410.5599999999995</v>
      </c>
      <c r="AG23" s="52">
        <v>4410.5599999999995</v>
      </c>
      <c r="AH23" s="52">
        <v>4410.5599999999995</v>
      </c>
      <c r="AI23" s="52">
        <v>4410.5599999999995</v>
      </c>
      <c r="AJ23" s="52">
        <v>4410.5599999999995</v>
      </c>
      <c r="AK23" s="52">
        <v>4410.5599999999995</v>
      </c>
      <c r="AL23" s="52">
        <v>4410.5599999999995</v>
      </c>
      <c r="AM23" s="52">
        <v>4410.5599999999995</v>
      </c>
      <c r="AN23" s="52">
        <v>4410.5599999999995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21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_xlfn.LET(_xlpm.site,$B$1&amp;"-"&amp;$C$1,_xlpm.locations,Base!$D$4:$BD$4,_xlpm.rates,Base!$D31:$BD31,_xlpm.hours,Base!$D74:$BD74,_xlpm.comp,_xlpm.rates*_xlpm.hours,_xlpm.Customer,_xlfn.ANCHORARRAY($E$1),
_xlpm.Customer_comp,_xlfn.XLOOKUP(_xlpm.site,_xlpm.locations,_xlpm.comp,0,0),_xlpm.ann_incr,_xlfn.XLOOKUP(YEAR(_xlfn.ANCHORARRAY($E$25)),Base!$BJ$4:$BL$4,Base!$BJ74:$BL74,0,0),
_xlpm.bad_debt,_xlfn.XLOOKUP(_xlpm.site,_xlpm.locations,Base!$D$28:$BD$28,0,0),_xlpm.Customer_comp*_xlpm.Customer*_xlpm.bad_debt*_xlpm.ann_incr*(52/12))</f>
        <v>0</v>
      </c>
      <c r="F26" s="12">
        <v>0</v>
      </c>
      <c r="G26" s="12">
        <v>0</v>
      </c>
      <c r="H26" s="12">
        <v>0</v>
      </c>
      <c r="I26" s="12">
        <v>0</v>
      </c>
      <c r="J26" s="12">
        <v>0</v>
      </c>
      <c r="K26" s="12">
        <v>0</v>
      </c>
      <c r="L26" s="12">
        <v>0</v>
      </c>
      <c r="M26" s="12">
        <v>0</v>
      </c>
      <c r="N26" s="12">
        <v>0</v>
      </c>
      <c r="O26" s="12">
        <v>45433.96</v>
      </c>
      <c r="P26" s="12">
        <v>90867.92</v>
      </c>
      <c r="Q26" s="12">
        <v>140390.93640000001</v>
      </c>
      <c r="R26" s="12">
        <v>187187.91520000002</v>
      </c>
      <c r="S26" s="12">
        <v>233984.89399999997</v>
      </c>
      <c r="T26" s="12">
        <v>280781.87280000001</v>
      </c>
      <c r="U26" s="12">
        <v>327578.85159999994</v>
      </c>
      <c r="V26" s="12">
        <v>374375.83040000004</v>
      </c>
      <c r="W26" s="12">
        <v>421172.80919999996</v>
      </c>
      <c r="X26" s="12">
        <v>467969.78799999994</v>
      </c>
      <c r="Y26" s="12">
        <v>514766.76679999998</v>
      </c>
      <c r="Z26" s="12">
        <v>561563.74560000002</v>
      </c>
      <c r="AA26" s="12">
        <v>608360.72439999995</v>
      </c>
      <c r="AB26" s="12">
        <v>655157.70319999987</v>
      </c>
      <c r="AC26" s="12">
        <v>655157.70319999987</v>
      </c>
      <c r="AD26" s="12">
        <v>655157.70319999987</v>
      </c>
      <c r="AE26" s="12">
        <v>655157.70319999987</v>
      </c>
      <c r="AF26" s="12">
        <v>655157.70319999987</v>
      </c>
      <c r="AG26" s="12">
        <v>655157.70319999987</v>
      </c>
      <c r="AH26" s="12">
        <v>655157.70319999987</v>
      </c>
      <c r="AI26" s="12">
        <v>655157.70319999987</v>
      </c>
      <c r="AJ26" s="12">
        <v>655157.70319999987</v>
      </c>
      <c r="AK26" s="12">
        <v>655157.70319999987</v>
      </c>
      <c r="AL26" s="12">
        <v>655157.70319999987</v>
      </c>
      <c r="AM26" s="12">
        <v>655157.70319999987</v>
      </c>
      <c r="AN26" s="12">
        <v>655157.70319999987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_xlfn.LET(_xlpm.site,$B$1&amp;"-"&amp;$C$1,_xlpm.locations,Base!$D$4:$BD$4,_xlpm.rates,Base!$D32:$BD32,_xlpm.hours,Base!$D75:$BD75,_xlpm.comp,_xlpm.rates*_xlpm.hours,_xlpm.Customer,_xlfn.ANCHORARRAY($E$1),
_xlpm.Customer_comp,_xlfn.XLOOKUP(_xlpm.site,_xlpm.locations,_xlpm.comp,0,0),_xlpm.ann_incr,_xlfn.XLOOKUP(YEAR(_xlfn.ANCHORARRAY($E$25)),Base!$BJ$4:$BL$4,Base!$BJ75:$BL75,0,0),
_xlpm.bad_debt,_xlfn.XLOOKUP(_xlpm.site,_xlpm.locations,Base!$D$28:$BD$28,0,0),_xlpm.Customer_comp*_xlpm.Customer*_xlpm.bad_debt*_xlpm.ann_incr*(52/12))</f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2663.9599999999996</v>
      </c>
      <c r="P27" s="12">
        <v>5327.9199999999992</v>
      </c>
      <c r="Q27" s="12">
        <v>8231.6363999999994</v>
      </c>
      <c r="R27" s="12">
        <v>10975.5152</v>
      </c>
      <c r="S27" s="12">
        <v>13719.393999999998</v>
      </c>
      <c r="T27" s="12">
        <v>16463.272799999999</v>
      </c>
      <c r="U27" s="12">
        <v>19207.151600000001</v>
      </c>
      <c r="V27" s="12">
        <v>21951.0304</v>
      </c>
      <c r="W27" s="12">
        <v>24694.909199999995</v>
      </c>
      <c r="X27" s="12">
        <v>27438.787999999997</v>
      </c>
      <c r="Y27" s="12">
        <v>30182.666799999999</v>
      </c>
      <c r="Z27" s="12">
        <v>32926.545599999998</v>
      </c>
      <c r="AA27" s="12">
        <v>35670.424399999996</v>
      </c>
      <c r="AB27" s="12">
        <v>38414.303200000002</v>
      </c>
      <c r="AC27" s="12">
        <v>38414.303200000002</v>
      </c>
      <c r="AD27" s="12">
        <v>38414.303200000002</v>
      </c>
      <c r="AE27" s="12">
        <v>38414.303200000002</v>
      </c>
      <c r="AF27" s="12">
        <v>38414.303200000002</v>
      </c>
      <c r="AG27" s="12">
        <v>38414.303200000002</v>
      </c>
      <c r="AH27" s="12">
        <v>38414.303200000002</v>
      </c>
      <c r="AI27" s="12">
        <v>38414.303200000002</v>
      </c>
      <c r="AJ27" s="12">
        <v>38414.303200000002</v>
      </c>
      <c r="AK27" s="12">
        <v>38414.303200000002</v>
      </c>
      <c r="AL27" s="12">
        <v>38414.303200000002</v>
      </c>
      <c r="AM27" s="12">
        <v>38414.303200000002</v>
      </c>
      <c r="AN27" s="12">
        <v>38414.303200000002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_xlfn.LET(_xlpm.site,$B$1&amp;"-"&amp;$C$1,_xlpm.locations,Base!$D$4:$BD$4,_xlpm.rates,Base!$D33:$BD33,_xlpm.hours,Base!$D76:$BD76,_xlpm.comp,_xlpm.rates*_xlpm.hours,_xlpm.Customer,_xlfn.ANCHORARRAY($E$1),
_xlpm.Customer_comp,_xlfn.XLOOKUP(_xlpm.site,_xlpm.locations,_xlpm.comp,0,0),_xlpm.ann_incr,_xlfn.XLOOKUP(YEAR(_xlfn.ANCHORARRAY($E$25)),Base!$BJ$4:$BL$4,Base!$BJ76:$BL76,0,0),
_xlpm.bad_debt,_xlfn.XLOOKUP(_xlpm.site,_xlpm.locations,Base!$D$28:$BD$28,0,0),_xlpm.Customer_comp*_xlpm.Customer*_xlpm.bad_debt*_xlpm.ann_incr*(52/12))</f>
        <v>0</v>
      </c>
      <c r="F28" s="12">
        <v>0</v>
      </c>
      <c r="G28" s="12">
        <v>0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0</v>
      </c>
      <c r="N28" s="12">
        <v>0</v>
      </c>
      <c r="O28" s="12">
        <v>6331.181999999998</v>
      </c>
      <c r="P28" s="12">
        <v>12662.363999999996</v>
      </c>
      <c r="Q28" s="12">
        <v>19563.352379999993</v>
      </c>
      <c r="R28" s="12">
        <v>26084.469839999991</v>
      </c>
      <c r="S28" s="12">
        <v>32605.587299999992</v>
      </c>
      <c r="T28" s="12">
        <v>39126.704759999986</v>
      </c>
      <c r="U28" s="12">
        <v>45647.822219999987</v>
      </c>
      <c r="V28" s="12">
        <v>52168.939679999981</v>
      </c>
      <c r="W28" s="12">
        <v>58690.057139999983</v>
      </c>
      <c r="X28" s="12">
        <v>65211.174599999984</v>
      </c>
      <c r="Y28" s="12">
        <v>71732.292059999978</v>
      </c>
      <c r="Z28" s="12">
        <v>78253.409519999972</v>
      </c>
      <c r="AA28" s="12">
        <v>84774.526979999995</v>
      </c>
      <c r="AB28" s="12">
        <v>91295.644439999975</v>
      </c>
      <c r="AC28" s="12">
        <v>91295.644439999975</v>
      </c>
      <c r="AD28" s="12">
        <v>91295.644439999975</v>
      </c>
      <c r="AE28" s="12">
        <v>91295.644439999975</v>
      </c>
      <c r="AF28" s="12">
        <v>91295.644439999975</v>
      </c>
      <c r="AG28" s="12">
        <v>91295.644439999975</v>
      </c>
      <c r="AH28" s="12">
        <v>91295.644439999975</v>
      </c>
      <c r="AI28" s="12">
        <v>91295.644439999975</v>
      </c>
      <c r="AJ28" s="12">
        <v>91295.644439999975</v>
      </c>
      <c r="AK28" s="12">
        <v>91295.644439999975</v>
      </c>
      <c r="AL28" s="12">
        <v>91295.644439999975</v>
      </c>
      <c r="AM28" s="12">
        <v>91295.644439999975</v>
      </c>
      <c r="AN28" s="12">
        <v>91295.644439999975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_xlfn.LET(_xlpm.site,$B$1&amp;"-"&amp;$C$1,_xlpm.locations,Base!$D$4:$BD$4,_xlpm.rates,Base!$D34:$BD34,_xlpm.hours,Base!$D77:$BD77,_xlpm.comp,_xlpm.rates*_xlpm.hours,_xlpm.Customer,_xlfn.ANCHORARRAY($E$1),
_xlpm.Customer_comp,_xlfn.XLOOKUP(_xlpm.site,_xlpm.locations,_xlpm.comp,0,0),_xlpm.ann_incr,_xlfn.XLOOKUP(YEAR(_xlfn.ANCHORARRAY($E$25)),Base!$BJ$4:$BL$4,Base!$BJ77:$BL77,0,0),
_xlpm.bad_debt,_xlfn.XLOOKUP(_xlpm.site,_xlpm.locations,Base!$D$28:$BD$28,0,0),_xlpm.Customer_comp*_xlpm.Customer*_xlpm.bad_debt*_xlpm.ann_incr*(52/12))</f>
        <v>0</v>
      </c>
      <c r="F29" s="12">
        <v>0</v>
      </c>
      <c r="G29" s="12">
        <v>0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0</v>
      </c>
      <c r="N29" s="12">
        <v>0</v>
      </c>
      <c r="O29" s="12">
        <v>487.01399999999995</v>
      </c>
      <c r="P29" s="12">
        <v>974.02799999999991</v>
      </c>
      <c r="Q29" s="12">
        <v>1504.8732600000001</v>
      </c>
      <c r="R29" s="12">
        <v>2006.4976799999999</v>
      </c>
      <c r="S29" s="12">
        <v>2508.1221</v>
      </c>
      <c r="T29" s="12">
        <v>3009.7465200000001</v>
      </c>
      <c r="U29" s="12">
        <v>3511.3709400000002</v>
      </c>
      <c r="V29" s="12">
        <v>4012.9953599999999</v>
      </c>
      <c r="W29" s="12">
        <v>4514.61978</v>
      </c>
      <c r="X29" s="12">
        <v>5016.2442000000001</v>
      </c>
      <c r="Y29" s="12">
        <v>5517.8686199999993</v>
      </c>
      <c r="Z29" s="12">
        <v>6019.4930400000003</v>
      </c>
      <c r="AA29" s="12">
        <v>6521.1174600000013</v>
      </c>
      <c r="AB29" s="12">
        <v>7022.7418800000005</v>
      </c>
      <c r="AC29" s="12">
        <v>7022.7418800000005</v>
      </c>
      <c r="AD29" s="12">
        <v>7022.7418800000005</v>
      </c>
      <c r="AE29" s="12">
        <v>7022.7418800000005</v>
      </c>
      <c r="AF29" s="12">
        <v>7022.7418800000005</v>
      </c>
      <c r="AG29" s="12">
        <v>7022.7418800000005</v>
      </c>
      <c r="AH29" s="12">
        <v>7022.7418800000005</v>
      </c>
      <c r="AI29" s="12">
        <v>7022.7418800000005</v>
      </c>
      <c r="AJ29" s="12">
        <v>7022.7418800000005</v>
      </c>
      <c r="AK29" s="12">
        <v>7022.7418800000005</v>
      </c>
      <c r="AL29" s="12">
        <v>7022.7418800000005</v>
      </c>
      <c r="AM29" s="12">
        <v>7022.7418800000005</v>
      </c>
      <c r="AN29" s="12">
        <v>7022.7418800000005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_xlfn.LET(_xlpm.site,$B$1&amp;"-"&amp;$C$1,_xlpm.locations,Base!$D$4:$BD$4,_xlpm.rates,Base!$D35:$BD35,_xlpm.hours,Base!$D78:$BD78,_xlpm.comp,_xlpm.rates*_xlpm.hours,_xlpm.Customer,_xlfn.ANCHORARRAY($E$1),
_xlpm.Customer_comp,_xlfn.XLOOKUP(_xlpm.site,_xlpm.locations,_xlpm.comp,0,0),_xlpm.ann_incr,_xlfn.XLOOKUP(YEAR(_xlfn.ANCHORARRAY($E$25)),Base!$BJ$4:$BL$4,Base!$BJ78:$BL78,0,0),
_xlpm.bad_debt,_xlfn.XLOOKUP(_xlpm.site,_xlpm.locations,Base!$D$28:$BD$28,0,0),_xlpm.Customer_comp*_xlpm.Customer*_xlpm.bad_debt*_xlpm.ann_incr*(52/12))</f>
        <v>0</v>
      </c>
      <c r="F30" s="12">
        <v>0</v>
      </c>
      <c r="G30" s="12">
        <v>0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0</v>
      </c>
      <c r="N30" s="12">
        <v>0</v>
      </c>
      <c r="O30" s="12">
        <v>635.43999999999994</v>
      </c>
      <c r="P30" s="12">
        <v>1270.8799999999999</v>
      </c>
      <c r="Q30" s="12">
        <v>1963.5095999999999</v>
      </c>
      <c r="R30" s="12">
        <v>2618.0127999999995</v>
      </c>
      <c r="S30" s="12">
        <v>3272.5159999999996</v>
      </c>
      <c r="T30" s="12">
        <v>3927.0191999999997</v>
      </c>
      <c r="U30" s="12">
        <v>4581.5223999999998</v>
      </c>
      <c r="V30" s="12">
        <v>5236.025599999999</v>
      </c>
      <c r="W30" s="12">
        <v>5890.5288</v>
      </c>
      <c r="X30" s="12">
        <v>6545.0319999999992</v>
      </c>
      <c r="Y30" s="12">
        <v>7199.5351999999993</v>
      </c>
      <c r="Z30" s="12">
        <v>7854.0383999999995</v>
      </c>
      <c r="AA30" s="12">
        <v>8508.5416000000005</v>
      </c>
      <c r="AB30" s="12">
        <v>9163.0447999999997</v>
      </c>
      <c r="AC30" s="12">
        <v>9163.0447999999997</v>
      </c>
      <c r="AD30" s="12">
        <v>9163.0447999999997</v>
      </c>
      <c r="AE30" s="12">
        <v>9163.0447999999997</v>
      </c>
      <c r="AF30" s="12">
        <v>9163.0447999999997</v>
      </c>
      <c r="AG30" s="12">
        <v>9163.0447999999997</v>
      </c>
      <c r="AH30" s="12">
        <v>9163.0447999999997</v>
      </c>
      <c r="AI30" s="12">
        <v>9163.0447999999997</v>
      </c>
      <c r="AJ30" s="12">
        <v>9163.0447999999997</v>
      </c>
      <c r="AK30" s="12">
        <v>9163.0447999999997</v>
      </c>
      <c r="AL30" s="12">
        <v>9163.0447999999997</v>
      </c>
      <c r="AM30" s="12">
        <v>9163.0447999999997</v>
      </c>
      <c r="AN30" s="12">
        <v>9163.0447999999997</v>
      </c>
    </row>
    <row r="31" spans="2:50" x14ac:dyDescent="0.25">
      <c r="B31" s="39" t="str">
        <f>Base!B36</f>
        <v>Tertiary Direct Staff - Service A</v>
      </c>
      <c r="C31" s="4"/>
      <c r="E31" s="183" cm="1">
        <f t="array" ref="E31:AN31">_xlfn.LET(_xlpm.site,$B$1&amp;"-"&amp;$C$1,_xlpm.locations,Base!$D$4:$BD$4,_xlpm.rates,Base!$D36:$BD36,_xlpm.hours,Base!$D79:$BD79,_xlpm.comp,_xlpm.rates*_xlpm.hours,_xlpm.Customer,_xlfn.ANCHORARRAY($E$1)*0,
_xlpm.Customer_comp,_xlfn.XLOOKUP(_xlpm.site,_xlpm.locations,_xlpm.comp,0,0),_xlpm.ann_incr,_xlfn.XLOOKUP(YEAR(_xlfn.ANCHORARRAY($E$25)),Base!$BJ$4:$BL$4,Base!$BJ79:$BL79,0,0),
_xlpm.bad_debt,_xlfn.XLOOKUP(_xlpm.site,_xlpm.locations,Base!$D$28:$BD$28,0,0),_xlpm.Customer_comp*_xlpm.Customer*_xlpm.bad_debt*_xlpm.ann_incr*(52/12))</f>
        <v>0</v>
      </c>
      <c r="F31" s="183">
        <v>0</v>
      </c>
      <c r="G31" s="183">
        <v>0</v>
      </c>
      <c r="H31" s="183">
        <v>0</v>
      </c>
      <c r="I31" s="183">
        <v>0</v>
      </c>
      <c r="J31" s="183">
        <v>0</v>
      </c>
      <c r="K31" s="183">
        <v>0</v>
      </c>
      <c r="L31" s="183">
        <v>0</v>
      </c>
      <c r="M31" s="183">
        <v>0</v>
      </c>
      <c r="N31" s="183">
        <v>0</v>
      </c>
      <c r="O31" s="183">
        <v>0</v>
      </c>
      <c r="P31" s="183">
        <v>0</v>
      </c>
      <c r="Q31" s="183">
        <v>0</v>
      </c>
      <c r="R31" s="183">
        <v>0</v>
      </c>
      <c r="S31" s="183">
        <v>0</v>
      </c>
      <c r="T31" s="183">
        <v>0</v>
      </c>
      <c r="U31" s="183">
        <v>0</v>
      </c>
      <c r="V31" s="183">
        <v>0</v>
      </c>
      <c r="W31" s="183">
        <v>0</v>
      </c>
      <c r="X31" s="183">
        <v>0</v>
      </c>
      <c r="Y31" s="183">
        <v>0</v>
      </c>
      <c r="Z31" s="183">
        <v>0</v>
      </c>
      <c r="AA31" s="183">
        <v>0</v>
      </c>
      <c r="AB31" s="183">
        <v>0</v>
      </c>
      <c r="AC31" s="183">
        <v>0</v>
      </c>
      <c r="AD31" s="183">
        <v>0</v>
      </c>
      <c r="AE31" s="183">
        <v>0</v>
      </c>
      <c r="AF31" s="183">
        <v>0</v>
      </c>
      <c r="AG31" s="183">
        <v>0</v>
      </c>
      <c r="AH31" s="183">
        <v>0</v>
      </c>
      <c r="AI31" s="183">
        <v>0</v>
      </c>
      <c r="AJ31" s="183">
        <v>0</v>
      </c>
      <c r="AK31" s="183">
        <v>0</v>
      </c>
      <c r="AL31" s="183">
        <v>0</v>
      </c>
      <c r="AM31" s="183">
        <v>0</v>
      </c>
      <c r="AN31" s="183">
        <v>0</v>
      </c>
    </row>
    <row r="32" spans="2:50" x14ac:dyDescent="0.25">
      <c r="B32" s="39" t="str">
        <f>Base!B37</f>
        <v>Tertiary Direct Staff - Service B</v>
      </c>
      <c r="C32" s="4"/>
      <c r="E32" s="183" cm="1">
        <f t="array" ref="E32:AN32">_xlfn.LET(_xlpm.site,$B$1&amp;"-"&amp;$C$1,_xlpm.locations,Base!$D$4:$BD$4,_xlpm.rates,Base!$D37:$BD37,_xlpm.hours,Base!$D80:$BD80,_xlpm.comp,_xlpm.rates*_xlpm.hours,_xlpm.Customer,_xlfn.ANCHORARRAY($E$1)*0,
_xlpm.Customer_comp,_xlfn.XLOOKUP(_xlpm.site,_xlpm.locations,_xlpm.comp,0,0),_xlpm.ann_incr,_xlfn.XLOOKUP(YEAR(_xlfn.ANCHORARRAY($E$25)),Base!$BJ$4:$BL$4,Base!$BJ80:$BL80,0,0),
_xlpm.bad_debt,_xlfn.XLOOKUP(_xlpm.site,_xlpm.locations,Base!$D$28:$BD$28,0,0),_xlpm.Customer_comp*_xlpm.Customer*_xlpm.bad_debt*_xlpm.ann_incr*(52/12))</f>
        <v>0</v>
      </c>
      <c r="F32" s="183">
        <v>0</v>
      </c>
      <c r="G32" s="183">
        <v>0</v>
      </c>
      <c r="H32" s="183">
        <v>0</v>
      </c>
      <c r="I32" s="183">
        <v>0</v>
      </c>
      <c r="J32" s="183">
        <v>0</v>
      </c>
      <c r="K32" s="183">
        <v>0</v>
      </c>
      <c r="L32" s="183">
        <v>0</v>
      </c>
      <c r="M32" s="183">
        <v>0</v>
      </c>
      <c r="N32" s="183">
        <v>0</v>
      </c>
      <c r="O32" s="183">
        <v>0</v>
      </c>
      <c r="P32" s="183">
        <v>0</v>
      </c>
      <c r="Q32" s="183">
        <v>0</v>
      </c>
      <c r="R32" s="183">
        <v>0</v>
      </c>
      <c r="S32" s="183">
        <v>0</v>
      </c>
      <c r="T32" s="183">
        <v>0</v>
      </c>
      <c r="U32" s="183">
        <v>0</v>
      </c>
      <c r="V32" s="183">
        <v>0</v>
      </c>
      <c r="W32" s="183">
        <v>0</v>
      </c>
      <c r="X32" s="183">
        <v>0</v>
      </c>
      <c r="Y32" s="183">
        <v>0</v>
      </c>
      <c r="Z32" s="183">
        <v>0</v>
      </c>
      <c r="AA32" s="183">
        <v>0</v>
      </c>
      <c r="AB32" s="183">
        <v>0</v>
      </c>
      <c r="AC32" s="183">
        <v>0</v>
      </c>
      <c r="AD32" s="183">
        <v>0</v>
      </c>
      <c r="AE32" s="183">
        <v>0</v>
      </c>
      <c r="AF32" s="183">
        <v>0</v>
      </c>
      <c r="AG32" s="183">
        <v>0</v>
      </c>
      <c r="AH32" s="183">
        <v>0</v>
      </c>
      <c r="AI32" s="183">
        <v>0</v>
      </c>
      <c r="AJ32" s="183">
        <v>0</v>
      </c>
      <c r="AK32" s="183">
        <v>0</v>
      </c>
      <c r="AL32" s="183">
        <v>0</v>
      </c>
      <c r="AM32" s="183">
        <v>0</v>
      </c>
      <c r="AN32" s="183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_xlpm.Customer,_xlfn.ANCHORARRAY($E$2),_xlpm.ann_incr,_xlfn.XLOOKUP(YEAR(_xlfn.ANCHORARRAY($E$25)),Base!$BJ$4:$BL$4,Base!$BJ$81:$BL$81,0,0),
_xlpm.bad_debt,_xlfn.XLOOKUP(_xlpm.site,_xlpm.locations,Base!$D$28:$BD$28,0,0),
_xlpm.comp*_xlpm.bad_debt*_xlpm.ann_incr*(52/12))</f>
        <v>0</v>
      </c>
      <c r="F33" s="12">
        <v>0</v>
      </c>
      <c r="G33" s="12">
        <v>0</v>
      </c>
      <c r="H33" s="12">
        <v>0</v>
      </c>
      <c r="I33" s="12">
        <v>0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  <c r="O33" s="12">
        <v>25911.491666666665</v>
      </c>
      <c r="P33" s="12">
        <v>25911.491666666665</v>
      </c>
      <c r="Q33" s="12">
        <v>26688.836416666662</v>
      </c>
      <c r="R33" s="12">
        <v>26688.836416666662</v>
      </c>
      <c r="S33" s="12">
        <v>26688.836416666662</v>
      </c>
      <c r="T33" s="12">
        <v>26688.836416666662</v>
      </c>
      <c r="U33" s="12">
        <v>26688.836416666662</v>
      </c>
      <c r="V33" s="12">
        <v>26688.836416666662</v>
      </c>
      <c r="W33" s="12">
        <v>26688.836416666662</v>
      </c>
      <c r="X33" s="12">
        <v>26688.836416666662</v>
      </c>
      <c r="Y33" s="12">
        <v>26688.836416666662</v>
      </c>
      <c r="Z33" s="12">
        <v>26688.836416666662</v>
      </c>
      <c r="AA33" s="12">
        <v>26688.836416666662</v>
      </c>
      <c r="AB33" s="12">
        <v>26688.836416666662</v>
      </c>
      <c r="AC33" s="12">
        <v>26688.836416666662</v>
      </c>
      <c r="AD33" s="12">
        <v>26688.836416666662</v>
      </c>
      <c r="AE33" s="12">
        <v>26688.836416666662</v>
      </c>
      <c r="AF33" s="12">
        <v>26688.836416666662</v>
      </c>
      <c r="AG33" s="12">
        <v>26688.836416666662</v>
      </c>
      <c r="AH33" s="12">
        <v>26688.836416666662</v>
      </c>
      <c r="AI33" s="12">
        <v>26688.836416666662</v>
      </c>
      <c r="AJ33" s="12">
        <v>26688.836416666662</v>
      </c>
      <c r="AK33" s="12">
        <v>26688.836416666662</v>
      </c>
      <c r="AL33" s="12">
        <v>26688.836416666662</v>
      </c>
      <c r="AM33" s="12">
        <v>26688.836416666662</v>
      </c>
      <c r="AN33" s="12">
        <v>26688.836416666662</v>
      </c>
    </row>
    <row r="34" spans="2:40" x14ac:dyDescent="0.25">
      <c r="B34" s="39" t="str">
        <f>Base!B39</f>
        <v>Quinary Direct Staff - Service A</v>
      </c>
      <c r="C34" s="4"/>
      <c r="E34" s="183" cm="1">
        <f t="array" ref="E34:AN34">_xlfn.LET(_xlpm.site,$B$1&amp;"-"&amp;$C$1,_xlpm.locations,Base!$D$4:$BD$4,_xlpm.rates,Base!$D39:$BD39,_xlpm.hours,Base!$D82:$BD82,_xlpm.comp,_xlpm.rates*_xlpm.hours,_xlpm.Customer,_xlfn.ANCHORARRAY($E$1)*0,
_xlpm.Customer_comp,_xlfn.XLOOKUP(_xlpm.site,_xlpm.locations,_xlpm.comp,0,0),_xlpm.ann_incr,_xlfn.XLOOKUP(YEAR(_xlfn.ANCHORARRAY($E$25)),Base!$BJ$4:$BL$4,Base!$BJ82:$BL82,0,0),
_xlpm.bad_debt,_xlfn.XLOOKUP(_xlpm.site,_xlpm.locations,Base!$D$28:$BD$28,0,0),_xlpm.Customer_comp*_xlpm.Customer*_xlpm.bad_debt*_xlpm.ann_incr*(52/12))</f>
        <v>0</v>
      </c>
      <c r="F34" s="183">
        <v>0</v>
      </c>
      <c r="G34" s="183">
        <v>0</v>
      </c>
      <c r="H34" s="183">
        <v>0</v>
      </c>
      <c r="I34" s="183">
        <v>0</v>
      </c>
      <c r="J34" s="183">
        <v>0</v>
      </c>
      <c r="K34" s="183">
        <v>0</v>
      </c>
      <c r="L34" s="183">
        <v>0</v>
      </c>
      <c r="M34" s="183">
        <v>0</v>
      </c>
      <c r="N34" s="183">
        <v>0</v>
      </c>
      <c r="O34" s="183">
        <v>0</v>
      </c>
      <c r="P34" s="183">
        <v>0</v>
      </c>
      <c r="Q34" s="183">
        <v>0</v>
      </c>
      <c r="R34" s="183">
        <v>0</v>
      </c>
      <c r="S34" s="183">
        <v>0</v>
      </c>
      <c r="T34" s="183">
        <v>0</v>
      </c>
      <c r="U34" s="183">
        <v>0</v>
      </c>
      <c r="V34" s="183">
        <v>0</v>
      </c>
      <c r="W34" s="183">
        <v>0</v>
      </c>
      <c r="X34" s="183">
        <v>0</v>
      </c>
      <c r="Y34" s="183">
        <v>0</v>
      </c>
      <c r="Z34" s="183">
        <v>0</v>
      </c>
      <c r="AA34" s="183">
        <v>0</v>
      </c>
      <c r="AB34" s="183">
        <v>0</v>
      </c>
      <c r="AC34" s="183">
        <v>0</v>
      </c>
      <c r="AD34" s="183">
        <v>0</v>
      </c>
      <c r="AE34" s="183">
        <v>0</v>
      </c>
      <c r="AF34" s="183">
        <v>0</v>
      </c>
      <c r="AG34" s="183">
        <v>0</v>
      </c>
      <c r="AH34" s="183">
        <v>0</v>
      </c>
      <c r="AI34" s="183">
        <v>0</v>
      </c>
      <c r="AJ34" s="183">
        <v>0</v>
      </c>
      <c r="AK34" s="183">
        <v>0</v>
      </c>
      <c r="AL34" s="183">
        <v>0</v>
      </c>
      <c r="AM34" s="183">
        <v>0</v>
      </c>
      <c r="AN34" s="183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0</v>
      </c>
      <c r="F35" s="12">
        <v>0</v>
      </c>
      <c r="G35" s="12">
        <v>0</v>
      </c>
      <c r="H35" s="12">
        <v>0</v>
      </c>
      <c r="I35" s="12">
        <v>0</v>
      </c>
      <c r="J35" s="12">
        <v>0</v>
      </c>
      <c r="K35" s="12">
        <v>0</v>
      </c>
      <c r="L35" s="12">
        <v>0</v>
      </c>
      <c r="M35" s="12">
        <v>0</v>
      </c>
      <c r="N35" s="12">
        <v>0</v>
      </c>
      <c r="O35" s="12">
        <v>-9775.5657199999987</v>
      </c>
      <c r="P35" s="12">
        <v>-16441.75244</v>
      </c>
      <c r="Q35" s="12">
        <v>-23801.177334799995</v>
      </c>
      <c r="R35" s="12">
        <v>-30667.349656399994</v>
      </c>
      <c r="S35" s="12">
        <v>-37533.521977999997</v>
      </c>
      <c r="T35" s="12">
        <v>-44399.694299599993</v>
      </c>
      <c r="U35" s="12">
        <v>-51265.866621199988</v>
      </c>
      <c r="V35" s="12">
        <v>-58132.038942799998</v>
      </c>
      <c r="W35" s="12">
        <v>-64998.211264399994</v>
      </c>
      <c r="X35" s="12">
        <v>-71864.383585999982</v>
      </c>
      <c r="Y35" s="12">
        <v>-78730.555907599992</v>
      </c>
      <c r="Z35" s="12">
        <v>-85596.728229199987</v>
      </c>
      <c r="AA35" s="12">
        <v>-92462.900550799983</v>
      </c>
      <c r="AB35" s="12">
        <v>-99329.072872399964</v>
      </c>
      <c r="AC35" s="12">
        <v>-99329.072872399964</v>
      </c>
      <c r="AD35" s="12">
        <v>-99329.072872399964</v>
      </c>
      <c r="AE35" s="12">
        <v>-99329.072872399964</v>
      </c>
      <c r="AF35" s="12">
        <v>-99329.072872399964</v>
      </c>
      <c r="AG35" s="12">
        <v>-99329.072872399964</v>
      </c>
      <c r="AH35" s="12">
        <v>-99329.072872399964</v>
      </c>
      <c r="AI35" s="12">
        <v>-99329.072872399964</v>
      </c>
      <c r="AJ35" s="12">
        <v>-99329.072872399964</v>
      </c>
      <c r="AK35" s="12">
        <v>-99329.072872399964</v>
      </c>
      <c r="AL35" s="12">
        <v>-99329.072872399964</v>
      </c>
      <c r="AM35" s="12">
        <v>-99329.072872399964</v>
      </c>
      <c r="AN35" s="12">
        <v>-99329.072872399964</v>
      </c>
    </row>
    <row r="36" spans="2:40" x14ac:dyDescent="0.25">
      <c r="B36" s="39" t="s">
        <v>261</v>
      </c>
      <c r="C36" s="15"/>
      <c r="E36" s="183" cm="1">
        <f t="array" ref="E36:AN36">_xlfn.BYCOL(_xlfn.ANCHORARRAY($E$25),_xlfn.LAMBDA(_xlpm.a,0))</f>
        <v>0</v>
      </c>
      <c r="F36" s="183">
        <v>0</v>
      </c>
      <c r="G36" s="183">
        <v>0</v>
      </c>
      <c r="H36" s="183">
        <v>0</v>
      </c>
      <c r="I36" s="183">
        <v>0</v>
      </c>
      <c r="J36" s="183">
        <v>0</v>
      </c>
      <c r="K36" s="183">
        <v>0</v>
      </c>
      <c r="L36" s="183">
        <v>0</v>
      </c>
      <c r="M36" s="183">
        <v>0</v>
      </c>
      <c r="N36" s="183">
        <v>0</v>
      </c>
      <c r="O36" s="183">
        <v>0</v>
      </c>
      <c r="P36" s="183">
        <v>0</v>
      </c>
      <c r="Q36" s="183">
        <v>0</v>
      </c>
      <c r="R36" s="183">
        <v>0</v>
      </c>
      <c r="S36" s="183">
        <v>0</v>
      </c>
      <c r="T36" s="183">
        <v>0</v>
      </c>
      <c r="U36" s="183">
        <v>0</v>
      </c>
      <c r="V36" s="183">
        <v>0</v>
      </c>
      <c r="W36" s="183">
        <v>0</v>
      </c>
      <c r="X36" s="183">
        <v>0</v>
      </c>
      <c r="Y36" s="183">
        <v>0</v>
      </c>
      <c r="Z36" s="183">
        <v>0</v>
      </c>
      <c r="AA36" s="183">
        <v>0</v>
      </c>
      <c r="AB36" s="183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271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69023.521946666675</v>
      </c>
      <c r="P37" s="13">
        <v>115244.93122666668</v>
      </c>
      <c r="Q37" s="13">
        <v>166310.33072186666</v>
      </c>
      <c r="R37" s="13">
        <v>213918.38228026667</v>
      </c>
      <c r="S37" s="13">
        <v>261526.43383866665</v>
      </c>
      <c r="T37" s="13">
        <v>309134.48539706669</v>
      </c>
      <c r="U37" s="13">
        <v>356742.53695546661</v>
      </c>
      <c r="V37" s="13">
        <v>404350.58851386671</v>
      </c>
      <c r="W37" s="13">
        <v>451958.64007226669</v>
      </c>
      <c r="X37" s="13">
        <v>499566.69163066661</v>
      </c>
      <c r="Y37" s="13">
        <v>547174.74318906665</v>
      </c>
      <c r="Z37" s="13">
        <v>594782.79474746657</v>
      </c>
      <c r="AA37" s="13">
        <v>642390.84630586649</v>
      </c>
      <c r="AB37" s="13">
        <v>689998.89786426653</v>
      </c>
      <c r="AC37" s="13">
        <v>689998.89786426653</v>
      </c>
      <c r="AD37" s="13">
        <v>689998.89786426653</v>
      </c>
      <c r="AE37" s="13">
        <v>689998.89786426653</v>
      </c>
      <c r="AF37" s="13">
        <v>689998.89786426653</v>
      </c>
      <c r="AG37" s="13">
        <v>689998.89786426653</v>
      </c>
      <c r="AH37" s="13">
        <v>689998.89786426653</v>
      </c>
      <c r="AI37" s="13">
        <v>689998.89786426653</v>
      </c>
      <c r="AJ37" s="13">
        <v>689998.89786426653</v>
      </c>
      <c r="AK37" s="13">
        <v>689998.89786426653</v>
      </c>
      <c r="AL37" s="13">
        <v>689998.89786426653</v>
      </c>
      <c r="AM37" s="13">
        <v>689998.89786426653</v>
      </c>
      <c r="AN37" s="13">
        <v>689998.89786426653</v>
      </c>
    </row>
    <row r="38" spans="2:40" x14ac:dyDescent="0.25">
      <c r="E38" s="67"/>
      <c r="F38" s="67"/>
    </row>
    <row r="39" spans="2:40" x14ac:dyDescent="0.25">
      <c r="B39" s="1" t="s">
        <v>118</v>
      </c>
    </row>
    <row r="40" spans="2:40" x14ac:dyDescent="0.25">
      <c r="B40" s="39" t="s">
        <v>23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0</v>
      </c>
      <c r="F40" s="12">
        <v>0</v>
      </c>
      <c r="G40" s="12">
        <v>0</v>
      </c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0</v>
      </c>
      <c r="N40" s="12">
        <v>0</v>
      </c>
      <c r="O40" s="12">
        <v>43612.98992400329</v>
      </c>
      <c r="P40" s="12">
        <v>74421.884381339914</v>
      </c>
      <c r="Q40" s="12">
        <v>113905.37506921084</v>
      </c>
      <c r="R40" s="12">
        <v>135269.09230561447</v>
      </c>
      <c r="S40" s="12">
        <v>156668.96287535143</v>
      </c>
      <c r="T40" s="12">
        <v>178370.41179175509</v>
      </c>
      <c r="U40" s="12">
        <v>199559.21069482536</v>
      </c>
      <c r="V40" s="12">
        <v>221029.26126456229</v>
      </c>
      <c r="W40" s="12">
        <v>242437.23018096594</v>
      </c>
      <c r="X40" s="12">
        <v>263730.76741736947</v>
      </c>
      <c r="Y40" s="12">
        <v>285317.78465377312</v>
      </c>
      <c r="Z40" s="12">
        <v>306832.08690351003</v>
      </c>
      <c r="AA40" s="12">
        <v>328195.80413991364</v>
      </c>
      <c r="AB40" s="12">
        <v>343876.53637631732</v>
      </c>
      <c r="AC40" s="12">
        <v>378605.73268061579</v>
      </c>
      <c r="AD40" s="12">
        <v>379064.24201394914</v>
      </c>
      <c r="AE40" s="12">
        <v>379332.09568061575</v>
      </c>
      <c r="AF40" s="12">
        <v>379673.63834728248</v>
      </c>
      <c r="AG40" s="12">
        <v>380132.14768061577</v>
      </c>
      <c r="AH40" s="12">
        <v>380322.80334728246</v>
      </c>
      <c r="AI40" s="12">
        <v>380664.34601394914</v>
      </c>
      <c r="AJ40" s="12">
        <v>381005.88868061581</v>
      </c>
      <c r="AK40" s="12">
        <v>381390.70901394915</v>
      </c>
      <c r="AL40" s="12">
        <v>381732.25168061582</v>
      </c>
      <c r="AM40" s="12">
        <v>382073.7943472825</v>
      </c>
      <c r="AN40" s="12">
        <v>382073.7943472825</v>
      </c>
    </row>
    <row r="41" spans="2:40" x14ac:dyDescent="0.25">
      <c r="B41" s="39" t="s">
        <v>388</v>
      </c>
      <c r="C41" s="142">
        <f>_xlfn.XLOOKUP($B$1&amp;"-"&amp;$C$1,Base!$D$4:$BD$4,Base!$D$12:$BD$12,0,0)</f>
        <v>0</v>
      </c>
      <c r="E41" s="183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28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15000</v>
      </c>
      <c r="P42" s="12">
        <v>15000</v>
      </c>
      <c r="Q42" s="12">
        <v>15450</v>
      </c>
      <c r="R42" s="12">
        <v>15450</v>
      </c>
      <c r="S42" s="12">
        <v>15450</v>
      </c>
      <c r="T42" s="12">
        <v>15450</v>
      </c>
      <c r="U42" s="12">
        <v>15450</v>
      </c>
      <c r="V42" s="12">
        <v>15450</v>
      </c>
      <c r="W42" s="12">
        <v>15450</v>
      </c>
      <c r="X42" s="12">
        <v>15450</v>
      </c>
      <c r="Y42" s="12">
        <v>15450</v>
      </c>
      <c r="Z42" s="12">
        <v>15450</v>
      </c>
      <c r="AA42" s="12">
        <v>15450</v>
      </c>
      <c r="AB42" s="12">
        <v>15450</v>
      </c>
      <c r="AC42" s="12">
        <v>15913.5</v>
      </c>
      <c r="AD42" s="12">
        <v>15913.5</v>
      </c>
      <c r="AE42" s="12">
        <v>15913.5</v>
      </c>
      <c r="AF42" s="12">
        <v>15913.5</v>
      </c>
      <c r="AG42" s="12">
        <v>15913.5</v>
      </c>
      <c r="AH42" s="12">
        <v>15913.5</v>
      </c>
      <c r="AI42" s="12">
        <v>15913.5</v>
      </c>
      <c r="AJ42" s="12">
        <v>15913.5</v>
      </c>
      <c r="AK42" s="12">
        <v>15913.5</v>
      </c>
      <c r="AL42" s="12">
        <v>15913.5</v>
      </c>
      <c r="AM42" s="12">
        <v>15913.5</v>
      </c>
      <c r="AN42" s="12">
        <v>15913.5</v>
      </c>
    </row>
    <row r="43" spans="2:40" x14ac:dyDescent="0.25">
      <c r="B43" s="39" t="s">
        <v>31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  <c r="O43" s="12">
        <v>8700</v>
      </c>
      <c r="P43" s="12">
        <v>8700</v>
      </c>
      <c r="Q43" s="12">
        <v>9048</v>
      </c>
      <c r="R43" s="12">
        <v>9048</v>
      </c>
      <c r="S43" s="12">
        <v>9048</v>
      </c>
      <c r="T43" s="12">
        <v>9048</v>
      </c>
      <c r="U43" s="12">
        <v>9048</v>
      </c>
      <c r="V43" s="12">
        <v>9048</v>
      </c>
      <c r="W43" s="12">
        <v>9048</v>
      </c>
      <c r="X43" s="12">
        <v>9048</v>
      </c>
      <c r="Y43" s="12">
        <v>9048</v>
      </c>
      <c r="Z43" s="12">
        <v>9048</v>
      </c>
      <c r="AA43" s="12">
        <v>9048</v>
      </c>
      <c r="AB43" s="12">
        <v>9048</v>
      </c>
      <c r="AC43" s="12">
        <v>9409.9200000000019</v>
      </c>
      <c r="AD43" s="12">
        <v>9409.9200000000019</v>
      </c>
      <c r="AE43" s="12">
        <v>9409.9200000000019</v>
      </c>
      <c r="AF43" s="12">
        <v>9409.9200000000019</v>
      </c>
      <c r="AG43" s="12">
        <v>9409.9200000000019</v>
      </c>
      <c r="AH43" s="12">
        <v>9409.9200000000019</v>
      </c>
      <c r="AI43" s="12">
        <v>9409.9200000000019</v>
      </c>
      <c r="AJ43" s="12">
        <v>9409.9200000000019</v>
      </c>
      <c r="AK43" s="12">
        <v>9409.9200000000019</v>
      </c>
      <c r="AL43" s="12">
        <v>9409.9200000000019</v>
      </c>
      <c r="AM43" s="12">
        <v>9409.9200000000019</v>
      </c>
      <c r="AN43" s="12">
        <v>9409.9200000000019</v>
      </c>
    </row>
    <row r="44" spans="2:40" x14ac:dyDescent="0.25">
      <c r="B44" s="39" t="s">
        <v>34</v>
      </c>
      <c r="C44" s="96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  <c r="O44" s="12">
        <v>363.89520000000005</v>
      </c>
      <c r="P44" s="12">
        <v>963.64839999999992</v>
      </c>
      <c r="Q44" s="12">
        <v>1033.7319199999999</v>
      </c>
      <c r="R44" s="12">
        <v>1065.2695039999999</v>
      </c>
      <c r="S44" s="12">
        <v>1096.807088</v>
      </c>
      <c r="T44" s="12">
        <v>1138.8571999999999</v>
      </c>
      <c r="U44" s="12">
        <v>1166.8906079999999</v>
      </c>
      <c r="V44" s="12">
        <v>1201.932368</v>
      </c>
      <c r="W44" s="12">
        <v>1233.4699519999999</v>
      </c>
      <c r="X44" s="12">
        <v>1261.5033600000002</v>
      </c>
      <c r="Y44" s="12">
        <v>1300.0492959999999</v>
      </c>
      <c r="Z44" s="12">
        <v>1335.0910559999998</v>
      </c>
      <c r="AA44" s="12">
        <v>1366.6286400000004</v>
      </c>
      <c r="AB44" s="12">
        <v>1156.37808</v>
      </c>
      <c r="AC44" s="12">
        <v>1217.2105753600003</v>
      </c>
      <c r="AD44" s="12">
        <v>1235.4322905600002</v>
      </c>
      <c r="AE44" s="12">
        <v>1246.3653196800001</v>
      </c>
      <c r="AF44" s="12">
        <v>1260.9426918400002</v>
      </c>
      <c r="AG44" s="12">
        <v>1279.1644070400002</v>
      </c>
      <c r="AH44" s="12">
        <v>1286.4530931200002</v>
      </c>
      <c r="AI44" s="12">
        <v>1301.03046528</v>
      </c>
      <c r="AJ44" s="12">
        <v>1315.6078374400001</v>
      </c>
      <c r="AK44" s="12">
        <v>1330.1852096000002</v>
      </c>
      <c r="AL44" s="12">
        <v>1344.7625817600001</v>
      </c>
      <c r="AM44" s="12">
        <v>1359.3399539200002</v>
      </c>
      <c r="AN44" s="12">
        <v>1359.3399539200002</v>
      </c>
    </row>
    <row r="45" spans="2:40" x14ac:dyDescent="0.25">
      <c r="B45" s="39" t="s">
        <v>36</v>
      </c>
      <c r="C45" s="96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0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  <c r="O45" s="12">
        <v>7500</v>
      </c>
      <c r="P45" s="12">
        <v>7500</v>
      </c>
      <c r="Q45" s="12">
        <v>7650</v>
      </c>
      <c r="R45" s="12">
        <v>7650</v>
      </c>
      <c r="S45" s="12">
        <v>7650</v>
      </c>
      <c r="T45" s="12">
        <v>7650</v>
      </c>
      <c r="U45" s="12">
        <v>7650</v>
      </c>
      <c r="V45" s="12">
        <v>7650</v>
      </c>
      <c r="W45" s="12">
        <v>7650</v>
      </c>
      <c r="X45" s="12">
        <v>7650</v>
      </c>
      <c r="Y45" s="12">
        <v>7650</v>
      </c>
      <c r="Z45" s="12">
        <v>7650</v>
      </c>
      <c r="AA45" s="12">
        <v>7650</v>
      </c>
      <c r="AB45" s="12">
        <v>7650</v>
      </c>
      <c r="AC45" s="12">
        <v>7803</v>
      </c>
      <c r="AD45" s="12">
        <v>7803</v>
      </c>
      <c r="AE45" s="12">
        <v>7803</v>
      </c>
      <c r="AF45" s="12">
        <v>7803</v>
      </c>
      <c r="AG45" s="12">
        <v>7803</v>
      </c>
      <c r="AH45" s="12">
        <v>7803</v>
      </c>
      <c r="AI45" s="12">
        <v>7803</v>
      </c>
      <c r="AJ45" s="12">
        <v>7803</v>
      </c>
      <c r="AK45" s="12">
        <v>7803</v>
      </c>
      <c r="AL45" s="12">
        <v>7803</v>
      </c>
      <c r="AM45" s="12">
        <v>7803</v>
      </c>
      <c r="AN45" s="12">
        <v>7803</v>
      </c>
    </row>
    <row r="46" spans="2:40" x14ac:dyDescent="0.25">
      <c r="B46" s="39" t="s">
        <v>38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0</v>
      </c>
      <c r="F46" s="12">
        <v>0</v>
      </c>
      <c r="G46" s="12">
        <v>0</v>
      </c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0</v>
      </c>
      <c r="N46" s="12">
        <v>0</v>
      </c>
      <c r="O46" s="12">
        <v>3533.9999999999991</v>
      </c>
      <c r="P46" s="12">
        <v>5399.4999999999991</v>
      </c>
      <c r="Q46" s="12">
        <v>6810.54</v>
      </c>
      <c r="R46" s="12">
        <v>8110.0199999999995</v>
      </c>
      <c r="S46" s="12">
        <v>9409.4999999999982</v>
      </c>
      <c r="T46" s="12">
        <v>10723.26</v>
      </c>
      <c r="U46" s="12">
        <v>12015.600000000002</v>
      </c>
      <c r="V46" s="12">
        <v>13318.650000000001</v>
      </c>
      <c r="W46" s="12">
        <v>14621.7</v>
      </c>
      <c r="X46" s="12">
        <v>15917.609999999999</v>
      </c>
      <c r="Y46" s="12">
        <v>17224.23</v>
      </c>
      <c r="Z46" s="12">
        <v>18530.849999999999</v>
      </c>
      <c r="AA46" s="12">
        <v>19830.329999999998</v>
      </c>
      <c r="AB46" s="12">
        <v>20879.910000000007</v>
      </c>
      <c r="AC46" s="12">
        <v>21312.073800000002</v>
      </c>
      <c r="AD46" s="12">
        <v>21330.280800000004</v>
      </c>
      <c r="AE46" s="12">
        <v>21341.205000000002</v>
      </c>
      <c r="AF46" s="12">
        <v>21355.770600000003</v>
      </c>
      <c r="AG46" s="12">
        <v>21373.977600000006</v>
      </c>
      <c r="AH46" s="12">
        <v>21381.260400000003</v>
      </c>
      <c r="AI46" s="12">
        <v>21395.826000000001</v>
      </c>
      <c r="AJ46" s="12">
        <v>21410.391600000003</v>
      </c>
      <c r="AK46" s="12">
        <v>21424.957200000004</v>
      </c>
      <c r="AL46" s="12">
        <v>21439.522800000002</v>
      </c>
      <c r="AM46" s="12">
        <v>21454.088400000004</v>
      </c>
      <c r="AN46" s="12">
        <v>21454.088400000004</v>
      </c>
    </row>
    <row r="47" spans="2:40" x14ac:dyDescent="0.25">
      <c r="B47" s="39" t="s">
        <v>40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  <c r="O47" s="12">
        <v>6000</v>
      </c>
      <c r="P47" s="12">
        <v>6000</v>
      </c>
      <c r="Q47" s="12">
        <v>6300</v>
      </c>
      <c r="R47" s="12">
        <v>6300</v>
      </c>
      <c r="S47" s="12">
        <v>6300</v>
      </c>
      <c r="T47" s="12">
        <v>6300</v>
      </c>
      <c r="U47" s="12">
        <v>6300</v>
      </c>
      <c r="V47" s="12">
        <v>6300</v>
      </c>
      <c r="W47" s="12">
        <v>6300</v>
      </c>
      <c r="X47" s="12">
        <v>6300</v>
      </c>
      <c r="Y47" s="12">
        <v>6300</v>
      </c>
      <c r="Z47" s="12">
        <v>6300</v>
      </c>
      <c r="AA47" s="12">
        <v>6300</v>
      </c>
      <c r="AB47" s="12">
        <v>6300</v>
      </c>
      <c r="AC47" s="12">
        <v>6615</v>
      </c>
      <c r="AD47" s="12">
        <v>6615</v>
      </c>
      <c r="AE47" s="12">
        <v>6615</v>
      </c>
      <c r="AF47" s="12">
        <v>6615</v>
      </c>
      <c r="AG47" s="12">
        <v>6615</v>
      </c>
      <c r="AH47" s="12">
        <v>6615</v>
      </c>
      <c r="AI47" s="12">
        <v>6615</v>
      </c>
      <c r="AJ47" s="12">
        <v>6615</v>
      </c>
      <c r="AK47" s="12">
        <v>6615</v>
      </c>
      <c r="AL47" s="12">
        <v>6615</v>
      </c>
      <c r="AM47" s="12">
        <v>6615</v>
      </c>
      <c r="AN47" s="12">
        <v>6615</v>
      </c>
    </row>
    <row r="48" spans="2:40" x14ac:dyDescent="0.25">
      <c r="B48" s="39" t="s">
        <v>41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151234.47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42</v>
      </c>
      <c r="E49" s="12">
        <f>'Corp.'!E$50*(E$37-(E31-E32-E34)*$C$35)/(SUM('MDA1:NCA9'!E$37)-SUM('MDA1:NCA9'!E$31)-SUM('MDA1:NCA9'!E$32)-SUM('MDA1:NCA9'!E$34))</f>
        <v>0</v>
      </c>
      <c r="F49" s="12">
        <f>'Corp.'!F$50*(F$37-(F31-F32-F34)*$C$35)/(SUM('MDA1:NCA9'!F$37)-SUM('MDA1:NCA9'!F$31)-SUM('MDA1:NCA9'!F$32)-SUM('MDA1:NCA9'!F$34))</f>
        <v>0</v>
      </c>
      <c r="G49" s="12">
        <f>'Corp.'!G$50*(G$37-(G31-G32-G34)*$C$35)/(SUM('MDA1:NCA9'!G$37)-SUM('MDA1:NCA9'!G$31)-SUM('MDA1:NCA9'!G$32)-SUM('MDA1:NCA9'!G$34))</f>
        <v>0</v>
      </c>
      <c r="H49" s="12">
        <f>'Corp.'!H$50*(H$37-(H31-H32-H34)*$C$35)/(SUM('MDA1:NCA9'!H$37)-SUM('MDA1:NCA9'!H$31)-SUM('MDA1:NCA9'!H$32)-SUM('MDA1:NCA9'!H$34))</f>
        <v>0</v>
      </c>
      <c r="I49" s="12">
        <f>'Corp.'!I$50*(I$37-(I31-I32-I34)*$C$35)/(SUM('MDA1:NCA9'!I$37)-SUM('MDA1:NCA9'!I$31)-SUM('MDA1:NCA9'!I$32)-SUM('MDA1:NCA9'!I$34))</f>
        <v>0</v>
      </c>
      <c r="J49" s="12">
        <f>'Corp.'!J$50*(J$37-(J31-J32-J34)*$C$35)/(SUM('MDA1:NCA9'!J$37)-SUM('MDA1:NCA9'!J$31)-SUM('MDA1:NCA9'!J$32)-SUM('MDA1:NCA9'!J$34))</f>
        <v>0</v>
      </c>
      <c r="K49" s="12">
        <f>'Corp.'!K$50*(K$37-(K31-K32-K34)*$C$35)/(SUM('MDA1:NCA9'!K$37)-SUM('MDA1:NCA9'!K$31)-SUM('MDA1:NCA9'!K$32)-SUM('MDA1:NCA9'!K$34))</f>
        <v>0</v>
      </c>
      <c r="L49" s="12">
        <f>'Corp.'!L$50*(L$37-(L31-L32-L34)*$C$35)/(SUM('MDA1:NCA9'!L$37)-SUM('MDA1:NCA9'!L$31)-SUM('MDA1:NCA9'!L$32)-SUM('MDA1:NCA9'!L$34))</f>
        <v>0</v>
      </c>
      <c r="M49" s="12">
        <f>'Corp.'!M$50*(M$37-(M31-M32-M34)*$C$35)/(SUM('MDA1:NCA9'!M$37)-SUM('MDA1:NCA9'!M$31)-SUM('MDA1:NCA9'!M$32)-SUM('MDA1:NCA9'!M$34))</f>
        <v>0</v>
      </c>
      <c r="N49" s="12">
        <f>'Corp.'!N$50*(N$37-(N31-N32-N34)*$C$35)/(SUM('MDA1:NCA9'!N$37)-SUM('MDA1:NCA9'!N$31)-SUM('MDA1:NCA9'!N$32)-SUM('MDA1:NCA9'!N$34))</f>
        <v>0</v>
      </c>
      <c r="O49" s="12">
        <f>'Corp.'!O$50*(O$37-(O31-O32-O34)*$C$35)/(SUM('MDA1:NCA9'!O$37)-SUM('MDA1:NCA9'!O$31)-SUM('MDA1:NCA9'!O$32)-SUM('MDA1:NCA9'!O$34))</f>
        <v>11274.411932331344</v>
      </c>
      <c r="P49" s="12">
        <f>'Corp.'!P$50*(P$37-(P31-P32-P34)*$C$35)/(SUM('MDA1:NCA9'!P$37)-SUM('MDA1:NCA9'!P$31)-SUM('MDA1:NCA9'!P$32)-SUM('MDA1:NCA9'!P$34))</f>
        <v>17763.491911587447</v>
      </c>
      <c r="Q49" s="12">
        <f>'Corp.'!Q$50*(Q$37-(Q31-Q32-Q34)*$C$35)/(SUM('MDA1:NCA9'!Q$37)-SUM('MDA1:NCA9'!Q$31)-SUM('MDA1:NCA9'!Q$32)-SUM('MDA1:NCA9'!Q$34))</f>
        <v>25728.577011239391</v>
      </c>
      <c r="R49" s="12">
        <f>'Corp.'!R$50*(R$37-(R31-R32-R34)*$C$35)/(SUM('MDA1:NCA9'!R$37)-SUM('MDA1:NCA9'!R$31)-SUM('MDA1:NCA9'!R$32)-SUM('MDA1:NCA9'!R$34))</f>
        <v>31840.169514105932</v>
      </c>
      <c r="S49" s="12">
        <f>'Corp.'!S$50*(S$37-(S31-S32-S34)*$C$35)/(SUM('MDA1:NCA9'!S$37)-SUM('MDA1:NCA9'!S$31)-SUM('MDA1:NCA9'!S$32)-SUM('MDA1:NCA9'!S$34))</f>
        <v>37241.810311064546</v>
      </c>
      <c r="T49" s="12">
        <f>'Corp.'!T$50*(T$37-(T31-T32-T34)*$C$35)/(SUM('MDA1:NCA9'!T$37)-SUM('MDA1:NCA9'!T$31)-SUM('MDA1:NCA9'!T$32)-SUM('MDA1:NCA9'!T$34))</f>
        <v>42335.887549702231</v>
      </c>
      <c r="U49" s="12">
        <f>'Corp.'!U$50*(U$37-(U31-U32-U34)*$C$35)/(SUM('MDA1:NCA9'!U$37)-SUM('MDA1:NCA9'!U$31)-SUM('MDA1:NCA9'!U$32)-SUM('MDA1:NCA9'!U$34))</f>
        <v>47522.315589492755</v>
      </c>
      <c r="V49" s="12">
        <f>'Corp.'!V$50*(V$37-(V31-V32-V34)*$C$35)/(SUM('MDA1:NCA9'!V$37)-SUM('MDA1:NCA9'!V$31)-SUM('MDA1:NCA9'!V$32)-SUM('MDA1:NCA9'!V$34))</f>
        <v>52631.997755265184</v>
      </c>
      <c r="W49" s="12">
        <f>'Corp.'!W$50*(W$37-(W31-W32-W34)*$C$35)/(SUM('MDA1:NCA9'!W$37)-SUM('MDA1:NCA9'!W$31)-SUM('MDA1:NCA9'!W$32)-SUM('MDA1:NCA9'!W$34))</f>
        <v>57040.908233027665</v>
      </c>
      <c r="X49" s="12">
        <f>'Corp.'!X$50*(X$37-(X31-X32-X34)*$C$35)/(SUM('MDA1:NCA9'!X$37)-SUM('MDA1:NCA9'!X$31)-SUM('MDA1:NCA9'!X$32)-SUM('MDA1:NCA9'!X$34))</f>
        <v>61074.49802434467</v>
      </c>
      <c r="Y49" s="12">
        <f>'Corp.'!Y$50*(Y$37-(Y31-Y32-Y34)*$C$35)/(SUM('MDA1:NCA9'!Y$37)-SUM('MDA1:NCA9'!Y$31)-SUM('MDA1:NCA9'!Y$32)-SUM('MDA1:NCA9'!Y$34))</f>
        <v>65477.556135274972</v>
      </c>
      <c r="Z49" s="12">
        <f>'Corp.'!Z$50*(Z$37-(Z31-Z32-Z34)*$C$35)/(SUM('MDA1:NCA9'!Z$37)-SUM('MDA1:NCA9'!Z$31)-SUM('MDA1:NCA9'!Z$32)-SUM('MDA1:NCA9'!Z$34))</f>
        <v>69628.823378299217</v>
      </c>
      <c r="AA49" s="12">
        <f>'Corp.'!AA$50*(AA$37-(AA31-AA32-AA34)*$C$35)/(SUM('MDA1:NCA9'!AA$37)-SUM('MDA1:NCA9'!AA$31)-SUM('MDA1:NCA9'!AA$32)-SUM('MDA1:NCA9'!AA$34))</f>
        <v>73482.734932118896</v>
      </c>
      <c r="AB49" s="12">
        <f>'Corp.'!AB$50*(AB$37-(AB31-AB32-AB34)*$C$35)/(SUM('MDA1:NCA9'!AB$37)-SUM('MDA1:NCA9'!AB$31)-SUM('MDA1:NCA9'!AB$32)-SUM('MDA1:NCA9'!AB$34))</f>
        <v>77137.388997614675</v>
      </c>
      <c r="AC49" s="12">
        <f>'Corp.'!AC$50*(AC$37-(AC31-AC32-AC34)*$C$35)/(SUM('MDA1:NCA9'!AC$37)-SUM('MDA1:NCA9'!AC$31)-SUM('MDA1:NCA9'!AC$32)-SUM('MDA1:NCA9'!AC$34))</f>
        <v>82787.492935550952</v>
      </c>
      <c r="AD49" s="12">
        <f>'Corp.'!AD$50*(AD$37-(AD31-AD32-AD34)*$C$35)/(SUM('MDA1:NCA9'!AD$37)-SUM('MDA1:NCA9'!AD$31)-SUM('MDA1:NCA9'!AD$32)-SUM('MDA1:NCA9'!AD$34))</f>
        <v>81427.453549480764</v>
      </c>
      <c r="AE49" s="12">
        <f>'Corp.'!AE$50*(AE$37-(AE31-AE32-AE34)*$C$35)/(SUM('MDA1:NCA9'!AE$37)-SUM('MDA1:NCA9'!AE$31)-SUM('MDA1:NCA9'!AE$32)-SUM('MDA1:NCA9'!AE$34))</f>
        <v>80145.065142249689</v>
      </c>
      <c r="AF49" s="12">
        <f>'Corp.'!AF$50*(AF$37-(AF31-AF32-AF34)*$C$35)/(SUM('MDA1:NCA9'!AF$37)-SUM('MDA1:NCA9'!AF$31)-SUM('MDA1:NCA9'!AF$32)-SUM('MDA1:NCA9'!AF$34))</f>
        <v>78943.425161868086</v>
      </c>
      <c r="AG49" s="12">
        <f>'Corp.'!AG$50*(AG$37-(AG31-AG32-AG34)*$C$35)/(SUM('MDA1:NCA9'!AG$37)-SUM('MDA1:NCA9'!AG$31)-SUM('MDA1:NCA9'!AG$32)-SUM('MDA1:NCA9'!AG$34))</f>
        <v>77979.765799357177</v>
      </c>
      <c r="AH49" s="12">
        <f>'Corp.'!AH$50*(AH$37-(AH31-AH32-AH34)*$C$35)/(SUM('MDA1:NCA9'!AH$37)-SUM('MDA1:NCA9'!AH$31)-SUM('MDA1:NCA9'!AH$32)-SUM('MDA1:NCA9'!AH$34))</f>
        <v>76712.193944299695</v>
      </c>
      <c r="AI49" s="12">
        <f>'Corp.'!AI$50*(AI$37-(AI31-AI32-AI34)*$C$35)/(SUM('MDA1:NCA9'!AI$37)-SUM('MDA1:NCA9'!AI$31)-SUM('MDA1:NCA9'!AI$32)-SUM('MDA1:NCA9'!AI$34))</f>
        <v>75391.235786919249</v>
      </c>
      <c r="AJ49" s="12">
        <f>'Corp.'!AJ$50*(AJ$37-(AJ31-AJ32-AJ34)*$C$35)/(SUM('MDA1:NCA9'!AJ$37)-SUM('MDA1:NCA9'!AJ$31)-SUM('MDA1:NCA9'!AJ$32)-SUM('MDA1:NCA9'!AJ$34))</f>
        <v>74037.829400941715</v>
      </c>
      <c r="AK49" s="12">
        <f>'Corp.'!AK$50*(AK$37-(AK31-AK32-AK34)*$C$35)/(SUM('MDA1:NCA9'!AK$37)-SUM('MDA1:NCA9'!AK$31)-SUM('MDA1:NCA9'!AK$32)-SUM('MDA1:NCA9'!AK$34))</f>
        <v>72788.126846379178</v>
      </c>
      <c r="AL49" s="12">
        <f>'Corp.'!AL$50*(AL$37-(AL31-AL32-AL34)*$C$35)/(SUM('MDA1:NCA9'!AL$37)-SUM('MDA1:NCA9'!AL$31)-SUM('MDA1:NCA9'!AL$32)-SUM('MDA1:NCA9'!AL$34))</f>
        <v>71641.323887728504</v>
      </c>
      <c r="AM49" s="12">
        <f>'Corp.'!AM$50*(AM$37-(AM31-AM32-AM34)*$C$35)/(SUM('MDA1:NCA9'!AM$37)-SUM('MDA1:NCA9'!AM$31)-SUM('MDA1:NCA9'!AM$32)-SUM('MDA1:NCA9'!AM$34))</f>
        <v>70406.274276485157</v>
      </c>
      <c r="AN49" s="12">
        <f>'Corp.'!AN$50*(AN$37-(AN31-AN32-AN34)*$C$35)/(SUM('MDA1:NCA9'!AN$37)-SUM('MDA1:NCA9'!AN$31)-SUM('MDA1:NCA9'!AN$32)-SUM('MDA1:NCA9'!AN$34))</f>
        <v>69353.495383390065</v>
      </c>
    </row>
    <row r="50" spans="2:40" x14ac:dyDescent="0.25">
      <c r="B50" s="1" t="s">
        <v>272</v>
      </c>
      <c r="E50" s="13" cm="1">
        <f t="array" ref="E50:AN50">_xlfn.BYCOL(_xlfn.VSTACK(_xlfn.ANCHORARRAY(E40),_xlfn.ANCHORARRAY(E42),_xlfn.ANCHORARRAY(E43),_xlfn.ANCHORARRAY(E45),_xlfn.ANCHORARRAY(E46),_xlfn.ANCHORARRAY(E47),_xlfn.ANCHORARRAY(E48),_xlfn.HSTACK(E49:AN49)),_xlfn.LAMBDA(_xlpm.a,SUM(_xlpm.a)))</f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151234.47</v>
      </c>
      <c r="N50" s="13">
        <v>0</v>
      </c>
      <c r="O50" s="13">
        <v>95621.401856334633</v>
      </c>
      <c r="P50" s="13">
        <v>134784.87629292737</v>
      </c>
      <c r="Q50" s="13">
        <v>184892.49208045023</v>
      </c>
      <c r="R50" s="13">
        <v>213667.2818197204</v>
      </c>
      <c r="S50" s="13">
        <v>241768.27318641596</v>
      </c>
      <c r="T50" s="13">
        <v>269877.55934145732</v>
      </c>
      <c r="U50" s="13">
        <v>297545.1262843181</v>
      </c>
      <c r="V50" s="13">
        <v>325427.90901982749</v>
      </c>
      <c r="W50" s="13">
        <v>352547.83841399365</v>
      </c>
      <c r="X50" s="13">
        <v>379170.87544171413</v>
      </c>
      <c r="Y50" s="13">
        <v>406467.5707890481</v>
      </c>
      <c r="Z50" s="13">
        <v>433439.76028180926</v>
      </c>
      <c r="AA50" s="13">
        <v>459956.86907203257</v>
      </c>
      <c r="AB50" s="13">
        <v>480341.83537393203</v>
      </c>
      <c r="AC50" s="13">
        <v>522446.71941616677</v>
      </c>
      <c r="AD50" s="13">
        <v>521563.3963634299</v>
      </c>
      <c r="AE50" s="13">
        <v>520559.78582286544</v>
      </c>
      <c r="AF50" s="13">
        <v>519714.25410915056</v>
      </c>
      <c r="AG50" s="13">
        <v>519227.31107997289</v>
      </c>
      <c r="AH50" s="13">
        <v>518157.67769158218</v>
      </c>
      <c r="AI50" s="13">
        <v>517192.82780086837</v>
      </c>
      <c r="AJ50" s="13">
        <v>516195.52968155756</v>
      </c>
      <c r="AK50" s="13">
        <v>515345.21306032833</v>
      </c>
      <c r="AL50" s="13">
        <v>514554.51836834429</v>
      </c>
      <c r="AM50" s="13">
        <v>513675.57702376763</v>
      </c>
      <c r="AN50" s="13">
        <v>512622.79813067254</v>
      </c>
    </row>
    <row r="52" spans="2:40" x14ac:dyDescent="0.25">
      <c r="B52" s="1" t="s">
        <v>48</v>
      </c>
      <c r="E52" s="74">
        <f>E37-E50</f>
        <v>0</v>
      </c>
      <c r="F52" s="74">
        <f t="shared" ref="F52:AN52" si="0">F37-F50</f>
        <v>0</v>
      </c>
      <c r="G52" s="74">
        <f t="shared" si="0"/>
        <v>0</v>
      </c>
      <c r="H52" s="74">
        <f t="shared" si="0"/>
        <v>0</v>
      </c>
      <c r="I52" s="74">
        <f t="shared" si="0"/>
        <v>0</v>
      </c>
      <c r="J52" s="74">
        <f t="shared" si="0"/>
        <v>0</v>
      </c>
      <c r="K52" s="74">
        <f t="shared" si="0"/>
        <v>0</v>
      </c>
      <c r="L52" s="74">
        <f t="shared" si="0"/>
        <v>0</v>
      </c>
      <c r="M52" s="74">
        <f t="shared" si="0"/>
        <v>-151234.47</v>
      </c>
      <c r="N52" s="74">
        <f t="shared" si="0"/>
        <v>0</v>
      </c>
      <c r="O52" s="74">
        <f t="shared" si="0"/>
        <v>-26597.879909667958</v>
      </c>
      <c r="P52" s="74">
        <f t="shared" si="0"/>
        <v>-19539.945066260683</v>
      </c>
      <c r="Q52" s="74">
        <f t="shared" si="0"/>
        <v>-18582.161358583573</v>
      </c>
      <c r="R52" s="74">
        <f t="shared" si="0"/>
        <v>251.10046054626582</v>
      </c>
      <c r="S52" s="74">
        <f t="shared" si="0"/>
        <v>19758.160652250692</v>
      </c>
      <c r="T52" s="74">
        <f t="shared" si="0"/>
        <v>39256.926055609365</v>
      </c>
      <c r="U52" s="74">
        <f t="shared" si="0"/>
        <v>59197.410671148507</v>
      </c>
      <c r="V52" s="74">
        <f t="shared" si="0"/>
        <v>78922.679494039214</v>
      </c>
      <c r="W52" s="74">
        <f t="shared" si="0"/>
        <v>99410.801658273034</v>
      </c>
      <c r="X52" s="74">
        <f t="shared" si="0"/>
        <v>120395.81618895248</v>
      </c>
      <c r="Y52" s="74">
        <f t="shared" si="0"/>
        <v>140707.17240001855</v>
      </c>
      <c r="Z52" s="74">
        <f t="shared" si="0"/>
        <v>161343.03446565731</v>
      </c>
      <c r="AA52" s="74">
        <f t="shared" si="0"/>
        <v>182433.97723383392</v>
      </c>
      <c r="AB52" s="74">
        <f t="shared" si="0"/>
        <v>209657.0624903345</v>
      </c>
      <c r="AC52" s="74">
        <f t="shared" si="0"/>
        <v>167552.17844809976</v>
      </c>
      <c r="AD52" s="74">
        <f t="shared" si="0"/>
        <v>168435.50150083663</v>
      </c>
      <c r="AE52" s="74">
        <f t="shared" si="0"/>
        <v>169439.11204140109</v>
      </c>
      <c r="AF52" s="74">
        <f t="shared" si="0"/>
        <v>170284.64375511598</v>
      </c>
      <c r="AG52" s="74">
        <f t="shared" si="0"/>
        <v>170771.58678429364</v>
      </c>
      <c r="AH52" s="74">
        <f t="shared" si="0"/>
        <v>171841.22017268435</v>
      </c>
      <c r="AI52" s="74">
        <f t="shared" si="0"/>
        <v>172806.07006339816</v>
      </c>
      <c r="AJ52" s="74">
        <f t="shared" si="0"/>
        <v>173803.36818270897</v>
      </c>
      <c r="AK52" s="74">
        <f t="shared" si="0"/>
        <v>174653.6848039382</v>
      </c>
      <c r="AL52" s="74">
        <f t="shared" si="0"/>
        <v>175444.37949592224</v>
      </c>
      <c r="AM52" s="74">
        <f t="shared" si="0"/>
        <v>176323.3208404989</v>
      </c>
      <c r="AN52" s="74">
        <f t="shared" si="0"/>
        <v>177376.09973359399</v>
      </c>
    </row>
    <row r="53" spans="2:40" x14ac:dyDescent="0.25">
      <c r="E53" s="105" t="str">
        <f>IFERROR(E52/E37,"")</f>
        <v/>
      </c>
      <c r="F53" s="105" t="str">
        <f t="shared" ref="F53:AN53" si="1">IFERROR(F52/F37,"")</f>
        <v/>
      </c>
      <c r="G53" s="105" t="str">
        <f t="shared" si="1"/>
        <v/>
      </c>
      <c r="H53" s="105" t="str">
        <f t="shared" si="1"/>
        <v/>
      </c>
      <c r="I53" s="105" t="str">
        <f t="shared" si="1"/>
        <v/>
      </c>
      <c r="J53" s="105" t="str">
        <f t="shared" si="1"/>
        <v/>
      </c>
      <c r="K53" s="105" t="str">
        <f t="shared" si="1"/>
        <v/>
      </c>
      <c r="L53" s="105" t="str">
        <f t="shared" si="1"/>
        <v/>
      </c>
      <c r="M53" s="105" t="str">
        <f t="shared" si="1"/>
        <v/>
      </c>
      <c r="N53" s="105" t="str">
        <f t="shared" si="1"/>
        <v/>
      </c>
      <c r="O53" s="105">
        <f t="shared" si="1"/>
        <v>-0.38534515712222994</v>
      </c>
      <c r="P53" s="105">
        <f t="shared" si="1"/>
        <v>-0.16955144888610346</v>
      </c>
      <c r="Q53" s="105">
        <f t="shared" si="1"/>
        <v>-0.11173185260307086</v>
      </c>
      <c r="R53" s="105">
        <f t="shared" si="1"/>
        <v>1.1738143205350384E-3</v>
      </c>
      <c r="S53" s="105">
        <f t="shared" si="1"/>
        <v>7.554938276120618E-2</v>
      </c>
      <c r="T53" s="105">
        <f t="shared" si="1"/>
        <v>0.12698979864762078</v>
      </c>
      <c r="U53" s="105">
        <f t="shared" si="1"/>
        <v>0.16593875004745601</v>
      </c>
      <c r="V53" s="105">
        <f t="shared" si="1"/>
        <v>0.19518378787108567</v>
      </c>
      <c r="W53" s="105">
        <f t="shared" si="1"/>
        <v>0.219955528767804</v>
      </c>
      <c r="X53" s="105">
        <f t="shared" si="1"/>
        <v>0.24100048743434241</v>
      </c>
      <c r="Y53" s="105">
        <f t="shared" si="1"/>
        <v>0.25715216967059396</v>
      </c>
      <c r="Z53" s="105">
        <f t="shared" si="1"/>
        <v>0.27126378888306696</v>
      </c>
      <c r="AA53" s="105">
        <f t="shared" si="1"/>
        <v>0.28399218059058429</v>
      </c>
      <c r="AB53" s="105">
        <f t="shared" si="1"/>
        <v>0.30385130054450799</v>
      </c>
      <c r="AC53" s="105">
        <f t="shared" si="1"/>
        <v>0.24282963199900628</v>
      </c>
      <c r="AD53" s="105">
        <f t="shared" si="1"/>
        <v>0.24410981238113585</v>
      </c>
      <c r="AE53" s="105">
        <f t="shared" si="1"/>
        <v>0.24556432273422615</v>
      </c>
      <c r="AF53" s="105">
        <f t="shared" si="1"/>
        <v>0.24678973297231788</v>
      </c>
      <c r="AG53" s="105">
        <f t="shared" si="1"/>
        <v>0.2474954486345963</v>
      </c>
      <c r="AH53" s="105">
        <f t="shared" si="1"/>
        <v>0.24904564442722948</v>
      </c>
      <c r="AI53" s="105">
        <f t="shared" si="1"/>
        <v>0.25044397983573563</v>
      </c>
      <c r="AJ53" s="105">
        <f t="shared" si="1"/>
        <v>0.25188934173761363</v>
      </c>
      <c r="AK53" s="105">
        <f t="shared" si="1"/>
        <v>0.25312168663535356</v>
      </c>
      <c r="AL53" s="105">
        <f t="shared" si="1"/>
        <v>0.25426762280196408</v>
      </c>
      <c r="AM53" s="105">
        <f t="shared" si="1"/>
        <v>0.25554145287226881</v>
      </c>
      <c r="AN53" s="105">
        <f t="shared" si="1"/>
        <v>0.2570672218211088</v>
      </c>
    </row>
    <row r="55" spans="2:40" x14ac:dyDescent="0.25">
      <c r="B55" t="s">
        <v>57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1411000</v>
      </c>
      <c r="D55" s="12">
        <f>C55-SUM(_xlfn.ANCHORARRAY(E55))</f>
        <v>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235166.66666666666</v>
      </c>
      <c r="N55" s="12">
        <v>235166.66666666666</v>
      </c>
      <c r="O55" s="12">
        <v>235166.66666666666</v>
      </c>
      <c r="P55" s="12">
        <v>235166.66666666666</v>
      </c>
      <c r="Q55" s="12">
        <v>235166.66666666666</v>
      </c>
      <c r="R55" s="12">
        <v>235166.66666666666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</row>
    <row r="56" spans="2:40" x14ac:dyDescent="0.25">
      <c r="B56" t="s">
        <v>285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0</v>
      </c>
      <c r="F56" s="90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0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0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0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0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-84631.89964886666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-93221.400668973307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-99015.43220356002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-106053.10465439995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-113021.44499132005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-120162.65272507997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-39228.965075799999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-46370.172809560005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-53511.380543319989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-60652.588277080002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-67793.79601084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-74935.003744599991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-82076.211478359997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-89217.419212119989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-96358.626945879965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276</v>
      </c>
      <c r="E58" s="13">
        <f>E37-E50-E55+E56</f>
        <v>0</v>
      </c>
      <c r="F58" s="13">
        <f t="shared" ref="F58:AN58" si="2">F37-F50-F55+F56</f>
        <v>0</v>
      </c>
      <c r="G58" s="13">
        <f t="shared" si="2"/>
        <v>0</v>
      </c>
      <c r="H58" s="13">
        <f t="shared" si="2"/>
        <v>0</v>
      </c>
      <c r="I58" s="13">
        <f t="shared" si="2"/>
        <v>0</v>
      </c>
      <c r="J58" s="13">
        <f t="shared" si="2"/>
        <v>0</v>
      </c>
      <c r="K58" s="13">
        <f t="shared" si="2"/>
        <v>0</v>
      </c>
      <c r="L58" s="13">
        <f t="shared" si="2"/>
        <v>0</v>
      </c>
      <c r="M58" s="13">
        <f t="shared" si="2"/>
        <v>-386401.13666666666</v>
      </c>
      <c r="N58" s="13">
        <f t="shared" si="2"/>
        <v>-235166.66666666666</v>
      </c>
      <c r="O58" s="13">
        <f t="shared" si="2"/>
        <v>-261764.54657633463</v>
      </c>
      <c r="P58" s="13">
        <f t="shared" si="2"/>
        <v>-254706.61173292733</v>
      </c>
      <c r="Q58" s="13">
        <f t="shared" si="2"/>
        <v>-253748.82802525023</v>
      </c>
      <c r="R58" s="13">
        <f t="shared" si="2"/>
        <v>-319547.46585498704</v>
      </c>
      <c r="S58" s="13">
        <f t="shared" si="2"/>
        <v>-73463.240016722615</v>
      </c>
      <c r="T58" s="13">
        <f t="shared" si="2"/>
        <v>-59758.506147950655</v>
      </c>
      <c r="U58" s="13">
        <f t="shared" si="2"/>
        <v>-46855.693983251447</v>
      </c>
      <c r="V58" s="13">
        <f t="shared" si="2"/>
        <v>-34098.765497280838</v>
      </c>
      <c r="W58" s="13">
        <f t="shared" si="2"/>
        <v>-20751.851066806936</v>
      </c>
      <c r="X58" s="13">
        <f t="shared" si="2"/>
        <v>81166.851113152487</v>
      </c>
      <c r="Y58" s="13">
        <f t="shared" si="2"/>
        <v>94336.999590458552</v>
      </c>
      <c r="Z58" s="13">
        <f t="shared" si="2"/>
        <v>107831.65392233733</v>
      </c>
      <c r="AA58" s="13">
        <f t="shared" si="2"/>
        <v>121781.38895675392</v>
      </c>
      <c r="AB58" s="13">
        <f t="shared" si="2"/>
        <v>141863.26647949452</v>
      </c>
      <c r="AC58" s="13">
        <f t="shared" si="2"/>
        <v>92617.174703499768</v>
      </c>
      <c r="AD58" s="13">
        <f t="shared" si="2"/>
        <v>86359.290022476634</v>
      </c>
      <c r="AE58" s="13">
        <f t="shared" si="2"/>
        <v>80221.692829281106</v>
      </c>
      <c r="AF58" s="13">
        <f t="shared" si="2"/>
        <v>73926.016809236011</v>
      </c>
      <c r="AG58" s="13">
        <f t="shared" si="2"/>
        <v>67271.752104653671</v>
      </c>
      <c r="AH58" s="13">
        <f t="shared" si="2"/>
        <v>68341.385493044378</v>
      </c>
      <c r="AI58" s="13">
        <f t="shared" si="2"/>
        <v>69306.23538375819</v>
      </c>
      <c r="AJ58" s="13">
        <f t="shared" si="2"/>
        <v>70303.533503069004</v>
      </c>
      <c r="AK58" s="13">
        <f t="shared" si="2"/>
        <v>71153.850124298231</v>
      </c>
      <c r="AL58" s="13">
        <f t="shared" si="2"/>
        <v>71944.544816282272</v>
      </c>
      <c r="AM58" s="13">
        <f t="shared" si="2"/>
        <v>72823.486160858927</v>
      </c>
      <c r="AN58" s="13">
        <f t="shared" si="2"/>
        <v>73876.265053954019</v>
      </c>
    </row>
    <row r="59" spans="2:40" x14ac:dyDescent="0.25">
      <c r="B59" t="s">
        <v>277</v>
      </c>
      <c r="E59" s="12" cm="1">
        <f t="array" ref="E59:AN59">_xlfn.SCAN(-D55,E58:AN58,_xlfn.LAMBDA(_xlpm.capex,_xlpm.fcf,_xlpm.capex+_xlpm.fcf))</f>
        <v>0</v>
      </c>
      <c r="F59" s="12">
        <v>0</v>
      </c>
      <c r="G59" s="12">
        <v>0</v>
      </c>
      <c r="H59" s="12">
        <v>0</v>
      </c>
      <c r="I59" s="12">
        <v>0</v>
      </c>
      <c r="J59" s="12">
        <v>0</v>
      </c>
      <c r="K59" s="12">
        <v>0</v>
      </c>
      <c r="L59" s="12">
        <v>0</v>
      </c>
      <c r="M59" s="12">
        <v>-386401.13666666666</v>
      </c>
      <c r="N59" s="12">
        <v>-621567.80333333334</v>
      </c>
      <c r="O59" s="12">
        <v>-883332.34990966797</v>
      </c>
      <c r="P59" s="12">
        <v>-1138038.9616425952</v>
      </c>
      <c r="Q59" s="12">
        <v>-1391787.7896678455</v>
      </c>
      <c r="R59" s="12">
        <v>-1711335.2555228325</v>
      </c>
      <c r="S59" s="12">
        <v>-1784798.4955395551</v>
      </c>
      <c r="T59" s="12">
        <v>-1844557.0016875057</v>
      </c>
      <c r="U59" s="12">
        <v>-1891412.6956707572</v>
      </c>
      <c r="V59" s="12">
        <v>-1925511.461168038</v>
      </c>
      <c r="W59" s="12">
        <v>-1946263.312234845</v>
      </c>
      <c r="X59" s="12">
        <v>-1865096.4611216926</v>
      </c>
      <c r="Y59" s="12">
        <v>-1770759.461531234</v>
      </c>
      <c r="Z59" s="12">
        <v>-1662927.8076088966</v>
      </c>
      <c r="AA59" s="12">
        <v>-1541146.4186521426</v>
      </c>
      <c r="AB59" s="12">
        <v>-1399283.1521726481</v>
      </c>
      <c r="AC59" s="12">
        <v>-1306665.9774691483</v>
      </c>
      <c r="AD59" s="12">
        <v>-1220306.6874466718</v>
      </c>
      <c r="AE59" s="12">
        <v>-1140084.9946173907</v>
      </c>
      <c r="AF59" s="12">
        <v>-1066158.9778081547</v>
      </c>
      <c r="AG59" s="12">
        <v>-998887.22570350103</v>
      </c>
      <c r="AH59" s="12">
        <v>-930545.84021045663</v>
      </c>
      <c r="AI59" s="12">
        <v>-861239.60482669843</v>
      </c>
      <c r="AJ59" s="12">
        <v>-790936.07132362947</v>
      </c>
      <c r="AK59" s="12">
        <v>-719782.22119933122</v>
      </c>
      <c r="AL59" s="12">
        <v>-647837.67638304899</v>
      </c>
      <c r="AM59" s="12">
        <v>-575014.19022219011</v>
      </c>
      <c r="AN59" s="12">
        <v>-501137.92516823608</v>
      </c>
    </row>
    <row r="61" spans="2:40" x14ac:dyDescent="0.25">
      <c r="B61" s="1" t="s">
        <v>302</v>
      </c>
    </row>
    <row r="63" spans="2:40" x14ac:dyDescent="0.25">
      <c r="B63" s="39" t="s">
        <v>103</v>
      </c>
      <c r="E63" s="12" cm="1">
        <f t="array" ref="E63:AN63">_xlfn.LET(_xlpm.site,$B$1&amp;"-"&amp;$C$1,_xlpm.locations,Base!$D$4:$BD$4,_xlpm.rates,Base!$D$36:$BD$36,_xlpm.hours,Base!$D$79:$BD$79,_xlpm.comp,_xlpm.rates*_xlpm.hours,_xlpm.Customer,_xlfn.ANCHORARRAY($E$1),
_xlpm.Customer_comp,_xlfn.XLOOKUP(_xlpm.site,_xlpm.locations,_xlpm.comp,0,0),_xlpm.ann_incr,_xlfn.XLOOKUP(YEAR(_xlfn.ANCHORARRAY($E$25)),Base!$BJ$4:$BL$4,Base!$BJ$79:$BL$79,0,0),
_xlpm.bad_debt,_xlfn.XLOOKUP(_xlpm.site,_xlpm.locations,Base!$D$28:$BD$28,0,0),_xlpm.Customer_comp*_xlpm.Customer*_xlpm.bad_debt*_xlpm.ann_incr*(52/12)*(1-$C$35))</f>
        <v>0</v>
      </c>
      <c r="F63" s="12">
        <v>0</v>
      </c>
      <c r="G63" s="12">
        <v>0</v>
      </c>
      <c r="H63" s="12">
        <v>0</v>
      </c>
      <c r="I63" s="12">
        <v>0</v>
      </c>
      <c r="J63" s="12">
        <v>0</v>
      </c>
      <c r="K63" s="12">
        <v>0</v>
      </c>
      <c r="L63" s="12">
        <v>0</v>
      </c>
      <c r="M63" s="12">
        <v>0</v>
      </c>
      <c r="N63" s="12">
        <v>0</v>
      </c>
      <c r="O63" s="12">
        <v>2887.8263378764791</v>
      </c>
      <c r="P63" s="12">
        <v>5775.6526757529582</v>
      </c>
      <c r="Q63" s="12">
        <v>8923.3833840383231</v>
      </c>
      <c r="R63" s="12">
        <v>11897.844512051095</v>
      </c>
      <c r="S63" s="12">
        <v>14872.305640063869</v>
      </c>
      <c r="T63" s="12">
        <v>17846.766768076646</v>
      </c>
      <c r="U63" s="12">
        <v>20821.227896089418</v>
      </c>
      <c r="V63" s="12">
        <v>23795.68902410219</v>
      </c>
      <c r="W63" s="12">
        <v>26770.150152114962</v>
      </c>
      <c r="X63" s="12">
        <v>29744.611280127738</v>
      </c>
      <c r="Y63" s="12">
        <v>32719.072408140517</v>
      </c>
      <c r="Z63" s="12">
        <v>35693.533536153293</v>
      </c>
      <c r="AA63" s="12">
        <v>38667.994664166064</v>
      </c>
      <c r="AB63" s="12">
        <v>41642.455792178836</v>
      </c>
      <c r="AC63" s="12">
        <v>41642.455792178836</v>
      </c>
      <c r="AD63" s="12">
        <v>41642.455792178836</v>
      </c>
      <c r="AE63" s="12">
        <v>41642.455792178836</v>
      </c>
      <c r="AF63" s="12">
        <v>41642.455792178836</v>
      </c>
      <c r="AG63" s="12">
        <v>41642.455792178836</v>
      </c>
      <c r="AH63" s="12">
        <v>41642.455792178836</v>
      </c>
      <c r="AI63" s="12">
        <v>41642.455792178836</v>
      </c>
      <c r="AJ63" s="12">
        <v>41642.455792178836</v>
      </c>
      <c r="AK63" s="12">
        <v>41642.455792178836</v>
      </c>
      <c r="AL63" s="12">
        <v>41642.455792178836</v>
      </c>
      <c r="AM63" s="12">
        <v>41642.455792178836</v>
      </c>
      <c r="AN63" s="12">
        <v>41642.455792178836</v>
      </c>
    </row>
    <row r="64" spans="2:40" x14ac:dyDescent="0.25">
      <c r="B64" s="39" t="s">
        <v>104</v>
      </c>
      <c r="E64" s="12" cm="1">
        <f t="array" ref="E64:AN64">_xlfn.LET(_xlpm.site,$B$1&amp;"-"&amp;$C$1,_xlpm.locations,Base!$D$4:$BD$4,_xlpm.rates,Base!$D$37:$BD$37,_xlpm.hours,Base!$D$80:$BD$80,_xlpm.comp,_xlpm.rates*_xlpm.hours,_xlpm.Customer,_xlfn.ANCHORARRAY($E$1),
_xlpm.Customer_comp,_xlfn.XLOOKUP(_xlpm.site,_xlpm.locations,_xlpm.comp,0,0),_xlpm.ann_incr,_xlfn.XLOOKUP(YEAR(_xlfn.ANCHORARRAY($E$25)),Base!$BJ$4:$BL$4,Base!$BJ$80:$BL$80,0,0),
_xlpm.bad_debt,_xlfn.XLOOKUP(_xlpm.site,_xlpm.locations,Base!$D$28:$BD$28,0,0),_xlpm.Customer_comp*_xlpm.Customer*_xlpm.bad_debt*_xlpm.ann_incr*(52/12)*(1-$C$35))</f>
        <v>0</v>
      </c>
      <c r="F64" s="12">
        <v>0</v>
      </c>
      <c r="G64" s="12">
        <v>0</v>
      </c>
      <c r="H64" s="12">
        <v>0</v>
      </c>
      <c r="I64" s="12">
        <v>0</v>
      </c>
      <c r="J64" s="12">
        <v>0</v>
      </c>
      <c r="K64" s="12">
        <v>0</v>
      </c>
      <c r="L64" s="12">
        <v>0</v>
      </c>
      <c r="M64" s="12">
        <v>0</v>
      </c>
      <c r="N64" s="12">
        <v>0</v>
      </c>
      <c r="O64" s="12">
        <v>385.87127394816008</v>
      </c>
      <c r="P64" s="12">
        <v>771.74254789632016</v>
      </c>
      <c r="Q64" s="12">
        <v>1192.3422364998146</v>
      </c>
      <c r="R64" s="12">
        <v>1589.7896486664195</v>
      </c>
      <c r="S64" s="12">
        <v>1987.2370608330243</v>
      </c>
      <c r="T64" s="12">
        <v>2384.6844729996292</v>
      </c>
      <c r="U64" s="12">
        <v>2782.131885166234</v>
      </c>
      <c r="V64" s="12">
        <v>3179.5792973328389</v>
      </c>
      <c r="W64" s="12">
        <v>3577.0267094994438</v>
      </c>
      <c r="X64" s="12">
        <v>3974.4741216660486</v>
      </c>
      <c r="Y64" s="12">
        <v>4371.9215338326539</v>
      </c>
      <c r="Z64" s="12">
        <v>4769.3689459992584</v>
      </c>
      <c r="AA64" s="12">
        <v>5166.8163581658646</v>
      </c>
      <c r="AB64" s="12">
        <v>5564.2637703324681</v>
      </c>
      <c r="AC64" s="12">
        <v>5564.2637703324681</v>
      </c>
      <c r="AD64" s="12">
        <v>5564.2637703324681</v>
      </c>
      <c r="AE64" s="12">
        <v>5564.2637703324681</v>
      </c>
      <c r="AF64" s="12">
        <v>5564.2637703324681</v>
      </c>
      <c r="AG64" s="12">
        <v>5564.2637703324681</v>
      </c>
      <c r="AH64" s="12">
        <v>5564.2637703324681</v>
      </c>
      <c r="AI64" s="12">
        <v>5564.2637703324681</v>
      </c>
      <c r="AJ64" s="12">
        <v>5564.2637703324681</v>
      </c>
      <c r="AK64" s="12">
        <v>5564.2637703324681</v>
      </c>
      <c r="AL64" s="12">
        <v>5564.2637703324681</v>
      </c>
      <c r="AM64" s="12">
        <v>5564.2637703324681</v>
      </c>
      <c r="AN64" s="12">
        <v>5564.2637703324681</v>
      </c>
    </row>
    <row r="65" spans="2:40" x14ac:dyDescent="0.25">
      <c r="B65" s="39" t="s">
        <v>56</v>
      </c>
      <c r="E65" s="12" cm="1">
        <f t="array" ref="E65:AN65">_xlfn.LET(_xlpm.site,$B$1&amp;"-"&amp;$C$1,_xlpm.locations,Base!$D$4:$BD$4,_xlpm.rates,Base!$D$39:$BD$39,_xlpm.hours,Base!$D$82:$BD$82,_xlpm.comp,_xlpm.rates*_xlpm.hours,_xlpm.Customer,_xlfn.ANCHORARRAY($E$1),
_xlpm.Customer_comp,_xlfn.XLOOKUP(_xlpm.site,_xlpm.locations,_xlpm.comp,0,0),_xlpm.ann_incr,_xlfn.XLOOKUP(YEAR(_xlfn.ANCHORARRAY($E$25)),Base!$BJ$4:$BL$4,Base!$BJ$82:$BL$82,0,0),
_xlpm.bad_debt,_xlfn.XLOOKUP(_xlpm.site,_xlpm.locations,Base!$D$28:$BD$28,0,0),_xlpm.Customer_comp*_xlpm.Customer*_xlpm.bad_debt*_xlpm.ann_incr*(52/12)*(1-$C$35))</f>
        <v>0</v>
      </c>
      <c r="F65" s="12">
        <v>0</v>
      </c>
      <c r="G65" s="12">
        <v>0</v>
      </c>
      <c r="H65" s="12">
        <v>0</v>
      </c>
      <c r="I65" s="12">
        <v>0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  <c r="O65" s="12">
        <v>2346.7496455603195</v>
      </c>
      <c r="P65" s="12">
        <v>4693.4992911206391</v>
      </c>
      <c r="Q65" s="12">
        <v>7251.4564047813874</v>
      </c>
      <c r="R65" s="12">
        <v>9668.6085397085171</v>
      </c>
      <c r="S65" s="12">
        <v>12085.760674635649</v>
      </c>
      <c r="T65" s="12">
        <v>14502.912809562775</v>
      </c>
      <c r="U65" s="12">
        <v>16920.064944489903</v>
      </c>
      <c r="V65" s="12">
        <v>19337.217079417034</v>
      </c>
      <c r="W65" s="12">
        <v>21754.369214344169</v>
      </c>
      <c r="X65" s="12">
        <v>24171.521349271297</v>
      </c>
      <c r="Y65" s="12">
        <v>26588.673484198422</v>
      </c>
      <c r="Z65" s="12">
        <v>29005.82561912555</v>
      </c>
      <c r="AA65" s="12">
        <v>31422.977754052685</v>
      </c>
      <c r="AB65" s="12">
        <v>33840.129888979805</v>
      </c>
      <c r="AC65" s="12">
        <v>33840.129888979805</v>
      </c>
      <c r="AD65" s="12">
        <v>33840.129888979805</v>
      </c>
      <c r="AE65" s="12">
        <v>33840.129888979805</v>
      </c>
      <c r="AF65" s="12">
        <v>33840.129888979805</v>
      </c>
      <c r="AG65" s="12">
        <v>33840.129888979805</v>
      </c>
      <c r="AH65" s="12">
        <v>33840.129888979805</v>
      </c>
      <c r="AI65" s="12">
        <v>33840.129888979805</v>
      </c>
      <c r="AJ65" s="12">
        <v>33840.129888979805</v>
      </c>
      <c r="AK65" s="12">
        <v>33840.129888979805</v>
      </c>
      <c r="AL65" s="12">
        <v>33840.129888979805</v>
      </c>
      <c r="AM65" s="12">
        <v>33840.129888979805</v>
      </c>
      <c r="AN65" s="12">
        <v>33840.129888979805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303</v>
      </c>
      <c r="C67" s="12"/>
      <c r="E67" s="13" cm="1">
        <f t="array" ref="E67:AN67">_xlfn.BYCOL(_xlfn.VSTACK(_xlfn.ANCHORARRAY($E$63),_xlfn.ANCHORARRAY($E$64),_xlfn.ANCHORARRAY($E$65)),_xlfn.LAMBDA(_xlpm.a,SUM(_xlpm.a)))</f>
        <v>0</v>
      </c>
      <c r="F67" s="13">
        <v>0</v>
      </c>
      <c r="G67" s="13">
        <v>0</v>
      </c>
      <c r="H67" s="13">
        <v>0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5620.4472573849589</v>
      </c>
      <c r="P67" s="13">
        <v>11240.894514769918</v>
      </c>
      <c r="Q67" s="13">
        <v>17367.182025319526</v>
      </c>
      <c r="R67" s="13">
        <v>23156.242700426032</v>
      </c>
      <c r="S67" s="13">
        <v>28945.303375532545</v>
      </c>
      <c r="T67" s="13">
        <v>34734.364050639051</v>
      </c>
      <c r="U67" s="13">
        <v>40523.424725745557</v>
      </c>
      <c r="V67" s="13">
        <v>46312.485400852063</v>
      </c>
      <c r="W67" s="13">
        <v>52101.546075958577</v>
      </c>
      <c r="X67" s="13">
        <v>57890.60675106509</v>
      </c>
      <c r="Y67" s="13">
        <v>63679.667426171589</v>
      </c>
      <c r="Z67" s="13">
        <v>69468.728101278102</v>
      </c>
      <c r="AA67" s="13">
        <v>75257.788776384608</v>
      </c>
      <c r="AB67" s="13">
        <v>81046.849451491114</v>
      </c>
      <c r="AC67" s="13">
        <v>81046.849451491114</v>
      </c>
      <c r="AD67" s="13">
        <v>81046.849451491114</v>
      </c>
      <c r="AE67" s="13">
        <v>81046.849451491114</v>
      </c>
      <c r="AF67" s="13">
        <v>81046.849451491114</v>
      </c>
      <c r="AG67" s="13">
        <v>81046.849451491114</v>
      </c>
      <c r="AH67" s="13">
        <v>81046.849451491114</v>
      </c>
      <c r="AI67" s="13">
        <v>81046.849451491114</v>
      </c>
      <c r="AJ67" s="13">
        <v>81046.849451491114</v>
      </c>
      <c r="AK67" s="13">
        <v>81046.849451491114</v>
      </c>
      <c r="AL67" s="13">
        <v>81046.849451491114</v>
      </c>
      <c r="AM67" s="13">
        <v>81046.849451491114</v>
      </c>
      <c r="AN67" s="13">
        <v>81046.849451491114</v>
      </c>
    </row>
    <row r="68" spans="2:40" x14ac:dyDescent="0.25">
      <c r="B68" s="39"/>
      <c r="C68" s="12"/>
    </row>
    <row r="69" spans="2:40" x14ac:dyDescent="0.25">
      <c r="B69" s="39" t="s">
        <v>304</v>
      </c>
      <c r="C69" s="12"/>
      <c r="E69" s="106" cm="1">
        <f t="array" ref="E69:AN70">_xlfn.LET(_xlpm.Customer_staff,_xlfn._xlws.FILTER(Base!$D$96:$BD$97,ISNUMBER(SEARCH($B$1&amp;"-"&amp;$C$1,Base!$D$4:$BD$4))),_xlpm.Customer,_xlfn.ANCHORARRAY($E$1),_xlpm.headcount,_xlpm.Customer/_xlpm.Customer_staff,
_xlpm.rounding,_xlfn.VSTACK(0,0),IFERROR(ROUND(_xlpm.headcount,_xlpm.rounding),0))</f>
        <v>0</v>
      </c>
      <c r="F69" s="106">
        <v>0</v>
      </c>
      <c r="G69" s="106">
        <v>0</v>
      </c>
      <c r="H69" s="106">
        <v>0</v>
      </c>
      <c r="I69" s="106">
        <v>0</v>
      </c>
      <c r="J69" s="106">
        <v>0</v>
      </c>
      <c r="K69" s="106">
        <v>0</v>
      </c>
      <c r="L69" s="106">
        <v>0</v>
      </c>
      <c r="M69" s="106">
        <v>0</v>
      </c>
      <c r="N69" s="106">
        <v>0</v>
      </c>
      <c r="O69" s="106">
        <v>0</v>
      </c>
      <c r="P69" s="106">
        <v>0</v>
      </c>
      <c r="Q69" s="106">
        <v>0</v>
      </c>
      <c r="R69" s="106">
        <v>0</v>
      </c>
      <c r="S69" s="106">
        <v>0</v>
      </c>
      <c r="T69" s="106">
        <v>0</v>
      </c>
      <c r="U69" s="106">
        <v>1</v>
      </c>
      <c r="V69" s="106">
        <v>1</v>
      </c>
      <c r="W69" s="106">
        <v>1</v>
      </c>
      <c r="X69" s="106">
        <v>1</v>
      </c>
      <c r="Y69" s="106">
        <v>1</v>
      </c>
      <c r="Z69" s="106">
        <v>1</v>
      </c>
      <c r="AA69" s="106">
        <v>1</v>
      </c>
      <c r="AB69" s="106">
        <v>1</v>
      </c>
      <c r="AC69" s="106">
        <v>1</v>
      </c>
      <c r="AD69" s="106">
        <v>1</v>
      </c>
      <c r="AE69" s="106">
        <v>1</v>
      </c>
      <c r="AF69" s="106">
        <v>1</v>
      </c>
      <c r="AG69" s="106">
        <v>1</v>
      </c>
      <c r="AH69" s="106">
        <v>1</v>
      </c>
      <c r="AI69" s="106">
        <v>1</v>
      </c>
      <c r="AJ69" s="106">
        <v>1</v>
      </c>
      <c r="AK69" s="106">
        <v>1</v>
      </c>
      <c r="AL69" s="106">
        <v>1</v>
      </c>
      <c r="AM69" s="106">
        <v>1</v>
      </c>
      <c r="AN69" s="106">
        <v>1</v>
      </c>
    </row>
    <row r="70" spans="2:40" x14ac:dyDescent="0.25">
      <c r="B70" s="39" t="s">
        <v>305</v>
      </c>
      <c r="C70" s="12"/>
      <c r="E70" s="106">
        <v>0</v>
      </c>
      <c r="F70" s="106">
        <v>0</v>
      </c>
      <c r="G70" s="106">
        <v>0</v>
      </c>
      <c r="H70" s="106">
        <v>0</v>
      </c>
      <c r="I70" s="106">
        <v>0</v>
      </c>
      <c r="J70" s="106">
        <v>0</v>
      </c>
      <c r="K70" s="106">
        <v>0</v>
      </c>
      <c r="L70" s="106">
        <v>0</v>
      </c>
      <c r="M70" s="106">
        <v>0</v>
      </c>
      <c r="N70" s="106">
        <v>0</v>
      </c>
      <c r="O70" s="106">
        <v>0</v>
      </c>
      <c r="P70" s="106">
        <v>0</v>
      </c>
      <c r="Q70" s="106">
        <v>0</v>
      </c>
      <c r="R70" s="106">
        <v>0</v>
      </c>
      <c r="S70" s="106">
        <v>0</v>
      </c>
      <c r="T70" s="106">
        <v>0</v>
      </c>
      <c r="U70" s="106">
        <v>0</v>
      </c>
      <c r="V70" s="106">
        <v>1</v>
      </c>
      <c r="W70" s="106">
        <v>1</v>
      </c>
      <c r="X70" s="106">
        <v>1</v>
      </c>
      <c r="Y70" s="106">
        <v>1</v>
      </c>
      <c r="Z70" s="106">
        <v>1</v>
      </c>
      <c r="AA70" s="106">
        <v>1</v>
      </c>
      <c r="AB70" s="106">
        <v>1</v>
      </c>
      <c r="AC70" s="106">
        <v>1</v>
      </c>
      <c r="AD70" s="106">
        <v>1</v>
      </c>
      <c r="AE70" s="106">
        <v>1</v>
      </c>
      <c r="AF70" s="106">
        <v>1</v>
      </c>
      <c r="AG70" s="106">
        <v>1</v>
      </c>
      <c r="AH70" s="106">
        <v>1</v>
      </c>
      <c r="AI70" s="106">
        <v>1</v>
      </c>
      <c r="AJ70" s="106">
        <v>1</v>
      </c>
      <c r="AK70" s="106">
        <v>1</v>
      </c>
      <c r="AL70" s="106">
        <v>1</v>
      </c>
      <c r="AM70" s="106">
        <v>1</v>
      </c>
      <c r="AN70" s="106">
        <v>1</v>
      </c>
    </row>
    <row r="71" spans="2:40" x14ac:dyDescent="0.25">
      <c r="B71" s="39"/>
      <c r="C71" s="12"/>
    </row>
    <row r="72" spans="2:40" x14ac:dyDescent="0.25">
      <c r="B72" s="39" t="s">
        <v>23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0</v>
      </c>
      <c r="F72" s="12">
        <v>0</v>
      </c>
      <c r="G72" s="12">
        <v>0</v>
      </c>
      <c r="H72" s="12">
        <v>0</v>
      </c>
      <c r="I72" s="12">
        <v>0</v>
      </c>
      <c r="J72" s="12">
        <v>0</v>
      </c>
      <c r="K72" s="12">
        <v>0</v>
      </c>
      <c r="L72" s="12">
        <v>0</v>
      </c>
      <c r="M72" s="12">
        <v>0</v>
      </c>
      <c r="N72" s="12">
        <v>0</v>
      </c>
      <c r="O72" s="12">
        <v>629.35619066995855</v>
      </c>
      <c r="P72" s="12">
        <v>1258.7123813399171</v>
      </c>
      <c r="Q72" s="12">
        <v>2076.8754292108624</v>
      </c>
      <c r="R72" s="12">
        <v>2769.1672389478153</v>
      </c>
      <c r="S72" s="12">
        <v>3461.459048684771</v>
      </c>
      <c r="T72" s="12">
        <v>4153.7508584217248</v>
      </c>
      <c r="U72" s="12">
        <v>20030.442668158681</v>
      </c>
      <c r="V72" s="12">
        <v>35907.134477895634</v>
      </c>
      <c r="W72" s="12">
        <v>36599.426287632588</v>
      </c>
      <c r="X72" s="12">
        <v>37291.718097369543</v>
      </c>
      <c r="Y72" s="12">
        <v>37984.009907106498</v>
      </c>
      <c r="Z72" s="12">
        <v>38676.301716843453</v>
      </c>
      <c r="AA72" s="12">
        <v>39368.5935265804</v>
      </c>
      <c r="AB72" s="12">
        <v>40060.885336317362</v>
      </c>
      <c r="AC72" s="12">
        <v>44066.973869949092</v>
      </c>
      <c r="AD72" s="12">
        <v>44066.973869949092</v>
      </c>
      <c r="AE72" s="12">
        <v>44066.973869949092</v>
      </c>
      <c r="AF72" s="12">
        <v>44066.973869949092</v>
      </c>
      <c r="AG72" s="12">
        <v>44066.973869949092</v>
      </c>
      <c r="AH72" s="12">
        <v>44066.973869949092</v>
      </c>
      <c r="AI72" s="12">
        <v>44066.973869949092</v>
      </c>
      <c r="AJ72" s="12">
        <v>44066.973869949092</v>
      </c>
      <c r="AK72" s="12">
        <v>44066.973869949092</v>
      </c>
      <c r="AL72" s="12">
        <v>44066.973869949092</v>
      </c>
      <c r="AM72" s="12">
        <v>44066.973869949092</v>
      </c>
      <c r="AN72" s="12">
        <v>44066.973869949092</v>
      </c>
    </row>
    <row r="73" spans="2:40" x14ac:dyDescent="0.25">
      <c r="B73" s="39" t="s">
        <v>24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306</v>
      </c>
      <c r="E75" s="74" cm="1">
        <f t="array" ref="E75:AN75">_xlfn.ANCHORARRAY(E67)-_xlfn.ANCHORARRAY(E72)-_xlfn.ANCHORARRAY(E73)</f>
        <v>0</v>
      </c>
      <c r="F75" s="74">
        <v>0</v>
      </c>
      <c r="G75" s="74">
        <v>0</v>
      </c>
      <c r="H75" s="74">
        <v>0</v>
      </c>
      <c r="I75" s="74">
        <v>0</v>
      </c>
      <c r="J75" s="74">
        <v>0</v>
      </c>
      <c r="K75" s="74">
        <v>0</v>
      </c>
      <c r="L75" s="74">
        <v>0</v>
      </c>
      <c r="M75" s="74">
        <v>0</v>
      </c>
      <c r="N75" s="74">
        <v>0</v>
      </c>
      <c r="O75" s="74">
        <v>4991.0910667150001</v>
      </c>
      <c r="P75" s="74">
        <v>9982.1821334300002</v>
      </c>
      <c r="Q75" s="74">
        <v>15290.306596108663</v>
      </c>
      <c r="R75" s="74">
        <v>20387.075461478216</v>
      </c>
      <c r="S75" s="74">
        <v>25483.844326847775</v>
      </c>
      <c r="T75" s="74">
        <v>30580.613192217326</v>
      </c>
      <c r="U75" s="74">
        <v>20492.982057586876</v>
      </c>
      <c r="V75" s="74">
        <v>10405.35092295643</v>
      </c>
      <c r="W75" s="74">
        <v>15502.119788325988</v>
      </c>
      <c r="X75" s="74">
        <v>20598.888653695547</v>
      </c>
      <c r="Y75" s="74">
        <v>25695.657519065091</v>
      </c>
      <c r="Z75" s="74">
        <v>30792.42638443465</v>
      </c>
      <c r="AA75" s="74">
        <v>35889.195249804208</v>
      </c>
      <c r="AB75" s="74">
        <v>40985.964115173752</v>
      </c>
      <c r="AC75" s="74">
        <v>36979.875581542023</v>
      </c>
      <c r="AD75" s="74">
        <v>36979.875581542023</v>
      </c>
      <c r="AE75" s="74">
        <v>36979.875581542023</v>
      </c>
      <c r="AF75" s="74">
        <v>36979.875581542023</v>
      </c>
      <c r="AG75" s="74">
        <v>36979.875581542023</v>
      </c>
      <c r="AH75" s="74">
        <v>36979.875581542023</v>
      </c>
      <c r="AI75" s="74">
        <v>36979.875581542023</v>
      </c>
      <c r="AJ75" s="74">
        <v>36979.875581542023</v>
      </c>
      <c r="AK75" s="74">
        <v>36979.875581542023</v>
      </c>
      <c r="AL75" s="74">
        <v>36979.875581542023</v>
      </c>
      <c r="AM75" s="74">
        <v>36979.875581542023</v>
      </c>
      <c r="AN75" s="74">
        <v>36979.875581542023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CAEB8-5419-45A4-824C-8EFD9722557C}">
  <dimension ref="A1:AX75"/>
  <sheetViews>
    <sheetView workbookViewId="0">
      <pane xSplit="4" ySplit="25" topLeftCell="E26" activePane="bottomRight" state="frozen"/>
      <selection activeCell="E63" sqref="E63:E65"/>
      <selection pane="topRight" activeCell="E63" sqref="E63:E65"/>
      <selection pane="bottomLeft" activeCell="E63" sqref="E63:E65"/>
      <selection pane="bottomRight" activeCell="E63" sqref="E63:E65"/>
    </sheetView>
  </sheetViews>
  <sheetFormatPr defaultRowHeight="15" outlineLevelRow="1" x14ac:dyDescent="0.25"/>
  <cols>
    <col min="2" max="2" width="24.5703125" bestFit="1" customWidth="1"/>
    <col min="3" max="3" width="10.7109375" bestFit="1" customWidth="1"/>
    <col min="4" max="4" width="10" bestFit="1" customWidth="1"/>
    <col min="5" max="5" width="11.42578125" bestFit="1" customWidth="1"/>
    <col min="6" max="6" width="11.7109375" bestFit="1" customWidth="1"/>
    <col min="7" max="13" width="12.28515625" bestFit="1" customWidth="1"/>
    <col min="14" max="18" width="11.5703125" bestFit="1" customWidth="1"/>
    <col min="19" max="40" width="12.5703125" bestFit="1" customWidth="1"/>
  </cols>
  <sheetData>
    <row r="1" spans="1:40" x14ac:dyDescent="0.25">
      <c r="A1" s="96" t="str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/>
      </c>
      <c r="B1" s="58" t="s">
        <v>437</v>
      </c>
      <c r="C1" s="16" t="s">
        <v>344</v>
      </c>
      <c r="D1" s="3" t="s">
        <v>307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IFERROR(_xlpm.kiddos,0))</f>
        <v>0</v>
      </c>
      <c r="F1" s="69">
        <v>0</v>
      </c>
      <c r="G1" s="69">
        <v>0</v>
      </c>
      <c r="H1" s="69">
        <v>0</v>
      </c>
      <c r="I1" s="69">
        <v>0</v>
      </c>
      <c r="J1" s="69">
        <v>0</v>
      </c>
      <c r="K1" s="69">
        <v>0</v>
      </c>
      <c r="L1" s="69">
        <v>0</v>
      </c>
      <c r="M1" s="69">
        <v>0</v>
      </c>
      <c r="N1" s="69">
        <v>0</v>
      </c>
      <c r="O1" s="69">
        <v>1</v>
      </c>
      <c r="P1" s="69">
        <v>3</v>
      </c>
      <c r="Q1" s="69">
        <v>5</v>
      </c>
      <c r="R1" s="69">
        <v>6</v>
      </c>
      <c r="S1" s="69">
        <v>8</v>
      </c>
      <c r="T1" s="69">
        <v>10</v>
      </c>
      <c r="U1" s="69">
        <v>12</v>
      </c>
      <c r="V1" s="69">
        <v>13</v>
      </c>
      <c r="W1" s="69">
        <v>15</v>
      </c>
      <c r="X1" s="69">
        <v>17</v>
      </c>
      <c r="Y1" s="69">
        <v>18</v>
      </c>
      <c r="Z1" s="69">
        <v>20</v>
      </c>
      <c r="AA1" s="69">
        <v>22</v>
      </c>
      <c r="AB1" s="69">
        <v>24</v>
      </c>
      <c r="AC1" s="69">
        <v>24</v>
      </c>
      <c r="AD1" s="69">
        <v>24</v>
      </c>
      <c r="AE1" s="69">
        <v>24</v>
      </c>
      <c r="AF1" s="69">
        <v>24</v>
      </c>
      <c r="AG1" s="69">
        <v>24</v>
      </c>
      <c r="AH1" s="69">
        <v>24</v>
      </c>
      <c r="AI1" s="69">
        <v>24</v>
      </c>
      <c r="AJ1" s="69">
        <v>24</v>
      </c>
      <c r="AK1" s="69">
        <v>24</v>
      </c>
      <c r="AL1" s="69">
        <v>24</v>
      </c>
      <c r="AM1" s="69">
        <v>24</v>
      </c>
      <c r="AN1" s="69">
        <v>24</v>
      </c>
    </row>
    <row r="2" spans="1:40" x14ac:dyDescent="0.25">
      <c r="A2" s="65"/>
      <c r="B2" s="3" t="str">
        <f>_xlfn.XLOOKUP($B$1&amp;"-"&amp;$C$1,Base!$D$4:$BD$4,Base!$D$2:$BD$2,"",0)</f>
        <v>New Jersey</v>
      </c>
      <c r="C2" s="55"/>
      <c r="D2" s="55" t="s">
        <v>259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0</v>
      </c>
      <c r="F2" s="69">
        <v>0</v>
      </c>
      <c r="G2" s="69">
        <v>0</v>
      </c>
      <c r="H2" s="69">
        <v>0</v>
      </c>
      <c r="I2" s="69">
        <v>0</v>
      </c>
      <c r="J2" s="69">
        <v>0</v>
      </c>
      <c r="K2" s="69">
        <v>0</v>
      </c>
      <c r="L2" s="69">
        <v>0</v>
      </c>
      <c r="M2" s="69">
        <v>0</v>
      </c>
      <c r="N2" s="69">
        <v>0</v>
      </c>
      <c r="O2" s="69">
        <v>0</v>
      </c>
      <c r="P2" s="69">
        <v>1.8809523809523809</v>
      </c>
      <c r="Q2" s="69">
        <v>2.0476190476190474</v>
      </c>
      <c r="R2" s="69">
        <v>2.2142857142857144</v>
      </c>
      <c r="S2" s="69">
        <v>2.3809523809523809</v>
      </c>
      <c r="T2" s="69">
        <v>2.5476190476190474</v>
      </c>
      <c r="U2" s="69">
        <v>2.7142857142857144</v>
      </c>
      <c r="V2" s="69">
        <v>2.8809523809523809</v>
      </c>
      <c r="W2" s="69">
        <v>3.0476190476190474</v>
      </c>
      <c r="X2" s="69">
        <v>3.2142857142857144</v>
      </c>
      <c r="Y2" s="69">
        <v>3.3809523809523809</v>
      </c>
      <c r="Z2" s="69">
        <v>3.5476190476190474</v>
      </c>
      <c r="AA2" s="69">
        <v>3.7142857142857144</v>
      </c>
      <c r="AB2" s="69">
        <v>2</v>
      </c>
      <c r="AC2" s="69">
        <v>2</v>
      </c>
      <c r="AD2" s="69">
        <v>2</v>
      </c>
      <c r="AE2" s="69">
        <v>2</v>
      </c>
      <c r="AF2" s="69">
        <v>2</v>
      </c>
      <c r="AG2" s="69">
        <v>2</v>
      </c>
      <c r="AH2" s="69">
        <v>2</v>
      </c>
      <c r="AI2" s="69">
        <v>2</v>
      </c>
      <c r="AJ2" s="69">
        <v>2</v>
      </c>
      <c r="AK2" s="69">
        <v>2</v>
      </c>
      <c r="AL2" s="69">
        <v>2</v>
      </c>
      <c r="AM2" s="69">
        <v>2</v>
      </c>
      <c r="AN2" s="69">
        <v>2</v>
      </c>
    </row>
    <row r="3" spans="1:40" x14ac:dyDescent="0.25">
      <c r="A3" s="65"/>
      <c r="B3" s="55"/>
      <c r="C3" s="55"/>
      <c r="D3" s="55" t="s">
        <v>62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_xlpm.months_since,DATEDIF(_xlpm.launchdate,_xlfn.ANCHORARRAY($E$25),"m"),_xlfn.BYCOL(_xlpm.months_since,_xlfn.LAMBDA(_xlpm.a,IFERROR(MIN(_xlpm.a/6,_xlpm.max_kiddos),0))))</f>
        <v>0</v>
      </c>
      <c r="F3" s="69">
        <v>0</v>
      </c>
      <c r="G3" s="69">
        <v>0</v>
      </c>
      <c r="H3" s="69">
        <v>0</v>
      </c>
      <c r="I3" s="69">
        <v>0</v>
      </c>
      <c r="J3" s="69">
        <v>0</v>
      </c>
      <c r="K3" s="69">
        <v>0</v>
      </c>
      <c r="L3" s="69">
        <v>0</v>
      </c>
      <c r="M3" s="69">
        <v>0</v>
      </c>
      <c r="N3" s="69">
        <v>0</v>
      </c>
      <c r="O3" s="69">
        <v>0</v>
      </c>
      <c r="P3" s="69">
        <v>0.16666666666666666</v>
      </c>
      <c r="Q3" s="69">
        <v>0.33333333333333331</v>
      </c>
      <c r="R3" s="69">
        <v>0.5</v>
      </c>
      <c r="S3" s="69">
        <v>0.66666666666666663</v>
      </c>
      <c r="T3" s="69">
        <v>0.83333333333333337</v>
      </c>
      <c r="U3" s="69">
        <v>1</v>
      </c>
      <c r="V3" s="69">
        <v>1.1666666666666667</v>
      </c>
      <c r="W3" s="69">
        <v>1.3333333333333333</v>
      </c>
      <c r="X3" s="69">
        <v>1.5</v>
      </c>
      <c r="Y3" s="69">
        <v>1.6666666666666667</v>
      </c>
      <c r="Z3" s="69">
        <v>1.8333333333333333</v>
      </c>
      <c r="AA3" s="69">
        <v>2</v>
      </c>
      <c r="AB3" s="69">
        <v>2</v>
      </c>
      <c r="AC3" s="69">
        <v>2</v>
      </c>
      <c r="AD3" s="69">
        <v>2</v>
      </c>
      <c r="AE3" s="69">
        <v>2</v>
      </c>
      <c r="AF3" s="69">
        <v>2</v>
      </c>
      <c r="AG3" s="69">
        <v>2</v>
      </c>
      <c r="AH3" s="69">
        <v>2</v>
      </c>
      <c r="AI3" s="69">
        <v>2</v>
      </c>
      <c r="AJ3" s="69">
        <v>2</v>
      </c>
      <c r="AK3" s="69">
        <v>2</v>
      </c>
      <c r="AL3" s="69">
        <v>2</v>
      </c>
      <c r="AM3" s="69">
        <v>2</v>
      </c>
      <c r="AN3" s="69">
        <v>2</v>
      </c>
    </row>
    <row r="4" spans="1:40" x14ac:dyDescent="0.25">
      <c r="A4" s="65"/>
      <c r="B4" s="55"/>
      <c r="C4" s="55"/>
      <c r="D4" s="55" t="s">
        <v>260</v>
      </c>
      <c r="E4" s="69" cm="1">
        <f t="array" ref="E4:AN4">_xlfn.BYCOL(_xlfn.VSTACK(_xlfn.ANCHORARRAY($E$1),_xlfn.ANCHORARRAY($E$2)),_xlfn.LAMBDA(_xlpm.a,SUM(_xlpm.a)))</f>
        <v>0</v>
      </c>
      <c r="F4" s="69">
        <v>0</v>
      </c>
      <c r="G4" s="69">
        <v>0</v>
      </c>
      <c r="H4" s="69">
        <v>0</v>
      </c>
      <c r="I4" s="69">
        <v>0</v>
      </c>
      <c r="J4" s="69">
        <v>0</v>
      </c>
      <c r="K4" s="69">
        <v>0</v>
      </c>
      <c r="L4" s="69">
        <v>0</v>
      </c>
      <c r="M4" s="69">
        <v>0</v>
      </c>
      <c r="N4" s="69">
        <v>0</v>
      </c>
      <c r="O4" s="69">
        <v>1</v>
      </c>
      <c r="P4" s="69">
        <v>4.8809523809523814</v>
      </c>
      <c r="Q4" s="69">
        <v>7.0476190476190474</v>
      </c>
      <c r="R4" s="69">
        <v>8.2142857142857153</v>
      </c>
      <c r="S4" s="69">
        <v>10.380952380952381</v>
      </c>
      <c r="T4" s="69">
        <v>12.547619047619047</v>
      </c>
      <c r="U4" s="69">
        <v>14.714285714285715</v>
      </c>
      <c r="V4" s="69">
        <v>15.880952380952381</v>
      </c>
      <c r="W4" s="69">
        <v>18.047619047619047</v>
      </c>
      <c r="X4" s="69">
        <v>20.214285714285715</v>
      </c>
      <c r="Y4" s="69">
        <v>21.38095238095238</v>
      </c>
      <c r="Z4" s="69">
        <v>23.547619047619047</v>
      </c>
      <c r="AA4" s="69">
        <v>25.714285714285715</v>
      </c>
      <c r="AB4" s="69">
        <v>26</v>
      </c>
      <c r="AC4" s="69">
        <v>26</v>
      </c>
      <c r="AD4" s="69">
        <v>26</v>
      </c>
      <c r="AE4" s="69">
        <v>26</v>
      </c>
      <c r="AF4" s="69">
        <v>26</v>
      </c>
      <c r="AG4" s="69">
        <v>26</v>
      </c>
      <c r="AH4" s="69">
        <v>26</v>
      </c>
      <c r="AI4" s="69">
        <v>26</v>
      </c>
      <c r="AJ4" s="69">
        <v>26</v>
      </c>
      <c r="AK4" s="69">
        <v>26</v>
      </c>
      <c r="AL4" s="69">
        <v>26</v>
      </c>
      <c r="AM4" s="69">
        <v>26</v>
      </c>
      <c r="AN4" s="69">
        <v>26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107</v>
      </c>
      <c r="C6" s="3"/>
      <c r="D6" s="3"/>
      <c r="E6" s="66" cm="1">
        <f t="array" ref="E6:AN6">ROUND(_xlfn.BYCOL(_xlfn.ANCHORARRAY(E7),_xlfn.LAMBDA(_xlpm.a,SUM(_xlpm.a))),0)</f>
        <v>0</v>
      </c>
      <c r="F6" s="66">
        <v>0</v>
      </c>
      <c r="G6" s="66">
        <v>0</v>
      </c>
      <c r="H6" s="66">
        <v>0</v>
      </c>
      <c r="I6" s="66">
        <v>0</v>
      </c>
      <c r="J6" s="66">
        <v>0</v>
      </c>
      <c r="K6" s="66">
        <v>0</v>
      </c>
      <c r="L6" s="66">
        <v>0</v>
      </c>
      <c r="M6" s="66">
        <v>0</v>
      </c>
      <c r="N6" s="66">
        <v>0</v>
      </c>
      <c r="O6" s="66">
        <v>2</v>
      </c>
      <c r="P6" s="66">
        <v>4</v>
      </c>
      <c r="Q6" s="66">
        <v>5</v>
      </c>
      <c r="R6" s="66">
        <v>6</v>
      </c>
      <c r="S6" s="66">
        <v>7</v>
      </c>
      <c r="T6" s="66">
        <v>8</v>
      </c>
      <c r="U6" s="66">
        <v>9</v>
      </c>
      <c r="V6" s="66">
        <v>10</v>
      </c>
      <c r="W6" s="66">
        <v>11</v>
      </c>
      <c r="X6" s="66">
        <v>12</v>
      </c>
      <c r="Y6" s="66">
        <v>13</v>
      </c>
      <c r="Z6" s="66">
        <v>14</v>
      </c>
      <c r="AA6" s="66">
        <v>15</v>
      </c>
      <c r="AB6" s="66">
        <v>16</v>
      </c>
      <c r="AC6" s="66">
        <v>16</v>
      </c>
      <c r="AD6" s="66">
        <v>16</v>
      </c>
      <c r="AE6" s="66">
        <v>16</v>
      </c>
      <c r="AF6" s="66">
        <v>16</v>
      </c>
      <c r="AG6" s="66">
        <v>16</v>
      </c>
      <c r="AH6" s="66">
        <v>16</v>
      </c>
      <c r="AI6" s="66">
        <v>16</v>
      </c>
      <c r="AJ6" s="66">
        <v>16</v>
      </c>
      <c r="AK6" s="66">
        <v>16</v>
      </c>
      <c r="AL6" s="66">
        <v>16</v>
      </c>
      <c r="AM6" s="66">
        <v>16</v>
      </c>
      <c r="AN6" s="66">
        <v>16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1"/>
      <c r="E7" s="106" cm="1">
        <f t="array" ref="E7:AN20">_xlfn.LET(_xlpm.Customer_staff,_xlfn._xlws.FILTER(Base!$D$85:$BD$98,ISNUMBER(SEARCH($B$1&amp;"-"&amp;$C$1,Base!$D$4:$BD$4))),_xlpm.Customer,_xlfn.ANCHORARRAY($E$1),_xlpm.headcount,_xlpm.Customer/_xlpm.Customer_staff,
_xlpm.patient_staff,_xlfn.ANCHORARRAY($E$2)/_xlpm.Customer_staff,_xlpm.prim_staff_tr_rec,_xlfn.ANCHORARRAY($E$2)/_xlfn.CHOOSEROWS(_xlpm.Customer_staff,{7,8})+(_xlfn.ANCHORARRAY($E$1)*0.0055),_xlpm.rounding,_xlfn.VSTACK(2,2,0,0,2,2,2,2,2,2,2,0,0,0),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prim_staff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0</v>
      </c>
      <c r="F7" s="106">
        <v>0</v>
      </c>
      <c r="G7" s="106">
        <v>0</v>
      </c>
      <c r="H7" s="106">
        <v>0</v>
      </c>
      <c r="I7" s="106">
        <v>0</v>
      </c>
      <c r="J7" s="106">
        <v>0</v>
      </c>
      <c r="K7" s="106">
        <v>0</v>
      </c>
      <c r="L7" s="106">
        <v>0</v>
      </c>
      <c r="M7" s="106">
        <v>0</v>
      </c>
      <c r="N7" s="106">
        <v>0</v>
      </c>
      <c r="O7" s="106">
        <v>0.46</v>
      </c>
      <c r="P7" s="106">
        <v>1.36</v>
      </c>
      <c r="Q7" s="106">
        <v>2.2599999999999998</v>
      </c>
      <c r="R7" s="106">
        <v>2.71</v>
      </c>
      <c r="S7" s="106">
        <v>3.61</v>
      </c>
      <c r="T7" s="106">
        <v>4.51</v>
      </c>
      <c r="U7" s="106">
        <v>5.42</v>
      </c>
      <c r="V7" s="106">
        <v>5.87</v>
      </c>
      <c r="W7" s="106">
        <v>6.77</v>
      </c>
      <c r="X7" s="106">
        <v>7.67</v>
      </c>
      <c r="Y7" s="106">
        <v>8.1199999999999992</v>
      </c>
      <c r="Z7" s="106">
        <v>9.02</v>
      </c>
      <c r="AA7" s="106">
        <v>9.93</v>
      </c>
      <c r="AB7" s="106">
        <v>10.83</v>
      </c>
      <c r="AC7" s="106">
        <v>10.83</v>
      </c>
      <c r="AD7" s="106">
        <v>10.83</v>
      </c>
      <c r="AE7" s="106">
        <v>10.83</v>
      </c>
      <c r="AF7" s="106">
        <v>10.83</v>
      </c>
      <c r="AG7" s="106">
        <v>10.83</v>
      </c>
      <c r="AH7" s="106">
        <v>10.83</v>
      </c>
      <c r="AI7" s="106">
        <v>10.83</v>
      </c>
      <c r="AJ7" s="106">
        <v>10.83</v>
      </c>
      <c r="AK7" s="106">
        <v>10.83</v>
      </c>
      <c r="AL7" s="106">
        <v>10.83</v>
      </c>
      <c r="AM7" s="106">
        <v>10.83</v>
      </c>
      <c r="AN7" s="106">
        <v>10.83</v>
      </c>
    </row>
    <row r="8" spans="1:40" hidden="1" outlineLevel="1" x14ac:dyDescent="0.25">
      <c r="B8" s="39" t="str">
        <v>Secondary Direct Staff</v>
      </c>
      <c r="C8" s="3"/>
      <c r="D8" s="3"/>
      <c r="E8" s="106">
        <v>0</v>
      </c>
      <c r="F8" s="106">
        <v>0</v>
      </c>
      <c r="G8" s="106">
        <v>0</v>
      </c>
      <c r="H8" s="106">
        <v>0</v>
      </c>
      <c r="I8" s="106">
        <v>0</v>
      </c>
      <c r="J8" s="106">
        <v>0</v>
      </c>
      <c r="K8" s="106">
        <v>0</v>
      </c>
      <c r="L8" s="106">
        <v>0</v>
      </c>
      <c r="M8" s="106">
        <v>0</v>
      </c>
      <c r="N8" s="106">
        <v>0</v>
      </c>
      <c r="O8" s="106">
        <v>9.9999999999999992E-2</v>
      </c>
      <c r="P8" s="106">
        <v>0.28000000000000003</v>
      </c>
      <c r="Q8" s="106">
        <v>0.46</v>
      </c>
      <c r="R8" s="106">
        <v>0.55000000000000004</v>
      </c>
      <c r="S8" s="106">
        <v>0.73</v>
      </c>
      <c r="T8" s="106">
        <v>0.91</v>
      </c>
      <c r="U8" s="106">
        <v>1.1000000000000001</v>
      </c>
      <c r="V8" s="106">
        <v>1.19</v>
      </c>
      <c r="W8" s="106">
        <v>1.37</v>
      </c>
      <c r="X8" s="106">
        <v>1.55</v>
      </c>
      <c r="Y8" s="106">
        <v>1.64</v>
      </c>
      <c r="Z8" s="106">
        <v>1.82</v>
      </c>
      <c r="AA8" s="106">
        <v>2</v>
      </c>
      <c r="AB8" s="106">
        <v>2.19</v>
      </c>
      <c r="AC8" s="106">
        <v>2.19</v>
      </c>
      <c r="AD8" s="106">
        <v>2.19</v>
      </c>
      <c r="AE8" s="106">
        <v>2.19</v>
      </c>
      <c r="AF8" s="106">
        <v>2.19</v>
      </c>
      <c r="AG8" s="106">
        <v>2.19</v>
      </c>
      <c r="AH8" s="106">
        <v>2.19</v>
      </c>
      <c r="AI8" s="106">
        <v>2.19</v>
      </c>
      <c r="AJ8" s="106">
        <v>2.19</v>
      </c>
      <c r="AK8" s="106">
        <v>2.19</v>
      </c>
      <c r="AL8" s="106">
        <v>2.19</v>
      </c>
      <c r="AM8" s="106">
        <v>2.19</v>
      </c>
      <c r="AN8" s="106">
        <v>2.19</v>
      </c>
    </row>
    <row r="9" spans="1:40" hidden="1" outlineLevel="1" x14ac:dyDescent="0.25">
      <c r="B9" s="39" t="str">
        <v>Center Manager</v>
      </c>
      <c r="C9" s="3"/>
      <c r="D9" s="3"/>
      <c r="E9" s="106">
        <v>0</v>
      </c>
      <c r="F9" s="106">
        <v>0</v>
      </c>
      <c r="G9" s="106">
        <v>0</v>
      </c>
      <c r="H9" s="106">
        <v>0</v>
      </c>
      <c r="I9" s="106">
        <v>0</v>
      </c>
      <c r="J9" s="106">
        <v>0</v>
      </c>
      <c r="K9" s="106">
        <v>0</v>
      </c>
      <c r="L9" s="106">
        <v>0</v>
      </c>
      <c r="M9" s="106">
        <v>0</v>
      </c>
      <c r="N9" s="106">
        <v>0</v>
      </c>
      <c r="O9" s="106">
        <v>1</v>
      </c>
      <c r="P9" s="106">
        <v>1</v>
      </c>
      <c r="Q9" s="106">
        <v>1</v>
      </c>
      <c r="R9" s="106">
        <v>1</v>
      </c>
      <c r="S9" s="106">
        <v>1</v>
      </c>
      <c r="T9" s="106">
        <v>1</v>
      </c>
      <c r="U9" s="106">
        <v>1</v>
      </c>
      <c r="V9" s="106">
        <v>1</v>
      </c>
      <c r="W9" s="106">
        <v>1</v>
      </c>
      <c r="X9" s="106">
        <v>1</v>
      </c>
      <c r="Y9" s="106">
        <v>1</v>
      </c>
      <c r="Z9" s="106">
        <v>1</v>
      </c>
      <c r="AA9" s="106">
        <v>1</v>
      </c>
      <c r="AB9" s="106">
        <v>1</v>
      </c>
      <c r="AC9" s="106">
        <v>1</v>
      </c>
      <c r="AD9" s="106">
        <v>1</v>
      </c>
      <c r="AE9" s="106">
        <v>1</v>
      </c>
      <c r="AF9" s="106">
        <v>1</v>
      </c>
      <c r="AG9" s="106">
        <v>1</v>
      </c>
      <c r="AH9" s="106">
        <v>1</v>
      </c>
      <c r="AI9" s="106">
        <v>1</v>
      </c>
      <c r="AJ9" s="106">
        <v>1</v>
      </c>
      <c r="AK9" s="106">
        <v>1</v>
      </c>
      <c r="AL9" s="106">
        <v>1</v>
      </c>
      <c r="AM9" s="106">
        <v>1</v>
      </c>
      <c r="AN9" s="106">
        <v>1</v>
      </c>
    </row>
    <row r="10" spans="1:40" hidden="1" outlineLevel="1" x14ac:dyDescent="0.25">
      <c r="B10" s="39" t="str">
        <v>Intake</v>
      </c>
      <c r="C10" s="3"/>
      <c r="D10" s="3"/>
      <c r="E10" s="106">
        <v>0</v>
      </c>
      <c r="F10" s="106">
        <v>0</v>
      </c>
      <c r="G10" s="106">
        <v>0</v>
      </c>
      <c r="H10" s="106">
        <v>0</v>
      </c>
      <c r="I10" s="106">
        <v>0</v>
      </c>
      <c r="J10" s="106">
        <v>0</v>
      </c>
      <c r="K10" s="106">
        <v>0</v>
      </c>
      <c r="L10" s="106">
        <v>0</v>
      </c>
      <c r="M10" s="106">
        <v>0</v>
      </c>
      <c r="N10" s="106">
        <v>0</v>
      </c>
      <c r="O10" s="106">
        <v>0</v>
      </c>
      <c r="P10" s="106">
        <v>1</v>
      </c>
      <c r="Q10" s="106">
        <v>1</v>
      </c>
      <c r="R10" s="106">
        <v>1</v>
      </c>
      <c r="S10" s="106">
        <v>1</v>
      </c>
      <c r="T10" s="106">
        <v>1</v>
      </c>
      <c r="U10" s="106">
        <v>1</v>
      </c>
      <c r="V10" s="106">
        <v>1</v>
      </c>
      <c r="W10" s="106">
        <v>1</v>
      </c>
      <c r="X10" s="106">
        <v>1</v>
      </c>
      <c r="Y10" s="106">
        <v>1</v>
      </c>
      <c r="Z10" s="106">
        <v>1</v>
      </c>
      <c r="AA10" s="106">
        <v>1</v>
      </c>
      <c r="AB10" s="106">
        <v>1</v>
      </c>
      <c r="AC10" s="106">
        <v>1</v>
      </c>
      <c r="AD10" s="106">
        <v>1</v>
      </c>
      <c r="AE10" s="106">
        <v>1</v>
      </c>
      <c r="AF10" s="106">
        <v>1</v>
      </c>
      <c r="AG10" s="106">
        <v>1</v>
      </c>
      <c r="AH10" s="106">
        <v>1</v>
      </c>
      <c r="AI10" s="106">
        <v>1</v>
      </c>
      <c r="AJ10" s="106">
        <v>1</v>
      </c>
      <c r="AK10" s="106">
        <v>1</v>
      </c>
      <c r="AL10" s="106">
        <v>1</v>
      </c>
      <c r="AM10" s="106">
        <v>1</v>
      </c>
      <c r="AN10" s="106">
        <v>1</v>
      </c>
    </row>
    <row r="11" spans="1:40" hidden="1" outlineLevel="1" x14ac:dyDescent="0.25">
      <c r="B11" s="39" t="str">
        <v>Scheduler</v>
      </c>
      <c r="C11" s="3"/>
      <c r="D11" s="3"/>
      <c r="E11" s="106">
        <v>0</v>
      </c>
      <c r="F11" s="106">
        <v>0</v>
      </c>
      <c r="G11" s="106">
        <v>0</v>
      </c>
      <c r="H11" s="106">
        <v>0</v>
      </c>
      <c r="I11" s="106">
        <v>0</v>
      </c>
      <c r="J11" s="106">
        <v>0</v>
      </c>
      <c r="K11" s="106">
        <v>0</v>
      </c>
      <c r="L11" s="106">
        <v>0</v>
      </c>
      <c r="M11" s="106">
        <v>0</v>
      </c>
      <c r="N11" s="106">
        <v>0</v>
      </c>
      <c r="O11" s="106">
        <v>0</v>
      </c>
      <c r="P11" s="106">
        <v>0</v>
      </c>
      <c r="Q11" s="106">
        <v>0</v>
      </c>
      <c r="R11" s="106">
        <v>0</v>
      </c>
      <c r="S11" s="106">
        <v>0</v>
      </c>
      <c r="T11" s="106">
        <v>0</v>
      </c>
      <c r="U11" s="106">
        <v>0</v>
      </c>
      <c r="V11" s="106">
        <v>0</v>
      </c>
      <c r="W11" s="106">
        <v>0</v>
      </c>
      <c r="X11" s="106">
        <v>0</v>
      </c>
      <c r="Y11" s="106">
        <v>0</v>
      </c>
      <c r="Z11" s="106">
        <v>0</v>
      </c>
      <c r="AA11" s="106">
        <v>0</v>
      </c>
      <c r="AB11" s="106">
        <v>0</v>
      </c>
      <c r="AC11" s="106">
        <v>0</v>
      </c>
      <c r="AD11" s="106">
        <v>0</v>
      </c>
      <c r="AE11" s="106">
        <v>0</v>
      </c>
      <c r="AF11" s="106">
        <v>0</v>
      </c>
      <c r="AG11" s="106">
        <v>0</v>
      </c>
      <c r="AH11" s="106">
        <v>0</v>
      </c>
      <c r="AI11" s="106">
        <v>0</v>
      </c>
      <c r="AJ11" s="106">
        <v>0</v>
      </c>
      <c r="AK11" s="106">
        <v>0</v>
      </c>
      <c r="AL11" s="106">
        <v>0</v>
      </c>
      <c r="AM11" s="106">
        <v>0</v>
      </c>
      <c r="AN11" s="106">
        <v>0</v>
      </c>
    </row>
    <row r="12" spans="1:40" hidden="1" outlineLevel="1" x14ac:dyDescent="0.25">
      <c r="B12" s="39" t="str">
        <v>Initial Consultation Expert</v>
      </c>
      <c r="C12" s="3"/>
      <c r="D12" s="3"/>
      <c r="E12" s="106">
        <v>0</v>
      </c>
      <c r="F12" s="106">
        <v>0</v>
      </c>
      <c r="G12" s="106">
        <v>0</v>
      </c>
      <c r="H12" s="106">
        <v>0</v>
      </c>
      <c r="I12" s="106">
        <v>0</v>
      </c>
      <c r="J12" s="106">
        <v>0</v>
      </c>
      <c r="K12" s="106">
        <v>0</v>
      </c>
      <c r="L12" s="106">
        <v>0</v>
      </c>
      <c r="M12" s="106">
        <v>0</v>
      </c>
      <c r="N12" s="106">
        <v>0</v>
      </c>
      <c r="O12" s="106">
        <v>0</v>
      </c>
      <c r="P12" s="106">
        <v>0.15000000000000002</v>
      </c>
      <c r="Q12" s="106">
        <v>0.16</v>
      </c>
      <c r="R12" s="106">
        <v>0.18000000000000002</v>
      </c>
      <c r="S12" s="106">
        <v>0.19</v>
      </c>
      <c r="T12" s="106">
        <v>0.2</v>
      </c>
      <c r="U12" s="106">
        <v>0.21000000000000002</v>
      </c>
      <c r="V12" s="106">
        <v>0.23</v>
      </c>
      <c r="W12" s="106">
        <v>0.24000000000000002</v>
      </c>
      <c r="X12" s="106">
        <v>0.25</v>
      </c>
      <c r="Y12" s="106">
        <v>0.27</v>
      </c>
      <c r="Z12" s="106">
        <v>0.28000000000000003</v>
      </c>
      <c r="AA12" s="106">
        <v>0.29000000000000004</v>
      </c>
      <c r="AB12" s="106">
        <v>0.16</v>
      </c>
      <c r="AC12" s="106">
        <v>0.16</v>
      </c>
      <c r="AD12" s="106">
        <v>0.16</v>
      </c>
      <c r="AE12" s="106">
        <v>0.16</v>
      </c>
      <c r="AF12" s="106">
        <v>0.16</v>
      </c>
      <c r="AG12" s="106">
        <v>0.16</v>
      </c>
      <c r="AH12" s="106">
        <v>0.16</v>
      </c>
      <c r="AI12" s="106">
        <v>0.16</v>
      </c>
      <c r="AJ12" s="106">
        <v>0.16</v>
      </c>
      <c r="AK12" s="106">
        <v>0.16</v>
      </c>
      <c r="AL12" s="106">
        <v>0.16</v>
      </c>
      <c r="AM12" s="106">
        <v>0.16</v>
      </c>
      <c r="AN12" s="106">
        <v>0.16</v>
      </c>
    </row>
    <row r="13" spans="1:40" hidden="1" outlineLevel="1" x14ac:dyDescent="0.25">
      <c r="B13" s="39" t="str">
        <v>Trainer</v>
      </c>
      <c r="C13" s="3"/>
      <c r="D13" s="3"/>
      <c r="E13" s="106">
        <v>0</v>
      </c>
      <c r="F13" s="106">
        <v>0</v>
      </c>
      <c r="G13" s="106">
        <v>0</v>
      </c>
      <c r="H13" s="106">
        <v>0</v>
      </c>
      <c r="I13" s="106">
        <v>0</v>
      </c>
      <c r="J13" s="106">
        <v>0</v>
      </c>
      <c r="K13" s="106">
        <v>0</v>
      </c>
      <c r="L13" s="106">
        <v>0</v>
      </c>
      <c r="M13" s="106">
        <v>0</v>
      </c>
      <c r="N13" s="106">
        <v>0</v>
      </c>
      <c r="O13" s="106">
        <v>0.01</v>
      </c>
      <c r="P13" s="106">
        <v>0.21000000000000002</v>
      </c>
      <c r="Q13" s="106">
        <v>0.24000000000000002</v>
      </c>
      <c r="R13" s="106">
        <v>0.26</v>
      </c>
      <c r="S13" s="106">
        <v>0.29000000000000004</v>
      </c>
      <c r="T13" s="106">
        <v>0.31</v>
      </c>
      <c r="U13" s="106">
        <v>0.34</v>
      </c>
      <c r="V13" s="106">
        <v>0.36</v>
      </c>
      <c r="W13" s="106">
        <v>0.39</v>
      </c>
      <c r="X13" s="106">
        <v>0.42</v>
      </c>
      <c r="Y13" s="106">
        <v>0.44</v>
      </c>
      <c r="Z13" s="106">
        <v>0.47000000000000003</v>
      </c>
      <c r="AA13" s="106">
        <v>0.5</v>
      </c>
      <c r="AB13" s="106">
        <v>0.34</v>
      </c>
      <c r="AC13" s="106">
        <v>0.34</v>
      </c>
      <c r="AD13" s="106">
        <v>0.34</v>
      </c>
      <c r="AE13" s="106">
        <v>0.34</v>
      </c>
      <c r="AF13" s="106">
        <v>0.34</v>
      </c>
      <c r="AG13" s="106">
        <v>0.34</v>
      </c>
      <c r="AH13" s="106">
        <v>0.34</v>
      </c>
      <c r="AI13" s="106">
        <v>0.34</v>
      </c>
      <c r="AJ13" s="106">
        <v>0.34</v>
      </c>
      <c r="AK13" s="106">
        <v>0.34</v>
      </c>
      <c r="AL13" s="106">
        <v>0.34</v>
      </c>
      <c r="AM13" s="106">
        <v>0.34</v>
      </c>
      <c r="AN13" s="106">
        <v>0.34</v>
      </c>
    </row>
    <row r="14" spans="1:40" hidden="1" outlineLevel="1" x14ac:dyDescent="0.25">
      <c r="B14" s="39" t="str">
        <v>Recruiter</v>
      </c>
      <c r="C14" s="3"/>
      <c r="D14" s="3"/>
      <c r="E14" s="106">
        <v>0</v>
      </c>
      <c r="F14" s="106">
        <v>0</v>
      </c>
      <c r="G14" s="106">
        <v>0</v>
      </c>
      <c r="H14" s="106">
        <v>0</v>
      </c>
      <c r="I14" s="106">
        <v>0</v>
      </c>
      <c r="J14" s="106">
        <v>0</v>
      </c>
      <c r="K14" s="106">
        <v>0</v>
      </c>
      <c r="L14" s="106">
        <v>0</v>
      </c>
      <c r="M14" s="106">
        <v>0</v>
      </c>
      <c r="N14" s="106">
        <v>0</v>
      </c>
      <c r="O14" s="106">
        <v>0.01</v>
      </c>
      <c r="P14" s="106">
        <v>0.12</v>
      </c>
      <c r="Q14" s="106">
        <v>0.13</v>
      </c>
      <c r="R14" s="106">
        <v>0.15000000000000002</v>
      </c>
      <c r="S14" s="106">
        <v>0.17</v>
      </c>
      <c r="T14" s="106">
        <v>0.19</v>
      </c>
      <c r="U14" s="106">
        <v>0.21000000000000002</v>
      </c>
      <c r="V14" s="106">
        <v>0.22</v>
      </c>
      <c r="W14" s="106">
        <v>0.24000000000000002</v>
      </c>
      <c r="X14" s="106">
        <v>0.26</v>
      </c>
      <c r="Y14" s="106">
        <v>0.27</v>
      </c>
      <c r="Z14" s="106">
        <v>0.29000000000000004</v>
      </c>
      <c r="AA14" s="106">
        <v>0.31</v>
      </c>
      <c r="AB14" s="106">
        <v>0.24000000000000002</v>
      </c>
      <c r="AC14" s="106">
        <v>0.24000000000000002</v>
      </c>
      <c r="AD14" s="106">
        <v>0.24000000000000002</v>
      </c>
      <c r="AE14" s="106">
        <v>0.24000000000000002</v>
      </c>
      <c r="AF14" s="106">
        <v>0.24000000000000002</v>
      </c>
      <c r="AG14" s="106">
        <v>0.24000000000000002</v>
      </c>
      <c r="AH14" s="106">
        <v>0.24000000000000002</v>
      </c>
      <c r="AI14" s="106">
        <v>0.24000000000000002</v>
      </c>
      <c r="AJ14" s="106">
        <v>0.24000000000000002</v>
      </c>
      <c r="AK14" s="106">
        <v>0.24000000000000002</v>
      </c>
      <c r="AL14" s="106">
        <v>0.24000000000000002</v>
      </c>
      <c r="AM14" s="106">
        <v>0.24000000000000002</v>
      </c>
      <c r="AN14" s="106">
        <v>0.24000000000000002</v>
      </c>
    </row>
    <row r="15" spans="1:40" hidden="1" outlineLevel="1" x14ac:dyDescent="0.25">
      <c r="B15" s="39" t="str">
        <v>Center Director / Remote Site Director</v>
      </c>
      <c r="C15" s="3"/>
      <c r="D15" s="3"/>
      <c r="E15" s="106">
        <v>0</v>
      </c>
      <c r="F15" s="106">
        <v>0</v>
      </c>
      <c r="G15" s="106">
        <v>0</v>
      </c>
      <c r="H15" s="106">
        <v>0</v>
      </c>
      <c r="I15" s="106">
        <v>0</v>
      </c>
      <c r="J15" s="106">
        <v>0</v>
      </c>
      <c r="K15" s="106">
        <v>0</v>
      </c>
      <c r="L15" s="106">
        <v>0</v>
      </c>
      <c r="M15" s="106">
        <v>0</v>
      </c>
      <c r="N15" s="106">
        <v>0</v>
      </c>
      <c r="O15" s="106">
        <v>0.01</v>
      </c>
      <c r="P15" s="106">
        <v>0.02</v>
      </c>
      <c r="Q15" s="106">
        <v>0.02</v>
      </c>
      <c r="R15" s="106">
        <v>0.03</v>
      </c>
      <c r="S15" s="106">
        <v>0.04</v>
      </c>
      <c r="T15" s="106">
        <v>0.04</v>
      </c>
      <c r="U15" s="106">
        <v>0.05</v>
      </c>
      <c r="V15" s="106">
        <v>6.0000000000000005E-2</v>
      </c>
      <c r="W15" s="106">
        <v>0.06</v>
      </c>
      <c r="X15" s="106">
        <v>6.9999999999999993E-2</v>
      </c>
      <c r="Y15" s="106">
        <v>0.08</v>
      </c>
      <c r="Z15" s="106">
        <v>0.08</v>
      </c>
      <c r="AA15" s="106">
        <v>0.09</v>
      </c>
      <c r="AB15" s="106">
        <v>9.9999999999999992E-2</v>
      </c>
      <c r="AC15" s="106">
        <v>9.9999999999999992E-2</v>
      </c>
      <c r="AD15" s="106">
        <v>9.9999999999999992E-2</v>
      </c>
      <c r="AE15" s="106">
        <v>9.9999999999999992E-2</v>
      </c>
      <c r="AF15" s="106">
        <v>9.9999999999999992E-2</v>
      </c>
      <c r="AG15" s="106">
        <v>9.9999999999999992E-2</v>
      </c>
      <c r="AH15" s="106">
        <v>9.9999999999999992E-2</v>
      </c>
      <c r="AI15" s="106">
        <v>9.9999999999999992E-2</v>
      </c>
      <c r="AJ15" s="106">
        <v>9.9999999999999992E-2</v>
      </c>
      <c r="AK15" s="106">
        <v>9.9999999999999992E-2</v>
      </c>
      <c r="AL15" s="106">
        <v>9.9999999999999992E-2</v>
      </c>
      <c r="AM15" s="106">
        <v>9.9999999999999992E-2</v>
      </c>
      <c r="AN15" s="106">
        <v>9.9999999999999992E-2</v>
      </c>
    </row>
    <row r="16" spans="1:40" hidden="1" outlineLevel="1" x14ac:dyDescent="0.25">
      <c r="B16" s="39" t="str">
        <v>Center Marketing Outreach</v>
      </c>
      <c r="C16" s="3"/>
      <c r="D16" s="3"/>
      <c r="E16" s="106">
        <v>0</v>
      </c>
      <c r="F16" s="106">
        <v>0</v>
      </c>
      <c r="G16" s="106">
        <v>0</v>
      </c>
      <c r="H16" s="106">
        <v>0</v>
      </c>
      <c r="I16" s="106">
        <v>0</v>
      </c>
      <c r="J16" s="106">
        <v>0</v>
      </c>
      <c r="K16" s="106">
        <v>0</v>
      </c>
      <c r="L16" s="106">
        <v>0</v>
      </c>
      <c r="M16" s="106">
        <v>0</v>
      </c>
      <c r="N16" s="106">
        <v>0</v>
      </c>
      <c r="O16" s="106">
        <v>0.01</v>
      </c>
      <c r="P16" s="106">
        <v>0.02</v>
      </c>
      <c r="Q16" s="106">
        <v>0.02</v>
      </c>
      <c r="R16" s="106">
        <v>0.03</v>
      </c>
      <c r="S16" s="106">
        <v>0.04</v>
      </c>
      <c r="T16" s="106">
        <v>0.04</v>
      </c>
      <c r="U16" s="106">
        <v>0.05</v>
      </c>
      <c r="V16" s="106">
        <v>6.0000000000000005E-2</v>
      </c>
      <c r="W16" s="106">
        <v>0.06</v>
      </c>
      <c r="X16" s="106">
        <v>6.9999999999999993E-2</v>
      </c>
      <c r="Y16" s="106">
        <v>0.08</v>
      </c>
      <c r="Z16" s="106">
        <v>0.08</v>
      </c>
      <c r="AA16" s="106">
        <v>0.09</v>
      </c>
      <c r="AB16" s="106">
        <v>9.9999999999999992E-2</v>
      </c>
      <c r="AC16" s="106">
        <v>9.9999999999999992E-2</v>
      </c>
      <c r="AD16" s="106">
        <v>9.9999999999999992E-2</v>
      </c>
      <c r="AE16" s="106">
        <v>9.9999999999999992E-2</v>
      </c>
      <c r="AF16" s="106">
        <v>9.9999999999999992E-2</v>
      </c>
      <c r="AG16" s="106">
        <v>9.9999999999999992E-2</v>
      </c>
      <c r="AH16" s="106">
        <v>9.9999999999999992E-2</v>
      </c>
      <c r="AI16" s="106">
        <v>9.9999999999999992E-2</v>
      </c>
      <c r="AJ16" s="106">
        <v>9.9999999999999992E-2</v>
      </c>
      <c r="AK16" s="106">
        <v>9.9999999999999992E-2</v>
      </c>
      <c r="AL16" s="106">
        <v>9.9999999999999992E-2</v>
      </c>
      <c r="AM16" s="106">
        <v>9.9999999999999992E-2</v>
      </c>
      <c r="AN16" s="106">
        <v>9.9999999999999992E-2</v>
      </c>
    </row>
    <row r="17" spans="2:50" hidden="1" outlineLevel="1" x14ac:dyDescent="0.25">
      <c r="B17" s="39" t="str">
        <v>Primary Direct Staff Lead</v>
      </c>
      <c r="C17" s="3"/>
      <c r="D17" s="3"/>
      <c r="E17" s="106">
        <v>0</v>
      </c>
      <c r="F17" s="106">
        <v>0</v>
      </c>
      <c r="G17" s="106">
        <v>0</v>
      </c>
      <c r="H17" s="106">
        <v>0</v>
      </c>
      <c r="I17" s="106">
        <v>0</v>
      </c>
      <c r="J17" s="106">
        <v>0</v>
      </c>
      <c r="K17" s="106">
        <v>0</v>
      </c>
      <c r="L17" s="106">
        <v>0</v>
      </c>
      <c r="M17" s="106">
        <v>0</v>
      </c>
      <c r="N17" s="106">
        <v>0</v>
      </c>
      <c r="O17" s="106">
        <v>0</v>
      </c>
      <c r="P17" s="106">
        <v>0</v>
      </c>
      <c r="Q17" s="106">
        <v>0</v>
      </c>
      <c r="R17" s="106">
        <v>0</v>
      </c>
      <c r="S17" s="106">
        <v>0</v>
      </c>
      <c r="T17" s="106">
        <v>0</v>
      </c>
      <c r="U17" s="106">
        <v>0</v>
      </c>
      <c r="V17" s="106">
        <v>0</v>
      </c>
      <c r="W17" s="106">
        <v>0</v>
      </c>
      <c r="X17" s="106">
        <v>0</v>
      </c>
      <c r="Y17" s="106">
        <v>0</v>
      </c>
      <c r="Z17" s="106">
        <v>0</v>
      </c>
      <c r="AA17" s="106">
        <v>0</v>
      </c>
      <c r="AB17" s="106">
        <v>0</v>
      </c>
      <c r="AC17" s="106">
        <v>0</v>
      </c>
      <c r="AD17" s="106">
        <v>0</v>
      </c>
      <c r="AE17" s="106">
        <v>0</v>
      </c>
      <c r="AF17" s="106">
        <v>0</v>
      </c>
      <c r="AG17" s="106">
        <v>0</v>
      </c>
      <c r="AH17" s="106">
        <v>0</v>
      </c>
      <c r="AI17" s="106">
        <v>0</v>
      </c>
      <c r="AJ17" s="106">
        <v>0</v>
      </c>
      <c r="AK17" s="106">
        <v>0</v>
      </c>
      <c r="AL17" s="106">
        <v>0</v>
      </c>
      <c r="AM17" s="106">
        <v>0</v>
      </c>
      <c r="AN17" s="106">
        <v>0</v>
      </c>
    </row>
    <row r="18" spans="2:50" hidden="1" outlineLevel="1" x14ac:dyDescent="0.25">
      <c r="B18" s="39" t="str">
        <v>Tertiary Direct Staff</v>
      </c>
      <c r="C18" s="3"/>
      <c r="D18" s="3"/>
      <c r="E18" s="106">
        <v>0</v>
      </c>
      <c r="F18" s="106">
        <v>0</v>
      </c>
      <c r="G18" s="106">
        <v>0</v>
      </c>
      <c r="H18" s="106">
        <v>0</v>
      </c>
      <c r="I18" s="106">
        <v>0</v>
      </c>
      <c r="J18" s="106">
        <v>0</v>
      </c>
      <c r="K18" s="106">
        <v>0</v>
      </c>
      <c r="L18" s="106">
        <v>0</v>
      </c>
      <c r="M18" s="106">
        <v>0</v>
      </c>
      <c r="N18" s="106">
        <v>0</v>
      </c>
      <c r="O18" s="106">
        <v>0</v>
      </c>
      <c r="P18" s="106">
        <v>0</v>
      </c>
      <c r="Q18" s="106">
        <v>0</v>
      </c>
      <c r="R18" s="106">
        <v>0</v>
      </c>
      <c r="S18" s="106">
        <v>0</v>
      </c>
      <c r="T18" s="106">
        <v>0</v>
      </c>
      <c r="U18" s="106">
        <v>0</v>
      </c>
      <c r="V18" s="106">
        <v>0</v>
      </c>
      <c r="W18" s="106">
        <v>0</v>
      </c>
      <c r="X18" s="106">
        <v>0</v>
      </c>
      <c r="Y18" s="106">
        <v>0</v>
      </c>
      <c r="Z18" s="106">
        <v>0</v>
      </c>
      <c r="AA18" s="106">
        <v>0</v>
      </c>
      <c r="AB18" s="106">
        <v>0</v>
      </c>
      <c r="AC18" s="106">
        <v>0</v>
      </c>
      <c r="AD18" s="106">
        <v>0</v>
      </c>
      <c r="AE18" s="106">
        <v>0</v>
      </c>
      <c r="AF18" s="106">
        <v>0</v>
      </c>
      <c r="AG18" s="106">
        <v>0</v>
      </c>
      <c r="AH18" s="106">
        <v>0</v>
      </c>
      <c r="AI18" s="106">
        <v>0</v>
      </c>
      <c r="AJ18" s="106">
        <v>0</v>
      </c>
      <c r="AK18" s="106">
        <v>0</v>
      </c>
      <c r="AL18" s="106">
        <v>0</v>
      </c>
      <c r="AM18" s="106">
        <v>0</v>
      </c>
      <c r="AN18" s="106">
        <v>0</v>
      </c>
    </row>
    <row r="19" spans="2:50" hidden="1" outlineLevel="1" x14ac:dyDescent="0.25">
      <c r="B19" s="39" t="str">
        <v>Quinary Direct Staff</v>
      </c>
      <c r="C19" s="3"/>
      <c r="D19" s="3"/>
      <c r="E19" s="106">
        <v>0</v>
      </c>
      <c r="F19" s="106">
        <v>0</v>
      </c>
      <c r="G19" s="106">
        <v>0</v>
      </c>
      <c r="H19" s="106">
        <v>0</v>
      </c>
      <c r="I19" s="106">
        <v>0</v>
      </c>
      <c r="J19" s="106">
        <v>0</v>
      </c>
      <c r="K19" s="106">
        <v>0</v>
      </c>
      <c r="L19" s="106">
        <v>0</v>
      </c>
      <c r="M19" s="106">
        <v>0</v>
      </c>
      <c r="N19" s="106">
        <v>0</v>
      </c>
      <c r="O19" s="106">
        <v>0</v>
      </c>
      <c r="P19" s="106">
        <v>0</v>
      </c>
      <c r="Q19" s="106">
        <v>0</v>
      </c>
      <c r="R19" s="106">
        <v>0</v>
      </c>
      <c r="S19" s="106">
        <v>0</v>
      </c>
      <c r="T19" s="106">
        <v>0</v>
      </c>
      <c r="U19" s="106">
        <v>0</v>
      </c>
      <c r="V19" s="106">
        <v>0</v>
      </c>
      <c r="W19" s="106">
        <v>0</v>
      </c>
      <c r="X19" s="106">
        <v>0</v>
      </c>
      <c r="Y19" s="106">
        <v>0</v>
      </c>
      <c r="Z19" s="106">
        <v>0</v>
      </c>
      <c r="AA19" s="106">
        <v>0</v>
      </c>
      <c r="AB19" s="106">
        <v>0</v>
      </c>
      <c r="AC19" s="106">
        <v>0</v>
      </c>
      <c r="AD19" s="106">
        <v>0</v>
      </c>
      <c r="AE19" s="106">
        <v>0</v>
      </c>
      <c r="AF19" s="106">
        <v>0</v>
      </c>
      <c r="AG19" s="106">
        <v>0</v>
      </c>
      <c r="AH19" s="106">
        <v>0</v>
      </c>
      <c r="AI19" s="106">
        <v>0</v>
      </c>
      <c r="AJ19" s="106">
        <v>0</v>
      </c>
      <c r="AK19" s="106">
        <v>0</v>
      </c>
      <c r="AL19" s="106">
        <v>0</v>
      </c>
      <c r="AM19" s="106">
        <v>0</v>
      </c>
      <c r="AN19" s="106">
        <v>0</v>
      </c>
    </row>
    <row r="20" spans="2:50" hidden="1" outlineLevel="1" x14ac:dyDescent="0.25">
      <c r="B20" s="39" t="str">
        <v>Quaternary Direct Staff</v>
      </c>
      <c r="C20" s="3"/>
      <c r="D20" s="3"/>
      <c r="E20" s="106">
        <v>0</v>
      </c>
      <c r="F20" s="106">
        <v>0</v>
      </c>
      <c r="G20" s="106">
        <v>0</v>
      </c>
      <c r="H20" s="106">
        <v>0</v>
      </c>
      <c r="I20" s="106">
        <v>0</v>
      </c>
      <c r="J20" s="106">
        <v>0</v>
      </c>
      <c r="K20" s="106">
        <v>0</v>
      </c>
      <c r="L20" s="106">
        <v>0</v>
      </c>
      <c r="M20" s="106">
        <v>0</v>
      </c>
      <c r="N20" s="106">
        <v>0</v>
      </c>
      <c r="O20" s="106">
        <v>0</v>
      </c>
      <c r="P20" s="106">
        <v>0</v>
      </c>
      <c r="Q20" s="106">
        <v>0</v>
      </c>
      <c r="R20" s="106">
        <v>0</v>
      </c>
      <c r="S20" s="106">
        <v>0</v>
      </c>
      <c r="T20" s="106">
        <v>0</v>
      </c>
      <c r="U20" s="106">
        <v>0</v>
      </c>
      <c r="V20" s="106">
        <v>0</v>
      </c>
      <c r="W20" s="106">
        <v>0</v>
      </c>
      <c r="X20" s="106">
        <v>0</v>
      </c>
      <c r="Y20" s="106">
        <v>0</v>
      </c>
      <c r="Z20" s="106">
        <v>0</v>
      </c>
      <c r="AA20" s="106">
        <v>0</v>
      </c>
      <c r="AB20" s="106">
        <v>0</v>
      </c>
      <c r="AC20" s="106">
        <v>0</v>
      </c>
      <c r="AD20" s="106">
        <v>0</v>
      </c>
      <c r="AE20" s="106">
        <v>0</v>
      </c>
      <c r="AF20" s="106">
        <v>0</v>
      </c>
      <c r="AG20" s="106">
        <v>0</v>
      </c>
      <c r="AH20" s="106">
        <v>0</v>
      </c>
      <c r="AI20" s="106">
        <v>0</v>
      </c>
      <c r="AJ20" s="106">
        <v>0</v>
      </c>
      <c r="AK20" s="106">
        <v>0</v>
      </c>
      <c r="AL20" s="106">
        <v>0</v>
      </c>
      <c r="AM20" s="106">
        <v>0</v>
      </c>
      <c r="AN20" s="106">
        <v>0</v>
      </c>
    </row>
    <row r="21" spans="2:50" collapsed="1" x14ac:dyDescent="0.25">
      <c r="B21" s="39" t="s">
        <v>389</v>
      </c>
      <c r="C21" s="3"/>
      <c r="D21" s="5"/>
      <c r="E21" s="117" cm="1">
        <f t="array" ref="E21:AN21">ROUND(_xlfn.BYCOL(_xlfn.CHOOSEROWS(_xlfn.ANCHORARRAY(E7),1,2),_xlfn.LAMBDA(_xlpm.col,SUM(_xlpm.col))),0)</f>
        <v>0</v>
      </c>
      <c r="F21" s="117">
        <v>0</v>
      </c>
      <c r="G21" s="117">
        <v>0</v>
      </c>
      <c r="H21" s="117">
        <v>0</v>
      </c>
      <c r="I21" s="117">
        <v>0</v>
      </c>
      <c r="J21" s="117">
        <v>0</v>
      </c>
      <c r="K21" s="117">
        <v>0</v>
      </c>
      <c r="L21" s="117">
        <v>0</v>
      </c>
      <c r="M21" s="117">
        <v>0</v>
      </c>
      <c r="N21" s="117">
        <v>0</v>
      </c>
      <c r="O21" s="117">
        <v>1</v>
      </c>
      <c r="P21" s="117">
        <v>2</v>
      </c>
      <c r="Q21" s="117">
        <v>3</v>
      </c>
      <c r="R21" s="117">
        <v>3</v>
      </c>
      <c r="S21" s="117">
        <v>4</v>
      </c>
      <c r="T21" s="117">
        <v>5</v>
      </c>
      <c r="U21" s="117">
        <v>7</v>
      </c>
      <c r="V21" s="117">
        <v>7</v>
      </c>
      <c r="W21" s="117">
        <v>8</v>
      </c>
      <c r="X21" s="117">
        <v>9</v>
      </c>
      <c r="Y21" s="117">
        <v>10</v>
      </c>
      <c r="Z21" s="117">
        <v>11</v>
      </c>
      <c r="AA21" s="117">
        <v>12</v>
      </c>
      <c r="AB21" s="117">
        <v>13</v>
      </c>
      <c r="AC21" s="117">
        <v>13</v>
      </c>
      <c r="AD21" s="117">
        <v>13</v>
      </c>
      <c r="AE21" s="117">
        <v>13</v>
      </c>
      <c r="AF21" s="117">
        <v>13</v>
      </c>
      <c r="AG21" s="117">
        <v>13</v>
      </c>
      <c r="AH21" s="117">
        <v>13</v>
      </c>
      <c r="AI21" s="117">
        <v>13</v>
      </c>
      <c r="AJ21" s="117">
        <v>13</v>
      </c>
      <c r="AK21" s="117">
        <v>13</v>
      </c>
      <c r="AL21" s="117">
        <v>13</v>
      </c>
      <c r="AM21" s="117">
        <v>13</v>
      </c>
      <c r="AN21" s="117">
        <v>13</v>
      </c>
    </row>
    <row r="22" spans="2:50" x14ac:dyDescent="0.25">
      <c r="B22" s="2" t="s">
        <v>394</v>
      </c>
      <c r="C22" s="3"/>
      <c r="D22" s="77">
        <f>MAX(_xlfn.ANCHORARRAY(E22))</f>
        <v>174.55720170454555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0</v>
      </c>
      <c r="F22" s="78">
        <v>0</v>
      </c>
      <c r="G22" s="78">
        <v>0</v>
      </c>
      <c r="H22" s="78">
        <v>0</v>
      </c>
      <c r="I22" s="78">
        <v>0</v>
      </c>
      <c r="J22" s="78">
        <v>0</v>
      </c>
      <c r="K22" s="78">
        <v>0</v>
      </c>
      <c r="L22" s="78">
        <v>0</v>
      </c>
      <c r="M22" s="78">
        <v>0</v>
      </c>
      <c r="N22" s="78">
        <v>0</v>
      </c>
      <c r="O22" s="78">
        <v>169.4730113636364</v>
      </c>
      <c r="P22" s="78">
        <v>169.47301136363637</v>
      </c>
      <c r="Q22" s="78">
        <v>174.55720170454541</v>
      </c>
      <c r="R22" s="78">
        <v>174.55720170454543</v>
      </c>
      <c r="S22" s="78">
        <v>174.55720170454555</v>
      </c>
      <c r="T22" s="78">
        <v>174.55720170454541</v>
      </c>
      <c r="U22" s="78">
        <v>174.55720170454543</v>
      </c>
      <c r="V22" s="78">
        <v>174.55720170454546</v>
      </c>
      <c r="W22" s="78">
        <v>174.55720170454546</v>
      </c>
      <c r="X22" s="78">
        <v>174.55720170454549</v>
      </c>
      <c r="Y22" s="78">
        <v>174.55720170454549</v>
      </c>
      <c r="Z22" s="78">
        <v>174.55720170454541</v>
      </c>
      <c r="AA22" s="78">
        <v>174.55720170454541</v>
      </c>
      <c r="AB22" s="78">
        <v>174.55720170454543</v>
      </c>
      <c r="AC22" s="78">
        <v>174.55720170454543</v>
      </c>
      <c r="AD22" s="78">
        <v>174.55720170454543</v>
      </c>
      <c r="AE22" s="78">
        <v>174.55720170454543</v>
      </c>
      <c r="AF22" s="78">
        <v>174.55720170454543</v>
      </c>
      <c r="AG22" s="78">
        <v>174.55720170454543</v>
      </c>
      <c r="AH22" s="78">
        <v>174.55720170454543</v>
      </c>
      <c r="AI22" s="78">
        <v>174.55720170454543</v>
      </c>
      <c r="AJ22" s="78">
        <v>174.55720170454543</v>
      </c>
      <c r="AK22" s="78">
        <v>174.55720170454543</v>
      </c>
      <c r="AL22" s="78">
        <v>174.55720170454543</v>
      </c>
      <c r="AM22" s="78">
        <v>174.55720170454543</v>
      </c>
      <c r="AN22" s="78">
        <v>174.55720170454543</v>
      </c>
    </row>
    <row r="23" spans="2:50" x14ac:dyDescent="0.25">
      <c r="B23" s="2" t="s">
        <v>53</v>
      </c>
      <c r="C23" s="3"/>
      <c r="D23" s="72"/>
      <c r="E23" s="52" cm="1">
        <f t="array" ref="E23:AN23">_xlfn.LET(_xlpm.site,$B$1&amp;"-"&amp;$C$1,_xlpm.locations,Base!$D$4:$BD$4,_xlpm.Customer,_xlfn.ANCHORARRAY(E1),_xlpm.hours,SUM(_xlfn.XLOOKUP(_xlpm.site,_xlpm.locations,Base!$D$74:$BD$78,0,0)),
_xlpm.collection,1-_xlfn.XLOOKUP(_xlpm.site,_xlpm.locations,Base!$D$26:$BD$26,0,0),
_xlpm.Customer*_xlpm.hours*_xlpm.collection*(52/12))</f>
        <v>0</v>
      </c>
      <c r="F23" s="52">
        <v>0</v>
      </c>
      <c r="G23" s="52">
        <v>0</v>
      </c>
      <c r="H23" s="52">
        <v>0</v>
      </c>
      <c r="I23" s="52">
        <v>0</v>
      </c>
      <c r="J23" s="52">
        <v>0</v>
      </c>
      <c r="K23" s="52">
        <v>0</v>
      </c>
      <c r="L23" s="52">
        <v>0</v>
      </c>
      <c r="M23" s="52">
        <v>0</v>
      </c>
      <c r="N23" s="52">
        <v>0</v>
      </c>
      <c r="O23" s="52">
        <v>51.626666666666658</v>
      </c>
      <c r="P23" s="52">
        <v>154.88</v>
      </c>
      <c r="Q23" s="52">
        <v>258.13333333333333</v>
      </c>
      <c r="R23" s="52">
        <v>309.76</v>
      </c>
      <c r="S23" s="52">
        <v>413.01333333333326</v>
      </c>
      <c r="T23" s="52">
        <v>516.26666666666665</v>
      </c>
      <c r="U23" s="52">
        <v>619.52</v>
      </c>
      <c r="V23" s="52">
        <v>671.14666666666665</v>
      </c>
      <c r="W23" s="52">
        <v>774.39999999999986</v>
      </c>
      <c r="X23" s="52">
        <v>877.65333333333331</v>
      </c>
      <c r="Y23" s="52">
        <v>929.27999999999986</v>
      </c>
      <c r="Z23" s="52">
        <v>1032.5333333333333</v>
      </c>
      <c r="AA23" s="52">
        <v>1135.7866666666666</v>
      </c>
      <c r="AB23" s="52">
        <v>1239.04</v>
      </c>
      <c r="AC23" s="52">
        <v>1239.04</v>
      </c>
      <c r="AD23" s="52">
        <v>1239.04</v>
      </c>
      <c r="AE23" s="52">
        <v>1239.04</v>
      </c>
      <c r="AF23" s="52">
        <v>1239.04</v>
      </c>
      <c r="AG23" s="52">
        <v>1239.04</v>
      </c>
      <c r="AH23" s="52">
        <v>1239.04</v>
      </c>
      <c r="AI23" s="52">
        <v>1239.04</v>
      </c>
      <c r="AJ23" s="52">
        <v>1239.04</v>
      </c>
      <c r="AK23" s="52">
        <v>1239.04</v>
      </c>
      <c r="AL23" s="52">
        <v>1239.04</v>
      </c>
      <c r="AM23" s="52">
        <v>1239.04</v>
      </c>
      <c r="AN23" s="52">
        <v>1239.04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21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_xlfn.LET(_xlpm.site,$B$1&amp;"-"&amp;$C$1,_xlpm.locations,Base!$D$4:$BD$4,_xlpm.rates,Base!$D31:$BD31,_xlpm.hours,Base!$D74:$BD74,_xlpm.comp,_xlpm.rates*_xlpm.hours,_xlpm.Customer,_xlfn.ANCHORARRAY($E$1),
_xlpm.Customer_comp,_xlfn.XLOOKUP(_xlpm.site,_xlpm.locations,_xlpm.comp,0,0),_xlpm.ann_incr,_xlfn.XLOOKUP(YEAR(_xlfn.ANCHORARRAY($E$25)),Base!$BJ$4:$BL$4,Base!$BJ74:$BL74,0,0),
_xlpm.bad_debt,_xlfn.XLOOKUP(_xlpm.site,_xlpm.locations,Base!$D$28:$BD$28,0,0),_xlpm.Customer_comp*_xlpm.Customer*_xlpm.bad_debt*_xlpm.ann_incr*(52/12))</f>
        <v>0</v>
      </c>
      <c r="F26" s="12">
        <v>0</v>
      </c>
      <c r="G26" s="12">
        <v>0</v>
      </c>
      <c r="H26" s="12">
        <v>0</v>
      </c>
      <c r="I26" s="12">
        <v>0</v>
      </c>
      <c r="J26" s="12">
        <v>0</v>
      </c>
      <c r="K26" s="12">
        <v>0</v>
      </c>
      <c r="L26" s="12">
        <v>0</v>
      </c>
      <c r="M26" s="12">
        <v>0</v>
      </c>
      <c r="N26" s="12">
        <v>0</v>
      </c>
      <c r="O26" s="12">
        <v>7916.5233333333326</v>
      </c>
      <c r="P26" s="12">
        <v>23749.57</v>
      </c>
      <c r="Q26" s="12">
        <v>40770.095166666659</v>
      </c>
      <c r="R26" s="12">
        <v>48924.114199999996</v>
      </c>
      <c r="S26" s="12">
        <v>65232.152266666664</v>
      </c>
      <c r="T26" s="12">
        <v>81540.190333333318</v>
      </c>
      <c r="U26" s="12">
        <v>97848.228399999993</v>
      </c>
      <c r="V26" s="12">
        <v>106002.24743333334</v>
      </c>
      <c r="W26" s="12">
        <v>122310.28549999998</v>
      </c>
      <c r="X26" s="12">
        <v>138618.32356666666</v>
      </c>
      <c r="Y26" s="12">
        <v>146772.3426</v>
      </c>
      <c r="Z26" s="12">
        <v>163080.38066666664</v>
      </c>
      <c r="AA26" s="12">
        <v>179388.4187333333</v>
      </c>
      <c r="AB26" s="12">
        <v>195696.45679999999</v>
      </c>
      <c r="AC26" s="12">
        <v>195696.45679999999</v>
      </c>
      <c r="AD26" s="12">
        <v>195696.45679999999</v>
      </c>
      <c r="AE26" s="12">
        <v>195696.45679999999</v>
      </c>
      <c r="AF26" s="12">
        <v>195696.45679999999</v>
      </c>
      <c r="AG26" s="12">
        <v>195696.45679999999</v>
      </c>
      <c r="AH26" s="12">
        <v>195696.45679999999</v>
      </c>
      <c r="AI26" s="12">
        <v>195696.45679999999</v>
      </c>
      <c r="AJ26" s="12">
        <v>195696.45679999999</v>
      </c>
      <c r="AK26" s="12">
        <v>195696.45679999999</v>
      </c>
      <c r="AL26" s="12">
        <v>195696.45679999999</v>
      </c>
      <c r="AM26" s="12">
        <v>195696.45679999999</v>
      </c>
      <c r="AN26" s="12">
        <v>195696.45679999999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_xlfn.LET(_xlpm.site,$B$1&amp;"-"&amp;$C$1,_xlpm.locations,Base!$D$4:$BD$4,_xlpm.rates,Base!$D32:$BD32,_xlpm.hours,Base!$D75:$BD75,_xlpm.comp,_xlpm.rates*_xlpm.hours,_xlpm.Customer,_xlfn.ANCHORARRAY($E$1),
_xlpm.Customer_comp,_xlfn.XLOOKUP(_xlpm.site,_xlpm.locations,_xlpm.comp,0,0),_xlpm.ann_incr,_xlfn.XLOOKUP(YEAR(_xlfn.ANCHORARRAY($E$25)),Base!$BJ$4:$BL$4,Base!$BJ75:$BL75,0,0),
_xlpm.bad_debt,_xlfn.XLOOKUP(_xlpm.site,_xlpm.locations,Base!$D$28:$BD$28,0,0),_xlpm.Customer_comp*_xlpm.Customer*_xlpm.bad_debt*_xlpm.ann_incr*(52/12))</f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12">
        <v>0</v>
      </c>
      <c r="AA27" s="12">
        <v>0</v>
      </c>
      <c r="AB27" s="12">
        <v>0</v>
      </c>
      <c r="AC27" s="12">
        <v>0</v>
      </c>
      <c r="AD27" s="12">
        <v>0</v>
      </c>
      <c r="AE27" s="12">
        <v>0</v>
      </c>
      <c r="AF27" s="12">
        <v>0</v>
      </c>
      <c r="AG27" s="12">
        <v>0</v>
      </c>
      <c r="AH27" s="12">
        <v>0</v>
      </c>
      <c r="AI27" s="12">
        <v>0</v>
      </c>
      <c r="AJ27" s="12">
        <v>0</v>
      </c>
      <c r="AK27" s="12">
        <v>0</v>
      </c>
      <c r="AL27" s="12">
        <v>0</v>
      </c>
      <c r="AM27" s="12">
        <v>0</v>
      </c>
      <c r="AN27" s="12">
        <v>0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_xlfn.LET(_xlpm.site,$B$1&amp;"-"&amp;$C$1,_xlpm.locations,Base!$D$4:$BD$4,_xlpm.rates,Base!$D33:$BD33,_xlpm.hours,Base!$D76:$BD76,_xlpm.comp,_xlpm.rates*_xlpm.hours,_xlpm.Customer,_xlfn.ANCHORARRAY($E$1),
_xlpm.Customer_comp,_xlfn.XLOOKUP(_xlpm.site,_xlpm.locations,_xlpm.comp,0,0),_xlpm.ann_incr,_xlfn.XLOOKUP(YEAR(_xlfn.ANCHORARRAY($E$25)),Base!$BJ$4:$BL$4,Base!$BJ76:$BL76,0,0),
_xlpm.bad_debt,_xlfn.XLOOKUP(_xlpm.site,_xlpm.locations,Base!$D$28:$BD$28,0,0),_xlpm.Customer_comp*_xlpm.Customer*_xlpm.bad_debt*_xlpm.ann_incr*(52/12))</f>
        <v>0</v>
      </c>
      <c r="F28" s="12">
        <v>0</v>
      </c>
      <c r="G28" s="12">
        <v>0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0</v>
      </c>
      <c r="N28" s="12">
        <v>0</v>
      </c>
      <c r="O28" s="12">
        <v>1055.1969999999997</v>
      </c>
      <c r="P28" s="12">
        <v>3165.590999999999</v>
      </c>
      <c r="Q28" s="12">
        <v>5434.2645499999981</v>
      </c>
      <c r="R28" s="12">
        <v>6521.1174599999977</v>
      </c>
      <c r="S28" s="12">
        <v>8694.8232799999987</v>
      </c>
      <c r="T28" s="12">
        <v>10868.529099999996</v>
      </c>
      <c r="U28" s="12">
        <v>13042.234919999995</v>
      </c>
      <c r="V28" s="12">
        <v>14129.087829999997</v>
      </c>
      <c r="W28" s="12">
        <v>16302.793649999996</v>
      </c>
      <c r="X28" s="12">
        <v>18476.499469999999</v>
      </c>
      <c r="Y28" s="12">
        <v>19563.352379999993</v>
      </c>
      <c r="Z28" s="12">
        <v>21737.058199999992</v>
      </c>
      <c r="AA28" s="12">
        <v>23910.764019999991</v>
      </c>
      <c r="AB28" s="12">
        <v>26084.469839999991</v>
      </c>
      <c r="AC28" s="12">
        <v>26084.469839999991</v>
      </c>
      <c r="AD28" s="12">
        <v>26084.469839999991</v>
      </c>
      <c r="AE28" s="12">
        <v>26084.469839999991</v>
      </c>
      <c r="AF28" s="12">
        <v>26084.469839999991</v>
      </c>
      <c r="AG28" s="12">
        <v>26084.469839999991</v>
      </c>
      <c r="AH28" s="12">
        <v>26084.469839999991</v>
      </c>
      <c r="AI28" s="12">
        <v>26084.469839999991</v>
      </c>
      <c r="AJ28" s="12">
        <v>26084.469839999991</v>
      </c>
      <c r="AK28" s="12">
        <v>26084.469839999991</v>
      </c>
      <c r="AL28" s="12">
        <v>26084.469839999991</v>
      </c>
      <c r="AM28" s="12">
        <v>26084.469839999991</v>
      </c>
      <c r="AN28" s="12">
        <v>26084.469839999991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_xlfn.LET(_xlpm.site,$B$1&amp;"-"&amp;$C$1,_xlpm.locations,Base!$D$4:$BD$4,_xlpm.rates,Base!$D34:$BD34,_xlpm.hours,Base!$D77:$BD77,_xlpm.comp,_xlpm.rates*_xlpm.hours,_xlpm.Customer,_xlfn.ANCHORARRAY($E$1),
_xlpm.Customer_comp,_xlfn.XLOOKUP(_xlpm.site,_xlpm.locations,_xlpm.comp,0,0),_xlpm.ann_incr,_xlfn.XLOOKUP(YEAR(_xlfn.ANCHORARRAY($E$25)),Base!$BJ$4:$BL$4,Base!$BJ77:$BL77,0,0),
_xlpm.bad_debt,_xlfn.XLOOKUP(_xlpm.site,_xlpm.locations,Base!$D$28:$BD$28,0,0),_xlpm.Customer_comp*_xlpm.Customer*_xlpm.bad_debt*_xlpm.ann_incr*(52/12))</f>
        <v>0</v>
      </c>
      <c r="F29" s="12">
        <v>0</v>
      </c>
      <c r="G29" s="12">
        <v>0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0</v>
      </c>
      <c r="N29" s="12">
        <v>0</v>
      </c>
      <c r="O29" s="12">
        <v>162.33799999999999</v>
      </c>
      <c r="P29" s="12">
        <v>487.01399999999995</v>
      </c>
      <c r="Q29" s="12">
        <v>836.04070000000002</v>
      </c>
      <c r="R29" s="12">
        <v>1003.24884</v>
      </c>
      <c r="S29" s="12">
        <v>1337.6651199999999</v>
      </c>
      <c r="T29" s="12">
        <v>1672.0814</v>
      </c>
      <c r="U29" s="12">
        <v>2006.4976799999999</v>
      </c>
      <c r="V29" s="12">
        <v>2173.7058200000001</v>
      </c>
      <c r="W29" s="12">
        <v>2508.1221</v>
      </c>
      <c r="X29" s="12">
        <v>2842.5383799999995</v>
      </c>
      <c r="Y29" s="12">
        <v>3009.7465200000001</v>
      </c>
      <c r="Z29" s="12">
        <v>3344.1628000000001</v>
      </c>
      <c r="AA29" s="12">
        <v>3678.5790799999995</v>
      </c>
      <c r="AB29" s="12">
        <v>4012.9953599999999</v>
      </c>
      <c r="AC29" s="12">
        <v>4012.9953599999999</v>
      </c>
      <c r="AD29" s="12">
        <v>4012.9953599999999</v>
      </c>
      <c r="AE29" s="12">
        <v>4012.9953599999999</v>
      </c>
      <c r="AF29" s="12">
        <v>4012.9953599999999</v>
      </c>
      <c r="AG29" s="12">
        <v>4012.9953599999999</v>
      </c>
      <c r="AH29" s="12">
        <v>4012.9953599999999</v>
      </c>
      <c r="AI29" s="12">
        <v>4012.9953599999999</v>
      </c>
      <c r="AJ29" s="12">
        <v>4012.9953599999999</v>
      </c>
      <c r="AK29" s="12">
        <v>4012.9953599999999</v>
      </c>
      <c r="AL29" s="12">
        <v>4012.9953599999999</v>
      </c>
      <c r="AM29" s="12">
        <v>4012.9953599999999</v>
      </c>
      <c r="AN29" s="12">
        <v>4012.9953599999999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_xlfn.LET(_xlpm.site,$B$1&amp;"-"&amp;$C$1,_xlpm.locations,Base!$D$4:$BD$4,_xlpm.rates,Base!$D35:$BD35,_xlpm.hours,Base!$D78:$BD78,_xlpm.comp,_xlpm.rates*_xlpm.hours,_xlpm.Customer,_xlfn.ANCHORARRAY($E$1),
_xlpm.Customer_comp,_xlfn.XLOOKUP(_xlpm.site,_xlpm.locations,_xlpm.comp,0,0),_xlpm.ann_incr,_xlfn.XLOOKUP(YEAR(_xlfn.ANCHORARRAY($E$25)),Base!$BJ$4:$BL$4,Base!$BJ78:$BL78,0,0),
_xlpm.bad_debt,_xlfn.XLOOKUP(_xlpm.site,_xlpm.locations,Base!$D$28:$BD$28,0,0),_xlpm.Customer_comp*_xlpm.Customer*_xlpm.bad_debt*_xlpm.ann_incr*(52/12))</f>
        <v>0</v>
      </c>
      <c r="F30" s="12">
        <v>0</v>
      </c>
      <c r="G30" s="12">
        <v>0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0</v>
      </c>
      <c r="N30" s="12">
        <v>0</v>
      </c>
      <c r="O30" s="12">
        <v>211.8133333333333</v>
      </c>
      <c r="P30" s="12">
        <v>635.43999999999994</v>
      </c>
      <c r="Q30" s="12">
        <v>1090.8386666666665</v>
      </c>
      <c r="R30" s="12">
        <v>1309.0063999999998</v>
      </c>
      <c r="S30" s="12">
        <v>1745.3418666666664</v>
      </c>
      <c r="T30" s="12">
        <v>2181.6773333333331</v>
      </c>
      <c r="U30" s="12">
        <v>2618.0127999999995</v>
      </c>
      <c r="V30" s="12">
        <v>2836.1805333333332</v>
      </c>
      <c r="W30" s="12">
        <v>3272.5159999999996</v>
      </c>
      <c r="X30" s="12">
        <v>3708.8514666666661</v>
      </c>
      <c r="Y30" s="12">
        <v>3927.0191999999997</v>
      </c>
      <c r="Z30" s="12">
        <v>4363.3546666666662</v>
      </c>
      <c r="AA30" s="12">
        <v>4799.6901333333326</v>
      </c>
      <c r="AB30" s="12">
        <v>5236.025599999999</v>
      </c>
      <c r="AC30" s="12">
        <v>5236.025599999999</v>
      </c>
      <c r="AD30" s="12">
        <v>5236.025599999999</v>
      </c>
      <c r="AE30" s="12">
        <v>5236.025599999999</v>
      </c>
      <c r="AF30" s="12">
        <v>5236.025599999999</v>
      </c>
      <c r="AG30" s="12">
        <v>5236.025599999999</v>
      </c>
      <c r="AH30" s="12">
        <v>5236.025599999999</v>
      </c>
      <c r="AI30" s="12">
        <v>5236.025599999999</v>
      </c>
      <c r="AJ30" s="12">
        <v>5236.025599999999</v>
      </c>
      <c r="AK30" s="12">
        <v>5236.025599999999</v>
      </c>
      <c r="AL30" s="12">
        <v>5236.025599999999</v>
      </c>
      <c r="AM30" s="12">
        <v>5236.025599999999</v>
      </c>
      <c r="AN30" s="12">
        <v>5236.025599999999</v>
      </c>
    </row>
    <row r="31" spans="2:50" x14ac:dyDescent="0.25">
      <c r="B31" s="39" t="str">
        <f>Base!B36</f>
        <v>Tertiary Direct Staff - Service A</v>
      </c>
      <c r="C31" s="4"/>
      <c r="E31" s="183" cm="1">
        <f t="array" ref="E31:AN31">_xlfn.LET(_xlpm.site,$B$1&amp;"-"&amp;$C$1,_xlpm.locations,Base!$D$4:$BD$4,_xlpm.rates,Base!$D36:$BD36,_xlpm.hours,Base!$D79:$BD79,_xlpm.comp,_xlpm.rates*_xlpm.hours,_xlpm.Customer,_xlfn.ANCHORARRAY($E$1)*0,
_xlpm.Customer_comp,_xlfn.XLOOKUP(_xlpm.site,_xlpm.locations,_xlpm.comp,0,0),_xlpm.ann_incr,_xlfn.XLOOKUP(YEAR(_xlfn.ANCHORARRAY($E$25)),Base!$BJ$4:$BL$4,Base!$BJ79:$BL79,0,0),
_xlpm.bad_debt,_xlfn.XLOOKUP(_xlpm.site,_xlpm.locations,Base!$D$28:$BD$28,0,0),_xlpm.Customer_comp*_xlpm.Customer*_xlpm.bad_debt*_xlpm.ann_incr*(52/12))</f>
        <v>0</v>
      </c>
      <c r="F31" s="183">
        <v>0</v>
      </c>
      <c r="G31" s="183">
        <v>0</v>
      </c>
      <c r="H31" s="183">
        <v>0</v>
      </c>
      <c r="I31" s="183">
        <v>0</v>
      </c>
      <c r="J31" s="183">
        <v>0</v>
      </c>
      <c r="K31" s="183">
        <v>0</v>
      </c>
      <c r="L31" s="183">
        <v>0</v>
      </c>
      <c r="M31" s="183">
        <v>0</v>
      </c>
      <c r="N31" s="183">
        <v>0</v>
      </c>
      <c r="O31" s="183">
        <v>0</v>
      </c>
      <c r="P31" s="183">
        <v>0</v>
      </c>
      <c r="Q31" s="183">
        <v>0</v>
      </c>
      <c r="R31" s="183">
        <v>0</v>
      </c>
      <c r="S31" s="183">
        <v>0</v>
      </c>
      <c r="T31" s="183">
        <v>0</v>
      </c>
      <c r="U31" s="183">
        <v>0</v>
      </c>
      <c r="V31" s="183">
        <v>0</v>
      </c>
      <c r="W31" s="183">
        <v>0</v>
      </c>
      <c r="X31" s="183">
        <v>0</v>
      </c>
      <c r="Y31" s="183">
        <v>0</v>
      </c>
      <c r="Z31" s="183">
        <v>0</v>
      </c>
      <c r="AA31" s="183">
        <v>0</v>
      </c>
      <c r="AB31" s="183">
        <v>0</v>
      </c>
      <c r="AC31" s="183">
        <v>0</v>
      </c>
      <c r="AD31" s="183">
        <v>0</v>
      </c>
      <c r="AE31" s="183">
        <v>0</v>
      </c>
      <c r="AF31" s="183">
        <v>0</v>
      </c>
      <c r="AG31" s="183">
        <v>0</v>
      </c>
      <c r="AH31" s="183">
        <v>0</v>
      </c>
      <c r="AI31" s="183">
        <v>0</v>
      </c>
      <c r="AJ31" s="183">
        <v>0</v>
      </c>
      <c r="AK31" s="183">
        <v>0</v>
      </c>
      <c r="AL31" s="183">
        <v>0</v>
      </c>
      <c r="AM31" s="183">
        <v>0</v>
      </c>
      <c r="AN31" s="183">
        <v>0</v>
      </c>
    </row>
    <row r="32" spans="2:50" x14ac:dyDescent="0.25">
      <c r="B32" s="39" t="str">
        <f>Base!B37</f>
        <v>Tertiary Direct Staff - Service B</v>
      </c>
      <c r="C32" s="4"/>
      <c r="E32" s="183" cm="1">
        <f t="array" ref="E32:AN32">_xlfn.LET(_xlpm.site,$B$1&amp;"-"&amp;$C$1,_xlpm.locations,Base!$D$4:$BD$4,_xlpm.rates,Base!$D37:$BD37,_xlpm.hours,Base!$D80:$BD80,_xlpm.comp,_xlpm.rates*_xlpm.hours,_xlpm.Customer,_xlfn.ANCHORARRAY($E$1)*0,
_xlpm.Customer_comp,_xlfn.XLOOKUP(_xlpm.site,_xlpm.locations,_xlpm.comp,0,0),_xlpm.ann_incr,_xlfn.XLOOKUP(YEAR(_xlfn.ANCHORARRAY($E$25)),Base!$BJ$4:$BL$4,Base!$BJ80:$BL80,0,0),
_xlpm.bad_debt,_xlfn.XLOOKUP(_xlpm.site,_xlpm.locations,Base!$D$28:$BD$28,0,0),_xlpm.Customer_comp*_xlpm.Customer*_xlpm.bad_debt*_xlpm.ann_incr*(52/12))</f>
        <v>0</v>
      </c>
      <c r="F32" s="183">
        <v>0</v>
      </c>
      <c r="G32" s="183">
        <v>0</v>
      </c>
      <c r="H32" s="183">
        <v>0</v>
      </c>
      <c r="I32" s="183">
        <v>0</v>
      </c>
      <c r="J32" s="183">
        <v>0</v>
      </c>
      <c r="K32" s="183">
        <v>0</v>
      </c>
      <c r="L32" s="183">
        <v>0</v>
      </c>
      <c r="M32" s="183">
        <v>0</v>
      </c>
      <c r="N32" s="183">
        <v>0</v>
      </c>
      <c r="O32" s="183">
        <v>0</v>
      </c>
      <c r="P32" s="183">
        <v>0</v>
      </c>
      <c r="Q32" s="183">
        <v>0</v>
      </c>
      <c r="R32" s="183">
        <v>0</v>
      </c>
      <c r="S32" s="183">
        <v>0</v>
      </c>
      <c r="T32" s="183">
        <v>0</v>
      </c>
      <c r="U32" s="183">
        <v>0</v>
      </c>
      <c r="V32" s="183">
        <v>0</v>
      </c>
      <c r="W32" s="183">
        <v>0</v>
      </c>
      <c r="X32" s="183">
        <v>0</v>
      </c>
      <c r="Y32" s="183">
        <v>0</v>
      </c>
      <c r="Z32" s="183">
        <v>0</v>
      </c>
      <c r="AA32" s="183">
        <v>0</v>
      </c>
      <c r="AB32" s="183">
        <v>0</v>
      </c>
      <c r="AC32" s="183">
        <v>0</v>
      </c>
      <c r="AD32" s="183">
        <v>0</v>
      </c>
      <c r="AE32" s="183">
        <v>0</v>
      </c>
      <c r="AF32" s="183">
        <v>0</v>
      </c>
      <c r="AG32" s="183">
        <v>0</v>
      </c>
      <c r="AH32" s="183">
        <v>0</v>
      </c>
      <c r="AI32" s="183">
        <v>0</v>
      </c>
      <c r="AJ32" s="183">
        <v>0</v>
      </c>
      <c r="AK32" s="183">
        <v>0</v>
      </c>
      <c r="AL32" s="183">
        <v>0</v>
      </c>
      <c r="AM32" s="183">
        <v>0</v>
      </c>
      <c r="AN32" s="183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_xlpm.Customer,_xlfn.ANCHORARRAY($E$2),_xlpm.ann_incr,_xlfn.XLOOKUP(YEAR(_xlfn.ANCHORARRAY($E$25)),Base!$BJ$4:$BL$4,Base!$BJ$81:$BL$81,0,0),
_xlpm.bad_debt,_xlfn.XLOOKUP(_xlpm.site,_xlpm.locations,Base!$D$28:$BD$28,0,0),
_xlpm.comp*_xlpm.bad_debt*_xlpm.ann_incr*(52/12))</f>
        <v>0</v>
      </c>
      <c r="F33" s="12">
        <v>0</v>
      </c>
      <c r="G33" s="12">
        <v>0</v>
      </c>
      <c r="H33" s="12">
        <v>0</v>
      </c>
      <c r="I33" s="12">
        <v>0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2">
        <v>0</v>
      </c>
      <c r="Y33" s="12">
        <v>0</v>
      </c>
      <c r="Z33" s="12">
        <v>0</v>
      </c>
      <c r="AA33" s="12">
        <v>0</v>
      </c>
      <c r="AB33" s="12">
        <v>0</v>
      </c>
      <c r="AC33" s="12">
        <v>0</v>
      </c>
      <c r="AD33" s="12">
        <v>0</v>
      </c>
      <c r="AE33" s="12">
        <v>0</v>
      </c>
      <c r="AF33" s="12">
        <v>0</v>
      </c>
      <c r="AG33" s="12">
        <v>0</v>
      </c>
      <c r="AH33" s="12">
        <v>0</v>
      </c>
      <c r="AI33" s="12">
        <v>0</v>
      </c>
      <c r="AJ33" s="12">
        <v>0</v>
      </c>
      <c r="AK33" s="12">
        <v>0</v>
      </c>
      <c r="AL33" s="12">
        <v>0</v>
      </c>
      <c r="AM33" s="12">
        <v>0</v>
      </c>
      <c r="AN33" s="12">
        <v>0</v>
      </c>
    </row>
    <row r="34" spans="2:40" x14ac:dyDescent="0.25">
      <c r="B34" s="39" t="str">
        <f>Base!B39</f>
        <v>Quinary Direct Staff - Service A</v>
      </c>
      <c r="C34" s="4"/>
      <c r="E34" s="183" cm="1">
        <f t="array" ref="E34:AN34">_xlfn.LET(_xlpm.site,$B$1&amp;"-"&amp;$C$1,_xlpm.locations,Base!$D$4:$BD$4,_xlpm.rates,Base!$D39:$BD39,_xlpm.hours,Base!$D82:$BD82,_xlpm.comp,_xlpm.rates*_xlpm.hours,_xlpm.Customer,_xlfn.ANCHORARRAY($E$1)*0,
_xlpm.Customer_comp,_xlfn.XLOOKUP(_xlpm.site,_xlpm.locations,_xlpm.comp,0,0),_xlpm.ann_incr,_xlfn.XLOOKUP(YEAR(_xlfn.ANCHORARRAY($E$25)),Base!$BJ$4:$BL$4,Base!$BJ82:$BL82,0,0),
_xlpm.bad_debt,_xlfn.XLOOKUP(_xlpm.site,_xlpm.locations,Base!$D$28:$BD$28,0,0),_xlpm.Customer_comp*_xlpm.Customer*_xlpm.bad_debt*_xlpm.ann_incr*(52/12))</f>
        <v>0</v>
      </c>
      <c r="F34" s="183">
        <v>0</v>
      </c>
      <c r="G34" s="183">
        <v>0</v>
      </c>
      <c r="H34" s="183">
        <v>0</v>
      </c>
      <c r="I34" s="183">
        <v>0</v>
      </c>
      <c r="J34" s="183">
        <v>0</v>
      </c>
      <c r="K34" s="183">
        <v>0</v>
      </c>
      <c r="L34" s="183">
        <v>0</v>
      </c>
      <c r="M34" s="183">
        <v>0</v>
      </c>
      <c r="N34" s="183">
        <v>0</v>
      </c>
      <c r="O34" s="183">
        <v>0</v>
      </c>
      <c r="P34" s="183">
        <v>0</v>
      </c>
      <c r="Q34" s="183">
        <v>0</v>
      </c>
      <c r="R34" s="183">
        <v>0</v>
      </c>
      <c r="S34" s="183">
        <v>0</v>
      </c>
      <c r="T34" s="183">
        <v>0</v>
      </c>
      <c r="U34" s="183">
        <v>0</v>
      </c>
      <c r="V34" s="183">
        <v>0</v>
      </c>
      <c r="W34" s="183">
        <v>0</v>
      </c>
      <c r="X34" s="183">
        <v>0</v>
      </c>
      <c r="Y34" s="183">
        <v>0</v>
      </c>
      <c r="Z34" s="183">
        <v>0</v>
      </c>
      <c r="AA34" s="183">
        <v>0</v>
      </c>
      <c r="AB34" s="183">
        <v>0</v>
      </c>
      <c r="AC34" s="183">
        <v>0</v>
      </c>
      <c r="AD34" s="183">
        <v>0</v>
      </c>
      <c r="AE34" s="183">
        <v>0</v>
      </c>
      <c r="AF34" s="183">
        <v>0</v>
      </c>
      <c r="AG34" s="183">
        <v>0</v>
      </c>
      <c r="AH34" s="183">
        <v>0</v>
      </c>
      <c r="AI34" s="183">
        <v>0</v>
      </c>
      <c r="AJ34" s="183">
        <v>0</v>
      </c>
      <c r="AK34" s="183">
        <v>0</v>
      </c>
      <c r="AL34" s="183">
        <v>0</v>
      </c>
      <c r="AM34" s="183">
        <v>0</v>
      </c>
      <c r="AN34" s="183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0</v>
      </c>
      <c r="F35" s="12">
        <v>0</v>
      </c>
      <c r="G35" s="12">
        <v>0</v>
      </c>
      <c r="H35" s="12">
        <v>0</v>
      </c>
      <c r="I35" s="12">
        <v>0</v>
      </c>
      <c r="J35" s="12">
        <v>0</v>
      </c>
      <c r="K35" s="12">
        <v>0</v>
      </c>
      <c r="L35" s="12">
        <v>0</v>
      </c>
      <c r="M35" s="12">
        <v>0</v>
      </c>
      <c r="N35" s="12">
        <v>0</v>
      </c>
      <c r="O35" s="12">
        <v>-1121.5046</v>
      </c>
      <c r="P35" s="12">
        <v>-3364.5137999999997</v>
      </c>
      <c r="Q35" s="12">
        <v>-5775.7486899999985</v>
      </c>
      <c r="R35" s="12">
        <v>-6930.8984279999986</v>
      </c>
      <c r="S35" s="12">
        <v>-9241.1979040000006</v>
      </c>
      <c r="T35" s="12">
        <v>-11551.497379999997</v>
      </c>
      <c r="U35" s="12">
        <v>-13861.796855999997</v>
      </c>
      <c r="V35" s="12">
        <v>-15016.946594000001</v>
      </c>
      <c r="W35" s="12">
        <v>-17327.246069999997</v>
      </c>
      <c r="X35" s="12">
        <v>-19637.545546000001</v>
      </c>
      <c r="Y35" s="12">
        <v>-20792.695283999998</v>
      </c>
      <c r="Z35" s="12">
        <v>-23102.994759999994</v>
      </c>
      <c r="AA35" s="12">
        <v>-25413.294235999994</v>
      </c>
      <c r="AB35" s="12">
        <v>-27723.593711999994</v>
      </c>
      <c r="AC35" s="12">
        <v>-27723.593711999994</v>
      </c>
      <c r="AD35" s="12">
        <v>-27723.593711999994</v>
      </c>
      <c r="AE35" s="12">
        <v>-27723.593711999994</v>
      </c>
      <c r="AF35" s="12">
        <v>-27723.593711999994</v>
      </c>
      <c r="AG35" s="12">
        <v>-27723.593711999994</v>
      </c>
      <c r="AH35" s="12">
        <v>-27723.593711999994</v>
      </c>
      <c r="AI35" s="12">
        <v>-27723.593711999994</v>
      </c>
      <c r="AJ35" s="12">
        <v>-27723.593711999994</v>
      </c>
      <c r="AK35" s="12">
        <v>-27723.593711999994</v>
      </c>
      <c r="AL35" s="12">
        <v>-27723.593711999994</v>
      </c>
      <c r="AM35" s="12">
        <v>-27723.593711999994</v>
      </c>
      <c r="AN35" s="12">
        <v>-27723.593711999994</v>
      </c>
    </row>
    <row r="36" spans="2:40" x14ac:dyDescent="0.25">
      <c r="B36" s="39" t="s">
        <v>261</v>
      </c>
      <c r="C36" s="15"/>
      <c r="E36" s="183" cm="1">
        <f t="array" ref="E36:AN36">_xlfn.BYCOL(_xlfn.ANCHORARRAY($E$25),_xlfn.LAMBDA(_xlpm.a,0))</f>
        <v>0</v>
      </c>
      <c r="F36" s="183">
        <v>0</v>
      </c>
      <c r="G36" s="183">
        <v>0</v>
      </c>
      <c r="H36" s="183">
        <v>0</v>
      </c>
      <c r="I36" s="183">
        <v>0</v>
      </c>
      <c r="J36" s="183">
        <v>0</v>
      </c>
      <c r="K36" s="183">
        <v>0</v>
      </c>
      <c r="L36" s="183">
        <v>0</v>
      </c>
      <c r="M36" s="183">
        <v>0</v>
      </c>
      <c r="N36" s="183">
        <v>0</v>
      </c>
      <c r="O36" s="183">
        <v>0</v>
      </c>
      <c r="P36" s="183">
        <v>0</v>
      </c>
      <c r="Q36" s="183">
        <v>0</v>
      </c>
      <c r="R36" s="183">
        <v>0</v>
      </c>
      <c r="S36" s="183">
        <v>0</v>
      </c>
      <c r="T36" s="183">
        <v>0</v>
      </c>
      <c r="U36" s="183">
        <v>0</v>
      </c>
      <c r="V36" s="183">
        <v>0</v>
      </c>
      <c r="W36" s="183">
        <v>0</v>
      </c>
      <c r="X36" s="183">
        <v>0</v>
      </c>
      <c r="Y36" s="183">
        <v>0</v>
      </c>
      <c r="Z36" s="183">
        <v>0</v>
      </c>
      <c r="AA36" s="183">
        <v>0</v>
      </c>
      <c r="AB36" s="183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271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8224.3670666666658</v>
      </c>
      <c r="P37" s="13">
        <v>24673.101199999997</v>
      </c>
      <c r="Q37" s="13">
        <v>42355.490393333319</v>
      </c>
      <c r="R37" s="13">
        <v>50826.588471999989</v>
      </c>
      <c r="S37" s="13">
        <v>67768.784629333342</v>
      </c>
      <c r="T37" s="13">
        <v>84710.980786666638</v>
      </c>
      <c r="U37" s="13">
        <v>101653.17694399998</v>
      </c>
      <c r="V37" s="13">
        <v>110124.27502266667</v>
      </c>
      <c r="W37" s="13">
        <v>127066.47117999999</v>
      </c>
      <c r="X37" s="13">
        <v>144008.66733733335</v>
      </c>
      <c r="Y37" s="13">
        <v>152479.76541600001</v>
      </c>
      <c r="Z37" s="13">
        <v>169421.96157333328</v>
      </c>
      <c r="AA37" s="13">
        <v>186364.15773066663</v>
      </c>
      <c r="AB37" s="13">
        <v>203306.35388799995</v>
      </c>
      <c r="AC37" s="13">
        <v>203306.35388799995</v>
      </c>
      <c r="AD37" s="13">
        <v>203306.35388799995</v>
      </c>
      <c r="AE37" s="13">
        <v>203306.35388799995</v>
      </c>
      <c r="AF37" s="13">
        <v>203306.35388799995</v>
      </c>
      <c r="AG37" s="13">
        <v>203306.35388799995</v>
      </c>
      <c r="AH37" s="13">
        <v>203306.35388799995</v>
      </c>
      <c r="AI37" s="13">
        <v>203306.35388799995</v>
      </c>
      <c r="AJ37" s="13">
        <v>203306.35388799995</v>
      </c>
      <c r="AK37" s="13">
        <v>203306.35388799995</v>
      </c>
      <c r="AL37" s="13">
        <v>203306.35388799995</v>
      </c>
      <c r="AM37" s="13">
        <v>203306.35388799995</v>
      </c>
      <c r="AN37" s="13">
        <v>203306.35388799995</v>
      </c>
    </row>
    <row r="38" spans="2:40" x14ac:dyDescent="0.25">
      <c r="E38" s="67"/>
      <c r="F38" s="67"/>
    </row>
    <row r="39" spans="2:40" x14ac:dyDescent="0.25">
      <c r="B39" s="1" t="s">
        <v>118</v>
      </c>
    </row>
    <row r="40" spans="2:40" x14ac:dyDescent="0.25">
      <c r="B40" s="39" t="s">
        <v>23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0</v>
      </c>
      <c r="F40" s="12">
        <v>0</v>
      </c>
      <c r="G40" s="12">
        <v>0</v>
      </c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0</v>
      </c>
      <c r="N40" s="12">
        <v>0</v>
      </c>
      <c r="O40" s="12">
        <v>11983.585982178276</v>
      </c>
      <c r="P40" s="12">
        <v>25582.6354132015</v>
      </c>
      <c r="Q40" s="12">
        <v>32635.589995313858</v>
      </c>
      <c r="R40" s="12">
        <v>35404.500515709959</v>
      </c>
      <c r="S40" s="12">
        <v>40192.671556502173</v>
      </c>
      <c r="T40" s="12">
        <v>44690.552597294387</v>
      </c>
      <c r="U40" s="12">
        <v>49608.261031419919</v>
      </c>
      <c r="V40" s="12">
        <v>52306.991551816027</v>
      </c>
      <c r="W40" s="12">
        <v>56871.862592608231</v>
      </c>
      <c r="X40" s="12">
        <v>61660.033633400453</v>
      </c>
      <c r="Y40" s="12">
        <v>64358.764153796539</v>
      </c>
      <c r="Z40" s="12">
        <v>68923.635194588758</v>
      </c>
      <c r="AA40" s="12">
        <v>73736.605295380956</v>
      </c>
      <c r="AB40" s="12">
        <v>75236.41800283984</v>
      </c>
      <c r="AC40" s="12">
        <v>82760.059803123833</v>
      </c>
      <c r="AD40" s="12">
        <v>82760.059803123833</v>
      </c>
      <c r="AE40" s="12">
        <v>82760.059803123833</v>
      </c>
      <c r="AF40" s="12">
        <v>82760.059803123833</v>
      </c>
      <c r="AG40" s="12">
        <v>82760.059803123833</v>
      </c>
      <c r="AH40" s="12">
        <v>82760.059803123833</v>
      </c>
      <c r="AI40" s="12">
        <v>82760.059803123833</v>
      </c>
      <c r="AJ40" s="12">
        <v>82760.059803123833</v>
      </c>
      <c r="AK40" s="12">
        <v>82760.059803123833</v>
      </c>
      <c r="AL40" s="12">
        <v>82760.059803123833</v>
      </c>
      <c r="AM40" s="12">
        <v>82760.059803123833</v>
      </c>
      <c r="AN40" s="12">
        <v>82760.059803123833</v>
      </c>
    </row>
    <row r="41" spans="2:40" x14ac:dyDescent="0.25">
      <c r="B41" s="39" t="s">
        <v>388</v>
      </c>
      <c r="C41" s="142">
        <f>_xlfn.XLOOKUP($B$1&amp;"-"&amp;$C$1,Base!$D$4:$BD$4,Base!$D$12:$BD$12,0,0)</f>
        <v>0</v>
      </c>
      <c r="E41" s="183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28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0</v>
      </c>
      <c r="AJ42" s="12">
        <v>0</v>
      </c>
      <c r="AK42" s="12">
        <v>0</v>
      </c>
      <c r="AL42" s="12">
        <v>0</v>
      </c>
      <c r="AM42" s="12">
        <v>0</v>
      </c>
      <c r="AN42" s="12">
        <v>0</v>
      </c>
    </row>
    <row r="43" spans="2:40" x14ac:dyDescent="0.25">
      <c r="B43" s="39" t="s">
        <v>31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0</v>
      </c>
      <c r="X43" s="12">
        <v>0</v>
      </c>
      <c r="Y43" s="12">
        <v>0</v>
      </c>
      <c r="Z43" s="12">
        <v>0</v>
      </c>
      <c r="AA43" s="12">
        <v>0</v>
      </c>
      <c r="AB43" s="12">
        <v>0</v>
      </c>
      <c r="AC43" s="12">
        <v>0</v>
      </c>
      <c r="AD43" s="12">
        <v>0</v>
      </c>
      <c r="AE43" s="12">
        <v>0</v>
      </c>
      <c r="AF43" s="12">
        <v>0</v>
      </c>
      <c r="AG43" s="12">
        <v>0</v>
      </c>
      <c r="AH43" s="12">
        <v>0</v>
      </c>
      <c r="AI43" s="12">
        <v>0</v>
      </c>
      <c r="AJ43" s="12">
        <v>0</v>
      </c>
      <c r="AK43" s="12">
        <v>0</v>
      </c>
      <c r="AL43" s="12">
        <v>0</v>
      </c>
      <c r="AM43" s="12">
        <v>0</v>
      </c>
      <c r="AN43" s="12">
        <v>0</v>
      </c>
    </row>
    <row r="44" spans="2:40" x14ac:dyDescent="0.25">
      <c r="B44" s="39" t="s">
        <v>34</v>
      </c>
      <c r="C44" s="96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  <c r="O44" s="12">
        <v>350.41759999999999</v>
      </c>
      <c r="P44" s="12">
        <v>849.08879999999999</v>
      </c>
      <c r="Q44" s="12">
        <v>900.57323200000008</v>
      </c>
      <c r="R44" s="12">
        <v>928.60663999999997</v>
      </c>
      <c r="S44" s="12">
        <v>956.64004799999998</v>
      </c>
      <c r="T44" s="12">
        <v>974.16092800000001</v>
      </c>
      <c r="U44" s="12">
        <v>1002.1943359999998</v>
      </c>
      <c r="V44" s="12">
        <v>1026.7235680000001</v>
      </c>
      <c r="W44" s="12">
        <v>1047.7486240000003</v>
      </c>
      <c r="X44" s="12">
        <v>1075.7820319999998</v>
      </c>
      <c r="Y44" s="12">
        <v>1100.3112639999999</v>
      </c>
      <c r="Z44" s="12">
        <v>1121.3363200000001</v>
      </c>
      <c r="AA44" s="12">
        <v>1149.3697279999999</v>
      </c>
      <c r="AB44" s="12">
        <v>1030.227744</v>
      </c>
      <c r="AC44" s="12">
        <v>1071.4368537600003</v>
      </c>
      <c r="AD44" s="12">
        <v>1071.4368537600003</v>
      </c>
      <c r="AE44" s="12">
        <v>1071.4368537600003</v>
      </c>
      <c r="AF44" s="12">
        <v>1071.4368537600003</v>
      </c>
      <c r="AG44" s="12">
        <v>1071.4368537600003</v>
      </c>
      <c r="AH44" s="12">
        <v>1071.4368537600003</v>
      </c>
      <c r="AI44" s="12">
        <v>1071.4368537600003</v>
      </c>
      <c r="AJ44" s="12">
        <v>1071.4368537600003</v>
      </c>
      <c r="AK44" s="12">
        <v>1071.4368537600003</v>
      </c>
      <c r="AL44" s="12">
        <v>1071.4368537600003</v>
      </c>
      <c r="AM44" s="12">
        <v>1071.4368537600003</v>
      </c>
      <c r="AN44" s="12">
        <v>1071.4368537600003</v>
      </c>
    </row>
    <row r="45" spans="2:40" x14ac:dyDescent="0.25">
      <c r="B45" s="39" t="s">
        <v>36</v>
      </c>
      <c r="C45" s="96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0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12">
        <v>0</v>
      </c>
      <c r="R45" s="12">
        <v>0</v>
      </c>
      <c r="S45" s="12">
        <v>0</v>
      </c>
      <c r="T45" s="12">
        <v>0</v>
      </c>
      <c r="U45" s="12">
        <v>0</v>
      </c>
      <c r="V45" s="12">
        <v>0</v>
      </c>
      <c r="W45" s="12">
        <v>0</v>
      </c>
      <c r="X45" s="12">
        <v>0</v>
      </c>
      <c r="Y45" s="12">
        <v>0</v>
      </c>
      <c r="Z45" s="12">
        <v>0</v>
      </c>
      <c r="AA45" s="12">
        <v>0</v>
      </c>
      <c r="AB45" s="12">
        <v>0</v>
      </c>
      <c r="AC45" s="12">
        <v>0</v>
      </c>
      <c r="AD45" s="12">
        <v>0</v>
      </c>
      <c r="AE45" s="12">
        <v>0</v>
      </c>
      <c r="AF45" s="12">
        <v>0</v>
      </c>
      <c r="AG45" s="12">
        <v>0</v>
      </c>
      <c r="AH45" s="12">
        <v>0</v>
      </c>
      <c r="AI45" s="12">
        <v>0</v>
      </c>
      <c r="AJ45" s="12">
        <v>0</v>
      </c>
      <c r="AK45" s="12">
        <v>0</v>
      </c>
      <c r="AL45" s="12">
        <v>0</v>
      </c>
      <c r="AM45" s="12">
        <v>0</v>
      </c>
      <c r="AN45" s="12">
        <v>0</v>
      </c>
    </row>
    <row r="46" spans="2:40" x14ac:dyDescent="0.25">
      <c r="B46" s="39" t="s">
        <v>38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0</v>
      </c>
      <c r="F46" s="12">
        <v>0</v>
      </c>
      <c r="G46" s="12">
        <v>0</v>
      </c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0</v>
      </c>
      <c r="N46" s="12">
        <v>0</v>
      </c>
      <c r="O46" s="12">
        <v>2160</v>
      </c>
      <c r="P46" s="12">
        <v>3439.9999999999995</v>
      </c>
      <c r="Q46" s="12">
        <v>4085.0999999999995</v>
      </c>
      <c r="R46" s="12">
        <v>4401.3</v>
      </c>
      <c r="S46" s="12">
        <v>4992.9000000000005</v>
      </c>
      <c r="T46" s="12">
        <v>5569.1999999999989</v>
      </c>
      <c r="U46" s="12">
        <v>6171.0000000000009</v>
      </c>
      <c r="V46" s="12">
        <v>6482.1000000000013</v>
      </c>
      <c r="W46" s="12">
        <v>7063.5000000000009</v>
      </c>
      <c r="X46" s="12">
        <v>7655.1</v>
      </c>
      <c r="Y46" s="12">
        <v>7966.1999999999989</v>
      </c>
      <c r="Z46" s="12">
        <v>8547.6</v>
      </c>
      <c r="AA46" s="12">
        <v>9144.2999999999993</v>
      </c>
      <c r="AB46" s="12">
        <v>9526.7999999999993</v>
      </c>
      <c r="AC46" s="12">
        <v>9717.3359999999993</v>
      </c>
      <c r="AD46" s="12">
        <v>9717.3359999999993</v>
      </c>
      <c r="AE46" s="12">
        <v>9717.3359999999993</v>
      </c>
      <c r="AF46" s="12">
        <v>9717.3359999999993</v>
      </c>
      <c r="AG46" s="12">
        <v>9717.3359999999993</v>
      </c>
      <c r="AH46" s="12">
        <v>9717.3359999999993</v>
      </c>
      <c r="AI46" s="12">
        <v>9717.3359999999993</v>
      </c>
      <c r="AJ46" s="12">
        <v>9717.3359999999993</v>
      </c>
      <c r="AK46" s="12">
        <v>9717.3359999999993</v>
      </c>
      <c r="AL46" s="12">
        <v>9717.3359999999993</v>
      </c>
      <c r="AM46" s="12">
        <v>9717.3359999999993</v>
      </c>
      <c r="AN46" s="12">
        <v>9717.3359999999993</v>
      </c>
    </row>
    <row r="47" spans="2:40" x14ac:dyDescent="0.25">
      <c r="B47" s="39" t="s">
        <v>40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  <c r="O47" s="12">
        <v>0</v>
      </c>
      <c r="P47" s="12">
        <v>0</v>
      </c>
      <c r="Q47" s="12">
        <v>0</v>
      </c>
      <c r="R47" s="12">
        <v>0</v>
      </c>
      <c r="S47" s="12">
        <v>0</v>
      </c>
      <c r="T47" s="12">
        <v>0</v>
      </c>
      <c r="U47" s="12">
        <v>0</v>
      </c>
      <c r="V47" s="12">
        <v>0</v>
      </c>
      <c r="W47" s="12">
        <v>0</v>
      </c>
      <c r="X47" s="12">
        <v>0</v>
      </c>
      <c r="Y47" s="12">
        <v>0</v>
      </c>
      <c r="Z47" s="12">
        <v>0</v>
      </c>
      <c r="AA47" s="12">
        <v>0</v>
      </c>
      <c r="AB47" s="12">
        <v>0</v>
      </c>
      <c r="AC47" s="12">
        <v>0</v>
      </c>
      <c r="AD47" s="12">
        <v>0</v>
      </c>
      <c r="AE47" s="12">
        <v>0</v>
      </c>
      <c r="AF47" s="12">
        <v>0</v>
      </c>
      <c r="AG47" s="12">
        <v>0</v>
      </c>
      <c r="AH47" s="12">
        <v>0</v>
      </c>
      <c r="AI47" s="12">
        <v>0</v>
      </c>
      <c r="AJ47" s="12">
        <v>0</v>
      </c>
      <c r="AK47" s="12">
        <v>0</v>
      </c>
      <c r="AL47" s="12">
        <v>0</v>
      </c>
      <c r="AM47" s="12">
        <v>0</v>
      </c>
      <c r="AN47" s="12">
        <v>0</v>
      </c>
    </row>
    <row r="48" spans="2:40" x14ac:dyDescent="0.25">
      <c r="B48" s="39" t="s">
        <v>41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42</v>
      </c>
      <c r="E49" s="12">
        <f>'Corp.'!E$50*(E$37-(E31-E32-E34)*$C$35)/(SUM('MDA1:NCA9'!E$37)-SUM('MDA1:NCA9'!E$31)-SUM('MDA1:NCA9'!E$32)-SUM('MDA1:NCA9'!E$34))</f>
        <v>0</v>
      </c>
      <c r="F49" s="12">
        <f>'Corp.'!F$50*(F$37-(F31-F32-F34)*$C$35)/(SUM('MDA1:NCA9'!F$37)-SUM('MDA1:NCA9'!F$31)-SUM('MDA1:NCA9'!F$32)-SUM('MDA1:NCA9'!F$34))</f>
        <v>0</v>
      </c>
      <c r="G49" s="12">
        <f>'Corp.'!G$50*(G$37-(G31-G32-G34)*$C$35)/(SUM('MDA1:NCA9'!G$37)-SUM('MDA1:NCA9'!G$31)-SUM('MDA1:NCA9'!G$32)-SUM('MDA1:NCA9'!G$34))</f>
        <v>0</v>
      </c>
      <c r="H49" s="12">
        <f>'Corp.'!H$50*(H$37-(H31-H32-H34)*$C$35)/(SUM('MDA1:NCA9'!H$37)-SUM('MDA1:NCA9'!H$31)-SUM('MDA1:NCA9'!H$32)-SUM('MDA1:NCA9'!H$34))</f>
        <v>0</v>
      </c>
      <c r="I49" s="12">
        <f>'Corp.'!I$50*(I$37-(I31-I32-I34)*$C$35)/(SUM('MDA1:NCA9'!I$37)-SUM('MDA1:NCA9'!I$31)-SUM('MDA1:NCA9'!I$32)-SUM('MDA1:NCA9'!I$34))</f>
        <v>0</v>
      </c>
      <c r="J49" s="12">
        <f>'Corp.'!J$50*(J$37-(J31-J32-J34)*$C$35)/(SUM('MDA1:NCA9'!J$37)-SUM('MDA1:NCA9'!J$31)-SUM('MDA1:NCA9'!J$32)-SUM('MDA1:NCA9'!J$34))</f>
        <v>0</v>
      </c>
      <c r="K49" s="12">
        <f>'Corp.'!K$50*(K$37-(K31-K32-K34)*$C$35)/(SUM('MDA1:NCA9'!K$37)-SUM('MDA1:NCA9'!K$31)-SUM('MDA1:NCA9'!K$32)-SUM('MDA1:NCA9'!K$34))</f>
        <v>0</v>
      </c>
      <c r="L49" s="12">
        <f>'Corp.'!L$50*(L$37-(L31-L32-L34)*$C$35)/(SUM('MDA1:NCA9'!L$37)-SUM('MDA1:NCA9'!L$31)-SUM('MDA1:NCA9'!L$32)-SUM('MDA1:NCA9'!L$34))</f>
        <v>0</v>
      </c>
      <c r="M49" s="12">
        <f>'Corp.'!M$50*(M$37-(M31-M32-M34)*$C$35)/(SUM('MDA1:NCA9'!M$37)-SUM('MDA1:NCA9'!M$31)-SUM('MDA1:NCA9'!M$32)-SUM('MDA1:NCA9'!M$34))</f>
        <v>0</v>
      </c>
      <c r="N49" s="12">
        <f>'Corp.'!N$50*(N$37-(N31-N32-N34)*$C$35)/(SUM('MDA1:NCA9'!N$37)-SUM('MDA1:NCA9'!N$31)-SUM('MDA1:NCA9'!N$32)-SUM('MDA1:NCA9'!N$34))</f>
        <v>0</v>
      </c>
      <c r="O49" s="12">
        <f>'Corp.'!O$50*(O$37-(O31-O32-O34)*$C$35)/(SUM('MDA1:NCA9'!O$37)-SUM('MDA1:NCA9'!O$31)-SUM('MDA1:NCA9'!O$32)-SUM('MDA1:NCA9'!O$34))</f>
        <v>1343.3812065392226</v>
      </c>
      <c r="P49" s="12">
        <f>'Corp.'!P$50*(P$37-(P31-P32-P34)*$C$35)/(SUM('MDA1:NCA9'!P$37)-SUM('MDA1:NCA9'!P$31)-SUM('MDA1:NCA9'!P$32)-SUM('MDA1:NCA9'!P$34))</f>
        <v>3803.0343628559012</v>
      </c>
      <c r="Q49" s="12">
        <f>'Corp.'!Q$50*(Q$37-(Q31-Q32-Q34)*$C$35)/(SUM('MDA1:NCA9'!Q$37)-SUM('MDA1:NCA9'!Q$31)-SUM('MDA1:NCA9'!Q$32)-SUM('MDA1:NCA9'!Q$34))</f>
        <v>6552.4883012598411</v>
      </c>
      <c r="R49" s="12">
        <f>'Corp.'!R$50*(R$37-(R31-R32-R34)*$C$35)/(SUM('MDA1:NCA9'!R$37)-SUM('MDA1:NCA9'!R$31)-SUM('MDA1:NCA9'!R$32)-SUM('MDA1:NCA9'!R$34))</f>
        <v>7565.1618880135284</v>
      </c>
      <c r="S49" s="12">
        <f>'Corp.'!S$50*(S$37-(S31-S32-S34)*$C$35)/(SUM('MDA1:NCA9'!S$37)-SUM('MDA1:NCA9'!S$31)-SUM('MDA1:NCA9'!S$32)-SUM('MDA1:NCA9'!S$34))</f>
        <v>9650.3905365602513</v>
      </c>
      <c r="T49" s="12">
        <f>'Corp.'!T$50*(T$37-(T31-T32-T34)*$C$35)/(SUM('MDA1:NCA9'!T$37)-SUM('MDA1:NCA9'!T$31)-SUM('MDA1:NCA9'!T$32)-SUM('MDA1:NCA9'!T$34))</f>
        <v>11601.146834856925</v>
      </c>
      <c r="U49" s="12">
        <f>'Corp.'!U$50*(U$37-(U31-U32-U34)*$C$35)/(SUM('MDA1:NCA9'!U$37)-SUM('MDA1:NCA9'!U$31)-SUM('MDA1:NCA9'!U$32)-SUM('MDA1:NCA9'!U$34))</f>
        <v>13541.402706373532</v>
      </c>
      <c r="V49" s="12">
        <f>'Corp.'!V$50*(V$37-(V31-V32-V34)*$C$35)/(SUM('MDA1:NCA9'!V$37)-SUM('MDA1:NCA9'!V$31)-SUM('MDA1:NCA9'!V$32)-SUM('MDA1:NCA9'!V$34))</f>
        <v>14334.245480130987</v>
      </c>
      <c r="W49" s="12">
        <f>'Corp.'!W$50*(W$37-(W31-W32-W34)*$C$35)/(SUM('MDA1:NCA9'!W$37)-SUM('MDA1:NCA9'!W$31)-SUM('MDA1:NCA9'!W$32)-SUM('MDA1:NCA9'!W$34))</f>
        <v>16036.836735578516</v>
      </c>
      <c r="X49" s="12">
        <f>'Corp.'!X$50*(X$37-(X31-X32-X34)*$C$35)/(SUM('MDA1:NCA9'!X$37)-SUM('MDA1:NCA9'!X$31)-SUM('MDA1:NCA9'!X$32)-SUM('MDA1:NCA9'!X$34))</f>
        <v>17605.771593925387</v>
      </c>
      <c r="Y49" s="12">
        <f>'Corp.'!Y$50*(Y$37-(Y31-Y32-Y34)*$C$35)/(SUM('MDA1:NCA9'!Y$37)-SUM('MDA1:NCA9'!Y$31)-SUM('MDA1:NCA9'!Y$32)-SUM('MDA1:NCA9'!Y$34))</f>
        <v>18246.460612071605</v>
      </c>
      <c r="Z49" s="12">
        <f>'Corp.'!Z$50*(Z$37-(Z31-Z32-Z34)*$C$35)/(SUM('MDA1:NCA9'!Z$37)-SUM('MDA1:NCA9'!Z$31)-SUM('MDA1:NCA9'!Z$32)-SUM('MDA1:NCA9'!Z$34))</f>
        <v>19833.545864088508</v>
      </c>
      <c r="AA49" s="12">
        <f>'Corp.'!AA$50*(AA$37-(AA31-AA32-AA34)*$C$35)/(SUM('MDA1:NCA9'!AA$37)-SUM('MDA1:NCA9'!AA$31)-SUM('MDA1:NCA9'!AA$32)-SUM('MDA1:NCA9'!AA$34))</f>
        <v>21318.093310516571</v>
      </c>
      <c r="AB49" s="12">
        <f>'Corp.'!AB$50*(AB$37-(AB31-AB32-AB34)*$C$35)/(SUM('MDA1:NCA9'!AB$37)-SUM('MDA1:NCA9'!AB$31)-SUM('MDA1:NCA9'!AB$32)-SUM('MDA1:NCA9'!AB$34))</f>
        <v>22728.32805108387</v>
      </c>
      <c r="AC49" s="12">
        <f>'Corp.'!AC$50*(AC$37-(AC31-AC32-AC34)*$C$35)/(SUM('MDA1:NCA9'!AC$37)-SUM('MDA1:NCA9'!AC$31)-SUM('MDA1:NCA9'!AC$32)-SUM('MDA1:NCA9'!AC$34))</f>
        <v>24393.116262000727</v>
      </c>
      <c r="AD49" s="12">
        <f>'Corp.'!AD$50*(AD$37-(AD31-AD32-AD34)*$C$35)/(SUM('MDA1:NCA9'!AD$37)-SUM('MDA1:NCA9'!AD$31)-SUM('MDA1:NCA9'!AD$32)-SUM('MDA1:NCA9'!AD$34))</f>
        <v>23992.384246946993</v>
      </c>
      <c r="AE49" s="12">
        <f>'Corp.'!AE$50*(AE$37-(AE31-AE32-AE34)*$C$35)/(SUM('MDA1:NCA9'!AE$37)-SUM('MDA1:NCA9'!AE$31)-SUM('MDA1:NCA9'!AE$32)-SUM('MDA1:NCA9'!AE$34))</f>
        <v>23614.531887835434</v>
      </c>
      <c r="AF49" s="12">
        <f>'Corp.'!AF$50*(AF$37-(AF31-AF32-AF34)*$C$35)/(SUM('MDA1:NCA9'!AF$37)-SUM('MDA1:NCA9'!AF$31)-SUM('MDA1:NCA9'!AF$32)-SUM('MDA1:NCA9'!AF$34))</f>
        <v>23260.471839546066</v>
      </c>
      <c r="AG49" s="12">
        <f>'Corp.'!AG$50*(AG$37-(AG31-AG32-AG34)*$C$35)/(SUM('MDA1:NCA9'!AG$37)-SUM('MDA1:NCA9'!AG$31)-SUM('MDA1:NCA9'!AG$32)-SUM('MDA1:NCA9'!AG$34))</f>
        <v>22976.532152122585</v>
      </c>
      <c r="AH49" s="12">
        <f>'Corp.'!AH$50*(AH$37-(AH31-AH32-AH34)*$C$35)/(SUM('MDA1:NCA9'!AH$37)-SUM('MDA1:NCA9'!AH$31)-SUM('MDA1:NCA9'!AH$32)-SUM('MDA1:NCA9'!AH$34))</f>
        <v>22603.045450998201</v>
      </c>
      <c r="AI49" s="12">
        <f>'Corp.'!AI$50*(AI$37-(AI31-AI32-AI34)*$C$35)/(SUM('MDA1:NCA9'!AI$37)-SUM('MDA1:NCA9'!AI$31)-SUM('MDA1:NCA9'!AI$32)-SUM('MDA1:NCA9'!AI$34))</f>
        <v>22213.828616816445</v>
      </c>
      <c r="AJ49" s="12">
        <f>'Corp.'!AJ$50*(AJ$37-(AJ31-AJ32-AJ34)*$C$35)/(SUM('MDA1:NCA9'!AJ$37)-SUM('MDA1:NCA9'!AJ$31)-SUM('MDA1:NCA9'!AJ$32)-SUM('MDA1:NCA9'!AJ$34))</f>
        <v>21815.050997731094</v>
      </c>
      <c r="AK49" s="12">
        <f>'Corp.'!AK$50*(AK$37-(AK31-AK32-AK34)*$C$35)/(SUM('MDA1:NCA9'!AK$37)-SUM('MDA1:NCA9'!AK$31)-SUM('MDA1:NCA9'!AK$32)-SUM('MDA1:NCA9'!AK$34))</f>
        <v>21446.829438828536</v>
      </c>
      <c r="AL49" s="12">
        <f>'Corp.'!AL$50*(AL$37-(AL31-AL32-AL34)*$C$35)/(SUM('MDA1:NCA9'!AL$37)-SUM('MDA1:NCA9'!AL$31)-SUM('MDA1:NCA9'!AL$32)-SUM('MDA1:NCA9'!AL$34))</f>
        <v>21108.92697424068</v>
      </c>
      <c r="AM49" s="12">
        <f>'Corp.'!AM$50*(AM$37-(AM31-AM32-AM34)*$C$35)/(SUM('MDA1:NCA9'!AM$37)-SUM('MDA1:NCA9'!AM$31)-SUM('MDA1:NCA9'!AM$32)-SUM('MDA1:NCA9'!AM$34))</f>
        <v>20745.022866408221</v>
      </c>
      <c r="AN49" s="12">
        <f>'Corp.'!AN$50*(AN$37-(AN31-AN32-AN34)*$C$35)/(SUM('MDA1:NCA9'!AN$37)-SUM('MDA1:NCA9'!AN$31)-SUM('MDA1:NCA9'!AN$32)-SUM('MDA1:NCA9'!AN$34))</f>
        <v>20434.824344544046</v>
      </c>
    </row>
    <row r="50" spans="2:40" x14ac:dyDescent="0.25">
      <c r="B50" s="1" t="s">
        <v>272</v>
      </c>
      <c r="E50" s="13" cm="1">
        <f t="array" ref="E50:AN50">_xlfn.BYCOL(_xlfn.VSTACK(_xlfn.ANCHORARRAY(E40),_xlfn.ANCHORARRAY(E42),_xlfn.ANCHORARRAY(E43),_xlfn.ANCHORARRAY(E45),_xlfn.ANCHORARRAY(E46),_xlfn.ANCHORARRAY(E47),_xlfn.ANCHORARRAY(E48),_xlfn.HSTACK(E49:AN49)),_xlfn.LAMBDA(_xlpm.a,SUM(_xlpm.a)))</f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15486.967188717499</v>
      </c>
      <c r="P50" s="13">
        <v>32825.669776057402</v>
      </c>
      <c r="Q50" s="13">
        <v>43273.1782965737</v>
      </c>
      <c r="R50" s="13">
        <v>47370.96240372349</v>
      </c>
      <c r="S50" s="13">
        <v>54835.962093062422</v>
      </c>
      <c r="T50" s="13">
        <v>61860.899432151309</v>
      </c>
      <c r="U50" s="13">
        <v>69320.663737793453</v>
      </c>
      <c r="V50" s="13">
        <v>73123.337031947012</v>
      </c>
      <c r="W50" s="13">
        <v>79972.199328186747</v>
      </c>
      <c r="X50" s="13">
        <v>86920.905227325842</v>
      </c>
      <c r="Y50" s="13">
        <v>90571.424765868142</v>
      </c>
      <c r="Z50" s="13">
        <v>97304.781058677268</v>
      </c>
      <c r="AA50" s="13">
        <v>104198.99860589753</v>
      </c>
      <c r="AB50" s="13">
        <v>107491.54605392371</v>
      </c>
      <c r="AC50" s="13">
        <v>116870.51206512455</v>
      </c>
      <c r="AD50" s="13">
        <v>116469.78005007083</v>
      </c>
      <c r="AE50" s="13">
        <v>116091.92769095926</v>
      </c>
      <c r="AF50" s="13">
        <v>115737.86764266989</v>
      </c>
      <c r="AG50" s="13">
        <v>115453.92795524641</v>
      </c>
      <c r="AH50" s="13">
        <v>115080.44125412204</v>
      </c>
      <c r="AI50" s="13">
        <v>114691.22441994028</v>
      </c>
      <c r="AJ50" s="13">
        <v>114292.44680085493</v>
      </c>
      <c r="AK50" s="13">
        <v>113924.22524195237</v>
      </c>
      <c r="AL50" s="13">
        <v>113586.3227773645</v>
      </c>
      <c r="AM50" s="13">
        <v>113222.41866953205</v>
      </c>
      <c r="AN50" s="13">
        <v>112912.22014766787</v>
      </c>
    </row>
    <row r="52" spans="2:40" x14ac:dyDescent="0.25">
      <c r="B52" s="1" t="s">
        <v>48</v>
      </c>
      <c r="E52" s="74">
        <f>E37-E50</f>
        <v>0</v>
      </c>
      <c r="F52" s="74">
        <f t="shared" ref="F52:AN52" si="0">F37-F50</f>
        <v>0</v>
      </c>
      <c r="G52" s="74">
        <f t="shared" si="0"/>
        <v>0</v>
      </c>
      <c r="H52" s="74">
        <f t="shared" si="0"/>
        <v>0</v>
      </c>
      <c r="I52" s="74">
        <f t="shared" si="0"/>
        <v>0</v>
      </c>
      <c r="J52" s="74">
        <f t="shared" si="0"/>
        <v>0</v>
      </c>
      <c r="K52" s="74">
        <f t="shared" si="0"/>
        <v>0</v>
      </c>
      <c r="L52" s="74">
        <f t="shared" si="0"/>
        <v>0</v>
      </c>
      <c r="M52" s="74">
        <f t="shared" si="0"/>
        <v>0</v>
      </c>
      <c r="N52" s="74">
        <f t="shared" si="0"/>
        <v>0</v>
      </c>
      <c r="O52" s="74">
        <f t="shared" si="0"/>
        <v>-7262.6001220508333</v>
      </c>
      <c r="P52" s="74">
        <f t="shared" si="0"/>
        <v>-8152.5685760574052</v>
      </c>
      <c r="Q52" s="74">
        <f t="shared" si="0"/>
        <v>-917.68790324038127</v>
      </c>
      <c r="R52" s="74">
        <f t="shared" si="0"/>
        <v>3455.6260682764987</v>
      </c>
      <c r="S52" s="74">
        <f t="shared" si="0"/>
        <v>12932.82253627092</v>
      </c>
      <c r="T52" s="74">
        <f t="shared" si="0"/>
        <v>22850.081354515329</v>
      </c>
      <c r="U52" s="74">
        <f t="shared" si="0"/>
        <v>32332.513206206524</v>
      </c>
      <c r="V52" s="74">
        <f t="shared" si="0"/>
        <v>37000.937990719656</v>
      </c>
      <c r="W52" s="74">
        <f t="shared" si="0"/>
        <v>47094.271851813246</v>
      </c>
      <c r="X52" s="74">
        <f t="shared" si="0"/>
        <v>57087.762110007505</v>
      </c>
      <c r="Y52" s="74">
        <f t="shared" si="0"/>
        <v>61908.340650131868</v>
      </c>
      <c r="Z52" s="74">
        <f t="shared" si="0"/>
        <v>72117.180514656007</v>
      </c>
      <c r="AA52" s="74">
        <f t="shared" si="0"/>
        <v>82165.159124769096</v>
      </c>
      <c r="AB52" s="74">
        <f t="shared" si="0"/>
        <v>95814.807834076244</v>
      </c>
      <c r="AC52" s="74">
        <f t="shared" si="0"/>
        <v>86435.841822875402</v>
      </c>
      <c r="AD52" s="74">
        <f t="shared" si="0"/>
        <v>86836.573837929129</v>
      </c>
      <c r="AE52" s="74">
        <f t="shared" si="0"/>
        <v>87214.426197040695</v>
      </c>
      <c r="AF52" s="74">
        <f t="shared" si="0"/>
        <v>87568.486245330059</v>
      </c>
      <c r="AG52" s="74">
        <f t="shared" si="0"/>
        <v>87852.42593275354</v>
      </c>
      <c r="AH52" s="74">
        <f t="shared" si="0"/>
        <v>88225.912633877917</v>
      </c>
      <c r="AI52" s="74">
        <f t="shared" si="0"/>
        <v>88615.129468059677</v>
      </c>
      <c r="AJ52" s="74">
        <f t="shared" si="0"/>
        <v>89013.907087145024</v>
      </c>
      <c r="AK52" s="74">
        <f t="shared" si="0"/>
        <v>89382.128646047582</v>
      </c>
      <c r="AL52" s="74">
        <f t="shared" si="0"/>
        <v>89720.031110635449</v>
      </c>
      <c r="AM52" s="74">
        <f t="shared" si="0"/>
        <v>90083.935218467901</v>
      </c>
      <c r="AN52" s="74">
        <f t="shared" si="0"/>
        <v>90394.133740332079</v>
      </c>
    </row>
    <row r="53" spans="2:40" x14ac:dyDescent="0.25">
      <c r="E53" s="105" t="str">
        <f>IFERROR(E52/E37,"")</f>
        <v/>
      </c>
      <c r="F53" s="105" t="str">
        <f t="shared" ref="F53:AN53" si="1">IFERROR(F52/F37,"")</f>
        <v/>
      </c>
      <c r="G53" s="105" t="str">
        <f t="shared" si="1"/>
        <v/>
      </c>
      <c r="H53" s="105" t="str">
        <f t="shared" si="1"/>
        <v/>
      </c>
      <c r="I53" s="105" t="str">
        <f t="shared" si="1"/>
        <v/>
      </c>
      <c r="J53" s="105" t="str">
        <f t="shared" si="1"/>
        <v/>
      </c>
      <c r="K53" s="105" t="str">
        <f t="shared" si="1"/>
        <v/>
      </c>
      <c r="L53" s="105" t="str">
        <f t="shared" si="1"/>
        <v/>
      </c>
      <c r="M53" s="105" t="str">
        <f t="shared" si="1"/>
        <v/>
      </c>
      <c r="N53" s="105" t="str">
        <f t="shared" si="1"/>
        <v/>
      </c>
      <c r="O53" s="105">
        <f t="shared" si="1"/>
        <v>-0.8830588497789853</v>
      </c>
      <c r="P53" s="105">
        <f t="shared" si="1"/>
        <v>-0.33042334281259328</v>
      </c>
      <c r="Q53" s="105">
        <f t="shared" si="1"/>
        <v>-2.1666326955922195E-2</v>
      </c>
      <c r="R53" s="105">
        <f t="shared" si="1"/>
        <v>6.798855032696477E-2</v>
      </c>
      <c r="S53" s="105">
        <f t="shared" si="1"/>
        <v>0.19083745720109932</v>
      </c>
      <c r="T53" s="105">
        <f t="shared" si="1"/>
        <v>0.26974166917108688</v>
      </c>
      <c r="U53" s="105">
        <f t="shared" si="1"/>
        <v>0.31806692302414002</v>
      </c>
      <c r="V53" s="105">
        <f t="shared" si="1"/>
        <v>0.33599256824259521</v>
      </c>
      <c r="W53" s="105">
        <f t="shared" si="1"/>
        <v>0.37062705381264882</v>
      </c>
      <c r="X53" s="105">
        <f t="shared" si="1"/>
        <v>0.39641893203748757</v>
      </c>
      <c r="Y53" s="105">
        <f t="shared" si="1"/>
        <v>0.40601020391939624</v>
      </c>
      <c r="Z53" s="105">
        <f t="shared" si="1"/>
        <v>0.4256660697641641</v>
      </c>
      <c r="AA53" s="105">
        <f t="shared" si="1"/>
        <v>0.44088498628322154</v>
      </c>
      <c r="AB53" s="105">
        <f t="shared" si="1"/>
        <v>0.47128289894402392</v>
      </c>
      <c r="AC53" s="105">
        <f t="shared" si="1"/>
        <v>0.42515071550834216</v>
      </c>
      <c r="AD53" s="105">
        <f t="shared" si="1"/>
        <v>0.42712179023075092</v>
      </c>
      <c r="AE53" s="105">
        <f t="shared" si="1"/>
        <v>0.42898032712291184</v>
      </c>
      <c r="AF53" s="105">
        <f t="shared" si="1"/>
        <v>0.4307218371225669</v>
      </c>
      <c r="AG53" s="105">
        <f t="shared" si="1"/>
        <v>0.43211844712512443</v>
      </c>
      <c r="AH53" s="105">
        <f t="shared" si="1"/>
        <v>0.43395551071896626</v>
      </c>
      <c r="AI53" s="105">
        <f t="shared" si="1"/>
        <v>0.43586994588903566</v>
      </c>
      <c r="AJ53" s="105">
        <f t="shared" si="1"/>
        <v>0.43783140755247701</v>
      </c>
      <c r="AK53" s="105">
        <f t="shared" si="1"/>
        <v>0.43964257356800351</v>
      </c>
      <c r="AL53" s="105">
        <f t="shared" si="1"/>
        <v>0.44130460949617734</v>
      </c>
      <c r="AM53" s="105">
        <f t="shared" si="1"/>
        <v>0.44309453932804532</v>
      </c>
      <c r="AN53" s="105">
        <f t="shared" si="1"/>
        <v>0.44462030827688531</v>
      </c>
    </row>
    <row r="55" spans="2:40" x14ac:dyDescent="0.25">
      <c r="B55" t="s">
        <v>57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0</v>
      </c>
      <c r="D55" s="12">
        <f>C55-SUM(_xlfn.ANCHORARRAY(E55))</f>
        <v>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</row>
    <row r="56" spans="2:40" x14ac:dyDescent="0.25">
      <c r="B56" t="s">
        <v>285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0</v>
      </c>
      <c r="F56" s="90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0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0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0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0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-1233.6550599999998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-3700.9651799999992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-6353.3235589999977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-7623.9882707999977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-10165.317694400001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-12706.647117999995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-15247.976541599995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-16518.641253400001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-19059.970676999998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-21601.300100600001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-22871.964812400001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-25413.294235999991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-27954.623659599994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276</v>
      </c>
      <c r="E58" s="13">
        <f>E37-E50-E55+E56</f>
        <v>0</v>
      </c>
      <c r="F58" s="13">
        <f t="shared" ref="F58:AN58" si="2">F37-F50-F55+F56</f>
        <v>0</v>
      </c>
      <c r="G58" s="13">
        <f t="shared" si="2"/>
        <v>0</v>
      </c>
      <c r="H58" s="13">
        <f t="shared" si="2"/>
        <v>0</v>
      </c>
      <c r="I58" s="13">
        <f t="shared" si="2"/>
        <v>0</v>
      </c>
      <c r="J58" s="13">
        <f t="shared" si="2"/>
        <v>0</v>
      </c>
      <c r="K58" s="13">
        <f t="shared" si="2"/>
        <v>0</v>
      </c>
      <c r="L58" s="13">
        <f t="shared" si="2"/>
        <v>0</v>
      </c>
      <c r="M58" s="13">
        <f t="shared" si="2"/>
        <v>0</v>
      </c>
      <c r="N58" s="13">
        <f t="shared" si="2"/>
        <v>0</v>
      </c>
      <c r="O58" s="13">
        <f t="shared" si="2"/>
        <v>-7262.6001220508333</v>
      </c>
      <c r="P58" s="13">
        <f t="shared" si="2"/>
        <v>-8152.5685760574052</v>
      </c>
      <c r="Q58" s="13">
        <f t="shared" si="2"/>
        <v>-917.68790324038127</v>
      </c>
      <c r="R58" s="13">
        <f t="shared" si="2"/>
        <v>3455.6260682764987</v>
      </c>
      <c r="S58" s="13">
        <f t="shared" si="2"/>
        <v>12932.82253627092</v>
      </c>
      <c r="T58" s="13">
        <f t="shared" si="2"/>
        <v>21616.426294515328</v>
      </c>
      <c r="U58" s="13">
        <f t="shared" si="2"/>
        <v>28631.548026206525</v>
      </c>
      <c r="V58" s="13">
        <f t="shared" si="2"/>
        <v>30647.614431719659</v>
      </c>
      <c r="W58" s="13">
        <f t="shared" si="2"/>
        <v>39470.283581013246</v>
      </c>
      <c r="X58" s="13">
        <f t="shared" si="2"/>
        <v>46922.444415607504</v>
      </c>
      <c r="Y58" s="13">
        <f t="shared" si="2"/>
        <v>49201.693532131874</v>
      </c>
      <c r="Z58" s="13">
        <f t="shared" si="2"/>
        <v>56869.203973056014</v>
      </c>
      <c r="AA58" s="13">
        <f t="shared" si="2"/>
        <v>65646.517871369098</v>
      </c>
      <c r="AB58" s="13">
        <f t="shared" si="2"/>
        <v>76754.837157076254</v>
      </c>
      <c r="AC58" s="13">
        <f t="shared" si="2"/>
        <v>64834.541722275404</v>
      </c>
      <c r="AD58" s="13">
        <f t="shared" si="2"/>
        <v>63964.609025529127</v>
      </c>
      <c r="AE58" s="13">
        <f t="shared" si="2"/>
        <v>61801.131961040708</v>
      </c>
      <c r="AF58" s="13">
        <f t="shared" si="2"/>
        <v>59613.862585730065</v>
      </c>
      <c r="AG58" s="13">
        <f t="shared" si="2"/>
        <v>57356.472849553553</v>
      </c>
      <c r="AH58" s="13">
        <f t="shared" si="2"/>
        <v>57729.95955067793</v>
      </c>
      <c r="AI58" s="13">
        <f t="shared" si="2"/>
        <v>58119.176384859689</v>
      </c>
      <c r="AJ58" s="13">
        <f t="shared" si="2"/>
        <v>58517.954003945037</v>
      </c>
      <c r="AK58" s="13">
        <f t="shared" si="2"/>
        <v>58886.175562847595</v>
      </c>
      <c r="AL58" s="13">
        <f t="shared" si="2"/>
        <v>59224.078027435462</v>
      </c>
      <c r="AM58" s="13">
        <f t="shared" si="2"/>
        <v>59587.982135267914</v>
      </c>
      <c r="AN58" s="13">
        <f t="shared" si="2"/>
        <v>59898.180657132092</v>
      </c>
    </row>
    <row r="59" spans="2:40" x14ac:dyDescent="0.25">
      <c r="B59" t="s">
        <v>277</v>
      </c>
      <c r="E59" s="12" cm="1">
        <f t="array" ref="E59:AN59">_xlfn.SCAN(-D55,E58:AN58,_xlfn.LAMBDA(_xlpm.capex,_xlpm.fcf,_xlpm.capex+_xlpm.fcf))</f>
        <v>0</v>
      </c>
      <c r="F59" s="12">
        <v>0</v>
      </c>
      <c r="G59" s="12">
        <v>0</v>
      </c>
      <c r="H59" s="12">
        <v>0</v>
      </c>
      <c r="I59" s="12">
        <v>0</v>
      </c>
      <c r="J59" s="12">
        <v>0</v>
      </c>
      <c r="K59" s="12">
        <v>0</v>
      </c>
      <c r="L59" s="12">
        <v>0</v>
      </c>
      <c r="M59" s="12">
        <v>0</v>
      </c>
      <c r="N59" s="12">
        <v>0</v>
      </c>
      <c r="O59" s="12">
        <v>-7262.6001220508333</v>
      </c>
      <c r="P59" s="12">
        <v>-15415.168698108238</v>
      </c>
      <c r="Q59" s="12">
        <v>-16332.85660134862</v>
      </c>
      <c r="R59" s="12">
        <v>-12877.230533072121</v>
      </c>
      <c r="S59" s="12">
        <v>55.59200319879892</v>
      </c>
      <c r="T59" s="12">
        <v>21672.018297714127</v>
      </c>
      <c r="U59" s="12">
        <v>50303.566323920648</v>
      </c>
      <c r="V59" s="12">
        <v>80951.180755640307</v>
      </c>
      <c r="W59" s="12">
        <v>120421.46433665356</v>
      </c>
      <c r="X59" s="12">
        <v>167343.90875226108</v>
      </c>
      <c r="Y59" s="12">
        <v>216545.60228439295</v>
      </c>
      <c r="Z59" s="12">
        <v>273414.80625744897</v>
      </c>
      <c r="AA59" s="12">
        <v>339061.32412881806</v>
      </c>
      <c r="AB59" s="12">
        <v>415816.16128589434</v>
      </c>
      <c r="AC59" s="12">
        <v>480650.70300816977</v>
      </c>
      <c r="AD59" s="12">
        <v>544615.31203369889</v>
      </c>
      <c r="AE59" s="12">
        <v>606416.44399473956</v>
      </c>
      <c r="AF59" s="12">
        <v>666030.30658046959</v>
      </c>
      <c r="AG59" s="12">
        <v>723386.77943002316</v>
      </c>
      <c r="AH59" s="12">
        <v>781116.73898070108</v>
      </c>
      <c r="AI59" s="12">
        <v>839235.9153655608</v>
      </c>
      <c r="AJ59" s="12">
        <v>897753.86936950579</v>
      </c>
      <c r="AK59" s="12">
        <v>956640.04493235343</v>
      </c>
      <c r="AL59" s="12">
        <v>1015864.1229597889</v>
      </c>
      <c r="AM59" s="12">
        <v>1075452.1050950568</v>
      </c>
      <c r="AN59" s="12">
        <v>1135350.2857521889</v>
      </c>
    </row>
    <row r="61" spans="2:40" x14ac:dyDescent="0.25">
      <c r="B61" s="1" t="s">
        <v>302</v>
      </c>
    </row>
    <row r="63" spans="2:40" x14ac:dyDescent="0.25">
      <c r="B63" s="39" t="s">
        <v>103</v>
      </c>
      <c r="E63" s="12" cm="1">
        <f t="array" ref="E63:AN63">_xlfn.LET(_xlpm.site,$B$1&amp;"-"&amp;$C$1,_xlpm.locations,Base!$D$4:$BD$4,_xlpm.rates,Base!$D$36:$BD$36,_xlpm.hours,Base!$D$79:$BD$79,_xlpm.comp,_xlpm.rates*_xlpm.hours,_xlpm.Customer,_xlfn.ANCHORARRAY($E$1),
_xlpm.Customer_comp,_xlfn.XLOOKUP(_xlpm.site,_xlpm.locations,_xlpm.comp,0,0),_xlpm.ann_incr,_xlfn.XLOOKUP(YEAR(_xlfn.ANCHORARRAY($E$25)),Base!$BJ$4:$BL$4,Base!$BJ$79:$BL$79,0,0),
_xlpm.bad_debt,_xlfn.XLOOKUP(_xlpm.site,_xlpm.locations,Base!$D$28:$BD$28,0,0),_xlpm.Customer_comp*_xlpm.Customer*_xlpm.bad_debt*_xlpm.ann_incr*(52/12)*(1-$C$35))</f>
        <v>0</v>
      </c>
      <c r="F63" s="12">
        <v>0</v>
      </c>
      <c r="G63" s="12">
        <v>0</v>
      </c>
      <c r="H63" s="12">
        <v>0</v>
      </c>
      <c r="I63" s="12">
        <v>0</v>
      </c>
      <c r="J63" s="12">
        <v>0</v>
      </c>
      <c r="K63" s="12">
        <v>0</v>
      </c>
      <c r="L63" s="12">
        <v>0</v>
      </c>
      <c r="M63" s="12">
        <v>0</v>
      </c>
      <c r="N63" s="12">
        <v>0</v>
      </c>
      <c r="O63" s="12">
        <v>0</v>
      </c>
      <c r="P63" s="12">
        <v>0</v>
      </c>
      <c r="Q63" s="12">
        <v>0</v>
      </c>
      <c r="R63" s="12">
        <v>0</v>
      </c>
      <c r="S63" s="12">
        <v>0</v>
      </c>
      <c r="T63" s="12">
        <v>0</v>
      </c>
      <c r="U63" s="12">
        <v>0</v>
      </c>
      <c r="V63" s="12">
        <v>0</v>
      </c>
      <c r="W63" s="12">
        <v>0</v>
      </c>
      <c r="X63" s="12">
        <v>0</v>
      </c>
      <c r="Y63" s="12">
        <v>0</v>
      </c>
      <c r="Z63" s="12">
        <v>0</v>
      </c>
      <c r="AA63" s="12">
        <v>0</v>
      </c>
      <c r="AB63" s="12">
        <v>0</v>
      </c>
      <c r="AC63" s="12">
        <v>0</v>
      </c>
      <c r="AD63" s="12">
        <v>0</v>
      </c>
      <c r="AE63" s="12">
        <v>0</v>
      </c>
      <c r="AF63" s="12">
        <v>0</v>
      </c>
      <c r="AG63" s="12">
        <v>0</v>
      </c>
      <c r="AH63" s="12">
        <v>0</v>
      </c>
      <c r="AI63" s="12">
        <v>0</v>
      </c>
      <c r="AJ63" s="12">
        <v>0</v>
      </c>
      <c r="AK63" s="12">
        <v>0</v>
      </c>
      <c r="AL63" s="12">
        <v>0</v>
      </c>
      <c r="AM63" s="12">
        <v>0</v>
      </c>
      <c r="AN63" s="12">
        <v>0</v>
      </c>
    </row>
    <row r="64" spans="2:40" x14ac:dyDescent="0.25">
      <c r="B64" s="39" t="s">
        <v>104</v>
      </c>
      <c r="E64" s="12" cm="1">
        <f t="array" ref="E64:AN64">_xlfn.LET(_xlpm.site,$B$1&amp;"-"&amp;$C$1,_xlpm.locations,Base!$D$4:$BD$4,_xlpm.rates,Base!$D$37:$BD$37,_xlpm.hours,Base!$D$80:$BD$80,_xlpm.comp,_xlpm.rates*_xlpm.hours,_xlpm.Customer,_xlfn.ANCHORARRAY($E$1),
_xlpm.Customer_comp,_xlfn.XLOOKUP(_xlpm.site,_xlpm.locations,_xlpm.comp,0,0),_xlpm.ann_incr,_xlfn.XLOOKUP(YEAR(_xlfn.ANCHORARRAY($E$25)),Base!$BJ$4:$BL$4,Base!$BJ$80:$BL$80,0,0),
_xlpm.bad_debt,_xlfn.XLOOKUP(_xlpm.site,_xlpm.locations,Base!$D$28:$BD$28,0,0),_xlpm.Customer_comp*_xlpm.Customer*_xlpm.bad_debt*_xlpm.ann_incr*(52/12)*(1-$C$35))</f>
        <v>0</v>
      </c>
      <c r="F64" s="12">
        <v>0</v>
      </c>
      <c r="G64" s="12">
        <v>0</v>
      </c>
      <c r="H64" s="12">
        <v>0</v>
      </c>
      <c r="I64" s="12">
        <v>0</v>
      </c>
      <c r="J64" s="12">
        <v>0</v>
      </c>
      <c r="K64" s="12">
        <v>0</v>
      </c>
      <c r="L64" s="12">
        <v>0</v>
      </c>
      <c r="M64" s="12">
        <v>0</v>
      </c>
      <c r="N64" s="12">
        <v>0</v>
      </c>
      <c r="O64" s="12">
        <v>0</v>
      </c>
      <c r="P64" s="12">
        <v>0</v>
      </c>
      <c r="Q64" s="12">
        <v>0</v>
      </c>
      <c r="R64" s="12">
        <v>0</v>
      </c>
      <c r="S64" s="12">
        <v>0</v>
      </c>
      <c r="T64" s="12">
        <v>0</v>
      </c>
      <c r="U64" s="12">
        <v>0</v>
      </c>
      <c r="V64" s="12">
        <v>0</v>
      </c>
      <c r="W64" s="12">
        <v>0</v>
      </c>
      <c r="X64" s="12">
        <v>0</v>
      </c>
      <c r="Y64" s="12">
        <v>0</v>
      </c>
      <c r="Z64" s="12">
        <v>0</v>
      </c>
      <c r="AA64" s="12">
        <v>0</v>
      </c>
      <c r="AB64" s="12">
        <v>0</v>
      </c>
      <c r="AC64" s="12">
        <v>0</v>
      </c>
      <c r="AD64" s="12">
        <v>0</v>
      </c>
      <c r="AE64" s="12">
        <v>0</v>
      </c>
      <c r="AF64" s="12">
        <v>0</v>
      </c>
      <c r="AG64" s="12">
        <v>0</v>
      </c>
      <c r="AH64" s="12">
        <v>0</v>
      </c>
      <c r="AI64" s="12">
        <v>0</v>
      </c>
      <c r="AJ64" s="12">
        <v>0</v>
      </c>
      <c r="AK64" s="12">
        <v>0</v>
      </c>
      <c r="AL64" s="12">
        <v>0</v>
      </c>
      <c r="AM64" s="12">
        <v>0</v>
      </c>
      <c r="AN64" s="12">
        <v>0</v>
      </c>
    </row>
    <row r="65" spans="2:40" x14ac:dyDescent="0.25">
      <c r="B65" s="39" t="s">
        <v>56</v>
      </c>
      <c r="E65" s="12" cm="1">
        <f t="array" ref="E65:AN65">_xlfn.LET(_xlpm.site,$B$1&amp;"-"&amp;$C$1,_xlpm.locations,Base!$D$4:$BD$4,_xlpm.rates,Base!$D$39:$BD$39,_xlpm.hours,Base!$D$82:$BD$82,_xlpm.comp,_xlpm.rates*_xlpm.hours,_xlpm.Customer,_xlfn.ANCHORARRAY($E$1),
_xlpm.Customer_comp,_xlfn.XLOOKUP(_xlpm.site,_xlpm.locations,_xlpm.comp,0,0),_xlpm.ann_incr,_xlfn.XLOOKUP(YEAR(_xlfn.ANCHORARRAY($E$25)),Base!$BJ$4:$BL$4,Base!$BJ$82:$BL$82,0,0),
_xlpm.bad_debt,_xlfn.XLOOKUP(_xlpm.site,_xlpm.locations,Base!$D$28:$BD$28,0,0),_xlpm.Customer_comp*_xlpm.Customer*_xlpm.bad_debt*_xlpm.ann_incr*(52/12)*(1-$C$35))</f>
        <v>0</v>
      </c>
      <c r="F65" s="12">
        <v>0</v>
      </c>
      <c r="G65" s="12">
        <v>0</v>
      </c>
      <c r="H65" s="12">
        <v>0</v>
      </c>
      <c r="I65" s="12">
        <v>0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  <c r="O65" s="12">
        <v>0</v>
      </c>
      <c r="P65" s="12">
        <v>0</v>
      </c>
      <c r="Q65" s="12">
        <v>0</v>
      </c>
      <c r="R65" s="12">
        <v>0</v>
      </c>
      <c r="S65" s="12">
        <v>0</v>
      </c>
      <c r="T65" s="12">
        <v>0</v>
      </c>
      <c r="U65" s="12">
        <v>0</v>
      </c>
      <c r="V65" s="12">
        <v>0</v>
      </c>
      <c r="W65" s="12">
        <v>0</v>
      </c>
      <c r="X65" s="12">
        <v>0</v>
      </c>
      <c r="Y65" s="12">
        <v>0</v>
      </c>
      <c r="Z65" s="12">
        <v>0</v>
      </c>
      <c r="AA65" s="12">
        <v>0</v>
      </c>
      <c r="AB65" s="12">
        <v>0</v>
      </c>
      <c r="AC65" s="12">
        <v>0</v>
      </c>
      <c r="AD65" s="12">
        <v>0</v>
      </c>
      <c r="AE65" s="12">
        <v>0</v>
      </c>
      <c r="AF65" s="12">
        <v>0</v>
      </c>
      <c r="AG65" s="12">
        <v>0</v>
      </c>
      <c r="AH65" s="12">
        <v>0</v>
      </c>
      <c r="AI65" s="12">
        <v>0</v>
      </c>
      <c r="AJ65" s="12">
        <v>0</v>
      </c>
      <c r="AK65" s="12">
        <v>0</v>
      </c>
      <c r="AL65" s="12">
        <v>0</v>
      </c>
      <c r="AM65" s="12">
        <v>0</v>
      </c>
      <c r="AN65" s="12">
        <v>0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303</v>
      </c>
      <c r="C67" s="12"/>
      <c r="E67" s="13" cm="1">
        <f t="array" ref="E67:AN67">_xlfn.BYCOL(_xlfn.VSTACK(_xlfn.ANCHORARRAY($E$63),_xlfn.ANCHORARRAY($E$64),_xlfn.ANCHORARRAY($E$65)),_xlfn.LAMBDA(_xlpm.a,SUM(_xlpm.a)))</f>
        <v>0</v>
      </c>
      <c r="F67" s="13">
        <v>0</v>
      </c>
      <c r="G67" s="13">
        <v>0</v>
      </c>
      <c r="H67" s="13">
        <v>0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  <c r="W67" s="13">
        <v>0</v>
      </c>
      <c r="X67" s="13">
        <v>0</v>
      </c>
      <c r="Y67" s="13">
        <v>0</v>
      </c>
      <c r="Z67" s="13">
        <v>0</v>
      </c>
      <c r="AA67" s="13">
        <v>0</v>
      </c>
      <c r="AB67" s="13">
        <v>0</v>
      </c>
      <c r="AC67" s="13">
        <v>0</v>
      </c>
      <c r="AD67" s="13">
        <v>0</v>
      </c>
      <c r="AE67" s="13">
        <v>0</v>
      </c>
      <c r="AF67" s="13">
        <v>0</v>
      </c>
      <c r="AG67" s="13">
        <v>0</v>
      </c>
      <c r="AH67" s="13">
        <v>0</v>
      </c>
      <c r="AI67" s="13">
        <v>0</v>
      </c>
      <c r="AJ67" s="13">
        <v>0</v>
      </c>
      <c r="AK67" s="13">
        <v>0</v>
      </c>
      <c r="AL67" s="13">
        <v>0</v>
      </c>
      <c r="AM67" s="13">
        <v>0</v>
      </c>
      <c r="AN67" s="13">
        <v>0</v>
      </c>
    </row>
    <row r="68" spans="2:40" x14ac:dyDescent="0.25">
      <c r="B68" s="39"/>
      <c r="C68" s="12"/>
    </row>
    <row r="69" spans="2:40" x14ac:dyDescent="0.25">
      <c r="B69" s="39" t="s">
        <v>304</v>
      </c>
      <c r="C69" s="12"/>
      <c r="E69" s="106" cm="1">
        <f t="array" ref="E69:AN70">_xlfn.LET(_xlpm.Customer_staff,_xlfn._xlws.FILTER(Base!$D$96:$BD$97,ISNUMBER(SEARCH($B$1&amp;"-"&amp;$C$1,Base!$D$4:$BD$4))),_xlpm.Customer,_xlfn.ANCHORARRAY($E$1),_xlpm.headcount,_xlpm.Customer/_xlpm.Customer_staff,
_xlpm.rounding,_xlfn.VSTACK(0,0),IFERROR(ROUND(_xlpm.headcount,_xlpm.rounding),0))</f>
        <v>0</v>
      </c>
      <c r="F69" s="106">
        <v>0</v>
      </c>
      <c r="G69" s="106">
        <v>0</v>
      </c>
      <c r="H69" s="106">
        <v>0</v>
      </c>
      <c r="I69" s="106">
        <v>0</v>
      </c>
      <c r="J69" s="106">
        <v>0</v>
      </c>
      <c r="K69" s="106">
        <v>0</v>
      </c>
      <c r="L69" s="106">
        <v>0</v>
      </c>
      <c r="M69" s="106">
        <v>0</v>
      </c>
      <c r="N69" s="106">
        <v>0</v>
      </c>
      <c r="O69" s="106">
        <v>0</v>
      </c>
      <c r="P69" s="106">
        <v>0</v>
      </c>
      <c r="Q69" s="106">
        <v>0</v>
      </c>
      <c r="R69" s="106">
        <v>0</v>
      </c>
      <c r="S69" s="106">
        <v>0</v>
      </c>
      <c r="T69" s="106">
        <v>0</v>
      </c>
      <c r="U69" s="106">
        <v>0</v>
      </c>
      <c r="V69" s="106">
        <v>0</v>
      </c>
      <c r="W69" s="106">
        <v>0</v>
      </c>
      <c r="X69" s="106">
        <v>0</v>
      </c>
      <c r="Y69" s="106">
        <v>0</v>
      </c>
      <c r="Z69" s="106">
        <v>0</v>
      </c>
      <c r="AA69" s="106">
        <v>0</v>
      </c>
      <c r="AB69" s="106">
        <v>0</v>
      </c>
      <c r="AC69" s="106">
        <v>0</v>
      </c>
      <c r="AD69" s="106">
        <v>0</v>
      </c>
      <c r="AE69" s="106">
        <v>0</v>
      </c>
      <c r="AF69" s="106">
        <v>0</v>
      </c>
      <c r="AG69" s="106">
        <v>0</v>
      </c>
      <c r="AH69" s="106">
        <v>0</v>
      </c>
      <c r="AI69" s="106">
        <v>0</v>
      </c>
      <c r="AJ69" s="106">
        <v>0</v>
      </c>
      <c r="AK69" s="106">
        <v>0</v>
      </c>
      <c r="AL69" s="106">
        <v>0</v>
      </c>
      <c r="AM69" s="106">
        <v>0</v>
      </c>
      <c r="AN69" s="106">
        <v>0</v>
      </c>
    </row>
    <row r="70" spans="2:40" x14ac:dyDescent="0.25">
      <c r="B70" s="39" t="s">
        <v>305</v>
      </c>
      <c r="C70" s="12"/>
      <c r="E70" s="106">
        <v>0</v>
      </c>
      <c r="F70" s="106">
        <v>0</v>
      </c>
      <c r="G70" s="106">
        <v>0</v>
      </c>
      <c r="H70" s="106">
        <v>0</v>
      </c>
      <c r="I70" s="106">
        <v>0</v>
      </c>
      <c r="J70" s="106">
        <v>0</v>
      </c>
      <c r="K70" s="106">
        <v>0</v>
      </c>
      <c r="L70" s="106">
        <v>0</v>
      </c>
      <c r="M70" s="106">
        <v>0</v>
      </c>
      <c r="N70" s="106">
        <v>0</v>
      </c>
      <c r="O70" s="106">
        <v>0</v>
      </c>
      <c r="P70" s="106">
        <v>0</v>
      </c>
      <c r="Q70" s="106">
        <v>0</v>
      </c>
      <c r="R70" s="106">
        <v>0</v>
      </c>
      <c r="S70" s="106">
        <v>0</v>
      </c>
      <c r="T70" s="106">
        <v>0</v>
      </c>
      <c r="U70" s="106">
        <v>0</v>
      </c>
      <c r="V70" s="106">
        <v>0</v>
      </c>
      <c r="W70" s="106">
        <v>0</v>
      </c>
      <c r="X70" s="106">
        <v>0</v>
      </c>
      <c r="Y70" s="106">
        <v>0</v>
      </c>
      <c r="Z70" s="106">
        <v>0</v>
      </c>
      <c r="AA70" s="106">
        <v>0</v>
      </c>
      <c r="AB70" s="106">
        <v>0</v>
      </c>
      <c r="AC70" s="106">
        <v>0</v>
      </c>
      <c r="AD70" s="106">
        <v>0</v>
      </c>
      <c r="AE70" s="106">
        <v>0</v>
      </c>
      <c r="AF70" s="106">
        <v>0</v>
      </c>
      <c r="AG70" s="106">
        <v>0</v>
      </c>
      <c r="AH70" s="106">
        <v>0</v>
      </c>
      <c r="AI70" s="106">
        <v>0</v>
      </c>
      <c r="AJ70" s="106">
        <v>0</v>
      </c>
      <c r="AK70" s="106">
        <v>0</v>
      </c>
      <c r="AL70" s="106">
        <v>0</v>
      </c>
      <c r="AM70" s="106">
        <v>0</v>
      </c>
      <c r="AN70" s="106">
        <v>0</v>
      </c>
    </row>
    <row r="71" spans="2:40" x14ac:dyDescent="0.25">
      <c r="B71" s="39"/>
      <c r="C71" s="12"/>
    </row>
    <row r="72" spans="2:40" x14ac:dyDescent="0.25">
      <c r="B72" s="39" t="s">
        <v>23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0</v>
      </c>
      <c r="F72" s="12">
        <v>0</v>
      </c>
      <c r="G72" s="12">
        <v>0</v>
      </c>
      <c r="H72" s="12">
        <v>0</v>
      </c>
      <c r="I72" s="12">
        <v>0</v>
      </c>
      <c r="J72" s="12">
        <v>0</v>
      </c>
      <c r="K72" s="12">
        <v>0</v>
      </c>
      <c r="L72" s="12">
        <v>0</v>
      </c>
      <c r="M72" s="12">
        <v>0</v>
      </c>
      <c r="N72" s="12">
        <v>0</v>
      </c>
      <c r="O72" s="12">
        <v>1.0488449438217826E-3</v>
      </c>
      <c r="P72" s="12">
        <v>3.1465348314653478E-3</v>
      </c>
      <c r="Q72" s="12">
        <v>5.768647191019805E-3</v>
      </c>
      <c r="R72" s="12">
        <v>6.9223766292237652E-3</v>
      </c>
      <c r="S72" s="12">
        <v>9.2298355056316863E-3</v>
      </c>
      <c r="T72" s="12">
        <v>1.153729438203961E-2</v>
      </c>
      <c r="U72" s="12">
        <v>1.384475325844753E-2</v>
      </c>
      <c r="V72" s="12">
        <v>1.499848269665149E-2</v>
      </c>
      <c r="W72" s="12">
        <v>1.7305941573059418E-2</v>
      </c>
      <c r="X72" s="12">
        <v>1.9613400449467334E-2</v>
      </c>
      <c r="Y72" s="12">
        <v>2.0767129887671303E-2</v>
      </c>
      <c r="Z72" s="12">
        <v>2.307458876407922E-2</v>
      </c>
      <c r="AA72" s="12">
        <v>2.5382047640487147E-2</v>
      </c>
      <c r="AB72" s="12">
        <v>2.7689506516895061E-2</v>
      </c>
      <c r="AC72" s="12">
        <v>3.0458457168584575E-2</v>
      </c>
      <c r="AD72" s="12">
        <v>3.0458457168584575E-2</v>
      </c>
      <c r="AE72" s="12">
        <v>3.0458457168584575E-2</v>
      </c>
      <c r="AF72" s="12">
        <v>3.0458457168584575E-2</v>
      </c>
      <c r="AG72" s="12">
        <v>3.0458457168584575E-2</v>
      </c>
      <c r="AH72" s="12">
        <v>3.0458457168584575E-2</v>
      </c>
      <c r="AI72" s="12">
        <v>3.0458457168584575E-2</v>
      </c>
      <c r="AJ72" s="12">
        <v>3.0458457168584575E-2</v>
      </c>
      <c r="AK72" s="12">
        <v>3.0458457168584575E-2</v>
      </c>
      <c r="AL72" s="12">
        <v>3.0458457168584575E-2</v>
      </c>
      <c r="AM72" s="12">
        <v>3.0458457168584575E-2</v>
      </c>
      <c r="AN72" s="12">
        <v>3.0458457168584575E-2</v>
      </c>
    </row>
    <row r="73" spans="2:40" x14ac:dyDescent="0.25">
      <c r="B73" s="39" t="s">
        <v>24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306</v>
      </c>
      <c r="E75" s="74" cm="1">
        <f t="array" ref="E75:AN75">_xlfn.ANCHORARRAY(E67)-_xlfn.ANCHORARRAY(E72)-_xlfn.ANCHORARRAY(E73)</f>
        <v>0</v>
      </c>
      <c r="F75" s="74">
        <v>0</v>
      </c>
      <c r="G75" s="74">
        <v>0</v>
      </c>
      <c r="H75" s="74">
        <v>0</v>
      </c>
      <c r="I75" s="74">
        <v>0</v>
      </c>
      <c r="J75" s="74">
        <v>0</v>
      </c>
      <c r="K75" s="74">
        <v>0</v>
      </c>
      <c r="L75" s="74">
        <v>0</v>
      </c>
      <c r="M75" s="74">
        <v>0</v>
      </c>
      <c r="N75" s="74">
        <v>0</v>
      </c>
      <c r="O75" s="74">
        <v>-1.0488449438217826E-3</v>
      </c>
      <c r="P75" s="74">
        <v>-3.1465348314653478E-3</v>
      </c>
      <c r="Q75" s="74">
        <v>-5.768647191019805E-3</v>
      </c>
      <c r="R75" s="74">
        <v>-6.9223766292237652E-3</v>
      </c>
      <c r="S75" s="74">
        <v>-9.2298355056316863E-3</v>
      </c>
      <c r="T75" s="74">
        <v>-1.153729438203961E-2</v>
      </c>
      <c r="U75" s="74">
        <v>-1.384475325844753E-2</v>
      </c>
      <c r="V75" s="74">
        <v>-1.499848269665149E-2</v>
      </c>
      <c r="W75" s="74">
        <v>-1.7305941573059418E-2</v>
      </c>
      <c r="X75" s="74">
        <v>-1.9613400449467334E-2</v>
      </c>
      <c r="Y75" s="74">
        <v>-2.0767129887671303E-2</v>
      </c>
      <c r="Z75" s="74">
        <v>-2.307458876407922E-2</v>
      </c>
      <c r="AA75" s="74">
        <v>-2.5382047640487147E-2</v>
      </c>
      <c r="AB75" s="74">
        <v>-2.7689506516895061E-2</v>
      </c>
      <c r="AC75" s="74">
        <v>-3.0458457168584575E-2</v>
      </c>
      <c r="AD75" s="74">
        <v>-3.0458457168584575E-2</v>
      </c>
      <c r="AE75" s="74">
        <v>-3.0458457168584575E-2</v>
      </c>
      <c r="AF75" s="74">
        <v>-3.0458457168584575E-2</v>
      </c>
      <c r="AG75" s="74">
        <v>-3.0458457168584575E-2</v>
      </c>
      <c r="AH75" s="74">
        <v>-3.0458457168584575E-2</v>
      </c>
      <c r="AI75" s="74">
        <v>-3.0458457168584575E-2</v>
      </c>
      <c r="AJ75" s="74">
        <v>-3.0458457168584575E-2</v>
      </c>
      <c r="AK75" s="74">
        <v>-3.0458457168584575E-2</v>
      </c>
      <c r="AL75" s="74">
        <v>-3.0458457168584575E-2</v>
      </c>
      <c r="AM75" s="74">
        <v>-3.0458457168584575E-2</v>
      </c>
      <c r="AN75" s="74">
        <v>-3.0458457168584575E-2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32B21A-55BA-4817-90A7-127B214E9B08}">
  <dimension ref="A1:AX75"/>
  <sheetViews>
    <sheetView workbookViewId="0">
      <pane xSplit="4" ySplit="25" topLeftCell="E26" activePane="bottomRight" state="frozen"/>
      <selection activeCell="E63" sqref="E63:E65"/>
      <selection pane="topRight" activeCell="E63" sqref="E63:E65"/>
      <selection pane="bottomLeft" activeCell="E63" sqref="E63:E65"/>
      <selection pane="bottomRight" activeCell="E63" sqref="E63:E65"/>
    </sheetView>
  </sheetViews>
  <sheetFormatPr defaultRowHeight="15" outlineLevelRow="1" x14ac:dyDescent="0.25"/>
  <cols>
    <col min="2" max="2" width="24.5703125" bestFit="1" customWidth="1"/>
    <col min="3" max="3" width="11.5703125" bestFit="1" customWidth="1"/>
    <col min="4" max="4" width="10" bestFit="1" customWidth="1"/>
    <col min="5" max="5" width="11.42578125" bestFit="1" customWidth="1"/>
    <col min="6" max="6" width="11.7109375" bestFit="1" customWidth="1"/>
    <col min="7" max="13" width="12.28515625" bestFit="1" customWidth="1"/>
    <col min="14" max="18" width="11.5703125" bestFit="1" customWidth="1"/>
    <col min="19" max="40" width="12.5703125" bestFit="1" customWidth="1"/>
  </cols>
  <sheetData>
    <row r="1" spans="1:40" x14ac:dyDescent="0.25">
      <c r="A1" s="96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>2026</v>
      </c>
      <c r="B1" s="58" t="s">
        <v>65</v>
      </c>
      <c r="C1" s="16" t="s">
        <v>61</v>
      </c>
      <c r="D1" s="3" t="s">
        <v>307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IFERROR(_xlpm.kiddos,0))</f>
        <v>0</v>
      </c>
      <c r="F1" s="69">
        <v>0</v>
      </c>
      <c r="G1" s="69">
        <v>0</v>
      </c>
      <c r="H1" s="69">
        <v>0</v>
      </c>
      <c r="I1" s="69">
        <v>0</v>
      </c>
      <c r="J1" s="69">
        <v>0</v>
      </c>
      <c r="K1" s="69">
        <v>0</v>
      </c>
      <c r="L1" s="69">
        <v>0</v>
      </c>
      <c r="M1" s="69">
        <v>3</v>
      </c>
      <c r="N1" s="69">
        <v>6</v>
      </c>
      <c r="O1" s="69">
        <v>9</v>
      </c>
      <c r="P1" s="69">
        <v>12</v>
      </c>
      <c r="Q1" s="69">
        <v>15</v>
      </c>
      <c r="R1" s="69">
        <v>18</v>
      </c>
      <c r="S1" s="69">
        <v>21</v>
      </c>
      <c r="T1" s="69">
        <v>24</v>
      </c>
      <c r="U1" s="69">
        <v>27</v>
      </c>
      <c r="V1" s="69">
        <v>30</v>
      </c>
      <c r="W1" s="69">
        <v>33</v>
      </c>
      <c r="X1" s="69">
        <v>36</v>
      </c>
      <c r="Y1" s="69">
        <v>39</v>
      </c>
      <c r="Z1" s="69">
        <v>42</v>
      </c>
      <c r="AA1" s="69">
        <v>42</v>
      </c>
      <c r="AB1" s="69">
        <v>42</v>
      </c>
      <c r="AC1" s="69">
        <v>42</v>
      </c>
      <c r="AD1" s="69">
        <v>42</v>
      </c>
      <c r="AE1" s="69">
        <v>42</v>
      </c>
      <c r="AF1" s="69">
        <v>42</v>
      </c>
      <c r="AG1" s="69">
        <v>42</v>
      </c>
      <c r="AH1" s="69">
        <v>42</v>
      </c>
      <c r="AI1" s="69">
        <v>42</v>
      </c>
      <c r="AJ1" s="69">
        <v>42</v>
      </c>
      <c r="AK1" s="69">
        <v>42</v>
      </c>
      <c r="AL1" s="69">
        <v>42</v>
      </c>
      <c r="AM1" s="69">
        <v>42</v>
      </c>
      <c r="AN1" s="69">
        <v>42</v>
      </c>
    </row>
    <row r="2" spans="1:40" x14ac:dyDescent="0.25">
      <c r="A2" s="65"/>
      <c r="B2" s="3" t="str">
        <f>_xlfn.XLOOKUP($B$1&amp;"-"&amp;$C$1,Base!$D$4:$BD$4,Base!$D$2:$BD$2,"",0)</f>
        <v>New Jersey</v>
      </c>
      <c r="C2" s="55"/>
      <c r="D2" s="55" t="s">
        <v>259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0</v>
      </c>
      <c r="F2" s="69">
        <v>0</v>
      </c>
      <c r="G2" s="69">
        <v>0</v>
      </c>
      <c r="H2" s="69">
        <v>0</v>
      </c>
      <c r="I2" s="69">
        <v>0</v>
      </c>
      <c r="J2" s="69">
        <v>0</v>
      </c>
      <c r="K2" s="69">
        <v>0</v>
      </c>
      <c r="L2" s="69">
        <v>0</v>
      </c>
      <c r="M2" s="69">
        <v>0</v>
      </c>
      <c r="N2" s="69">
        <v>3.1666666666666665</v>
      </c>
      <c r="O2" s="69">
        <v>3.3333333333333335</v>
      </c>
      <c r="P2" s="69">
        <v>3.5</v>
      </c>
      <c r="Q2" s="69">
        <v>3.6666666666666665</v>
      </c>
      <c r="R2" s="69">
        <v>3.8333333333333335</v>
      </c>
      <c r="S2" s="69">
        <v>4</v>
      </c>
      <c r="T2" s="69">
        <v>4.166666666666667</v>
      </c>
      <c r="U2" s="69">
        <v>4.333333333333333</v>
      </c>
      <c r="V2" s="69">
        <v>4.5</v>
      </c>
      <c r="W2" s="69">
        <v>4.666666666666667</v>
      </c>
      <c r="X2" s="69">
        <v>4.833333333333333</v>
      </c>
      <c r="Y2" s="69">
        <v>5</v>
      </c>
      <c r="Z2" s="69">
        <v>2.1666666666666665</v>
      </c>
      <c r="AA2" s="69">
        <v>2.3333333333333335</v>
      </c>
      <c r="AB2" s="69">
        <v>2.5</v>
      </c>
      <c r="AC2" s="69">
        <v>2.6666666666666665</v>
      </c>
      <c r="AD2" s="69">
        <v>2.8333333333333335</v>
      </c>
      <c r="AE2" s="69">
        <v>3</v>
      </c>
      <c r="AF2" s="69">
        <v>3.1666666666666665</v>
      </c>
      <c r="AG2" s="69">
        <v>3.3333333333333335</v>
      </c>
      <c r="AH2" s="69">
        <v>3.5</v>
      </c>
      <c r="AI2" s="69">
        <v>3.6666666666666665</v>
      </c>
      <c r="AJ2" s="69">
        <v>3.8333333333333335</v>
      </c>
      <c r="AK2" s="69">
        <v>4</v>
      </c>
      <c r="AL2" s="69">
        <v>4</v>
      </c>
      <c r="AM2" s="69">
        <v>4</v>
      </c>
      <c r="AN2" s="69">
        <v>4</v>
      </c>
    </row>
    <row r="3" spans="1:40" x14ac:dyDescent="0.25">
      <c r="A3" s="65"/>
      <c r="B3" s="55"/>
      <c r="C3" s="55"/>
      <c r="D3" s="55" t="s">
        <v>62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_xlpm.months_since,DATEDIF(_xlpm.launchdate,_xlfn.ANCHORARRAY($E$25),"m"),_xlfn.BYCOL(_xlpm.months_since,_xlfn.LAMBDA(_xlpm.a,IFERROR(MIN(_xlpm.a/6,_xlpm.max_kiddos),0))))</f>
        <v>0</v>
      </c>
      <c r="F3" s="69">
        <v>0</v>
      </c>
      <c r="G3" s="69">
        <v>0</v>
      </c>
      <c r="H3" s="69">
        <v>0</v>
      </c>
      <c r="I3" s="69">
        <v>0</v>
      </c>
      <c r="J3" s="69">
        <v>0</v>
      </c>
      <c r="K3" s="69">
        <v>0</v>
      </c>
      <c r="L3" s="69">
        <v>0</v>
      </c>
      <c r="M3" s="69">
        <v>0</v>
      </c>
      <c r="N3" s="69">
        <v>0.16666666666666666</v>
      </c>
      <c r="O3" s="69">
        <v>0.33333333333333331</v>
      </c>
      <c r="P3" s="69">
        <v>0.5</v>
      </c>
      <c r="Q3" s="69">
        <v>0.66666666666666663</v>
      </c>
      <c r="R3" s="69">
        <v>0.83333333333333337</v>
      </c>
      <c r="S3" s="69">
        <v>1</v>
      </c>
      <c r="T3" s="69">
        <v>1.1666666666666667</v>
      </c>
      <c r="U3" s="69">
        <v>1.3333333333333333</v>
      </c>
      <c r="V3" s="69">
        <v>1.5</v>
      </c>
      <c r="W3" s="69">
        <v>1.6666666666666667</v>
      </c>
      <c r="X3" s="69">
        <v>1.8333333333333333</v>
      </c>
      <c r="Y3" s="69">
        <v>2</v>
      </c>
      <c r="Z3" s="69">
        <v>2.1666666666666665</v>
      </c>
      <c r="AA3" s="69">
        <v>2.3333333333333335</v>
      </c>
      <c r="AB3" s="69">
        <v>2.5</v>
      </c>
      <c r="AC3" s="69">
        <v>2.6666666666666665</v>
      </c>
      <c r="AD3" s="69">
        <v>2.8333333333333335</v>
      </c>
      <c r="AE3" s="69">
        <v>3</v>
      </c>
      <c r="AF3" s="69">
        <v>3.1666666666666665</v>
      </c>
      <c r="AG3" s="69">
        <v>3.3333333333333335</v>
      </c>
      <c r="AH3" s="69">
        <v>3.5</v>
      </c>
      <c r="AI3" s="69">
        <v>3.6666666666666665</v>
      </c>
      <c r="AJ3" s="69">
        <v>3.8333333333333335</v>
      </c>
      <c r="AK3" s="69">
        <v>4</v>
      </c>
      <c r="AL3" s="69">
        <v>4</v>
      </c>
      <c r="AM3" s="69">
        <v>4</v>
      </c>
      <c r="AN3" s="69">
        <v>4</v>
      </c>
    </row>
    <row r="4" spans="1:40" x14ac:dyDescent="0.25">
      <c r="A4" s="65"/>
      <c r="B4" s="55"/>
      <c r="C4" s="55"/>
      <c r="D4" s="55" t="s">
        <v>260</v>
      </c>
      <c r="E4" s="69" cm="1">
        <f t="array" ref="E4:AN4">_xlfn.BYCOL(_xlfn.VSTACK(_xlfn.ANCHORARRAY($E$1),_xlfn.ANCHORARRAY($E$2)),_xlfn.LAMBDA(_xlpm.a,SUM(_xlpm.a)))</f>
        <v>0</v>
      </c>
      <c r="F4" s="69">
        <v>0</v>
      </c>
      <c r="G4" s="69">
        <v>0</v>
      </c>
      <c r="H4" s="69">
        <v>0</v>
      </c>
      <c r="I4" s="69">
        <v>0</v>
      </c>
      <c r="J4" s="69">
        <v>0</v>
      </c>
      <c r="K4" s="69">
        <v>0</v>
      </c>
      <c r="L4" s="69">
        <v>0</v>
      </c>
      <c r="M4" s="69">
        <v>3</v>
      </c>
      <c r="N4" s="69">
        <v>9.1666666666666661</v>
      </c>
      <c r="O4" s="69">
        <v>12.333333333333334</v>
      </c>
      <c r="P4" s="69">
        <v>15.5</v>
      </c>
      <c r="Q4" s="69">
        <v>18.666666666666668</v>
      </c>
      <c r="R4" s="69">
        <v>21.833333333333332</v>
      </c>
      <c r="S4" s="69">
        <v>25</v>
      </c>
      <c r="T4" s="69">
        <v>28.166666666666668</v>
      </c>
      <c r="U4" s="69">
        <v>31.333333333333332</v>
      </c>
      <c r="V4" s="69">
        <v>34.5</v>
      </c>
      <c r="W4" s="69">
        <v>37.666666666666664</v>
      </c>
      <c r="X4" s="69">
        <v>40.833333333333336</v>
      </c>
      <c r="Y4" s="69">
        <v>44</v>
      </c>
      <c r="Z4" s="69">
        <v>44.166666666666664</v>
      </c>
      <c r="AA4" s="69">
        <v>44.333333333333336</v>
      </c>
      <c r="AB4" s="69">
        <v>44.5</v>
      </c>
      <c r="AC4" s="69">
        <v>44.666666666666664</v>
      </c>
      <c r="AD4" s="69">
        <v>44.833333333333336</v>
      </c>
      <c r="AE4" s="69">
        <v>45</v>
      </c>
      <c r="AF4" s="69">
        <v>45.166666666666664</v>
      </c>
      <c r="AG4" s="69">
        <v>45.333333333333336</v>
      </c>
      <c r="AH4" s="69">
        <v>45.5</v>
      </c>
      <c r="AI4" s="69">
        <v>45.666666666666664</v>
      </c>
      <c r="AJ4" s="69">
        <v>45.833333333333336</v>
      </c>
      <c r="AK4" s="69">
        <v>46</v>
      </c>
      <c r="AL4" s="69">
        <v>46</v>
      </c>
      <c r="AM4" s="69">
        <v>46</v>
      </c>
      <c r="AN4" s="69">
        <v>46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107</v>
      </c>
      <c r="C6" s="3"/>
      <c r="D6" s="3"/>
      <c r="E6" s="66" cm="1">
        <f t="array" ref="E6:AN6">ROUND(_xlfn.BYCOL(_xlfn.ANCHORARRAY(E7),_xlfn.LAMBDA(_xlpm.a,SUM(_xlpm.a))),0)</f>
        <v>0</v>
      </c>
      <c r="F6" s="66">
        <v>0</v>
      </c>
      <c r="G6" s="66">
        <v>0</v>
      </c>
      <c r="H6" s="66">
        <v>0</v>
      </c>
      <c r="I6" s="66">
        <v>0</v>
      </c>
      <c r="J6" s="66">
        <v>0</v>
      </c>
      <c r="K6" s="66">
        <v>0</v>
      </c>
      <c r="L6" s="66">
        <v>0</v>
      </c>
      <c r="M6" s="66">
        <v>6</v>
      </c>
      <c r="N6" s="66">
        <v>11</v>
      </c>
      <c r="O6" s="66">
        <v>15</v>
      </c>
      <c r="P6" s="66">
        <v>18</v>
      </c>
      <c r="Q6" s="66">
        <v>22</v>
      </c>
      <c r="R6" s="66">
        <v>26</v>
      </c>
      <c r="S6" s="66">
        <v>29</v>
      </c>
      <c r="T6" s="66">
        <v>33</v>
      </c>
      <c r="U6" s="66">
        <v>37</v>
      </c>
      <c r="V6" s="66">
        <v>40</v>
      </c>
      <c r="W6" s="66">
        <v>44</v>
      </c>
      <c r="X6" s="66">
        <v>47</v>
      </c>
      <c r="Y6" s="66">
        <v>51</v>
      </c>
      <c r="Z6" s="66">
        <v>54</v>
      </c>
      <c r="AA6" s="66">
        <v>54</v>
      </c>
      <c r="AB6" s="66">
        <v>54</v>
      </c>
      <c r="AC6" s="66">
        <v>54</v>
      </c>
      <c r="AD6" s="66">
        <v>54</v>
      </c>
      <c r="AE6" s="66">
        <v>54</v>
      </c>
      <c r="AF6" s="66">
        <v>54</v>
      </c>
      <c r="AG6" s="66">
        <v>54</v>
      </c>
      <c r="AH6" s="66">
        <v>54</v>
      </c>
      <c r="AI6" s="66">
        <v>54</v>
      </c>
      <c r="AJ6" s="66">
        <v>54</v>
      </c>
      <c r="AK6" s="66">
        <v>54</v>
      </c>
      <c r="AL6" s="66">
        <v>54</v>
      </c>
      <c r="AM6" s="66">
        <v>54</v>
      </c>
      <c r="AN6" s="66">
        <v>54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1"/>
      <c r="E7" s="106" cm="1">
        <f t="array" ref="E7:AN20">_xlfn.LET(_xlpm.Customer_staff,_xlfn._xlws.FILTER(Base!$D$85:$BD$98,ISNUMBER(SEARCH($B$1&amp;"-"&amp;$C$1,Base!$D$4:$BD$4))),_xlpm.Customer,_xlfn.ANCHORARRAY($E$1),_xlpm.headcount,_xlpm.Customer/_xlpm.Customer_staff,
_xlpm.patient_staff,_xlfn.ANCHORARRAY($E$2)/_xlpm.Customer_staff,_xlpm.prim_staff_tr_rec,_xlfn.ANCHORARRAY($E$2)/_xlfn.CHOOSEROWS(_xlpm.Customer_staff,{7,8})+(_xlfn.ANCHORARRAY($E$1)*0.0055),_xlpm.rounding,_xlfn.VSTACK(2,2,0,0,2,2,2,2,2,2,2,0,0,0),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prim_staff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0</v>
      </c>
      <c r="F7" s="106">
        <v>0</v>
      </c>
      <c r="G7" s="106">
        <v>0</v>
      </c>
      <c r="H7" s="106">
        <v>0</v>
      </c>
      <c r="I7" s="106">
        <v>0</v>
      </c>
      <c r="J7" s="106">
        <v>0</v>
      </c>
      <c r="K7" s="106">
        <v>0</v>
      </c>
      <c r="L7" s="106">
        <v>0</v>
      </c>
      <c r="M7" s="106">
        <v>2.8299999999999996</v>
      </c>
      <c r="N7" s="106">
        <v>5.6499999999999995</v>
      </c>
      <c r="O7" s="106">
        <v>8.48</v>
      </c>
      <c r="P7" s="106">
        <v>11.299999999999999</v>
      </c>
      <c r="Q7" s="106">
        <v>14.12</v>
      </c>
      <c r="R7" s="106">
        <v>16.950000000000003</v>
      </c>
      <c r="S7" s="106">
        <v>19.770000000000003</v>
      </c>
      <c r="T7" s="106">
        <v>22.59</v>
      </c>
      <c r="U7" s="106">
        <v>25.42</v>
      </c>
      <c r="V7" s="106">
        <v>28.240000000000002</v>
      </c>
      <c r="W7" s="106">
        <v>31.060000000000002</v>
      </c>
      <c r="X7" s="106">
        <v>33.89</v>
      </c>
      <c r="Y7" s="106">
        <v>36.71</v>
      </c>
      <c r="Z7" s="106">
        <v>39.53</v>
      </c>
      <c r="AA7" s="106">
        <v>39.53</v>
      </c>
      <c r="AB7" s="106">
        <v>39.53</v>
      </c>
      <c r="AC7" s="106">
        <v>39.53</v>
      </c>
      <c r="AD7" s="106">
        <v>39.53</v>
      </c>
      <c r="AE7" s="106">
        <v>39.53</v>
      </c>
      <c r="AF7" s="106">
        <v>39.53</v>
      </c>
      <c r="AG7" s="106">
        <v>39.53</v>
      </c>
      <c r="AH7" s="106">
        <v>39.53</v>
      </c>
      <c r="AI7" s="106">
        <v>39.53</v>
      </c>
      <c r="AJ7" s="106">
        <v>39.53</v>
      </c>
      <c r="AK7" s="106">
        <v>39.53</v>
      </c>
      <c r="AL7" s="106">
        <v>39.53</v>
      </c>
      <c r="AM7" s="106">
        <v>39.53</v>
      </c>
      <c r="AN7" s="106">
        <v>39.53</v>
      </c>
    </row>
    <row r="8" spans="1:40" hidden="1" outlineLevel="1" x14ac:dyDescent="0.25">
      <c r="B8" s="39" t="str">
        <v>Secondary Direct Staff</v>
      </c>
      <c r="C8" s="3"/>
      <c r="D8" s="3"/>
      <c r="E8" s="106">
        <v>0</v>
      </c>
      <c r="F8" s="106">
        <v>0</v>
      </c>
      <c r="G8" s="106">
        <v>0</v>
      </c>
      <c r="H8" s="106">
        <v>0</v>
      </c>
      <c r="I8" s="106">
        <v>0</v>
      </c>
      <c r="J8" s="106">
        <v>0</v>
      </c>
      <c r="K8" s="106">
        <v>0</v>
      </c>
      <c r="L8" s="106">
        <v>0</v>
      </c>
      <c r="M8" s="106">
        <v>0.43</v>
      </c>
      <c r="N8" s="106">
        <v>0.86</v>
      </c>
      <c r="O8" s="106">
        <v>1.29</v>
      </c>
      <c r="P8" s="106">
        <v>1.72</v>
      </c>
      <c r="Q8" s="106">
        <v>2.15</v>
      </c>
      <c r="R8" s="106">
        <v>2.5799999999999996</v>
      </c>
      <c r="S8" s="106">
        <v>3</v>
      </c>
      <c r="T8" s="106">
        <v>3.4299999999999997</v>
      </c>
      <c r="U8" s="106">
        <v>3.86</v>
      </c>
      <c r="V8" s="106">
        <v>4.29</v>
      </c>
      <c r="W8" s="106">
        <v>4.72</v>
      </c>
      <c r="X8" s="106">
        <v>5.1499999999999995</v>
      </c>
      <c r="Y8" s="106">
        <v>5.58</v>
      </c>
      <c r="Z8" s="106">
        <v>6</v>
      </c>
      <c r="AA8" s="106">
        <v>6</v>
      </c>
      <c r="AB8" s="106">
        <v>6</v>
      </c>
      <c r="AC8" s="106">
        <v>6</v>
      </c>
      <c r="AD8" s="106">
        <v>6</v>
      </c>
      <c r="AE8" s="106">
        <v>6</v>
      </c>
      <c r="AF8" s="106">
        <v>6</v>
      </c>
      <c r="AG8" s="106">
        <v>6</v>
      </c>
      <c r="AH8" s="106">
        <v>6</v>
      </c>
      <c r="AI8" s="106">
        <v>6</v>
      </c>
      <c r="AJ8" s="106">
        <v>6</v>
      </c>
      <c r="AK8" s="106">
        <v>6</v>
      </c>
      <c r="AL8" s="106">
        <v>6</v>
      </c>
      <c r="AM8" s="106">
        <v>6</v>
      </c>
      <c r="AN8" s="106">
        <v>6</v>
      </c>
    </row>
    <row r="9" spans="1:40" hidden="1" outlineLevel="1" x14ac:dyDescent="0.25">
      <c r="B9" s="39" t="str">
        <v>Center Manager</v>
      </c>
      <c r="C9" s="3"/>
      <c r="D9" s="3"/>
      <c r="E9" s="106">
        <v>0</v>
      </c>
      <c r="F9" s="106">
        <v>0</v>
      </c>
      <c r="G9" s="106">
        <v>0</v>
      </c>
      <c r="H9" s="106">
        <v>0</v>
      </c>
      <c r="I9" s="106">
        <v>0</v>
      </c>
      <c r="J9" s="106">
        <v>0</v>
      </c>
      <c r="K9" s="106">
        <v>0</v>
      </c>
      <c r="L9" s="106">
        <v>0</v>
      </c>
      <c r="M9" s="106">
        <v>1</v>
      </c>
      <c r="N9" s="106">
        <v>1</v>
      </c>
      <c r="O9" s="106">
        <v>1</v>
      </c>
      <c r="P9" s="106">
        <v>1</v>
      </c>
      <c r="Q9" s="106">
        <v>1</v>
      </c>
      <c r="R9" s="106">
        <v>1</v>
      </c>
      <c r="S9" s="106">
        <v>1</v>
      </c>
      <c r="T9" s="106">
        <v>1</v>
      </c>
      <c r="U9" s="106">
        <v>1</v>
      </c>
      <c r="V9" s="106">
        <v>1</v>
      </c>
      <c r="W9" s="106">
        <v>1</v>
      </c>
      <c r="X9" s="106">
        <v>1</v>
      </c>
      <c r="Y9" s="106">
        <v>1</v>
      </c>
      <c r="Z9" s="106">
        <v>1</v>
      </c>
      <c r="AA9" s="106">
        <v>1</v>
      </c>
      <c r="AB9" s="106">
        <v>1</v>
      </c>
      <c r="AC9" s="106">
        <v>1</v>
      </c>
      <c r="AD9" s="106">
        <v>1</v>
      </c>
      <c r="AE9" s="106">
        <v>1</v>
      </c>
      <c r="AF9" s="106">
        <v>1</v>
      </c>
      <c r="AG9" s="106">
        <v>1</v>
      </c>
      <c r="AH9" s="106">
        <v>1</v>
      </c>
      <c r="AI9" s="106">
        <v>1</v>
      </c>
      <c r="AJ9" s="106">
        <v>1</v>
      </c>
      <c r="AK9" s="106">
        <v>1</v>
      </c>
      <c r="AL9" s="106">
        <v>1</v>
      </c>
      <c r="AM9" s="106">
        <v>1</v>
      </c>
      <c r="AN9" s="106">
        <v>1</v>
      </c>
    </row>
    <row r="10" spans="1:40" hidden="1" outlineLevel="1" x14ac:dyDescent="0.25">
      <c r="B10" s="39" t="str">
        <v>Intake</v>
      </c>
      <c r="C10" s="3"/>
      <c r="D10" s="3"/>
      <c r="E10" s="106">
        <v>0</v>
      </c>
      <c r="F10" s="106">
        <v>0</v>
      </c>
      <c r="G10" s="106">
        <v>0</v>
      </c>
      <c r="H10" s="106">
        <v>0</v>
      </c>
      <c r="I10" s="106">
        <v>0</v>
      </c>
      <c r="J10" s="106">
        <v>0</v>
      </c>
      <c r="K10" s="106">
        <v>0</v>
      </c>
      <c r="L10" s="106">
        <v>0</v>
      </c>
      <c r="M10" s="106">
        <v>0</v>
      </c>
      <c r="N10" s="106">
        <v>1</v>
      </c>
      <c r="O10" s="106">
        <v>1</v>
      </c>
      <c r="P10" s="106">
        <v>1</v>
      </c>
      <c r="Q10" s="106">
        <v>1</v>
      </c>
      <c r="R10" s="106">
        <v>1</v>
      </c>
      <c r="S10" s="106">
        <v>1</v>
      </c>
      <c r="T10" s="106">
        <v>1</v>
      </c>
      <c r="U10" s="106">
        <v>1</v>
      </c>
      <c r="V10" s="106">
        <v>1</v>
      </c>
      <c r="W10" s="106">
        <v>1</v>
      </c>
      <c r="X10" s="106">
        <v>1</v>
      </c>
      <c r="Y10" s="106">
        <v>1</v>
      </c>
      <c r="Z10" s="106">
        <v>1</v>
      </c>
      <c r="AA10" s="106">
        <v>1</v>
      </c>
      <c r="AB10" s="106">
        <v>1</v>
      </c>
      <c r="AC10" s="106">
        <v>1</v>
      </c>
      <c r="AD10" s="106">
        <v>1</v>
      </c>
      <c r="AE10" s="106">
        <v>1</v>
      </c>
      <c r="AF10" s="106">
        <v>1</v>
      </c>
      <c r="AG10" s="106">
        <v>1</v>
      </c>
      <c r="AH10" s="106">
        <v>1</v>
      </c>
      <c r="AI10" s="106">
        <v>1</v>
      </c>
      <c r="AJ10" s="106">
        <v>1</v>
      </c>
      <c r="AK10" s="106">
        <v>1</v>
      </c>
      <c r="AL10" s="106">
        <v>1</v>
      </c>
      <c r="AM10" s="106">
        <v>1</v>
      </c>
      <c r="AN10" s="106">
        <v>1</v>
      </c>
    </row>
    <row r="11" spans="1:40" hidden="1" outlineLevel="1" x14ac:dyDescent="0.25">
      <c r="B11" s="39" t="str">
        <v>Scheduler</v>
      </c>
      <c r="C11" s="3"/>
      <c r="D11" s="3"/>
      <c r="E11" s="106">
        <v>0</v>
      </c>
      <c r="F11" s="106">
        <v>0</v>
      </c>
      <c r="G11" s="106">
        <v>0</v>
      </c>
      <c r="H11" s="106">
        <v>0</v>
      </c>
      <c r="I11" s="106">
        <v>0</v>
      </c>
      <c r="J11" s="106">
        <v>0</v>
      </c>
      <c r="K11" s="106">
        <v>0</v>
      </c>
      <c r="L11" s="106">
        <v>0</v>
      </c>
      <c r="M11" s="106">
        <v>0</v>
      </c>
      <c r="N11" s="106">
        <v>0</v>
      </c>
      <c r="O11" s="106">
        <v>0</v>
      </c>
      <c r="P11" s="106">
        <v>0</v>
      </c>
      <c r="Q11" s="106">
        <v>0</v>
      </c>
      <c r="R11" s="106">
        <v>0</v>
      </c>
      <c r="S11" s="106">
        <v>0</v>
      </c>
      <c r="T11" s="106">
        <v>0</v>
      </c>
      <c r="U11" s="106">
        <v>0</v>
      </c>
      <c r="V11" s="106">
        <v>0</v>
      </c>
      <c r="W11" s="106">
        <v>0</v>
      </c>
      <c r="X11" s="106">
        <v>0</v>
      </c>
      <c r="Y11" s="106">
        <v>0</v>
      </c>
      <c r="Z11" s="106">
        <v>0</v>
      </c>
      <c r="AA11" s="106">
        <v>0</v>
      </c>
      <c r="AB11" s="106">
        <v>0</v>
      </c>
      <c r="AC11" s="106">
        <v>0</v>
      </c>
      <c r="AD11" s="106">
        <v>0</v>
      </c>
      <c r="AE11" s="106">
        <v>0</v>
      </c>
      <c r="AF11" s="106">
        <v>0</v>
      </c>
      <c r="AG11" s="106">
        <v>0</v>
      </c>
      <c r="AH11" s="106">
        <v>0</v>
      </c>
      <c r="AI11" s="106">
        <v>0</v>
      </c>
      <c r="AJ11" s="106">
        <v>0</v>
      </c>
      <c r="AK11" s="106">
        <v>0</v>
      </c>
      <c r="AL11" s="106">
        <v>0</v>
      </c>
      <c r="AM11" s="106">
        <v>0</v>
      </c>
      <c r="AN11" s="106">
        <v>0</v>
      </c>
    </row>
    <row r="12" spans="1:40" hidden="1" outlineLevel="1" x14ac:dyDescent="0.25">
      <c r="B12" s="39" t="str">
        <v>Initial Consultation Expert</v>
      </c>
      <c r="C12" s="3"/>
      <c r="D12" s="3"/>
      <c r="E12" s="106">
        <v>0</v>
      </c>
      <c r="F12" s="106">
        <v>0</v>
      </c>
      <c r="G12" s="106">
        <v>0</v>
      </c>
      <c r="H12" s="106">
        <v>0</v>
      </c>
      <c r="I12" s="106">
        <v>0</v>
      </c>
      <c r="J12" s="106">
        <v>0</v>
      </c>
      <c r="K12" s="106">
        <v>0</v>
      </c>
      <c r="L12" s="106">
        <v>0</v>
      </c>
      <c r="M12" s="106">
        <v>0</v>
      </c>
      <c r="N12" s="106">
        <v>0.25</v>
      </c>
      <c r="O12" s="106">
        <v>0.26</v>
      </c>
      <c r="P12" s="106">
        <v>0.27</v>
      </c>
      <c r="Q12" s="106">
        <v>0.29000000000000004</v>
      </c>
      <c r="R12" s="106">
        <v>0.3</v>
      </c>
      <c r="S12" s="106">
        <v>0.31</v>
      </c>
      <c r="T12" s="106">
        <v>0.33</v>
      </c>
      <c r="U12" s="106">
        <v>0.34</v>
      </c>
      <c r="V12" s="106">
        <v>0.35000000000000003</v>
      </c>
      <c r="W12" s="106">
        <v>0.36</v>
      </c>
      <c r="X12" s="106">
        <v>0.38</v>
      </c>
      <c r="Y12" s="106">
        <v>0.39</v>
      </c>
      <c r="Z12" s="106">
        <v>0.17</v>
      </c>
      <c r="AA12" s="106">
        <v>0.18000000000000002</v>
      </c>
      <c r="AB12" s="106">
        <v>0.2</v>
      </c>
      <c r="AC12" s="106">
        <v>0.21000000000000002</v>
      </c>
      <c r="AD12" s="106">
        <v>0.22</v>
      </c>
      <c r="AE12" s="106">
        <v>0.24000000000000002</v>
      </c>
      <c r="AF12" s="106">
        <v>0.25</v>
      </c>
      <c r="AG12" s="106">
        <v>0.26</v>
      </c>
      <c r="AH12" s="106">
        <v>0.27</v>
      </c>
      <c r="AI12" s="106">
        <v>0.29000000000000004</v>
      </c>
      <c r="AJ12" s="106">
        <v>0.3</v>
      </c>
      <c r="AK12" s="106">
        <v>0.31</v>
      </c>
      <c r="AL12" s="106">
        <v>0.31</v>
      </c>
      <c r="AM12" s="106">
        <v>0.31</v>
      </c>
      <c r="AN12" s="106">
        <v>0.31</v>
      </c>
    </row>
    <row r="13" spans="1:40" hidden="1" outlineLevel="1" x14ac:dyDescent="0.25">
      <c r="B13" s="39" t="str">
        <v>Trainer</v>
      </c>
      <c r="C13" s="3"/>
      <c r="D13" s="3"/>
      <c r="E13" s="106">
        <v>0</v>
      </c>
      <c r="F13" s="106">
        <v>0</v>
      </c>
      <c r="G13" s="106">
        <v>0</v>
      </c>
      <c r="H13" s="106">
        <v>0</v>
      </c>
      <c r="I13" s="106">
        <v>0</v>
      </c>
      <c r="J13" s="106">
        <v>0</v>
      </c>
      <c r="K13" s="106">
        <v>0</v>
      </c>
      <c r="L13" s="106">
        <v>0</v>
      </c>
      <c r="M13" s="106">
        <v>0.02</v>
      </c>
      <c r="N13" s="106">
        <v>0.35000000000000003</v>
      </c>
      <c r="O13" s="106">
        <v>0.39</v>
      </c>
      <c r="P13" s="106">
        <v>0.42</v>
      </c>
      <c r="Q13" s="106">
        <v>0.45</v>
      </c>
      <c r="R13" s="106">
        <v>0.49</v>
      </c>
      <c r="S13" s="106">
        <v>0.52</v>
      </c>
      <c r="T13" s="106">
        <v>0.55000000000000004</v>
      </c>
      <c r="U13" s="106">
        <v>0.59</v>
      </c>
      <c r="V13" s="106">
        <v>0.62</v>
      </c>
      <c r="W13" s="106">
        <v>0.65</v>
      </c>
      <c r="X13" s="106">
        <v>0.69000000000000006</v>
      </c>
      <c r="Y13" s="106">
        <v>0.72</v>
      </c>
      <c r="Z13" s="106">
        <v>0.45</v>
      </c>
      <c r="AA13" s="106">
        <v>0.47000000000000003</v>
      </c>
      <c r="AB13" s="106">
        <v>0.49</v>
      </c>
      <c r="AC13" s="106">
        <v>0.5</v>
      </c>
      <c r="AD13" s="106">
        <v>0.52</v>
      </c>
      <c r="AE13" s="106">
        <v>0.54</v>
      </c>
      <c r="AF13" s="106">
        <v>0.55000000000000004</v>
      </c>
      <c r="AG13" s="106">
        <v>0.57000000000000006</v>
      </c>
      <c r="AH13" s="106">
        <v>0.59</v>
      </c>
      <c r="AI13" s="106">
        <v>0.6</v>
      </c>
      <c r="AJ13" s="106">
        <v>0.62</v>
      </c>
      <c r="AK13" s="106">
        <v>0.64</v>
      </c>
      <c r="AL13" s="106">
        <v>0.64</v>
      </c>
      <c r="AM13" s="106">
        <v>0.64</v>
      </c>
      <c r="AN13" s="106">
        <v>0.64</v>
      </c>
    </row>
    <row r="14" spans="1:40" hidden="1" outlineLevel="1" x14ac:dyDescent="0.25">
      <c r="B14" s="39" t="str">
        <v>Recruiter</v>
      </c>
      <c r="C14" s="3"/>
      <c r="D14" s="3"/>
      <c r="E14" s="106">
        <v>0</v>
      </c>
      <c r="F14" s="106">
        <v>0</v>
      </c>
      <c r="G14" s="106">
        <v>0</v>
      </c>
      <c r="H14" s="106">
        <v>0</v>
      </c>
      <c r="I14" s="106">
        <v>0</v>
      </c>
      <c r="J14" s="106">
        <v>0</v>
      </c>
      <c r="K14" s="106">
        <v>0</v>
      </c>
      <c r="L14" s="106">
        <v>0</v>
      </c>
      <c r="M14" s="106">
        <v>0.02</v>
      </c>
      <c r="N14" s="106">
        <v>0.2</v>
      </c>
      <c r="O14" s="106">
        <v>0.22</v>
      </c>
      <c r="P14" s="106">
        <v>0.25</v>
      </c>
      <c r="Q14" s="106">
        <v>0.27</v>
      </c>
      <c r="R14" s="106">
        <v>0.3</v>
      </c>
      <c r="S14" s="106">
        <v>0.32</v>
      </c>
      <c r="T14" s="106">
        <v>0.35000000000000003</v>
      </c>
      <c r="U14" s="106">
        <v>0.37</v>
      </c>
      <c r="V14" s="106">
        <v>0.39</v>
      </c>
      <c r="W14" s="106">
        <v>0.42</v>
      </c>
      <c r="X14" s="106">
        <v>0.44</v>
      </c>
      <c r="Y14" s="106">
        <v>0.47000000000000003</v>
      </c>
      <c r="Z14" s="106">
        <v>0.34</v>
      </c>
      <c r="AA14" s="106">
        <v>0.35000000000000003</v>
      </c>
      <c r="AB14" s="106">
        <v>0.36</v>
      </c>
      <c r="AC14" s="106">
        <v>0.37</v>
      </c>
      <c r="AD14" s="106">
        <v>0.38</v>
      </c>
      <c r="AE14" s="106">
        <v>0.39</v>
      </c>
      <c r="AF14" s="106">
        <v>0.39</v>
      </c>
      <c r="AG14" s="106">
        <v>0.4</v>
      </c>
      <c r="AH14" s="106">
        <v>0.41000000000000003</v>
      </c>
      <c r="AI14" s="106">
        <v>0.42</v>
      </c>
      <c r="AJ14" s="106">
        <v>0.43</v>
      </c>
      <c r="AK14" s="106">
        <v>0.44</v>
      </c>
      <c r="AL14" s="106">
        <v>0.44</v>
      </c>
      <c r="AM14" s="106">
        <v>0.44</v>
      </c>
      <c r="AN14" s="106">
        <v>0.44</v>
      </c>
    </row>
    <row r="15" spans="1:40" hidden="1" outlineLevel="1" x14ac:dyDescent="0.25">
      <c r="B15" s="39" t="str">
        <v>Center Director / Remote Site Director</v>
      </c>
      <c r="C15" s="3"/>
      <c r="D15" s="3"/>
      <c r="E15" s="106">
        <v>0</v>
      </c>
      <c r="F15" s="106">
        <v>0</v>
      </c>
      <c r="G15" s="106">
        <v>0</v>
      </c>
      <c r="H15" s="106">
        <v>0</v>
      </c>
      <c r="I15" s="106">
        <v>0</v>
      </c>
      <c r="J15" s="106">
        <v>0</v>
      </c>
      <c r="K15" s="106">
        <v>0</v>
      </c>
      <c r="L15" s="106">
        <v>0</v>
      </c>
      <c r="M15" s="106">
        <v>0.02</v>
      </c>
      <c r="N15" s="106">
        <v>0.03</v>
      </c>
      <c r="O15" s="106">
        <v>0.04</v>
      </c>
      <c r="P15" s="106">
        <v>0.05</v>
      </c>
      <c r="Q15" s="106">
        <v>0.06</v>
      </c>
      <c r="R15" s="106">
        <v>0.08</v>
      </c>
      <c r="S15" s="106">
        <v>0.09</v>
      </c>
      <c r="T15" s="106">
        <v>9.9999999999999992E-2</v>
      </c>
      <c r="U15" s="106">
        <v>0.11</v>
      </c>
      <c r="V15" s="106">
        <v>0.12</v>
      </c>
      <c r="W15" s="106">
        <v>0.14000000000000001</v>
      </c>
      <c r="X15" s="106">
        <v>0.15000000000000002</v>
      </c>
      <c r="Y15" s="106">
        <v>0.16</v>
      </c>
      <c r="Z15" s="106">
        <v>0.17</v>
      </c>
      <c r="AA15" s="106">
        <v>0.17</v>
      </c>
      <c r="AB15" s="106">
        <v>0.17</v>
      </c>
      <c r="AC15" s="106">
        <v>0.17</v>
      </c>
      <c r="AD15" s="106">
        <v>0.17</v>
      </c>
      <c r="AE15" s="106">
        <v>0.17</v>
      </c>
      <c r="AF15" s="106">
        <v>0.17</v>
      </c>
      <c r="AG15" s="106">
        <v>0.17</v>
      </c>
      <c r="AH15" s="106">
        <v>0.17</v>
      </c>
      <c r="AI15" s="106">
        <v>0.17</v>
      </c>
      <c r="AJ15" s="106">
        <v>0.17</v>
      </c>
      <c r="AK15" s="106">
        <v>0.17</v>
      </c>
      <c r="AL15" s="106">
        <v>0.17</v>
      </c>
      <c r="AM15" s="106">
        <v>0.17</v>
      </c>
      <c r="AN15" s="106">
        <v>0.17</v>
      </c>
    </row>
    <row r="16" spans="1:40" hidden="1" outlineLevel="1" x14ac:dyDescent="0.25">
      <c r="B16" s="39" t="str">
        <v>Center Marketing Outreach</v>
      </c>
      <c r="C16" s="3"/>
      <c r="D16" s="3"/>
      <c r="E16" s="106">
        <v>0</v>
      </c>
      <c r="F16" s="106">
        <v>0</v>
      </c>
      <c r="G16" s="106">
        <v>0</v>
      </c>
      <c r="H16" s="106">
        <v>0</v>
      </c>
      <c r="I16" s="106">
        <v>0</v>
      </c>
      <c r="J16" s="106">
        <v>0</v>
      </c>
      <c r="K16" s="106">
        <v>0</v>
      </c>
      <c r="L16" s="106">
        <v>0</v>
      </c>
      <c r="M16" s="106">
        <v>0.02</v>
      </c>
      <c r="N16" s="106">
        <v>0.03</v>
      </c>
      <c r="O16" s="106">
        <v>0.04</v>
      </c>
      <c r="P16" s="106">
        <v>0.05</v>
      </c>
      <c r="Q16" s="106">
        <v>0.06</v>
      </c>
      <c r="R16" s="106">
        <v>0.08</v>
      </c>
      <c r="S16" s="106">
        <v>0.09</v>
      </c>
      <c r="T16" s="106">
        <v>9.9999999999999992E-2</v>
      </c>
      <c r="U16" s="106">
        <v>0.11</v>
      </c>
      <c r="V16" s="106">
        <v>0.12</v>
      </c>
      <c r="W16" s="106">
        <v>0.14000000000000001</v>
      </c>
      <c r="X16" s="106">
        <v>0.15000000000000002</v>
      </c>
      <c r="Y16" s="106">
        <v>0.16</v>
      </c>
      <c r="Z16" s="106">
        <v>0.17</v>
      </c>
      <c r="AA16" s="106">
        <v>0.17</v>
      </c>
      <c r="AB16" s="106">
        <v>0.17</v>
      </c>
      <c r="AC16" s="106">
        <v>0.17</v>
      </c>
      <c r="AD16" s="106">
        <v>0.17</v>
      </c>
      <c r="AE16" s="106">
        <v>0.17</v>
      </c>
      <c r="AF16" s="106">
        <v>0.17</v>
      </c>
      <c r="AG16" s="106">
        <v>0.17</v>
      </c>
      <c r="AH16" s="106">
        <v>0.17</v>
      </c>
      <c r="AI16" s="106">
        <v>0.17</v>
      </c>
      <c r="AJ16" s="106">
        <v>0.17</v>
      </c>
      <c r="AK16" s="106">
        <v>0.17</v>
      </c>
      <c r="AL16" s="106">
        <v>0.17</v>
      </c>
      <c r="AM16" s="106">
        <v>0.17</v>
      </c>
      <c r="AN16" s="106">
        <v>0.17</v>
      </c>
    </row>
    <row r="17" spans="2:50" hidden="1" outlineLevel="1" x14ac:dyDescent="0.25">
      <c r="B17" s="39" t="str">
        <v>Primary Direct Staff Lead</v>
      </c>
      <c r="C17" s="3"/>
      <c r="D17" s="3"/>
      <c r="E17" s="106">
        <v>0</v>
      </c>
      <c r="F17" s="106">
        <v>0</v>
      </c>
      <c r="G17" s="106">
        <v>0</v>
      </c>
      <c r="H17" s="106">
        <v>0</v>
      </c>
      <c r="I17" s="106">
        <v>0</v>
      </c>
      <c r="J17" s="106">
        <v>0</v>
      </c>
      <c r="K17" s="106">
        <v>0</v>
      </c>
      <c r="L17" s="106">
        <v>0</v>
      </c>
      <c r="M17" s="106">
        <v>0.3</v>
      </c>
      <c r="N17" s="106">
        <v>0.6</v>
      </c>
      <c r="O17" s="106">
        <v>0.9</v>
      </c>
      <c r="P17" s="106">
        <v>1.2</v>
      </c>
      <c r="Q17" s="106">
        <v>1.5</v>
      </c>
      <c r="R17" s="106">
        <v>1.8</v>
      </c>
      <c r="S17" s="106">
        <v>2.1</v>
      </c>
      <c r="T17" s="106">
        <v>2.4</v>
      </c>
      <c r="U17" s="106">
        <v>2.7</v>
      </c>
      <c r="V17" s="106">
        <v>3</v>
      </c>
      <c r="W17" s="106">
        <v>3.3</v>
      </c>
      <c r="X17" s="106">
        <v>3.6</v>
      </c>
      <c r="Y17" s="106">
        <v>3.9</v>
      </c>
      <c r="Z17" s="106">
        <v>4.2</v>
      </c>
      <c r="AA17" s="106">
        <v>4.2</v>
      </c>
      <c r="AB17" s="106">
        <v>4.2</v>
      </c>
      <c r="AC17" s="106">
        <v>4.2</v>
      </c>
      <c r="AD17" s="106">
        <v>4.2</v>
      </c>
      <c r="AE17" s="106">
        <v>4.2</v>
      </c>
      <c r="AF17" s="106">
        <v>4.2</v>
      </c>
      <c r="AG17" s="106">
        <v>4.2</v>
      </c>
      <c r="AH17" s="106">
        <v>4.2</v>
      </c>
      <c r="AI17" s="106">
        <v>4.2</v>
      </c>
      <c r="AJ17" s="106">
        <v>4.2</v>
      </c>
      <c r="AK17" s="106">
        <v>4.2</v>
      </c>
      <c r="AL17" s="106">
        <v>4.2</v>
      </c>
      <c r="AM17" s="106">
        <v>4.2</v>
      </c>
      <c r="AN17" s="106">
        <v>4.2</v>
      </c>
    </row>
    <row r="18" spans="2:50" hidden="1" outlineLevel="1" x14ac:dyDescent="0.25">
      <c r="B18" s="39" t="str">
        <v>Tertiary Direct Staff</v>
      </c>
      <c r="C18" s="3"/>
      <c r="D18" s="3"/>
      <c r="E18" s="106">
        <v>0</v>
      </c>
      <c r="F18" s="106">
        <v>0</v>
      </c>
      <c r="G18" s="106">
        <v>0</v>
      </c>
      <c r="H18" s="106">
        <v>0</v>
      </c>
      <c r="I18" s="106">
        <v>0</v>
      </c>
      <c r="J18" s="106">
        <v>0</v>
      </c>
      <c r="K18" s="106">
        <v>0</v>
      </c>
      <c r="L18" s="106">
        <v>0</v>
      </c>
      <c r="M18" s="106">
        <v>0</v>
      </c>
      <c r="N18" s="106">
        <v>0</v>
      </c>
      <c r="O18" s="106">
        <v>0</v>
      </c>
      <c r="P18" s="106">
        <v>0</v>
      </c>
      <c r="Q18" s="106">
        <v>0</v>
      </c>
      <c r="R18" s="106">
        <v>0</v>
      </c>
      <c r="S18" s="106">
        <v>0</v>
      </c>
      <c r="T18" s="106">
        <v>0</v>
      </c>
      <c r="U18" s="106">
        <v>0</v>
      </c>
      <c r="V18" s="106">
        <v>0</v>
      </c>
      <c r="W18" s="106">
        <v>0</v>
      </c>
      <c r="X18" s="106">
        <v>0</v>
      </c>
      <c r="Y18" s="106">
        <v>0</v>
      </c>
      <c r="Z18" s="106">
        <v>0</v>
      </c>
      <c r="AA18" s="106">
        <v>0</v>
      </c>
      <c r="AB18" s="106">
        <v>0</v>
      </c>
      <c r="AC18" s="106">
        <v>0</v>
      </c>
      <c r="AD18" s="106">
        <v>0</v>
      </c>
      <c r="AE18" s="106">
        <v>0</v>
      </c>
      <c r="AF18" s="106">
        <v>0</v>
      </c>
      <c r="AG18" s="106">
        <v>0</v>
      </c>
      <c r="AH18" s="106">
        <v>0</v>
      </c>
      <c r="AI18" s="106">
        <v>0</v>
      </c>
      <c r="AJ18" s="106">
        <v>0</v>
      </c>
      <c r="AK18" s="106">
        <v>0</v>
      </c>
      <c r="AL18" s="106">
        <v>0</v>
      </c>
      <c r="AM18" s="106">
        <v>0</v>
      </c>
      <c r="AN18" s="106">
        <v>0</v>
      </c>
    </row>
    <row r="19" spans="2:50" hidden="1" outlineLevel="1" x14ac:dyDescent="0.25">
      <c r="B19" s="39" t="str">
        <v>Quinary Direct Staff</v>
      </c>
      <c r="C19" s="3"/>
      <c r="D19" s="3"/>
      <c r="E19" s="106">
        <v>0</v>
      </c>
      <c r="F19" s="106">
        <v>0</v>
      </c>
      <c r="G19" s="106">
        <v>0</v>
      </c>
      <c r="H19" s="106">
        <v>0</v>
      </c>
      <c r="I19" s="106">
        <v>0</v>
      </c>
      <c r="J19" s="106">
        <v>0</v>
      </c>
      <c r="K19" s="106">
        <v>0</v>
      </c>
      <c r="L19" s="106">
        <v>0</v>
      </c>
      <c r="M19" s="106">
        <v>0</v>
      </c>
      <c r="N19" s="106">
        <v>0</v>
      </c>
      <c r="O19" s="106">
        <v>0</v>
      </c>
      <c r="P19" s="106">
        <v>0</v>
      </c>
      <c r="Q19" s="106">
        <v>0</v>
      </c>
      <c r="R19" s="106">
        <v>0</v>
      </c>
      <c r="S19" s="106">
        <v>0</v>
      </c>
      <c r="T19" s="106">
        <v>0</v>
      </c>
      <c r="U19" s="106">
        <v>0</v>
      </c>
      <c r="V19" s="106">
        <v>0</v>
      </c>
      <c r="W19" s="106">
        <v>0</v>
      </c>
      <c r="X19" s="106">
        <v>0</v>
      </c>
      <c r="Y19" s="106">
        <v>0</v>
      </c>
      <c r="Z19" s="106">
        <v>0</v>
      </c>
      <c r="AA19" s="106">
        <v>0</v>
      </c>
      <c r="AB19" s="106">
        <v>0</v>
      </c>
      <c r="AC19" s="106">
        <v>0</v>
      </c>
      <c r="AD19" s="106">
        <v>0</v>
      </c>
      <c r="AE19" s="106">
        <v>0</v>
      </c>
      <c r="AF19" s="106">
        <v>0</v>
      </c>
      <c r="AG19" s="106">
        <v>0</v>
      </c>
      <c r="AH19" s="106">
        <v>0</v>
      </c>
      <c r="AI19" s="106">
        <v>0</v>
      </c>
      <c r="AJ19" s="106">
        <v>0</v>
      </c>
      <c r="AK19" s="106">
        <v>0</v>
      </c>
      <c r="AL19" s="106">
        <v>0</v>
      </c>
      <c r="AM19" s="106">
        <v>0</v>
      </c>
      <c r="AN19" s="106">
        <v>0</v>
      </c>
    </row>
    <row r="20" spans="2:50" hidden="1" outlineLevel="1" x14ac:dyDescent="0.25">
      <c r="B20" s="39" t="str">
        <v>Quaternary Direct Staff</v>
      </c>
      <c r="C20" s="3"/>
      <c r="D20" s="3"/>
      <c r="E20" s="106">
        <v>0</v>
      </c>
      <c r="F20" s="106">
        <v>0</v>
      </c>
      <c r="G20" s="106">
        <v>0</v>
      </c>
      <c r="H20" s="106">
        <v>0</v>
      </c>
      <c r="I20" s="106">
        <v>0</v>
      </c>
      <c r="J20" s="106">
        <v>0</v>
      </c>
      <c r="K20" s="106">
        <v>0</v>
      </c>
      <c r="L20" s="106">
        <v>0</v>
      </c>
      <c r="M20" s="106">
        <v>1</v>
      </c>
      <c r="N20" s="106">
        <v>1</v>
      </c>
      <c r="O20" s="106">
        <v>1</v>
      </c>
      <c r="P20" s="106">
        <v>1</v>
      </c>
      <c r="Q20" s="106">
        <v>1</v>
      </c>
      <c r="R20" s="106">
        <v>1</v>
      </c>
      <c r="S20" s="106">
        <v>1</v>
      </c>
      <c r="T20" s="106">
        <v>1</v>
      </c>
      <c r="U20" s="106">
        <v>1</v>
      </c>
      <c r="V20" s="106">
        <v>1</v>
      </c>
      <c r="W20" s="106">
        <v>1</v>
      </c>
      <c r="X20" s="106">
        <v>1</v>
      </c>
      <c r="Y20" s="106">
        <v>1</v>
      </c>
      <c r="Z20" s="106">
        <v>1</v>
      </c>
      <c r="AA20" s="106">
        <v>1</v>
      </c>
      <c r="AB20" s="106">
        <v>1</v>
      </c>
      <c r="AC20" s="106">
        <v>1</v>
      </c>
      <c r="AD20" s="106">
        <v>1</v>
      </c>
      <c r="AE20" s="106">
        <v>1</v>
      </c>
      <c r="AF20" s="106">
        <v>1</v>
      </c>
      <c r="AG20" s="106">
        <v>1</v>
      </c>
      <c r="AH20" s="106">
        <v>1</v>
      </c>
      <c r="AI20" s="106">
        <v>1</v>
      </c>
      <c r="AJ20" s="106">
        <v>1</v>
      </c>
      <c r="AK20" s="106">
        <v>1</v>
      </c>
      <c r="AL20" s="106">
        <v>1</v>
      </c>
      <c r="AM20" s="106">
        <v>1</v>
      </c>
      <c r="AN20" s="106">
        <v>1</v>
      </c>
    </row>
    <row r="21" spans="2:50" collapsed="1" x14ac:dyDescent="0.25">
      <c r="B21" s="39" t="s">
        <v>389</v>
      </c>
      <c r="C21" s="3"/>
      <c r="D21" s="5"/>
      <c r="E21" s="117" cm="1">
        <f t="array" ref="E21:AN21">ROUND(_xlfn.BYCOL(_xlfn.CHOOSEROWS(_xlfn.ANCHORARRAY(E7),1,2),_xlfn.LAMBDA(_xlpm.col,SUM(_xlpm.col))),0)</f>
        <v>0</v>
      </c>
      <c r="F21" s="117">
        <v>0</v>
      </c>
      <c r="G21" s="117">
        <v>0</v>
      </c>
      <c r="H21" s="117">
        <v>0</v>
      </c>
      <c r="I21" s="117">
        <v>0</v>
      </c>
      <c r="J21" s="117">
        <v>0</v>
      </c>
      <c r="K21" s="117">
        <v>0</v>
      </c>
      <c r="L21" s="117">
        <v>0</v>
      </c>
      <c r="M21" s="117">
        <v>3</v>
      </c>
      <c r="N21" s="117">
        <v>7</v>
      </c>
      <c r="O21" s="117">
        <v>10</v>
      </c>
      <c r="P21" s="117">
        <v>13</v>
      </c>
      <c r="Q21" s="117">
        <v>16</v>
      </c>
      <c r="R21" s="117">
        <v>20</v>
      </c>
      <c r="S21" s="117">
        <v>23</v>
      </c>
      <c r="T21" s="117">
        <v>26</v>
      </c>
      <c r="U21" s="117">
        <v>29</v>
      </c>
      <c r="V21" s="117">
        <v>33</v>
      </c>
      <c r="W21" s="117">
        <v>36</v>
      </c>
      <c r="X21" s="117">
        <v>39</v>
      </c>
      <c r="Y21" s="117">
        <v>42</v>
      </c>
      <c r="Z21" s="117">
        <v>46</v>
      </c>
      <c r="AA21" s="117">
        <v>46</v>
      </c>
      <c r="AB21" s="117">
        <v>46</v>
      </c>
      <c r="AC21" s="117">
        <v>46</v>
      </c>
      <c r="AD21" s="117">
        <v>46</v>
      </c>
      <c r="AE21" s="117">
        <v>46</v>
      </c>
      <c r="AF21" s="117">
        <v>46</v>
      </c>
      <c r="AG21" s="117">
        <v>46</v>
      </c>
      <c r="AH21" s="117">
        <v>46</v>
      </c>
      <c r="AI21" s="117">
        <v>46</v>
      </c>
      <c r="AJ21" s="117">
        <v>46</v>
      </c>
      <c r="AK21" s="117">
        <v>46</v>
      </c>
      <c r="AL21" s="117">
        <v>46</v>
      </c>
      <c r="AM21" s="117">
        <v>46</v>
      </c>
      <c r="AN21" s="117">
        <v>46</v>
      </c>
    </row>
    <row r="22" spans="2:50" x14ac:dyDescent="0.25">
      <c r="B22" s="2" t="s">
        <v>394</v>
      </c>
      <c r="C22" s="3"/>
      <c r="D22" s="77">
        <f>MAX(_xlfn.ANCHORARRAY(E22))</f>
        <v>170.02883240223468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0</v>
      </c>
      <c r="F22" s="78">
        <v>0</v>
      </c>
      <c r="G22" s="78">
        <v>0</v>
      </c>
      <c r="H22" s="78">
        <v>0</v>
      </c>
      <c r="I22" s="78">
        <v>0</v>
      </c>
      <c r="J22" s="78">
        <v>0</v>
      </c>
      <c r="K22" s="78">
        <v>0</v>
      </c>
      <c r="L22" s="78">
        <v>0</v>
      </c>
      <c r="M22" s="78">
        <v>165.07653631284921</v>
      </c>
      <c r="N22" s="78">
        <v>165.07653631284921</v>
      </c>
      <c r="O22" s="78">
        <v>165.07653631284916</v>
      </c>
      <c r="P22" s="78">
        <v>165.07653631284921</v>
      </c>
      <c r="Q22" s="78">
        <v>170.02883240223466</v>
      </c>
      <c r="R22" s="78">
        <v>170.02883240223466</v>
      </c>
      <c r="S22" s="78">
        <v>170.02883240223463</v>
      </c>
      <c r="T22" s="78">
        <v>170.02883240223466</v>
      </c>
      <c r="U22" s="78">
        <v>170.02883240223468</v>
      </c>
      <c r="V22" s="78">
        <v>170.02883240223466</v>
      </c>
      <c r="W22" s="78">
        <v>170.02883240223468</v>
      </c>
      <c r="X22" s="78">
        <v>170.02883240223466</v>
      </c>
      <c r="Y22" s="78">
        <v>170.02883240223466</v>
      </c>
      <c r="Z22" s="78">
        <v>170.02883240223463</v>
      </c>
      <c r="AA22" s="78">
        <v>170.02883240223463</v>
      </c>
      <c r="AB22" s="78">
        <v>170.02883240223463</v>
      </c>
      <c r="AC22" s="78">
        <v>170.02883240223463</v>
      </c>
      <c r="AD22" s="78">
        <v>170.02883240223463</v>
      </c>
      <c r="AE22" s="78">
        <v>170.02883240223463</v>
      </c>
      <c r="AF22" s="78">
        <v>170.02883240223463</v>
      </c>
      <c r="AG22" s="78">
        <v>170.02883240223463</v>
      </c>
      <c r="AH22" s="78">
        <v>170.02883240223463</v>
      </c>
      <c r="AI22" s="78">
        <v>170.02883240223463</v>
      </c>
      <c r="AJ22" s="78">
        <v>170.02883240223463</v>
      </c>
      <c r="AK22" s="78">
        <v>170.02883240223463</v>
      </c>
      <c r="AL22" s="78">
        <v>170.02883240223463</v>
      </c>
      <c r="AM22" s="78">
        <v>170.02883240223463</v>
      </c>
      <c r="AN22" s="78">
        <v>170.02883240223463</v>
      </c>
    </row>
    <row r="23" spans="2:50" x14ac:dyDescent="0.25">
      <c r="B23" s="2" t="s">
        <v>53</v>
      </c>
      <c r="C23" s="3"/>
      <c r="D23" s="72"/>
      <c r="E23" s="52" cm="1">
        <f t="array" ref="E23:AN23">_xlfn.LET(_xlpm.site,$B$1&amp;"-"&amp;$C$1,_xlpm.locations,Base!$D$4:$BD$4,_xlpm.Customer,_xlfn.ANCHORARRAY(E1),_xlpm.hours,SUM(_xlfn.XLOOKUP(_xlpm.site,_xlpm.locations,Base!$D$74:$BD$78,0,0)),
_xlpm.collection,1-_xlfn.XLOOKUP(_xlpm.site,_xlpm.locations,Base!$D$26:$BD$26,0,0),
_xlpm.Customer*_xlpm.hours*_xlpm.collection*(52/12))</f>
        <v>0</v>
      </c>
      <c r="F23" s="52">
        <v>0</v>
      </c>
      <c r="G23" s="52">
        <v>0</v>
      </c>
      <c r="H23" s="52">
        <v>0</v>
      </c>
      <c r="I23" s="52">
        <v>0</v>
      </c>
      <c r="J23" s="52">
        <v>0</v>
      </c>
      <c r="K23" s="52">
        <v>0</v>
      </c>
      <c r="L23" s="52">
        <v>0</v>
      </c>
      <c r="M23" s="52">
        <v>315.03999999999996</v>
      </c>
      <c r="N23" s="52">
        <v>630.07999999999993</v>
      </c>
      <c r="O23" s="52">
        <v>945.11999999999989</v>
      </c>
      <c r="P23" s="52">
        <v>1260.1599999999999</v>
      </c>
      <c r="Q23" s="52">
        <v>1575.1999999999996</v>
      </c>
      <c r="R23" s="52">
        <v>1890.2399999999998</v>
      </c>
      <c r="S23" s="52">
        <v>2205.2799999999997</v>
      </c>
      <c r="T23" s="52">
        <v>2520.3199999999997</v>
      </c>
      <c r="U23" s="52">
        <v>2835.3599999999992</v>
      </c>
      <c r="V23" s="52">
        <v>3150.3999999999992</v>
      </c>
      <c r="W23" s="52">
        <v>3465.4399999999996</v>
      </c>
      <c r="X23" s="52">
        <v>3780.4799999999996</v>
      </c>
      <c r="Y23" s="52">
        <v>4095.5199999999995</v>
      </c>
      <c r="Z23" s="52">
        <v>4410.5599999999995</v>
      </c>
      <c r="AA23" s="52">
        <v>4410.5599999999995</v>
      </c>
      <c r="AB23" s="52">
        <v>4410.5599999999995</v>
      </c>
      <c r="AC23" s="52">
        <v>4410.5599999999995</v>
      </c>
      <c r="AD23" s="52">
        <v>4410.5599999999995</v>
      </c>
      <c r="AE23" s="52">
        <v>4410.5599999999995</v>
      </c>
      <c r="AF23" s="52">
        <v>4410.5599999999995</v>
      </c>
      <c r="AG23" s="52">
        <v>4410.5599999999995</v>
      </c>
      <c r="AH23" s="52">
        <v>4410.5599999999995</v>
      </c>
      <c r="AI23" s="52">
        <v>4410.5599999999995</v>
      </c>
      <c r="AJ23" s="52">
        <v>4410.5599999999995</v>
      </c>
      <c r="AK23" s="52">
        <v>4410.5599999999995</v>
      </c>
      <c r="AL23" s="52">
        <v>4410.5599999999995</v>
      </c>
      <c r="AM23" s="52">
        <v>4410.5599999999995</v>
      </c>
      <c r="AN23" s="52">
        <v>4410.5599999999995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21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_xlfn.LET(_xlpm.site,$B$1&amp;"-"&amp;$C$1,_xlpm.locations,Base!$D$4:$BD$4,_xlpm.rates,Base!$D31:$BD31,_xlpm.hours,Base!$D74:$BD74,_xlpm.comp,_xlpm.rates*_xlpm.hours,_xlpm.Customer,_xlfn.ANCHORARRAY($E$1),
_xlpm.Customer_comp,_xlfn.XLOOKUP(_xlpm.site,_xlpm.locations,_xlpm.comp,0,0),_xlpm.ann_incr,_xlfn.XLOOKUP(YEAR(_xlfn.ANCHORARRAY($E$25)),Base!$BJ$4:$BL$4,Base!$BJ74:$BL74,0,0),
_xlpm.bad_debt,_xlfn.XLOOKUP(_xlpm.site,_xlpm.locations,Base!$D$28:$BD$28,0,0),_xlpm.Customer_comp*_xlpm.Customer*_xlpm.bad_debt*_xlpm.ann_incr*(52/12))</f>
        <v>0</v>
      </c>
      <c r="F26" s="12">
        <v>0</v>
      </c>
      <c r="G26" s="12">
        <v>0</v>
      </c>
      <c r="H26" s="12">
        <v>0</v>
      </c>
      <c r="I26" s="12">
        <v>0</v>
      </c>
      <c r="J26" s="12">
        <v>0</v>
      </c>
      <c r="K26" s="12">
        <v>0</v>
      </c>
      <c r="L26" s="12">
        <v>0</v>
      </c>
      <c r="M26" s="12">
        <v>45433.96</v>
      </c>
      <c r="N26" s="12">
        <v>90867.92</v>
      </c>
      <c r="O26" s="12">
        <v>136301.87999999998</v>
      </c>
      <c r="P26" s="12">
        <v>181735.84</v>
      </c>
      <c r="Q26" s="12">
        <v>233984.89399999997</v>
      </c>
      <c r="R26" s="12">
        <v>280781.87280000001</v>
      </c>
      <c r="S26" s="12">
        <v>327578.85159999994</v>
      </c>
      <c r="T26" s="12">
        <v>374375.83040000004</v>
      </c>
      <c r="U26" s="12">
        <v>421172.80919999996</v>
      </c>
      <c r="V26" s="12">
        <v>467969.78799999994</v>
      </c>
      <c r="W26" s="12">
        <v>514766.76679999998</v>
      </c>
      <c r="X26" s="12">
        <v>561563.74560000002</v>
      </c>
      <c r="Y26" s="12">
        <v>608360.72439999995</v>
      </c>
      <c r="Z26" s="12">
        <v>655157.70319999987</v>
      </c>
      <c r="AA26" s="12">
        <v>655157.70319999987</v>
      </c>
      <c r="AB26" s="12">
        <v>655157.70319999987</v>
      </c>
      <c r="AC26" s="12">
        <v>655157.70319999987</v>
      </c>
      <c r="AD26" s="12">
        <v>655157.70319999987</v>
      </c>
      <c r="AE26" s="12">
        <v>655157.70319999987</v>
      </c>
      <c r="AF26" s="12">
        <v>655157.70319999987</v>
      </c>
      <c r="AG26" s="12">
        <v>655157.70319999987</v>
      </c>
      <c r="AH26" s="12">
        <v>655157.70319999987</v>
      </c>
      <c r="AI26" s="12">
        <v>655157.70319999987</v>
      </c>
      <c r="AJ26" s="12">
        <v>655157.70319999987</v>
      </c>
      <c r="AK26" s="12">
        <v>655157.70319999987</v>
      </c>
      <c r="AL26" s="12">
        <v>655157.70319999987</v>
      </c>
      <c r="AM26" s="12">
        <v>655157.70319999987</v>
      </c>
      <c r="AN26" s="12">
        <v>655157.70319999987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_xlfn.LET(_xlpm.site,$B$1&amp;"-"&amp;$C$1,_xlpm.locations,Base!$D$4:$BD$4,_xlpm.rates,Base!$D32:$BD32,_xlpm.hours,Base!$D75:$BD75,_xlpm.comp,_xlpm.rates*_xlpm.hours,_xlpm.Customer,_xlfn.ANCHORARRAY($E$1),
_xlpm.Customer_comp,_xlfn.XLOOKUP(_xlpm.site,_xlpm.locations,_xlpm.comp,0,0),_xlpm.ann_incr,_xlfn.XLOOKUP(YEAR(_xlfn.ANCHORARRAY($E$25)),Base!$BJ$4:$BL$4,Base!$BJ75:$BL75,0,0),
_xlpm.bad_debt,_xlfn.XLOOKUP(_xlpm.site,_xlpm.locations,Base!$D$28:$BD$28,0,0),_xlpm.Customer_comp*_xlpm.Customer*_xlpm.bad_debt*_xlpm.ann_incr*(52/12))</f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2663.9599999999996</v>
      </c>
      <c r="N27" s="12">
        <v>5327.9199999999992</v>
      </c>
      <c r="O27" s="12">
        <v>7991.8799999999992</v>
      </c>
      <c r="P27" s="12">
        <v>10655.839999999998</v>
      </c>
      <c r="Q27" s="12">
        <v>13719.393999999998</v>
      </c>
      <c r="R27" s="12">
        <v>16463.272799999999</v>
      </c>
      <c r="S27" s="12">
        <v>19207.151600000001</v>
      </c>
      <c r="T27" s="12">
        <v>21951.0304</v>
      </c>
      <c r="U27" s="12">
        <v>24694.909199999995</v>
      </c>
      <c r="V27" s="12">
        <v>27438.787999999997</v>
      </c>
      <c r="W27" s="12">
        <v>30182.666799999999</v>
      </c>
      <c r="X27" s="12">
        <v>32926.545599999998</v>
      </c>
      <c r="Y27" s="12">
        <v>35670.424399999996</v>
      </c>
      <c r="Z27" s="12">
        <v>38414.303200000002</v>
      </c>
      <c r="AA27" s="12">
        <v>38414.303200000002</v>
      </c>
      <c r="AB27" s="12">
        <v>38414.303200000002</v>
      </c>
      <c r="AC27" s="12">
        <v>38414.303200000002</v>
      </c>
      <c r="AD27" s="12">
        <v>38414.303200000002</v>
      </c>
      <c r="AE27" s="12">
        <v>38414.303200000002</v>
      </c>
      <c r="AF27" s="12">
        <v>38414.303200000002</v>
      </c>
      <c r="AG27" s="12">
        <v>38414.303200000002</v>
      </c>
      <c r="AH27" s="12">
        <v>38414.303200000002</v>
      </c>
      <c r="AI27" s="12">
        <v>38414.303200000002</v>
      </c>
      <c r="AJ27" s="12">
        <v>38414.303200000002</v>
      </c>
      <c r="AK27" s="12">
        <v>38414.303200000002</v>
      </c>
      <c r="AL27" s="12">
        <v>38414.303200000002</v>
      </c>
      <c r="AM27" s="12">
        <v>38414.303200000002</v>
      </c>
      <c r="AN27" s="12">
        <v>38414.303200000002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_xlfn.LET(_xlpm.site,$B$1&amp;"-"&amp;$C$1,_xlpm.locations,Base!$D$4:$BD$4,_xlpm.rates,Base!$D33:$BD33,_xlpm.hours,Base!$D76:$BD76,_xlpm.comp,_xlpm.rates*_xlpm.hours,_xlpm.Customer,_xlfn.ANCHORARRAY($E$1),
_xlpm.Customer_comp,_xlfn.XLOOKUP(_xlpm.site,_xlpm.locations,_xlpm.comp,0,0),_xlpm.ann_incr,_xlfn.XLOOKUP(YEAR(_xlfn.ANCHORARRAY($E$25)),Base!$BJ$4:$BL$4,Base!$BJ76:$BL76,0,0),
_xlpm.bad_debt,_xlfn.XLOOKUP(_xlpm.site,_xlpm.locations,Base!$D$28:$BD$28,0,0),_xlpm.Customer_comp*_xlpm.Customer*_xlpm.bad_debt*_xlpm.ann_incr*(52/12))</f>
        <v>0</v>
      </c>
      <c r="F28" s="12">
        <v>0</v>
      </c>
      <c r="G28" s="12">
        <v>0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6331.181999999998</v>
      </c>
      <c r="N28" s="12">
        <v>12662.363999999996</v>
      </c>
      <c r="O28" s="12">
        <v>18993.545999999995</v>
      </c>
      <c r="P28" s="12">
        <v>25324.727999999992</v>
      </c>
      <c r="Q28" s="12">
        <v>32605.587299999992</v>
      </c>
      <c r="R28" s="12">
        <v>39126.704759999986</v>
      </c>
      <c r="S28" s="12">
        <v>45647.822219999987</v>
      </c>
      <c r="T28" s="12">
        <v>52168.939679999981</v>
      </c>
      <c r="U28" s="12">
        <v>58690.057139999983</v>
      </c>
      <c r="V28" s="12">
        <v>65211.174599999984</v>
      </c>
      <c r="W28" s="12">
        <v>71732.292059999978</v>
      </c>
      <c r="X28" s="12">
        <v>78253.409519999972</v>
      </c>
      <c r="Y28" s="12">
        <v>84774.526979999995</v>
      </c>
      <c r="Z28" s="12">
        <v>91295.644439999975</v>
      </c>
      <c r="AA28" s="12">
        <v>91295.644439999975</v>
      </c>
      <c r="AB28" s="12">
        <v>91295.644439999975</v>
      </c>
      <c r="AC28" s="12">
        <v>91295.644439999975</v>
      </c>
      <c r="AD28" s="12">
        <v>91295.644439999975</v>
      </c>
      <c r="AE28" s="12">
        <v>91295.644439999975</v>
      </c>
      <c r="AF28" s="12">
        <v>91295.644439999975</v>
      </c>
      <c r="AG28" s="12">
        <v>91295.644439999975</v>
      </c>
      <c r="AH28" s="12">
        <v>91295.644439999975</v>
      </c>
      <c r="AI28" s="12">
        <v>91295.644439999975</v>
      </c>
      <c r="AJ28" s="12">
        <v>91295.644439999975</v>
      </c>
      <c r="AK28" s="12">
        <v>91295.644439999975</v>
      </c>
      <c r="AL28" s="12">
        <v>91295.644439999975</v>
      </c>
      <c r="AM28" s="12">
        <v>91295.644439999975</v>
      </c>
      <c r="AN28" s="12">
        <v>91295.644439999975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_xlfn.LET(_xlpm.site,$B$1&amp;"-"&amp;$C$1,_xlpm.locations,Base!$D$4:$BD$4,_xlpm.rates,Base!$D34:$BD34,_xlpm.hours,Base!$D77:$BD77,_xlpm.comp,_xlpm.rates*_xlpm.hours,_xlpm.Customer,_xlfn.ANCHORARRAY($E$1),
_xlpm.Customer_comp,_xlfn.XLOOKUP(_xlpm.site,_xlpm.locations,_xlpm.comp,0,0),_xlpm.ann_incr,_xlfn.XLOOKUP(YEAR(_xlfn.ANCHORARRAY($E$25)),Base!$BJ$4:$BL$4,Base!$BJ77:$BL77,0,0),
_xlpm.bad_debt,_xlfn.XLOOKUP(_xlpm.site,_xlpm.locations,Base!$D$28:$BD$28,0,0),_xlpm.Customer_comp*_xlpm.Customer*_xlpm.bad_debt*_xlpm.ann_incr*(52/12))</f>
        <v>0</v>
      </c>
      <c r="F29" s="12">
        <v>0</v>
      </c>
      <c r="G29" s="12">
        <v>0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487.01399999999995</v>
      </c>
      <c r="N29" s="12">
        <v>974.02799999999991</v>
      </c>
      <c r="O29" s="12">
        <v>1461.0420000000001</v>
      </c>
      <c r="P29" s="12">
        <v>1948.0559999999998</v>
      </c>
      <c r="Q29" s="12">
        <v>2508.1221</v>
      </c>
      <c r="R29" s="12">
        <v>3009.7465200000001</v>
      </c>
      <c r="S29" s="12">
        <v>3511.3709400000002</v>
      </c>
      <c r="T29" s="12">
        <v>4012.9953599999999</v>
      </c>
      <c r="U29" s="12">
        <v>4514.61978</v>
      </c>
      <c r="V29" s="12">
        <v>5016.2442000000001</v>
      </c>
      <c r="W29" s="12">
        <v>5517.8686199999993</v>
      </c>
      <c r="X29" s="12">
        <v>6019.4930400000003</v>
      </c>
      <c r="Y29" s="12">
        <v>6521.1174600000013</v>
      </c>
      <c r="Z29" s="12">
        <v>7022.7418800000005</v>
      </c>
      <c r="AA29" s="12">
        <v>7022.7418800000005</v>
      </c>
      <c r="AB29" s="12">
        <v>7022.7418800000005</v>
      </c>
      <c r="AC29" s="12">
        <v>7022.7418800000005</v>
      </c>
      <c r="AD29" s="12">
        <v>7022.7418800000005</v>
      </c>
      <c r="AE29" s="12">
        <v>7022.7418800000005</v>
      </c>
      <c r="AF29" s="12">
        <v>7022.7418800000005</v>
      </c>
      <c r="AG29" s="12">
        <v>7022.7418800000005</v>
      </c>
      <c r="AH29" s="12">
        <v>7022.7418800000005</v>
      </c>
      <c r="AI29" s="12">
        <v>7022.7418800000005</v>
      </c>
      <c r="AJ29" s="12">
        <v>7022.7418800000005</v>
      </c>
      <c r="AK29" s="12">
        <v>7022.7418800000005</v>
      </c>
      <c r="AL29" s="12">
        <v>7022.7418800000005</v>
      </c>
      <c r="AM29" s="12">
        <v>7022.7418800000005</v>
      </c>
      <c r="AN29" s="12">
        <v>7022.7418800000005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_xlfn.LET(_xlpm.site,$B$1&amp;"-"&amp;$C$1,_xlpm.locations,Base!$D$4:$BD$4,_xlpm.rates,Base!$D35:$BD35,_xlpm.hours,Base!$D78:$BD78,_xlpm.comp,_xlpm.rates*_xlpm.hours,_xlpm.Customer,_xlfn.ANCHORARRAY($E$1),
_xlpm.Customer_comp,_xlfn.XLOOKUP(_xlpm.site,_xlpm.locations,_xlpm.comp,0,0),_xlpm.ann_incr,_xlfn.XLOOKUP(YEAR(_xlfn.ANCHORARRAY($E$25)),Base!$BJ$4:$BL$4,Base!$BJ78:$BL78,0,0),
_xlpm.bad_debt,_xlfn.XLOOKUP(_xlpm.site,_xlpm.locations,Base!$D$28:$BD$28,0,0),_xlpm.Customer_comp*_xlpm.Customer*_xlpm.bad_debt*_xlpm.ann_incr*(52/12))</f>
        <v>0</v>
      </c>
      <c r="F30" s="12">
        <v>0</v>
      </c>
      <c r="G30" s="12">
        <v>0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635.43999999999994</v>
      </c>
      <c r="N30" s="12">
        <v>1270.8799999999999</v>
      </c>
      <c r="O30" s="12">
        <v>1906.3199999999997</v>
      </c>
      <c r="P30" s="12">
        <v>2541.7599999999998</v>
      </c>
      <c r="Q30" s="12">
        <v>3272.5159999999996</v>
      </c>
      <c r="R30" s="12">
        <v>3927.0191999999997</v>
      </c>
      <c r="S30" s="12">
        <v>4581.5223999999998</v>
      </c>
      <c r="T30" s="12">
        <v>5236.025599999999</v>
      </c>
      <c r="U30" s="12">
        <v>5890.5288</v>
      </c>
      <c r="V30" s="12">
        <v>6545.0319999999992</v>
      </c>
      <c r="W30" s="12">
        <v>7199.5351999999993</v>
      </c>
      <c r="X30" s="12">
        <v>7854.0383999999995</v>
      </c>
      <c r="Y30" s="12">
        <v>8508.5416000000005</v>
      </c>
      <c r="Z30" s="12">
        <v>9163.0447999999997</v>
      </c>
      <c r="AA30" s="12">
        <v>9163.0447999999997</v>
      </c>
      <c r="AB30" s="12">
        <v>9163.0447999999997</v>
      </c>
      <c r="AC30" s="12">
        <v>9163.0447999999997</v>
      </c>
      <c r="AD30" s="12">
        <v>9163.0447999999997</v>
      </c>
      <c r="AE30" s="12">
        <v>9163.0447999999997</v>
      </c>
      <c r="AF30" s="12">
        <v>9163.0447999999997</v>
      </c>
      <c r="AG30" s="12">
        <v>9163.0447999999997</v>
      </c>
      <c r="AH30" s="12">
        <v>9163.0447999999997</v>
      </c>
      <c r="AI30" s="12">
        <v>9163.0447999999997</v>
      </c>
      <c r="AJ30" s="12">
        <v>9163.0447999999997</v>
      </c>
      <c r="AK30" s="12">
        <v>9163.0447999999997</v>
      </c>
      <c r="AL30" s="12">
        <v>9163.0447999999997</v>
      </c>
      <c r="AM30" s="12">
        <v>9163.0447999999997</v>
      </c>
      <c r="AN30" s="12">
        <v>9163.0447999999997</v>
      </c>
    </row>
    <row r="31" spans="2:50" x14ac:dyDescent="0.25">
      <c r="B31" s="39" t="str">
        <f>Base!B36</f>
        <v>Tertiary Direct Staff - Service A</v>
      </c>
      <c r="C31" s="4"/>
      <c r="E31" s="183" cm="1">
        <f t="array" ref="E31:AN31">_xlfn.LET(_xlpm.site,$B$1&amp;"-"&amp;$C$1,_xlpm.locations,Base!$D$4:$BD$4,_xlpm.rates,Base!$D36:$BD36,_xlpm.hours,Base!$D79:$BD79,_xlpm.comp,_xlpm.rates*_xlpm.hours,_xlpm.Customer,_xlfn.ANCHORARRAY($E$1)*0,
_xlpm.Customer_comp,_xlfn.XLOOKUP(_xlpm.site,_xlpm.locations,_xlpm.comp,0,0),_xlpm.ann_incr,_xlfn.XLOOKUP(YEAR(_xlfn.ANCHORARRAY($E$25)),Base!$BJ$4:$BL$4,Base!$BJ79:$BL79,0,0),
_xlpm.bad_debt,_xlfn.XLOOKUP(_xlpm.site,_xlpm.locations,Base!$D$28:$BD$28,0,0),_xlpm.Customer_comp*_xlpm.Customer*_xlpm.bad_debt*_xlpm.ann_incr*(52/12))</f>
        <v>0</v>
      </c>
      <c r="F31" s="183">
        <v>0</v>
      </c>
      <c r="G31" s="183">
        <v>0</v>
      </c>
      <c r="H31" s="183">
        <v>0</v>
      </c>
      <c r="I31" s="183">
        <v>0</v>
      </c>
      <c r="J31" s="183">
        <v>0</v>
      </c>
      <c r="K31" s="183">
        <v>0</v>
      </c>
      <c r="L31" s="183">
        <v>0</v>
      </c>
      <c r="M31" s="183">
        <v>0</v>
      </c>
      <c r="N31" s="183">
        <v>0</v>
      </c>
      <c r="O31" s="183">
        <v>0</v>
      </c>
      <c r="P31" s="183">
        <v>0</v>
      </c>
      <c r="Q31" s="183">
        <v>0</v>
      </c>
      <c r="R31" s="183">
        <v>0</v>
      </c>
      <c r="S31" s="183">
        <v>0</v>
      </c>
      <c r="T31" s="183">
        <v>0</v>
      </c>
      <c r="U31" s="183">
        <v>0</v>
      </c>
      <c r="V31" s="183">
        <v>0</v>
      </c>
      <c r="W31" s="183">
        <v>0</v>
      </c>
      <c r="X31" s="183">
        <v>0</v>
      </c>
      <c r="Y31" s="183">
        <v>0</v>
      </c>
      <c r="Z31" s="183">
        <v>0</v>
      </c>
      <c r="AA31" s="183">
        <v>0</v>
      </c>
      <c r="AB31" s="183">
        <v>0</v>
      </c>
      <c r="AC31" s="183">
        <v>0</v>
      </c>
      <c r="AD31" s="183">
        <v>0</v>
      </c>
      <c r="AE31" s="183">
        <v>0</v>
      </c>
      <c r="AF31" s="183">
        <v>0</v>
      </c>
      <c r="AG31" s="183">
        <v>0</v>
      </c>
      <c r="AH31" s="183">
        <v>0</v>
      </c>
      <c r="AI31" s="183">
        <v>0</v>
      </c>
      <c r="AJ31" s="183">
        <v>0</v>
      </c>
      <c r="AK31" s="183">
        <v>0</v>
      </c>
      <c r="AL31" s="183">
        <v>0</v>
      </c>
      <c r="AM31" s="183">
        <v>0</v>
      </c>
      <c r="AN31" s="183">
        <v>0</v>
      </c>
    </row>
    <row r="32" spans="2:50" x14ac:dyDescent="0.25">
      <c r="B32" s="39" t="str">
        <f>Base!B37</f>
        <v>Tertiary Direct Staff - Service B</v>
      </c>
      <c r="C32" s="4"/>
      <c r="E32" s="183" cm="1">
        <f t="array" ref="E32:AN32">_xlfn.LET(_xlpm.site,$B$1&amp;"-"&amp;$C$1,_xlpm.locations,Base!$D$4:$BD$4,_xlpm.rates,Base!$D37:$BD37,_xlpm.hours,Base!$D80:$BD80,_xlpm.comp,_xlpm.rates*_xlpm.hours,_xlpm.Customer,_xlfn.ANCHORARRAY($E$1)*0,
_xlpm.Customer_comp,_xlfn.XLOOKUP(_xlpm.site,_xlpm.locations,_xlpm.comp,0,0),_xlpm.ann_incr,_xlfn.XLOOKUP(YEAR(_xlfn.ANCHORARRAY($E$25)),Base!$BJ$4:$BL$4,Base!$BJ80:$BL80,0,0),
_xlpm.bad_debt,_xlfn.XLOOKUP(_xlpm.site,_xlpm.locations,Base!$D$28:$BD$28,0,0),_xlpm.Customer_comp*_xlpm.Customer*_xlpm.bad_debt*_xlpm.ann_incr*(52/12))</f>
        <v>0</v>
      </c>
      <c r="F32" s="183">
        <v>0</v>
      </c>
      <c r="G32" s="183">
        <v>0</v>
      </c>
      <c r="H32" s="183">
        <v>0</v>
      </c>
      <c r="I32" s="183">
        <v>0</v>
      </c>
      <c r="J32" s="183">
        <v>0</v>
      </c>
      <c r="K32" s="183">
        <v>0</v>
      </c>
      <c r="L32" s="183">
        <v>0</v>
      </c>
      <c r="M32" s="183">
        <v>0</v>
      </c>
      <c r="N32" s="183">
        <v>0</v>
      </c>
      <c r="O32" s="183">
        <v>0</v>
      </c>
      <c r="P32" s="183">
        <v>0</v>
      </c>
      <c r="Q32" s="183">
        <v>0</v>
      </c>
      <c r="R32" s="183">
        <v>0</v>
      </c>
      <c r="S32" s="183">
        <v>0</v>
      </c>
      <c r="T32" s="183">
        <v>0</v>
      </c>
      <c r="U32" s="183">
        <v>0</v>
      </c>
      <c r="V32" s="183">
        <v>0</v>
      </c>
      <c r="W32" s="183">
        <v>0</v>
      </c>
      <c r="X32" s="183">
        <v>0</v>
      </c>
      <c r="Y32" s="183">
        <v>0</v>
      </c>
      <c r="Z32" s="183">
        <v>0</v>
      </c>
      <c r="AA32" s="183">
        <v>0</v>
      </c>
      <c r="AB32" s="183">
        <v>0</v>
      </c>
      <c r="AC32" s="183">
        <v>0</v>
      </c>
      <c r="AD32" s="183">
        <v>0</v>
      </c>
      <c r="AE32" s="183">
        <v>0</v>
      </c>
      <c r="AF32" s="183">
        <v>0</v>
      </c>
      <c r="AG32" s="183">
        <v>0</v>
      </c>
      <c r="AH32" s="183">
        <v>0</v>
      </c>
      <c r="AI32" s="183">
        <v>0</v>
      </c>
      <c r="AJ32" s="183">
        <v>0</v>
      </c>
      <c r="AK32" s="183">
        <v>0</v>
      </c>
      <c r="AL32" s="183">
        <v>0</v>
      </c>
      <c r="AM32" s="183">
        <v>0</v>
      </c>
      <c r="AN32" s="183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_xlpm.Customer,_xlfn.ANCHORARRAY($E$2),_xlpm.ann_incr,_xlfn.XLOOKUP(YEAR(_xlfn.ANCHORARRAY($E$25)),Base!$BJ$4:$BL$4,Base!$BJ$81:$BL$81,0,0),
_xlpm.bad_debt,_xlfn.XLOOKUP(_xlpm.site,_xlpm.locations,Base!$D$28:$BD$28,0,0),
_xlpm.comp*_xlpm.bad_debt*_xlpm.ann_incr*(52/12))</f>
        <v>0</v>
      </c>
      <c r="F33" s="12">
        <v>0</v>
      </c>
      <c r="G33" s="12">
        <v>0</v>
      </c>
      <c r="H33" s="12">
        <v>0</v>
      </c>
      <c r="I33" s="12">
        <v>0</v>
      </c>
      <c r="J33" s="12">
        <v>0</v>
      </c>
      <c r="K33" s="12">
        <v>0</v>
      </c>
      <c r="L33" s="12">
        <v>0</v>
      </c>
      <c r="M33" s="12">
        <v>25911.491666666665</v>
      </c>
      <c r="N33" s="12">
        <v>25911.491666666665</v>
      </c>
      <c r="O33" s="12">
        <v>25911.491666666665</v>
      </c>
      <c r="P33" s="12">
        <v>25911.491666666665</v>
      </c>
      <c r="Q33" s="12">
        <v>26688.836416666662</v>
      </c>
      <c r="R33" s="12">
        <v>26688.836416666662</v>
      </c>
      <c r="S33" s="12">
        <v>26688.836416666662</v>
      </c>
      <c r="T33" s="12">
        <v>26688.836416666662</v>
      </c>
      <c r="U33" s="12">
        <v>26688.836416666662</v>
      </c>
      <c r="V33" s="12">
        <v>26688.836416666662</v>
      </c>
      <c r="W33" s="12">
        <v>26688.836416666662</v>
      </c>
      <c r="X33" s="12">
        <v>26688.836416666662</v>
      </c>
      <c r="Y33" s="12">
        <v>26688.836416666662</v>
      </c>
      <c r="Z33" s="12">
        <v>26688.836416666662</v>
      </c>
      <c r="AA33" s="12">
        <v>26688.836416666662</v>
      </c>
      <c r="AB33" s="12">
        <v>26688.836416666662</v>
      </c>
      <c r="AC33" s="12">
        <v>26688.836416666662</v>
      </c>
      <c r="AD33" s="12">
        <v>26688.836416666662</v>
      </c>
      <c r="AE33" s="12">
        <v>26688.836416666662</v>
      </c>
      <c r="AF33" s="12">
        <v>26688.836416666662</v>
      </c>
      <c r="AG33" s="12">
        <v>26688.836416666662</v>
      </c>
      <c r="AH33" s="12">
        <v>26688.836416666662</v>
      </c>
      <c r="AI33" s="12">
        <v>26688.836416666662</v>
      </c>
      <c r="AJ33" s="12">
        <v>26688.836416666662</v>
      </c>
      <c r="AK33" s="12">
        <v>26688.836416666662</v>
      </c>
      <c r="AL33" s="12">
        <v>26688.836416666662</v>
      </c>
      <c r="AM33" s="12">
        <v>26688.836416666662</v>
      </c>
      <c r="AN33" s="12">
        <v>26688.836416666662</v>
      </c>
    </row>
    <row r="34" spans="2:40" x14ac:dyDescent="0.25">
      <c r="B34" s="39" t="str">
        <f>Base!B39</f>
        <v>Quinary Direct Staff - Service A</v>
      </c>
      <c r="C34" s="4"/>
      <c r="E34" s="183" cm="1">
        <f t="array" ref="E34:AN34">_xlfn.LET(_xlpm.site,$B$1&amp;"-"&amp;$C$1,_xlpm.locations,Base!$D$4:$BD$4,_xlpm.rates,Base!$D39:$BD39,_xlpm.hours,Base!$D82:$BD82,_xlpm.comp,_xlpm.rates*_xlpm.hours,_xlpm.Customer,_xlfn.ANCHORARRAY($E$1)*0,
_xlpm.Customer_comp,_xlfn.XLOOKUP(_xlpm.site,_xlpm.locations,_xlpm.comp,0,0),_xlpm.ann_incr,_xlfn.XLOOKUP(YEAR(_xlfn.ANCHORARRAY($E$25)),Base!$BJ$4:$BL$4,Base!$BJ82:$BL82,0,0),
_xlpm.bad_debt,_xlfn.XLOOKUP(_xlpm.site,_xlpm.locations,Base!$D$28:$BD$28,0,0),_xlpm.Customer_comp*_xlpm.Customer*_xlpm.bad_debt*_xlpm.ann_incr*(52/12))</f>
        <v>0</v>
      </c>
      <c r="F34" s="183">
        <v>0</v>
      </c>
      <c r="G34" s="183">
        <v>0</v>
      </c>
      <c r="H34" s="183">
        <v>0</v>
      </c>
      <c r="I34" s="183">
        <v>0</v>
      </c>
      <c r="J34" s="183">
        <v>0</v>
      </c>
      <c r="K34" s="183">
        <v>0</v>
      </c>
      <c r="L34" s="183">
        <v>0</v>
      </c>
      <c r="M34" s="183">
        <v>0</v>
      </c>
      <c r="N34" s="183">
        <v>0</v>
      </c>
      <c r="O34" s="183">
        <v>0</v>
      </c>
      <c r="P34" s="183">
        <v>0</v>
      </c>
      <c r="Q34" s="183">
        <v>0</v>
      </c>
      <c r="R34" s="183">
        <v>0</v>
      </c>
      <c r="S34" s="183">
        <v>0</v>
      </c>
      <c r="T34" s="183">
        <v>0</v>
      </c>
      <c r="U34" s="183">
        <v>0</v>
      </c>
      <c r="V34" s="183">
        <v>0</v>
      </c>
      <c r="W34" s="183">
        <v>0</v>
      </c>
      <c r="X34" s="183">
        <v>0</v>
      </c>
      <c r="Y34" s="183">
        <v>0</v>
      </c>
      <c r="Z34" s="183">
        <v>0</v>
      </c>
      <c r="AA34" s="183">
        <v>0</v>
      </c>
      <c r="AB34" s="183">
        <v>0</v>
      </c>
      <c r="AC34" s="183">
        <v>0</v>
      </c>
      <c r="AD34" s="183">
        <v>0</v>
      </c>
      <c r="AE34" s="183">
        <v>0</v>
      </c>
      <c r="AF34" s="183">
        <v>0</v>
      </c>
      <c r="AG34" s="183">
        <v>0</v>
      </c>
      <c r="AH34" s="183">
        <v>0</v>
      </c>
      <c r="AI34" s="183">
        <v>0</v>
      </c>
      <c r="AJ34" s="183">
        <v>0</v>
      </c>
      <c r="AK34" s="183">
        <v>0</v>
      </c>
      <c r="AL34" s="183">
        <v>0</v>
      </c>
      <c r="AM34" s="183">
        <v>0</v>
      </c>
      <c r="AN34" s="183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0</v>
      </c>
      <c r="F35" s="12">
        <v>0</v>
      </c>
      <c r="G35" s="12">
        <v>0</v>
      </c>
      <c r="H35" s="12">
        <v>0</v>
      </c>
      <c r="I35" s="12">
        <v>0</v>
      </c>
      <c r="J35" s="12">
        <v>0</v>
      </c>
      <c r="K35" s="12">
        <v>0</v>
      </c>
      <c r="L35" s="12">
        <v>0</v>
      </c>
      <c r="M35" s="12">
        <v>-9775.5657199999987</v>
      </c>
      <c r="N35" s="12">
        <v>-16441.75244</v>
      </c>
      <c r="O35" s="12">
        <v>-23107.939159999998</v>
      </c>
      <c r="P35" s="12">
        <v>-29774.12588</v>
      </c>
      <c r="Q35" s="12">
        <v>-37533.521977999997</v>
      </c>
      <c r="R35" s="12">
        <v>-44399.694299599993</v>
      </c>
      <c r="S35" s="12">
        <v>-51265.866621199988</v>
      </c>
      <c r="T35" s="12">
        <v>-58132.038942799998</v>
      </c>
      <c r="U35" s="12">
        <v>-64998.211264399994</v>
      </c>
      <c r="V35" s="12">
        <v>-71864.383585999982</v>
      </c>
      <c r="W35" s="12">
        <v>-78730.555907599992</v>
      </c>
      <c r="X35" s="12">
        <v>-85596.728229199987</v>
      </c>
      <c r="Y35" s="12">
        <v>-92462.900550799983</v>
      </c>
      <c r="Z35" s="12">
        <v>-99329.072872399964</v>
      </c>
      <c r="AA35" s="12">
        <v>-99329.072872399964</v>
      </c>
      <c r="AB35" s="12">
        <v>-99329.072872399964</v>
      </c>
      <c r="AC35" s="12">
        <v>-99329.072872399964</v>
      </c>
      <c r="AD35" s="12">
        <v>-99329.072872399964</v>
      </c>
      <c r="AE35" s="12">
        <v>-99329.072872399964</v>
      </c>
      <c r="AF35" s="12">
        <v>-99329.072872399964</v>
      </c>
      <c r="AG35" s="12">
        <v>-99329.072872399964</v>
      </c>
      <c r="AH35" s="12">
        <v>-99329.072872399964</v>
      </c>
      <c r="AI35" s="12">
        <v>-99329.072872399964</v>
      </c>
      <c r="AJ35" s="12">
        <v>-99329.072872399964</v>
      </c>
      <c r="AK35" s="12">
        <v>-99329.072872399964</v>
      </c>
      <c r="AL35" s="12">
        <v>-99329.072872399964</v>
      </c>
      <c r="AM35" s="12">
        <v>-99329.072872399964</v>
      </c>
      <c r="AN35" s="12">
        <v>-99329.072872399964</v>
      </c>
    </row>
    <row r="36" spans="2:40" x14ac:dyDescent="0.25">
      <c r="B36" s="39" t="s">
        <v>261</v>
      </c>
      <c r="C36" s="15"/>
      <c r="E36" s="183" cm="1">
        <f t="array" ref="E36:AN36">_xlfn.BYCOL(_xlfn.ANCHORARRAY($E$25),_xlfn.LAMBDA(_xlpm.a,0))</f>
        <v>0</v>
      </c>
      <c r="F36" s="183">
        <v>0</v>
      </c>
      <c r="G36" s="183">
        <v>0</v>
      </c>
      <c r="H36" s="183">
        <v>0</v>
      </c>
      <c r="I36" s="183">
        <v>0</v>
      </c>
      <c r="J36" s="183">
        <v>0</v>
      </c>
      <c r="K36" s="183">
        <v>0</v>
      </c>
      <c r="L36" s="183">
        <v>0</v>
      </c>
      <c r="M36" s="183">
        <v>0</v>
      </c>
      <c r="N36" s="183">
        <v>0</v>
      </c>
      <c r="O36" s="183">
        <v>0</v>
      </c>
      <c r="P36" s="183">
        <v>0</v>
      </c>
      <c r="Q36" s="183">
        <v>0</v>
      </c>
      <c r="R36" s="183">
        <v>0</v>
      </c>
      <c r="S36" s="183">
        <v>0</v>
      </c>
      <c r="T36" s="183">
        <v>0</v>
      </c>
      <c r="U36" s="183">
        <v>0</v>
      </c>
      <c r="V36" s="183">
        <v>0</v>
      </c>
      <c r="W36" s="183">
        <v>0</v>
      </c>
      <c r="X36" s="183">
        <v>0</v>
      </c>
      <c r="Y36" s="183">
        <v>0</v>
      </c>
      <c r="Z36" s="183">
        <v>0</v>
      </c>
      <c r="AA36" s="183">
        <v>0</v>
      </c>
      <c r="AB36" s="183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271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69023.521946666675</v>
      </c>
      <c r="N37" s="13">
        <v>115244.93122666668</v>
      </c>
      <c r="O37" s="13">
        <v>161466.34050666663</v>
      </c>
      <c r="P37" s="13">
        <v>207687.74978666668</v>
      </c>
      <c r="Q37" s="13">
        <v>261526.43383866665</v>
      </c>
      <c r="R37" s="13">
        <v>309134.48539706669</v>
      </c>
      <c r="S37" s="13">
        <v>356742.53695546661</v>
      </c>
      <c r="T37" s="13">
        <v>404350.58851386671</v>
      </c>
      <c r="U37" s="13">
        <v>451958.64007226669</v>
      </c>
      <c r="V37" s="13">
        <v>499566.69163066661</v>
      </c>
      <c r="W37" s="13">
        <v>547174.74318906665</v>
      </c>
      <c r="X37" s="13">
        <v>594782.79474746657</v>
      </c>
      <c r="Y37" s="13">
        <v>642390.84630586649</v>
      </c>
      <c r="Z37" s="13">
        <v>689998.89786426653</v>
      </c>
      <c r="AA37" s="13">
        <v>689998.89786426653</v>
      </c>
      <c r="AB37" s="13">
        <v>689998.89786426653</v>
      </c>
      <c r="AC37" s="13">
        <v>689998.89786426653</v>
      </c>
      <c r="AD37" s="13">
        <v>689998.89786426653</v>
      </c>
      <c r="AE37" s="13">
        <v>689998.89786426653</v>
      </c>
      <c r="AF37" s="13">
        <v>689998.89786426653</v>
      </c>
      <c r="AG37" s="13">
        <v>689998.89786426653</v>
      </c>
      <c r="AH37" s="13">
        <v>689998.89786426653</v>
      </c>
      <c r="AI37" s="13">
        <v>689998.89786426653</v>
      </c>
      <c r="AJ37" s="13">
        <v>689998.89786426653</v>
      </c>
      <c r="AK37" s="13">
        <v>689998.89786426653</v>
      </c>
      <c r="AL37" s="13">
        <v>689998.89786426653</v>
      </c>
      <c r="AM37" s="13">
        <v>689998.89786426653</v>
      </c>
      <c r="AN37" s="13">
        <v>689998.89786426653</v>
      </c>
    </row>
    <row r="38" spans="2:40" x14ac:dyDescent="0.25">
      <c r="E38" s="67"/>
      <c r="F38" s="67"/>
    </row>
    <row r="39" spans="2:40" x14ac:dyDescent="0.25">
      <c r="B39" s="1" t="s">
        <v>118</v>
      </c>
    </row>
    <row r="40" spans="2:40" x14ac:dyDescent="0.25">
      <c r="B40" s="39" t="s">
        <v>23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0</v>
      </c>
      <c r="F40" s="12">
        <v>0</v>
      </c>
      <c r="G40" s="12">
        <v>0</v>
      </c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44337.989634003286</v>
      </c>
      <c r="N40" s="12">
        <v>75871.883801339907</v>
      </c>
      <c r="O40" s="12">
        <v>96058.673435343182</v>
      </c>
      <c r="P40" s="12">
        <v>116205.23426934646</v>
      </c>
      <c r="Q40" s="12">
        <v>150023.12794701807</v>
      </c>
      <c r="R40" s="12">
        <v>172522.07654442172</v>
      </c>
      <c r="S40" s="12">
        <v>194508.37512849199</v>
      </c>
      <c r="T40" s="12">
        <v>216775.92537922892</v>
      </c>
      <c r="U40" s="12">
        <v>238981.39397663256</v>
      </c>
      <c r="V40" s="12">
        <v>261072.43089403611</v>
      </c>
      <c r="W40" s="12">
        <v>283456.94781143981</v>
      </c>
      <c r="X40" s="12">
        <v>305768.74974217667</v>
      </c>
      <c r="Y40" s="12">
        <v>327929.9666595803</v>
      </c>
      <c r="Z40" s="12">
        <v>344408.19857698394</v>
      </c>
      <c r="AA40" s="12">
        <v>344718.69191031728</v>
      </c>
      <c r="AB40" s="12">
        <v>345135.51857698389</v>
      </c>
      <c r="AC40" s="12">
        <v>379916.92410134897</v>
      </c>
      <c r="AD40" s="12">
        <v>380258.4667680157</v>
      </c>
      <c r="AE40" s="12">
        <v>380716.97610134899</v>
      </c>
      <c r="AF40" s="12">
        <v>380907.63176801568</v>
      </c>
      <c r="AG40" s="12">
        <v>381249.17443468235</v>
      </c>
      <c r="AH40" s="12">
        <v>381590.71710134903</v>
      </c>
      <c r="AI40" s="12">
        <v>381975.53743468237</v>
      </c>
      <c r="AJ40" s="12">
        <v>382317.08010134904</v>
      </c>
      <c r="AK40" s="12">
        <v>382658.62276801572</v>
      </c>
      <c r="AL40" s="12">
        <v>382658.62276801572</v>
      </c>
      <c r="AM40" s="12">
        <v>382658.62276801572</v>
      </c>
      <c r="AN40" s="12">
        <v>382658.62276801572</v>
      </c>
    </row>
    <row r="41" spans="2:40" x14ac:dyDescent="0.25">
      <c r="B41" s="39" t="s">
        <v>388</v>
      </c>
      <c r="C41" s="142">
        <f>_xlfn.XLOOKUP($B$1&amp;"-"&amp;$C$1,Base!$D$4:$BD$4,Base!$D$12:$BD$12,0,0)</f>
        <v>0</v>
      </c>
      <c r="E41" s="183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28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15000</v>
      </c>
      <c r="N42" s="12">
        <v>15000</v>
      </c>
      <c r="O42" s="12">
        <v>15000</v>
      </c>
      <c r="P42" s="12">
        <v>15000</v>
      </c>
      <c r="Q42" s="12">
        <v>15450</v>
      </c>
      <c r="R42" s="12">
        <v>15450</v>
      </c>
      <c r="S42" s="12">
        <v>15450</v>
      </c>
      <c r="T42" s="12">
        <v>15450</v>
      </c>
      <c r="U42" s="12">
        <v>15450</v>
      </c>
      <c r="V42" s="12">
        <v>15450</v>
      </c>
      <c r="W42" s="12">
        <v>15450</v>
      </c>
      <c r="X42" s="12">
        <v>15450</v>
      </c>
      <c r="Y42" s="12">
        <v>15450</v>
      </c>
      <c r="Z42" s="12">
        <v>15450</v>
      </c>
      <c r="AA42" s="12">
        <v>15450</v>
      </c>
      <c r="AB42" s="12">
        <v>15450</v>
      </c>
      <c r="AC42" s="12">
        <v>15913.5</v>
      </c>
      <c r="AD42" s="12">
        <v>15913.5</v>
      </c>
      <c r="AE42" s="12">
        <v>15913.5</v>
      </c>
      <c r="AF42" s="12">
        <v>15913.5</v>
      </c>
      <c r="AG42" s="12">
        <v>15913.5</v>
      </c>
      <c r="AH42" s="12">
        <v>15913.5</v>
      </c>
      <c r="AI42" s="12">
        <v>15913.5</v>
      </c>
      <c r="AJ42" s="12">
        <v>15913.5</v>
      </c>
      <c r="AK42" s="12">
        <v>15913.5</v>
      </c>
      <c r="AL42" s="12">
        <v>15913.5</v>
      </c>
      <c r="AM42" s="12">
        <v>15913.5</v>
      </c>
      <c r="AN42" s="12">
        <v>15913.5</v>
      </c>
    </row>
    <row r="43" spans="2:40" x14ac:dyDescent="0.25">
      <c r="B43" s="39" t="s">
        <v>31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8700</v>
      </c>
      <c r="N43" s="12">
        <v>8700</v>
      </c>
      <c r="O43" s="12">
        <v>8700</v>
      </c>
      <c r="P43" s="12">
        <v>8700</v>
      </c>
      <c r="Q43" s="12">
        <v>9048</v>
      </c>
      <c r="R43" s="12">
        <v>9048</v>
      </c>
      <c r="S43" s="12">
        <v>9048</v>
      </c>
      <c r="T43" s="12">
        <v>9048</v>
      </c>
      <c r="U43" s="12">
        <v>9048</v>
      </c>
      <c r="V43" s="12">
        <v>9048</v>
      </c>
      <c r="W43" s="12">
        <v>9048</v>
      </c>
      <c r="X43" s="12">
        <v>9048</v>
      </c>
      <c r="Y43" s="12">
        <v>9048</v>
      </c>
      <c r="Z43" s="12">
        <v>9048</v>
      </c>
      <c r="AA43" s="12">
        <v>9048</v>
      </c>
      <c r="AB43" s="12">
        <v>9048</v>
      </c>
      <c r="AC43" s="12">
        <v>9409.9200000000019</v>
      </c>
      <c r="AD43" s="12">
        <v>9409.9200000000019</v>
      </c>
      <c r="AE43" s="12">
        <v>9409.9200000000019</v>
      </c>
      <c r="AF43" s="12">
        <v>9409.9200000000019</v>
      </c>
      <c r="AG43" s="12">
        <v>9409.9200000000019</v>
      </c>
      <c r="AH43" s="12">
        <v>9409.9200000000019</v>
      </c>
      <c r="AI43" s="12">
        <v>9409.9200000000019</v>
      </c>
      <c r="AJ43" s="12">
        <v>9409.9200000000019</v>
      </c>
      <c r="AK43" s="12">
        <v>9409.9200000000019</v>
      </c>
      <c r="AL43" s="12">
        <v>9409.9200000000019</v>
      </c>
      <c r="AM43" s="12">
        <v>9409.9200000000019</v>
      </c>
      <c r="AN43" s="12">
        <v>9409.9200000000019</v>
      </c>
    </row>
    <row r="44" spans="2:40" x14ac:dyDescent="0.25">
      <c r="B44" s="39" t="s">
        <v>34</v>
      </c>
      <c r="C44" s="96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363.89520000000005</v>
      </c>
      <c r="N44" s="12">
        <v>963.64839999999992</v>
      </c>
      <c r="O44" s="12">
        <v>993.97300000000007</v>
      </c>
      <c r="P44" s="12">
        <v>1024.2975999999999</v>
      </c>
      <c r="Q44" s="12">
        <v>1096.807088</v>
      </c>
      <c r="R44" s="12">
        <v>1138.8571999999999</v>
      </c>
      <c r="S44" s="12">
        <v>1166.8906079999999</v>
      </c>
      <c r="T44" s="12">
        <v>1201.932368</v>
      </c>
      <c r="U44" s="12">
        <v>1233.4699519999999</v>
      </c>
      <c r="V44" s="12">
        <v>1261.5033600000002</v>
      </c>
      <c r="W44" s="12">
        <v>1300.0492959999999</v>
      </c>
      <c r="X44" s="12">
        <v>1335.0910559999998</v>
      </c>
      <c r="Y44" s="12">
        <v>1366.6286400000004</v>
      </c>
      <c r="Z44" s="12">
        <v>1156.37808</v>
      </c>
      <c r="AA44" s="12">
        <v>1170.3947840000001</v>
      </c>
      <c r="AB44" s="12">
        <v>1187.9156640000001</v>
      </c>
      <c r="AC44" s="12">
        <v>1246.3653196800001</v>
      </c>
      <c r="AD44" s="12">
        <v>1260.9426918400002</v>
      </c>
      <c r="AE44" s="12">
        <v>1279.1644070400002</v>
      </c>
      <c r="AF44" s="12">
        <v>1286.4530931200002</v>
      </c>
      <c r="AG44" s="12">
        <v>1301.03046528</v>
      </c>
      <c r="AH44" s="12">
        <v>1315.6078374400001</v>
      </c>
      <c r="AI44" s="12">
        <v>1330.1852096000002</v>
      </c>
      <c r="AJ44" s="12">
        <v>1344.7625817600001</v>
      </c>
      <c r="AK44" s="12">
        <v>1359.3399539200002</v>
      </c>
      <c r="AL44" s="12">
        <v>1359.3399539200002</v>
      </c>
      <c r="AM44" s="12">
        <v>1359.3399539200002</v>
      </c>
      <c r="AN44" s="12">
        <v>1359.3399539200002</v>
      </c>
    </row>
    <row r="45" spans="2:40" x14ac:dyDescent="0.25">
      <c r="B45" s="39" t="s">
        <v>36</v>
      </c>
      <c r="C45" s="96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0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7500</v>
      </c>
      <c r="N45" s="12">
        <v>7500</v>
      </c>
      <c r="O45" s="12">
        <v>7500</v>
      </c>
      <c r="P45" s="12">
        <v>7500</v>
      </c>
      <c r="Q45" s="12">
        <v>7650</v>
      </c>
      <c r="R45" s="12">
        <v>7650</v>
      </c>
      <c r="S45" s="12">
        <v>7650</v>
      </c>
      <c r="T45" s="12">
        <v>7650</v>
      </c>
      <c r="U45" s="12">
        <v>7650</v>
      </c>
      <c r="V45" s="12">
        <v>7650</v>
      </c>
      <c r="W45" s="12">
        <v>7650</v>
      </c>
      <c r="X45" s="12">
        <v>7650</v>
      </c>
      <c r="Y45" s="12">
        <v>7650</v>
      </c>
      <c r="Z45" s="12">
        <v>7650</v>
      </c>
      <c r="AA45" s="12">
        <v>7650</v>
      </c>
      <c r="AB45" s="12">
        <v>7650</v>
      </c>
      <c r="AC45" s="12">
        <v>7803</v>
      </c>
      <c r="AD45" s="12">
        <v>7803</v>
      </c>
      <c r="AE45" s="12">
        <v>7803</v>
      </c>
      <c r="AF45" s="12">
        <v>7803</v>
      </c>
      <c r="AG45" s="12">
        <v>7803</v>
      </c>
      <c r="AH45" s="12">
        <v>7803</v>
      </c>
      <c r="AI45" s="12">
        <v>7803</v>
      </c>
      <c r="AJ45" s="12">
        <v>7803</v>
      </c>
      <c r="AK45" s="12">
        <v>7803</v>
      </c>
      <c r="AL45" s="12">
        <v>7803</v>
      </c>
      <c r="AM45" s="12">
        <v>7803</v>
      </c>
      <c r="AN45" s="12">
        <v>7803</v>
      </c>
    </row>
    <row r="46" spans="2:40" x14ac:dyDescent="0.25">
      <c r="B46" s="39" t="s">
        <v>38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0</v>
      </c>
      <c r="F46" s="12">
        <v>0</v>
      </c>
      <c r="G46" s="12">
        <v>0</v>
      </c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3533.9999999999991</v>
      </c>
      <c r="N46" s="12">
        <v>5399.4999999999991</v>
      </c>
      <c r="O46" s="12">
        <v>6677</v>
      </c>
      <c r="P46" s="12">
        <v>7950.9999999999991</v>
      </c>
      <c r="Q46" s="12">
        <v>9409.4999999999982</v>
      </c>
      <c r="R46" s="12">
        <v>10723.26</v>
      </c>
      <c r="S46" s="12">
        <v>12015.600000000002</v>
      </c>
      <c r="T46" s="12">
        <v>13318.650000000001</v>
      </c>
      <c r="U46" s="12">
        <v>14621.7</v>
      </c>
      <c r="V46" s="12">
        <v>15917.609999999999</v>
      </c>
      <c r="W46" s="12">
        <v>17224.23</v>
      </c>
      <c r="X46" s="12">
        <v>18530.849999999999</v>
      </c>
      <c r="Y46" s="12">
        <v>19830.329999999998</v>
      </c>
      <c r="Z46" s="12">
        <v>20879.910000000007</v>
      </c>
      <c r="AA46" s="12">
        <v>20894.190000000002</v>
      </c>
      <c r="AB46" s="12">
        <v>20912.040000000005</v>
      </c>
      <c r="AC46" s="12">
        <v>21341.205000000002</v>
      </c>
      <c r="AD46" s="12">
        <v>21355.770600000003</v>
      </c>
      <c r="AE46" s="12">
        <v>21373.977600000006</v>
      </c>
      <c r="AF46" s="12">
        <v>21381.260400000003</v>
      </c>
      <c r="AG46" s="12">
        <v>21395.826000000001</v>
      </c>
      <c r="AH46" s="12">
        <v>21410.391600000003</v>
      </c>
      <c r="AI46" s="12">
        <v>21424.957200000004</v>
      </c>
      <c r="AJ46" s="12">
        <v>21439.522800000002</v>
      </c>
      <c r="AK46" s="12">
        <v>21454.088400000004</v>
      </c>
      <c r="AL46" s="12">
        <v>21454.088400000004</v>
      </c>
      <c r="AM46" s="12">
        <v>21454.088400000004</v>
      </c>
      <c r="AN46" s="12">
        <v>21454.088400000004</v>
      </c>
    </row>
    <row r="47" spans="2:40" x14ac:dyDescent="0.25">
      <c r="B47" s="39" t="s">
        <v>40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6000</v>
      </c>
      <c r="N47" s="12">
        <v>6000</v>
      </c>
      <c r="O47" s="12">
        <v>6000</v>
      </c>
      <c r="P47" s="12">
        <v>6000</v>
      </c>
      <c r="Q47" s="12">
        <v>6300</v>
      </c>
      <c r="R47" s="12">
        <v>6300</v>
      </c>
      <c r="S47" s="12">
        <v>6300</v>
      </c>
      <c r="T47" s="12">
        <v>6300</v>
      </c>
      <c r="U47" s="12">
        <v>6300</v>
      </c>
      <c r="V47" s="12">
        <v>6300</v>
      </c>
      <c r="W47" s="12">
        <v>6300</v>
      </c>
      <c r="X47" s="12">
        <v>6300</v>
      </c>
      <c r="Y47" s="12">
        <v>6300</v>
      </c>
      <c r="Z47" s="12">
        <v>6300</v>
      </c>
      <c r="AA47" s="12">
        <v>6300</v>
      </c>
      <c r="AB47" s="12">
        <v>6300</v>
      </c>
      <c r="AC47" s="12">
        <v>6615</v>
      </c>
      <c r="AD47" s="12">
        <v>6615</v>
      </c>
      <c r="AE47" s="12">
        <v>6615</v>
      </c>
      <c r="AF47" s="12">
        <v>6615</v>
      </c>
      <c r="AG47" s="12">
        <v>6615</v>
      </c>
      <c r="AH47" s="12">
        <v>6615</v>
      </c>
      <c r="AI47" s="12">
        <v>6615</v>
      </c>
      <c r="AJ47" s="12">
        <v>6615</v>
      </c>
      <c r="AK47" s="12">
        <v>6615</v>
      </c>
      <c r="AL47" s="12">
        <v>6615</v>
      </c>
      <c r="AM47" s="12">
        <v>6615</v>
      </c>
      <c r="AN47" s="12">
        <v>6615</v>
      </c>
    </row>
    <row r="48" spans="2:40" x14ac:dyDescent="0.25">
      <c r="B48" s="39" t="s">
        <v>41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151234.47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42</v>
      </c>
      <c r="E49" s="12">
        <f>'Corp.'!E$50*(E$37-(E31-E32-E34)*$C$35)/(SUM('MDA1:NCA9'!E$37)-SUM('MDA1:NCA9'!E$31)-SUM('MDA1:NCA9'!E$32)-SUM('MDA1:NCA9'!E$34))</f>
        <v>0</v>
      </c>
      <c r="F49" s="12">
        <f>'Corp.'!F$50*(F$37-(F31-F32-F34)*$C$35)/(SUM('MDA1:NCA9'!F$37)-SUM('MDA1:NCA9'!F$31)-SUM('MDA1:NCA9'!F$32)-SUM('MDA1:NCA9'!F$34))</f>
        <v>0</v>
      </c>
      <c r="G49" s="12">
        <f>'Corp.'!G$50*(G$37-(G31-G32-G34)*$C$35)/(SUM('MDA1:NCA9'!G$37)-SUM('MDA1:NCA9'!G$31)-SUM('MDA1:NCA9'!G$32)-SUM('MDA1:NCA9'!G$34))</f>
        <v>0</v>
      </c>
      <c r="H49" s="12">
        <f>'Corp.'!H$50*(H$37-(H31-H32-H34)*$C$35)/(SUM('MDA1:NCA9'!H$37)-SUM('MDA1:NCA9'!H$31)-SUM('MDA1:NCA9'!H$32)-SUM('MDA1:NCA9'!H$34))</f>
        <v>0</v>
      </c>
      <c r="I49" s="12">
        <f>'Corp.'!I$50*(I$37-(I31-I32-I34)*$C$35)/(SUM('MDA1:NCA9'!I$37)-SUM('MDA1:NCA9'!I$31)-SUM('MDA1:NCA9'!I$32)-SUM('MDA1:NCA9'!I$34))</f>
        <v>0</v>
      </c>
      <c r="J49" s="12">
        <f>'Corp.'!J$50*(J$37-(J31-J32-J34)*$C$35)/(SUM('MDA1:NCA9'!J$37)-SUM('MDA1:NCA9'!J$31)-SUM('MDA1:NCA9'!J$32)-SUM('MDA1:NCA9'!J$34))</f>
        <v>0</v>
      </c>
      <c r="K49" s="12">
        <f>'Corp.'!K$50*(K$37-(K31-K32-K34)*$C$35)/(SUM('MDA1:NCA9'!K$37)-SUM('MDA1:NCA9'!K$31)-SUM('MDA1:NCA9'!K$32)-SUM('MDA1:NCA9'!K$34))</f>
        <v>0</v>
      </c>
      <c r="L49" s="12">
        <f>'Corp.'!L$50*(L$37-(L31-L32-L34)*$C$35)/(SUM('MDA1:NCA9'!L$37)-SUM('MDA1:NCA9'!L$31)-SUM('MDA1:NCA9'!L$32)-SUM('MDA1:NCA9'!L$34))</f>
        <v>0</v>
      </c>
      <c r="M49" s="12">
        <f>'Corp.'!M$50*(M$37-(M31-M32-M34)*$C$35)/(SUM('MDA1:NCA9'!M$37)-SUM('MDA1:NCA9'!M$31)-SUM('MDA1:NCA9'!M$32)-SUM('MDA1:NCA9'!M$34))</f>
        <v>12784.520084680469</v>
      </c>
      <c r="N49" s="12">
        <f>'Corp.'!N$50*(N$37-(N31-N32-N34)*$C$35)/(SUM('MDA1:NCA9'!N$37)-SUM('MDA1:NCA9'!N$31)-SUM('MDA1:NCA9'!N$32)-SUM('MDA1:NCA9'!N$34))</f>
        <v>20113.59070647294</v>
      </c>
      <c r="O49" s="12">
        <f>'Corp.'!O$50*(O$37-(O31-O32-O34)*$C$35)/(SUM('MDA1:NCA9'!O$37)-SUM('MDA1:NCA9'!O$31)-SUM('MDA1:NCA9'!O$32)-SUM('MDA1:NCA9'!O$34))</f>
        <v>26374.169047543826</v>
      </c>
      <c r="P49" s="12">
        <f>'Corp.'!P$50*(P$37-(P31-P32-P34)*$C$35)/(SUM('MDA1:NCA9'!P$37)-SUM('MDA1:NCA9'!P$31)-SUM('MDA1:NCA9'!P$32)-SUM('MDA1:NCA9'!P$34))</f>
        <v>32012.337759264403</v>
      </c>
      <c r="Q49" s="12">
        <f>'Corp.'!Q$50*(Q$37-(Q31-Q32-Q34)*$C$35)/(SUM('MDA1:NCA9'!Q$37)-SUM('MDA1:NCA9'!Q$31)-SUM('MDA1:NCA9'!Q$32)-SUM('MDA1:NCA9'!Q$34))</f>
        <v>40458.719336839378</v>
      </c>
      <c r="R49" s="12">
        <f>'Corp.'!R$50*(R$37-(R31-R32-R34)*$C$35)/(SUM('MDA1:NCA9'!R$37)-SUM('MDA1:NCA9'!R$31)-SUM('MDA1:NCA9'!R$32)-SUM('MDA1:NCA9'!R$34))</f>
        <v>46012.382445949741</v>
      </c>
      <c r="S49" s="12">
        <f>'Corp.'!S$50*(S$37-(S31-S32-S34)*$C$35)/(SUM('MDA1:NCA9'!S$37)-SUM('MDA1:NCA9'!S$31)-SUM('MDA1:NCA9'!S$32)-SUM('MDA1:NCA9'!S$34))</f>
        <v>50800.745822042889</v>
      </c>
      <c r="T49" s="12">
        <f>'Corp.'!T$50*(T$37-(T31-T32-T34)*$C$35)/(SUM('MDA1:NCA9'!T$37)-SUM('MDA1:NCA9'!T$31)-SUM('MDA1:NCA9'!T$32)-SUM('MDA1:NCA9'!T$34))</f>
        <v>55375.708161420844</v>
      </c>
      <c r="U49" s="12">
        <f>'Corp.'!U$50*(U$37-(U31-U32-U34)*$C$35)/(SUM('MDA1:NCA9'!U$37)-SUM('MDA1:NCA9'!U$31)-SUM('MDA1:NCA9'!U$32)-SUM('MDA1:NCA9'!U$34))</f>
        <v>60206.224102715874</v>
      </c>
      <c r="V49" s="12">
        <f>'Corp.'!V$50*(V$37-(V31-V32-V34)*$C$35)/(SUM('MDA1:NCA9'!V$37)-SUM('MDA1:NCA9'!V$31)-SUM('MDA1:NCA9'!V$32)-SUM('MDA1:NCA9'!V$34))</f>
        <v>65025.731974689108</v>
      </c>
      <c r="W49" s="12">
        <f>'Corp.'!W$50*(W$37-(W31-W32-W34)*$C$35)/(SUM('MDA1:NCA9'!W$37)-SUM('MDA1:NCA9'!W$31)-SUM('MDA1:NCA9'!W$32)-SUM('MDA1:NCA9'!W$34))</f>
        <v>69057.965810073772</v>
      </c>
      <c r="X49" s="12">
        <f>'Corp.'!X$50*(X$37-(X31-X32-X34)*$C$35)/(SUM('MDA1:NCA9'!X$37)-SUM('MDA1:NCA9'!X$31)-SUM('MDA1:NCA9'!X$32)-SUM('MDA1:NCA9'!X$34))</f>
        <v>72715.13740066257</v>
      </c>
      <c r="Y49" s="12">
        <f>'Corp.'!Y$50*(Y$37-(Y31-Y32-Y34)*$C$35)/(SUM('MDA1:NCA9'!Y$37)-SUM('MDA1:NCA9'!Y$31)-SUM('MDA1:NCA9'!Y$32)-SUM('MDA1:NCA9'!Y$34))</f>
        <v>76871.572058736856</v>
      </c>
      <c r="Z49" s="12">
        <f>'Corp.'!Z$50*(Z$37-(Z31-Z32-Z34)*$C$35)/(SUM('MDA1:NCA9'!Z$37)-SUM('MDA1:NCA9'!Z$31)-SUM('MDA1:NCA9'!Z$32)-SUM('MDA1:NCA9'!Z$34))</f>
        <v>80775.388620665501</v>
      </c>
      <c r="AA49" s="12">
        <f>'Corp.'!AA$50*(AA$37-(AA31-AA32-AA34)*$C$35)/(SUM('MDA1:NCA9'!AA$37)-SUM('MDA1:NCA9'!AA$31)-SUM('MDA1:NCA9'!AA$32)-SUM('MDA1:NCA9'!AA$34))</f>
        <v>78928.593716406205</v>
      </c>
      <c r="AB49" s="12">
        <f>'Corp.'!AB$50*(AB$37-(AB31-AB32-AB34)*$C$35)/(SUM('MDA1:NCA9'!AB$37)-SUM('MDA1:NCA9'!AB$31)-SUM('MDA1:NCA9'!AB$32)-SUM('MDA1:NCA9'!AB$34))</f>
        <v>77137.388997614675</v>
      </c>
      <c r="AC49" s="12">
        <f>'Corp.'!AC$50*(AC$37-(AC31-AC32-AC34)*$C$35)/(SUM('MDA1:NCA9'!AC$37)-SUM('MDA1:NCA9'!AC$31)-SUM('MDA1:NCA9'!AC$32)-SUM('MDA1:NCA9'!AC$34))</f>
        <v>82787.492935550952</v>
      </c>
      <c r="AD49" s="12">
        <f>'Corp.'!AD$50*(AD$37-(AD31-AD32-AD34)*$C$35)/(SUM('MDA1:NCA9'!AD$37)-SUM('MDA1:NCA9'!AD$31)-SUM('MDA1:NCA9'!AD$32)-SUM('MDA1:NCA9'!AD$34))</f>
        <v>81427.453549480764</v>
      </c>
      <c r="AE49" s="12">
        <f>'Corp.'!AE$50*(AE$37-(AE31-AE32-AE34)*$C$35)/(SUM('MDA1:NCA9'!AE$37)-SUM('MDA1:NCA9'!AE$31)-SUM('MDA1:NCA9'!AE$32)-SUM('MDA1:NCA9'!AE$34))</f>
        <v>80145.065142249689</v>
      </c>
      <c r="AF49" s="12">
        <f>'Corp.'!AF$50*(AF$37-(AF31-AF32-AF34)*$C$35)/(SUM('MDA1:NCA9'!AF$37)-SUM('MDA1:NCA9'!AF$31)-SUM('MDA1:NCA9'!AF$32)-SUM('MDA1:NCA9'!AF$34))</f>
        <v>78943.425161868086</v>
      </c>
      <c r="AG49" s="12">
        <f>'Corp.'!AG$50*(AG$37-(AG31-AG32-AG34)*$C$35)/(SUM('MDA1:NCA9'!AG$37)-SUM('MDA1:NCA9'!AG$31)-SUM('MDA1:NCA9'!AG$32)-SUM('MDA1:NCA9'!AG$34))</f>
        <v>77979.765799357177</v>
      </c>
      <c r="AH49" s="12">
        <f>'Corp.'!AH$50*(AH$37-(AH31-AH32-AH34)*$C$35)/(SUM('MDA1:NCA9'!AH$37)-SUM('MDA1:NCA9'!AH$31)-SUM('MDA1:NCA9'!AH$32)-SUM('MDA1:NCA9'!AH$34))</f>
        <v>76712.193944299695</v>
      </c>
      <c r="AI49" s="12">
        <f>'Corp.'!AI$50*(AI$37-(AI31-AI32-AI34)*$C$35)/(SUM('MDA1:NCA9'!AI$37)-SUM('MDA1:NCA9'!AI$31)-SUM('MDA1:NCA9'!AI$32)-SUM('MDA1:NCA9'!AI$34))</f>
        <v>75391.235786919249</v>
      </c>
      <c r="AJ49" s="12">
        <f>'Corp.'!AJ$50*(AJ$37-(AJ31-AJ32-AJ34)*$C$35)/(SUM('MDA1:NCA9'!AJ$37)-SUM('MDA1:NCA9'!AJ$31)-SUM('MDA1:NCA9'!AJ$32)-SUM('MDA1:NCA9'!AJ$34))</f>
        <v>74037.829400941715</v>
      </c>
      <c r="AK49" s="12">
        <f>'Corp.'!AK$50*(AK$37-(AK31-AK32-AK34)*$C$35)/(SUM('MDA1:NCA9'!AK$37)-SUM('MDA1:NCA9'!AK$31)-SUM('MDA1:NCA9'!AK$32)-SUM('MDA1:NCA9'!AK$34))</f>
        <v>72788.126846379178</v>
      </c>
      <c r="AL49" s="12">
        <f>'Corp.'!AL$50*(AL$37-(AL31-AL32-AL34)*$C$35)/(SUM('MDA1:NCA9'!AL$37)-SUM('MDA1:NCA9'!AL$31)-SUM('MDA1:NCA9'!AL$32)-SUM('MDA1:NCA9'!AL$34))</f>
        <v>71641.323887728504</v>
      </c>
      <c r="AM49" s="12">
        <f>'Corp.'!AM$50*(AM$37-(AM31-AM32-AM34)*$C$35)/(SUM('MDA1:NCA9'!AM$37)-SUM('MDA1:NCA9'!AM$31)-SUM('MDA1:NCA9'!AM$32)-SUM('MDA1:NCA9'!AM$34))</f>
        <v>70406.274276485157</v>
      </c>
      <c r="AN49" s="12">
        <f>'Corp.'!AN$50*(AN$37-(AN31-AN32-AN34)*$C$35)/(SUM('MDA1:NCA9'!AN$37)-SUM('MDA1:NCA9'!AN$31)-SUM('MDA1:NCA9'!AN$32)-SUM('MDA1:NCA9'!AN$34))</f>
        <v>69353.495383390065</v>
      </c>
    </row>
    <row r="50" spans="2:40" x14ac:dyDescent="0.25">
      <c r="B50" s="1" t="s">
        <v>272</v>
      </c>
      <c r="E50" s="13" cm="1">
        <f t="array" ref="E50:AN50">_xlfn.BYCOL(_xlfn.VSTACK(_xlfn.ANCHORARRAY(E40),_xlfn.ANCHORARRAY(E42),_xlfn.ANCHORARRAY(E43),_xlfn.ANCHORARRAY(E45),_xlfn.ANCHORARRAY(E46),_xlfn.ANCHORARRAY(E47),_xlfn.ANCHORARRAY(E48),_xlfn.HSTACK(E49:AN49)),_xlfn.LAMBDA(_xlpm.a,SUM(_xlpm.a)))</f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151234.47</v>
      </c>
      <c r="L50" s="13">
        <v>0</v>
      </c>
      <c r="M50" s="13">
        <v>97856.509718683752</v>
      </c>
      <c r="N50" s="13">
        <v>138584.97450781285</v>
      </c>
      <c r="O50" s="13">
        <v>166309.84248288703</v>
      </c>
      <c r="P50" s="13">
        <v>193368.57202861086</v>
      </c>
      <c r="Q50" s="13">
        <v>238339.34728385747</v>
      </c>
      <c r="R50" s="13">
        <v>267705.71899037145</v>
      </c>
      <c r="S50" s="13">
        <v>295772.72095053486</v>
      </c>
      <c r="T50" s="13">
        <v>323918.28354064975</v>
      </c>
      <c r="U50" s="13">
        <v>352257.31807934842</v>
      </c>
      <c r="V50" s="13">
        <v>380463.77286872518</v>
      </c>
      <c r="W50" s="13">
        <v>408187.14362151356</v>
      </c>
      <c r="X50" s="13">
        <v>435462.73714283924</v>
      </c>
      <c r="Y50" s="13">
        <v>463079.86871831719</v>
      </c>
      <c r="Z50" s="13">
        <v>484511.49719764944</v>
      </c>
      <c r="AA50" s="13">
        <v>482989.47562672349</v>
      </c>
      <c r="AB50" s="13">
        <v>481632.94757459854</v>
      </c>
      <c r="AC50" s="13">
        <v>523787.04203689995</v>
      </c>
      <c r="AD50" s="13">
        <v>522783.11091749644</v>
      </c>
      <c r="AE50" s="13">
        <v>521977.43884359865</v>
      </c>
      <c r="AF50" s="13">
        <v>520973.73732988379</v>
      </c>
      <c r="AG50" s="13">
        <v>520366.18623403949</v>
      </c>
      <c r="AH50" s="13">
        <v>519454.72264564876</v>
      </c>
      <c r="AI50" s="13">
        <v>518533.1504216016</v>
      </c>
      <c r="AJ50" s="13">
        <v>517535.85230229073</v>
      </c>
      <c r="AK50" s="13">
        <v>516642.2580143949</v>
      </c>
      <c r="AL50" s="13">
        <v>515495.45505574421</v>
      </c>
      <c r="AM50" s="13">
        <v>514260.40544450085</v>
      </c>
      <c r="AN50" s="13">
        <v>513207.62655140576</v>
      </c>
    </row>
    <row r="52" spans="2:40" x14ac:dyDescent="0.25">
      <c r="B52" s="1" t="s">
        <v>48</v>
      </c>
      <c r="E52" s="74">
        <f>E37-E50</f>
        <v>0</v>
      </c>
      <c r="F52" s="74">
        <f t="shared" ref="F52:AN52" si="0">F37-F50</f>
        <v>0</v>
      </c>
      <c r="G52" s="74">
        <f t="shared" si="0"/>
        <v>0</v>
      </c>
      <c r="H52" s="74">
        <f t="shared" si="0"/>
        <v>0</v>
      </c>
      <c r="I52" s="74">
        <f t="shared" si="0"/>
        <v>0</v>
      </c>
      <c r="J52" s="74">
        <f t="shared" si="0"/>
        <v>0</v>
      </c>
      <c r="K52" s="74">
        <f t="shared" si="0"/>
        <v>-151234.47</v>
      </c>
      <c r="L52" s="74">
        <f t="shared" si="0"/>
        <v>0</v>
      </c>
      <c r="M52" s="74">
        <f t="shared" si="0"/>
        <v>-28832.987772017077</v>
      </c>
      <c r="N52" s="74">
        <f t="shared" si="0"/>
        <v>-23340.043281146165</v>
      </c>
      <c r="O52" s="74">
        <f t="shared" si="0"/>
        <v>-4843.5019762204029</v>
      </c>
      <c r="P52" s="74">
        <f t="shared" si="0"/>
        <v>14319.177758055826</v>
      </c>
      <c r="Q52" s="74">
        <f t="shared" si="0"/>
        <v>23187.086554809182</v>
      </c>
      <c r="R52" s="74">
        <f t="shared" si="0"/>
        <v>41428.766406695242</v>
      </c>
      <c r="S52" s="74">
        <f t="shared" si="0"/>
        <v>60969.816004931752</v>
      </c>
      <c r="T52" s="74">
        <f t="shared" si="0"/>
        <v>80432.30497321696</v>
      </c>
      <c r="U52" s="74">
        <f t="shared" si="0"/>
        <v>99701.321992918267</v>
      </c>
      <c r="V52" s="74">
        <f t="shared" si="0"/>
        <v>119102.91876194143</v>
      </c>
      <c r="W52" s="74">
        <f t="shared" si="0"/>
        <v>138987.59956755309</v>
      </c>
      <c r="X52" s="74">
        <f t="shared" si="0"/>
        <v>159320.05760462733</v>
      </c>
      <c r="Y52" s="74">
        <f t="shared" si="0"/>
        <v>179310.97758754931</v>
      </c>
      <c r="Z52" s="74">
        <f t="shared" si="0"/>
        <v>205487.40066661709</v>
      </c>
      <c r="AA52" s="74">
        <f t="shared" si="0"/>
        <v>207009.42223754304</v>
      </c>
      <c r="AB52" s="74">
        <f t="shared" si="0"/>
        <v>208365.95028966799</v>
      </c>
      <c r="AC52" s="74">
        <f t="shared" si="0"/>
        <v>166211.85582736658</v>
      </c>
      <c r="AD52" s="74">
        <f t="shared" si="0"/>
        <v>167215.78694677009</v>
      </c>
      <c r="AE52" s="74">
        <f t="shared" si="0"/>
        <v>168021.45902066788</v>
      </c>
      <c r="AF52" s="74">
        <f t="shared" si="0"/>
        <v>169025.16053438274</v>
      </c>
      <c r="AG52" s="74">
        <f t="shared" si="0"/>
        <v>169632.71163022704</v>
      </c>
      <c r="AH52" s="74">
        <f t="shared" si="0"/>
        <v>170544.17521861778</v>
      </c>
      <c r="AI52" s="74">
        <f t="shared" si="0"/>
        <v>171465.74744266493</v>
      </c>
      <c r="AJ52" s="74">
        <f t="shared" si="0"/>
        <v>172463.0455619758</v>
      </c>
      <c r="AK52" s="74">
        <f t="shared" si="0"/>
        <v>173356.63984987163</v>
      </c>
      <c r="AL52" s="74">
        <f t="shared" si="0"/>
        <v>174503.44280852232</v>
      </c>
      <c r="AM52" s="74">
        <f t="shared" si="0"/>
        <v>175738.49241976568</v>
      </c>
      <c r="AN52" s="74">
        <f t="shared" si="0"/>
        <v>176791.27131286077</v>
      </c>
    </row>
    <row r="53" spans="2:40" x14ac:dyDescent="0.25">
      <c r="E53" s="105" t="str">
        <f>IFERROR(E52/E37,"")</f>
        <v/>
      </c>
      <c r="F53" s="105" t="str">
        <f t="shared" ref="F53:AN53" si="1">IFERROR(F52/F37,"")</f>
        <v/>
      </c>
      <c r="G53" s="105" t="str">
        <f t="shared" si="1"/>
        <v/>
      </c>
      <c r="H53" s="105" t="str">
        <f t="shared" si="1"/>
        <v/>
      </c>
      <c r="I53" s="105" t="str">
        <f t="shared" si="1"/>
        <v/>
      </c>
      <c r="J53" s="105" t="str">
        <f t="shared" si="1"/>
        <v/>
      </c>
      <c r="K53" s="105" t="str">
        <f t="shared" si="1"/>
        <v/>
      </c>
      <c r="L53" s="105" t="str">
        <f t="shared" si="1"/>
        <v/>
      </c>
      <c r="M53" s="105">
        <f t="shared" si="1"/>
        <v>-0.41772698579907075</v>
      </c>
      <c r="N53" s="105">
        <f t="shared" si="1"/>
        <v>-0.20252555173329376</v>
      </c>
      <c r="O53" s="105">
        <f t="shared" si="1"/>
        <v>-2.9996976218213258E-2</v>
      </c>
      <c r="P53" s="105">
        <f t="shared" si="1"/>
        <v>6.8945702251405019E-2</v>
      </c>
      <c r="Q53" s="105">
        <f t="shared" si="1"/>
        <v>8.8660584761818345E-2</v>
      </c>
      <c r="R53" s="105">
        <f t="shared" si="1"/>
        <v>0.13401535048243554</v>
      </c>
      <c r="S53" s="105">
        <f t="shared" si="1"/>
        <v>0.17090705393661207</v>
      </c>
      <c r="T53" s="105">
        <f t="shared" si="1"/>
        <v>0.19891724473268235</v>
      </c>
      <c r="U53" s="105">
        <f t="shared" si="1"/>
        <v>0.22059833169021031</v>
      </c>
      <c r="V53" s="105">
        <f t="shared" si="1"/>
        <v>0.23841244974353717</v>
      </c>
      <c r="W53" s="105">
        <f t="shared" si="1"/>
        <v>0.25400953040613639</v>
      </c>
      <c r="X53" s="105">
        <f t="shared" si="1"/>
        <v>0.26786258616016556</v>
      </c>
      <c r="Y53" s="105">
        <f t="shared" si="1"/>
        <v>0.27913065483217142</v>
      </c>
      <c r="Z53" s="105">
        <f t="shared" si="1"/>
        <v>0.2978083027417236</v>
      </c>
      <c r="AA53" s="105">
        <f t="shared" si="1"/>
        <v>0.30001413462875559</v>
      </c>
      <c r="AB53" s="105">
        <f t="shared" si="1"/>
        <v>0.30198012045326023</v>
      </c>
      <c r="AC53" s="105">
        <f t="shared" si="1"/>
        <v>0.24088713234446793</v>
      </c>
      <c r="AD53" s="105">
        <f t="shared" si="1"/>
        <v>0.24234210730531344</v>
      </c>
      <c r="AE53" s="105">
        <f t="shared" si="1"/>
        <v>0.24350974985719515</v>
      </c>
      <c r="AF53" s="105">
        <f t="shared" si="1"/>
        <v>0.24496439205564152</v>
      </c>
      <c r="AG53" s="105">
        <f t="shared" si="1"/>
        <v>0.24584490229663589</v>
      </c>
      <c r="AH53" s="105">
        <f t="shared" si="1"/>
        <v>0.24716586612891439</v>
      </c>
      <c r="AI53" s="105">
        <f t="shared" si="1"/>
        <v>0.24850148018119719</v>
      </c>
      <c r="AJ53" s="105">
        <f t="shared" si="1"/>
        <v>0.24994684208307524</v>
      </c>
      <c r="AK53" s="105">
        <f t="shared" si="1"/>
        <v>0.25124190833703847</v>
      </c>
      <c r="AL53" s="105">
        <f t="shared" si="1"/>
        <v>0.25290394426521223</v>
      </c>
      <c r="AM53" s="105">
        <f t="shared" si="1"/>
        <v>0.25469387409708033</v>
      </c>
      <c r="AN53" s="105">
        <f t="shared" si="1"/>
        <v>0.25621964304592026</v>
      </c>
    </row>
    <row r="55" spans="2:40" x14ac:dyDescent="0.25">
      <c r="B55" t="s">
        <v>57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1411000</v>
      </c>
      <c r="D55" s="12">
        <f>C55-SUM(_xlfn.ANCHORARRAY(E55))</f>
        <v>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235166.66666666666</v>
      </c>
      <c r="L55" s="12">
        <v>235166.66666666666</v>
      </c>
      <c r="M55" s="12">
        <v>235166.66666666666</v>
      </c>
      <c r="N55" s="12">
        <v>235166.66666666666</v>
      </c>
      <c r="O55" s="12">
        <v>235166.66666666666</v>
      </c>
      <c r="P55" s="12">
        <v>235166.66666666666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</row>
    <row r="56" spans="2:40" x14ac:dyDescent="0.25">
      <c r="B56" t="s">
        <v>285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0</v>
      </c>
      <c r="F56" s="90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0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0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0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0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-81965.853478666671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-95402.12204173331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-99499.831225080023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-106918.36741451995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-113575.17612676004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-120474.18434975998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-39228.965075799999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-46370.172809560005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-53511.380543319989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-60652.588277080002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-67793.79601084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-74935.003744599991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-82076.211478359997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-89217.419212119989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-96358.626945879965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276</v>
      </c>
      <c r="E58" s="13">
        <f>E37-E50-E55+E56</f>
        <v>0</v>
      </c>
      <c r="F58" s="13">
        <f t="shared" ref="F58:AN58" si="2">F37-F50-F55+F56</f>
        <v>0</v>
      </c>
      <c r="G58" s="13">
        <f t="shared" si="2"/>
        <v>0</v>
      </c>
      <c r="H58" s="13">
        <f t="shared" si="2"/>
        <v>0</v>
      </c>
      <c r="I58" s="13">
        <f t="shared" si="2"/>
        <v>0</v>
      </c>
      <c r="J58" s="13">
        <f t="shared" si="2"/>
        <v>0</v>
      </c>
      <c r="K58" s="13">
        <f t="shared" si="2"/>
        <v>-386401.13666666666</v>
      </c>
      <c r="L58" s="13">
        <f t="shared" si="2"/>
        <v>-235166.66666666666</v>
      </c>
      <c r="M58" s="13">
        <f t="shared" si="2"/>
        <v>-263999.65443868376</v>
      </c>
      <c r="N58" s="13">
        <f t="shared" si="2"/>
        <v>-258506.70994781284</v>
      </c>
      <c r="O58" s="13">
        <f t="shared" si="2"/>
        <v>-240010.16864288706</v>
      </c>
      <c r="P58" s="13">
        <f t="shared" si="2"/>
        <v>-302813.34238727752</v>
      </c>
      <c r="Q58" s="13">
        <f t="shared" si="2"/>
        <v>-72215.035486924127</v>
      </c>
      <c r="R58" s="13">
        <f t="shared" si="2"/>
        <v>-58071.064818384781</v>
      </c>
      <c r="S58" s="13">
        <f t="shared" si="2"/>
        <v>-45948.551409588195</v>
      </c>
      <c r="T58" s="13">
        <f t="shared" si="2"/>
        <v>-33142.871153543078</v>
      </c>
      <c r="U58" s="13">
        <f t="shared" si="2"/>
        <v>-20772.86235684171</v>
      </c>
      <c r="V58" s="13">
        <f t="shared" si="2"/>
        <v>79873.953686141438</v>
      </c>
      <c r="W58" s="13">
        <f t="shared" si="2"/>
        <v>92617.426757993089</v>
      </c>
      <c r="X58" s="13">
        <f t="shared" si="2"/>
        <v>105808.67706130735</v>
      </c>
      <c r="Y58" s="13">
        <f t="shared" si="2"/>
        <v>118658.3893104693</v>
      </c>
      <c r="Z58" s="13">
        <f t="shared" si="2"/>
        <v>137693.6046557771</v>
      </c>
      <c r="AA58" s="13">
        <f t="shared" si="2"/>
        <v>132074.41849294305</v>
      </c>
      <c r="AB58" s="13">
        <f t="shared" si="2"/>
        <v>126289.73881130799</v>
      </c>
      <c r="AC58" s="13">
        <f t="shared" si="2"/>
        <v>76994.436615246595</v>
      </c>
      <c r="AD58" s="13">
        <f t="shared" si="2"/>
        <v>70857.16000089013</v>
      </c>
      <c r="AE58" s="13">
        <f t="shared" si="2"/>
        <v>64521.624341027913</v>
      </c>
      <c r="AF58" s="13">
        <f t="shared" si="2"/>
        <v>65525.325854742769</v>
      </c>
      <c r="AG58" s="13">
        <f t="shared" si="2"/>
        <v>66132.876950587073</v>
      </c>
      <c r="AH58" s="13">
        <f t="shared" si="2"/>
        <v>67044.340538977805</v>
      </c>
      <c r="AI58" s="13">
        <f t="shared" si="2"/>
        <v>67965.912763024957</v>
      </c>
      <c r="AJ58" s="13">
        <f t="shared" si="2"/>
        <v>68963.210882335829</v>
      </c>
      <c r="AK58" s="13">
        <f t="shared" si="2"/>
        <v>69856.805170231659</v>
      </c>
      <c r="AL58" s="13">
        <f t="shared" si="2"/>
        <v>71003.608128882348</v>
      </c>
      <c r="AM58" s="13">
        <f t="shared" si="2"/>
        <v>72238.657740125709</v>
      </c>
      <c r="AN58" s="13">
        <f t="shared" si="2"/>
        <v>73291.436633220801</v>
      </c>
    </row>
    <row r="59" spans="2:40" x14ac:dyDescent="0.25">
      <c r="B59" t="s">
        <v>277</v>
      </c>
      <c r="E59" s="12" cm="1">
        <f t="array" ref="E59:AN59">_xlfn.SCAN(-D55,E58:AN58,_xlfn.LAMBDA(_xlpm.capex,_xlpm.fcf,_xlpm.capex+_xlpm.fcf))</f>
        <v>0</v>
      </c>
      <c r="F59" s="12">
        <v>0</v>
      </c>
      <c r="G59" s="12">
        <v>0</v>
      </c>
      <c r="H59" s="12">
        <v>0</v>
      </c>
      <c r="I59" s="12">
        <v>0</v>
      </c>
      <c r="J59" s="12">
        <v>0</v>
      </c>
      <c r="K59" s="12">
        <v>-386401.13666666666</v>
      </c>
      <c r="L59" s="12">
        <v>-621567.80333333334</v>
      </c>
      <c r="M59" s="12">
        <v>-885567.45777201711</v>
      </c>
      <c r="N59" s="12">
        <v>-1144074.1677198298</v>
      </c>
      <c r="O59" s="12">
        <v>-1384084.336362717</v>
      </c>
      <c r="P59" s="12">
        <v>-1686897.6787499944</v>
      </c>
      <c r="Q59" s="12">
        <v>-1759112.7142369186</v>
      </c>
      <c r="R59" s="12">
        <v>-1817183.7790553034</v>
      </c>
      <c r="S59" s="12">
        <v>-1863132.3304648916</v>
      </c>
      <c r="T59" s="12">
        <v>-1896275.2016184346</v>
      </c>
      <c r="U59" s="12">
        <v>-1917048.0639752764</v>
      </c>
      <c r="V59" s="12">
        <v>-1837174.110289135</v>
      </c>
      <c r="W59" s="12">
        <v>-1744556.6835311418</v>
      </c>
      <c r="X59" s="12">
        <v>-1638748.0064698346</v>
      </c>
      <c r="Y59" s="12">
        <v>-1520089.6171593652</v>
      </c>
      <c r="Z59" s="12">
        <v>-1382396.0125035881</v>
      </c>
      <c r="AA59" s="12">
        <v>-1250321.5940106451</v>
      </c>
      <c r="AB59" s="12">
        <v>-1124031.855199337</v>
      </c>
      <c r="AC59" s="12">
        <v>-1047037.4185840904</v>
      </c>
      <c r="AD59" s="12">
        <v>-976180.25858320028</v>
      </c>
      <c r="AE59" s="12">
        <v>-911658.63424217235</v>
      </c>
      <c r="AF59" s="12">
        <v>-846133.30838742957</v>
      </c>
      <c r="AG59" s="12">
        <v>-780000.43143684254</v>
      </c>
      <c r="AH59" s="12">
        <v>-712956.09089786478</v>
      </c>
      <c r="AI59" s="12">
        <v>-644990.17813483987</v>
      </c>
      <c r="AJ59" s="12">
        <v>-576026.96725250408</v>
      </c>
      <c r="AK59" s="12">
        <v>-506170.16208227241</v>
      </c>
      <c r="AL59" s="12">
        <v>-435166.55395339004</v>
      </c>
      <c r="AM59" s="12">
        <v>-362927.89621326432</v>
      </c>
      <c r="AN59" s="12">
        <v>-289636.45958004351</v>
      </c>
    </row>
    <row r="61" spans="2:40" x14ac:dyDescent="0.25">
      <c r="B61" s="1" t="s">
        <v>302</v>
      </c>
    </row>
    <row r="63" spans="2:40" x14ac:dyDescent="0.25">
      <c r="B63" s="39" t="s">
        <v>103</v>
      </c>
      <c r="E63" s="12" cm="1">
        <f t="array" ref="E63:AN63">_xlfn.LET(_xlpm.site,$B$1&amp;"-"&amp;$C$1,_xlpm.locations,Base!$D$4:$BD$4,_xlpm.rates,Base!$D$36:$BD$36,_xlpm.hours,Base!$D$79:$BD$79,_xlpm.comp,_xlpm.rates*_xlpm.hours,_xlpm.Customer,_xlfn.ANCHORARRAY($E$1),
_xlpm.Customer_comp,_xlfn.XLOOKUP(_xlpm.site,_xlpm.locations,_xlpm.comp,0,0),_xlpm.ann_incr,_xlfn.XLOOKUP(YEAR(_xlfn.ANCHORARRAY($E$25)),Base!$BJ$4:$BL$4,Base!$BJ$79:$BL$79,0,0),
_xlpm.bad_debt,_xlfn.XLOOKUP(_xlpm.site,_xlpm.locations,Base!$D$28:$BD$28,0,0),_xlpm.Customer_comp*_xlpm.Customer*_xlpm.bad_debt*_xlpm.ann_incr*(52/12)*(1-$C$35))</f>
        <v>0</v>
      </c>
      <c r="F63" s="12">
        <v>0</v>
      </c>
      <c r="G63" s="12">
        <v>0</v>
      </c>
      <c r="H63" s="12">
        <v>0</v>
      </c>
      <c r="I63" s="12">
        <v>0</v>
      </c>
      <c r="J63" s="12">
        <v>0</v>
      </c>
      <c r="K63" s="12">
        <v>0</v>
      </c>
      <c r="L63" s="12">
        <v>0</v>
      </c>
      <c r="M63" s="12">
        <v>2115.6236907519992</v>
      </c>
      <c r="N63" s="12">
        <v>4231.2473815039984</v>
      </c>
      <c r="O63" s="12">
        <v>6346.871072255999</v>
      </c>
      <c r="P63" s="12">
        <v>8462.4947630079969</v>
      </c>
      <c r="Q63" s="12">
        <v>10895.4620073728</v>
      </c>
      <c r="R63" s="12">
        <v>13074.554408847356</v>
      </c>
      <c r="S63" s="12">
        <v>15253.646810321916</v>
      </c>
      <c r="T63" s="12">
        <v>17432.739211796474</v>
      </c>
      <c r="U63" s="12">
        <v>19611.831613271035</v>
      </c>
      <c r="V63" s="12">
        <v>21790.9240147456</v>
      </c>
      <c r="W63" s="12">
        <v>23970.016416220154</v>
      </c>
      <c r="X63" s="12">
        <v>26149.108817694712</v>
      </c>
      <c r="Y63" s="12">
        <v>28328.201219169274</v>
      </c>
      <c r="Z63" s="12">
        <v>30507.293620643832</v>
      </c>
      <c r="AA63" s="12">
        <v>30507.293620643832</v>
      </c>
      <c r="AB63" s="12">
        <v>30507.293620643832</v>
      </c>
      <c r="AC63" s="12">
        <v>30507.293620643832</v>
      </c>
      <c r="AD63" s="12">
        <v>30507.293620643832</v>
      </c>
      <c r="AE63" s="12">
        <v>30507.293620643832</v>
      </c>
      <c r="AF63" s="12">
        <v>30507.293620643832</v>
      </c>
      <c r="AG63" s="12">
        <v>30507.293620643832</v>
      </c>
      <c r="AH63" s="12">
        <v>30507.293620643832</v>
      </c>
      <c r="AI63" s="12">
        <v>30507.293620643832</v>
      </c>
      <c r="AJ63" s="12">
        <v>30507.293620643832</v>
      </c>
      <c r="AK63" s="12">
        <v>30507.293620643832</v>
      </c>
      <c r="AL63" s="12">
        <v>30507.293620643832</v>
      </c>
      <c r="AM63" s="12">
        <v>30507.293620643832</v>
      </c>
      <c r="AN63" s="12">
        <v>30507.293620643832</v>
      </c>
    </row>
    <row r="64" spans="2:40" x14ac:dyDescent="0.25">
      <c r="B64" s="39" t="s">
        <v>104</v>
      </c>
      <c r="E64" s="12" cm="1">
        <f t="array" ref="E64:AN64">_xlfn.LET(_xlpm.site,$B$1&amp;"-"&amp;$C$1,_xlpm.locations,Base!$D$4:$BD$4,_xlpm.rates,Base!$D$37:$BD$37,_xlpm.hours,Base!$D$80:$BD$80,_xlpm.comp,_xlpm.rates*_xlpm.hours,_xlpm.Customer,_xlfn.ANCHORARRAY($E$1),
_xlpm.Customer_comp,_xlfn.XLOOKUP(_xlpm.site,_xlpm.locations,_xlpm.comp,0,0),_xlpm.ann_incr,_xlfn.XLOOKUP(YEAR(_xlfn.ANCHORARRAY($E$25)),Base!$BJ$4:$BL$4,Base!$BJ$80:$BL$80,0,0),
_xlpm.bad_debt,_xlfn.XLOOKUP(_xlpm.site,_xlpm.locations,Base!$D$28:$BD$28,0,0),_xlpm.Customer_comp*_xlpm.Customer*_xlpm.bad_debt*_xlpm.ann_incr*(52/12)*(1-$C$35))</f>
        <v>0</v>
      </c>
      <c r="F64" s="12">
        <v>0</v>
      </c>
      <c r="G64" s="12">
        <v>0</v>
      </c>
      <c r="H64" s="12">
        <v>0</v>
      </c>
      <c r="I64" s="12">
        <v>0</v>
      </c>
      <c r="J64" s="12">
        <v>0</v>
      </c>
      <c r="K64" s="12">
        <v>0</v>
      </c>
      <c r="L64" s="12">
        <v>0</v>
      </c>
      <c r="M64" s="12">
        <v>282.68957798400004</v>
      </c>
      <c r="N64" s="12">
        <v>565.37915596800008</v>
      </c>
      <c r="O64" s="12">
        <v>848.06873395200023</v>
      </c>
      <c r="P64" s="12">
        <v>1130.7583119360002</v>
      </c>
      <c r="Q64" s="12">
        <v>1455.8513266176003</v>
      </c>
      <c r="R64" s="12">
        <v>1747.0215919411203</v>
      </c>
      <c r="S64" s="12">
        <v>2038.1918572646407</v>
      </c>
      <c r="T64" s="12">
        <v>2329.3621225881607</v>
      </c>
      <c r="U64" s="12">
        <v>2620.5323879116804</v>
      </c>
      <c r="V64" s="12">
        <v>2911.7026532352006</v>
      </c>
      <c r="W64" s="12">
        <v>3202.8729185587208</v>
      </c>
      <c r="X64" s="12">
        <v>3494.0431838822406</v>
      </c>
      <c r="Y64" s="12">
        <v>3785.2134492057612</v>
      </c>
      <c r="Z64" s="12">
        <v>4076.3837145292814</v>
      </c>
      <c r="AA64" s="12">
        <v>4076.3837145292814</v>
      </c>
      <c r="AB64" s="12">
        <v>4076.3837145292814</v>
      </c>
      <c r="AC64" s="12">
        <v>4076.3837145292814</v>
      </c>
      <c r="AD64" s="12">
        <v>4076.3837145292814</v>
      </c>
      <c r="AE64" s="12">
        <v>4076.3837145292814</v>
      </c>
      <c r="AF64" s="12">
        <v>4076.3837145292814</v>
      </c>
      <c r="AG64" s="12">
        <v>4076.3837145292814</v>
      </c>
      <c r="AH64" s="12">
        <v>4076.3837145292814</v>
      </c>
      <c r="AI64" s="12">
        <v>4076.3837145292814</v>
      </c>
      <c r="AJ64" s="12">
        <v>4076.3837145292814</v>
      </c>
      <c r="AK64" s="12">
        <v>4076.3837145292814</v>
      </c>
      <c r="AL64" s="12">
        <v>4076.3837145292814</v>
      </c>
      <c r="AM64" s="12">
        <v>4076.3837145292814</v>
      </c>
      <c r="AN64" s="12">
        <v>4076.3837145292814</v>
      </c>
    </row>
    <row r="65" spans="2:40" x14ac:dyDescent="0.25">
      <c r="B65" s="39" t="s">
        <v>56</v>
      </c>
      <c r="E65" s="12" cm="1">
        <f t="array" ref="E65:AN65">_xlfn.LET(_xlpm.site,$B$1&amp;"-"&amp;$C$1,_xlpm.locations,Base!$D$4:$BD$4,_xlpm.rates,Base!$D$39:$BD$39,_xlpm.hours,Base!$D$82:$BD$82,_xlpm.comp,_xlpm.rates*_xlpm.hours,_xlpm.Customer,_xlfn.ANCHORARRAY($E$1),
_xlpm.Customer_comp,_xlfn.XLOOKUP(_xlpm.site,_xlpm.locations,_xlpm.comp,0,0),_xlpm.ann_incr,_xlfn.XLOOKUP(YEAR(_xlfn.ANCHORARRAY($E$25)),Base!$BJ$4:$BL$4,Base!$BJ$82:$BL$82,0,0),
_xlpm.bad_debt,_xlfn.XLOOKUP(_xlpm.site,_xlpm.locations,Base!$D$28:$BD$28,0,0),_xlpm.Customer_comp*_xlpm.Customer*_xlpm.bad_debt*_xlpm.ann_incr*(52/12)*(1-$C$35))</f>
        <v>0</v>
      </c>
      <c r="F65" s="12">
        <v>0</v>
      </c>
      <c r="G65" s="12">
        <v>0</v>
      </c>
      <c r="H65" s="12">
        <v>0</v>
      </c>
      <c r="I65" s="12">
        <v>0</v>
      </c>
      <c r="J65" s="12">
        <v>0</v>
      </c>
      <c r="K65" s="12">
        <v>0</v>
      </c>
      <c r="L65" s="12">
        <v>0</v>
      </c>
      <c r="M65" s="12">
        <v>1719.2305095679999</v>
      </c>
      <c r="N65" s="12">
        <v>3438.4610191359998</v>
      </c>
      <c r="O65" s="12">
        <v>5157.6915287040001</v>
      </c>
      <c r="P65" s="12">
        <v>6876.9220382719996</v>
      </c>
      <c r="Q65" s="12">
        <v>8854.0371242752008</v>
      </c>
      <c r="R65" s="12">
        <v>10624.844549130239</v>
      </c>
      <c r="S65" s="12">
        <v>12395.651973985277</v>
      </c>
      <c r="T65" s="12">
        <v>14166.459398840319</v>
      </c>
      <c r="U65" s="12">
        <v>15937.266823695358</v>
      </c>
      <c r="V65" s="12">
        <v>17708.074248550402</v>
      </c>
      <c r="W65" s="12">
        <v>19478.881673405438</v>
      </c>
      <c r="X65" s="12">
        <v>21249.689098260478</v>
      </c>
      <c r="Y65" s="12">
        <v>23020.496523115518</v>
      </c>
      <c r="Z65" s="12">
        <v>24791.303947970555</v>
      </c>
      <c r="AA65" s="12">
        <v>24791.303947970555</v>
      </c>
      <c r="AB65" s="12">
        <v>24791.303947970555</v>
      </c>
      <c r="AC65" s="12">
        <v>24791.303947970555</v>
      </c>
      <c r="AD65" s="12">
        <v>24791.303947970555</v>
      </c>
      <c r="AE65" s="12">
        <v>24791.303947970555</v>
      </c>
      <c r="AF65" s="12">
        <v>24791.303947970555</v>
      </c>
      <c r="AG65" s="12">
        <v>24791.303947970555</v>
      </c>
      <c r="AH65" s="12">
        <v>24791.303947970555</v>
      </c>
      <c r="AI65" s="12">
        <v>24791.303947970555</v>
      </c>
      <c r="AJ65" s="12">
        <v>24791.303947970555</v>
      </c>
      <c r="AK65" s="12">
        <v>24791.303947970555</v>
      </c>
      <c r="AL65" s="12">
        <v>24791.303947970555</v>
      </c>
      <c r="AM65" s="12">
        <v>24791.303947970555</v>
      </c>
      <c r="AN65" s="12">
        <v>24791.303947970555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303</v>
      </c>
      <c r="C67" s="12"/>
      <c r="E67" s="13" cm="1">
        <f t="array" ref="E67:AN67">_xlfn.BYCOL(_xlfn.VSTACK(_xlfn.ANCHORARRAY($E$63),_xlfn.ANCHORARRAY($E$64),_xlfn.ANCHORARRAY($E$65)),_xlfn.LAMBDA(_xlpm.a,SUM(_xlpm.a)))</f>
        <v>0</v>
      </c>
      <c r="F67" s="13">
        <v>0</v>
      </c>
      <c r="G67" s="13">
        <v>0</v>
      </c>
      <c r="H67" s="13">
        <v>0</v>
      </c>
      <c r="I67" s="13">
        <v>0</v>
      </c>
      <c r="J67" s="13">
        <v>0</v>
      </c>
      <c r="K67" s="13">
        <v>0</v>
      </c>
      <c r="L67" s="13">
        <v>0</v>
      </c>
      <c r="M67" s="13">
        <v>4117.5437783039997</v>
      </c>
      <c r="N67" s="13">
        <v>8235.0875566079994</v>
      </c>
      <c r="O67" s="13">
        <v>12352.631334911999</v>
      </c>
      <c r="P67" s="13">
        <v>16470.175113215999</v>
      </c>
      <c r="Q67" s="13">
        <v>21205.350458265602</v>
      </c>
      <c r="R67" s="13">
        <v>25446.420549918716</v>
      </c>
      <c r="S67" s="13">
        <v>29687.490641571832</v>
      </c>
      <c r="T67" s="13">
        <v>33928.560733224956</v>
      </c>
      <c r="U67" s="13">
        <v>38169.63082487807</v>
      </c>
      <c r="V67" s="13">
        <v>42410.700916531205</v>
      </c>
      <c r="W67" s="13">
        <v>46651.771008184311</v>
      </c>
      <c r="X67" s="13">
        <v>50892.841099837431</v>
      </c>
      <c r="Y67" s="13">
        <v>55133.911191490552</v>
      </c>
      <c r="Z67" s="13">
        <v>59374.981283143665</v>
      </c>
      <c r="AA67" s="13">
        <v>59374.981283143665</v>
      </c>
      <c r="AB67" s="13">
        <v>59374.981283143665</v>
      </c>
      <c r="AC67" s="13">
        <v>59374.981283143665</v>
      </c>
      <c r="AD67" s="13">
        <v>59374.981283143665</v>
      </c>
      <c r="AE67" s="13">
        <v>59374.981283143665</v>
      </c>
      <c r="AF67" s="13">
        <v>59374.981283143665</v>
      </c>
      <c r="AG67" s="13">
        <v>59374.981283143665</v>
      </c>
      <c r="AH67" s="13">
        <v>59374.981283143665</v>
      </c>
      <c r="AI67" s="13">
        <v>59374.981283143665</v>
      </c>
      <c r="AJ67" s="13">
        <v>59374.981283143665</v>
      </c>
      <c r="AK67" s="13">
        <v>59374.981283143665</v>
      </c>
      <c r="AL67" s="13">
        <v>59374.981283143665</v>
      </c>
      <c r="AM67" s="13">
        <v>59374.981283143665</v>
      </c>
      <c r="AN67" s="13">
        <v>59374.981283143665</v>
      </c>
    </row>
    <row r="68" spans="2:40" x14ac:dyDescent="0.25">
      <c r="B68" s="39"/>
      <c r="C68" s="12"/>
    </row>
    <row r="69" spans="2:40" x14ac:dyDescent="0.25">
      <c r="B69" s="39" t="s">
        <v>304</v>
      </c>
      <c r="C69" s="12"/>
      <c r="E69" s="106" cm="1">
        <f t="array" ref="E69:AN70">_xlfn.LET(_xlpm.Customer_staff,_xlfn._xlws.FILTER(Base!$D$96:$BD$97,ISNUMBER(SEARCH($B$1&amp;"-"&amp;$C$1,Base!$D$4:$BD$4))),_xlpm.Customer,_xlfn.ANCHORARRAY($E$1),_xlpm.headcount,_xlpm.Customer/_xlpm.Customer_staff,
_xlpm.rounding,_xlfn.VSTACK(0,0),IFERROR(ROUND(_xlpm.headcount,_xlpm.rounding),0))</f>
        <v>0</v>
      </c>
      <c r="F69" s="106">
        <v>0</v>
      </c>
      <c r="G69" s="106">
        <v>0</v>
      </c>
      <c r="H69" s="106">
        <v>0</v>
      </c>
      <c r="I69" s="106">
        <v>0</v>
      </c>
      <c r="J69" s="106">
        <v>0</v>
      </c>
      <c r="K69" s="106">
        <v>0</v>
      </c>
      <c r="L69" s="106">
        <v>0</v>
      </c>
      <c r="M69" s="106">
        <v>0</v>
      </c>
      <c r="N69" s="106">
        <v>0</v>
      </c>
      <c r="O69" s="106">
        <v>0</v>
      </c>
      <c r="P69" s="106">
        <v>0</v>
      </c>
      <c r="Q69" s="106">
        <v>0</v>
      </c>
      <c r="R69" s="106">
        <v>0</v>
      </c>
      <c r="S69" s="106">
        <v>1</v>
      </c>
      <c r="T69" s="106">
        <v>1</v>
      </c>
      <c r="U69" s="106">
        <v>1</v>
      </c>
      <c r="V69" s="106">
        <v>1</v>
      </c>
      <c r="W69" s="106">
        <v>1</v>
      </c>
      <c r="X69" s="106">
        <v>1</v>
      </c>
      <c r="Y69" s="106">
        <v>1</v>
      </c>
      <c r="Z69" s="106">
        <v>1</v>
      </c>
      <c r="AA69" s="106">
        <v>1</v>
      </c>
      <c r="AB69" s="106">
        <v>1</v>
      </c>
      <c r="AC69" s="106">
        <v>1</v>
      </c>
      <c r="AD69" s="106">
        <v>1</v>
      </c>
      <c r="AE69" s="106">
        <v>1</v>
      </c>
      <c r="AF69" s="106">
        <v>1</v>
      </c>
      <c r="AG69" s="106">
        <v>1</v>
      </c>
      <c r="AH69" s="106">
        <v>1</v>
      </c>
      <c r="AI69" s="106">
        <v>1</v>
      </c>
      <c r="AJ69" s="106">
        <v>1</v>
      </c>
      <c r="AK69" s="106">
        <v>1</v>
      </c>
      <c r="AL69" s="106">
        <v>1</v>
      </c>
      <c r="AM69" s="106">
        <v>1</v>
      </c>
      <c r="AN69" s="106">
        <v>1</v>
      </c>
    </row>
    <row r="70" spans="2:40" x14ac:dyDescent="0.25">
      <c r="B70" s="39" t="s">
        <v>305</v>
      </c>
      <c r="C70" s="12"/>
      <c r="E70" s="106">
        <v>0</v>
      </c>
      <c r="F70" s="106">
        <v>0</v>
      </c>
      <c r="G70" s="106">
        <v>0</v>
      </c>
      <c r="H70" s="106">
        <v>0</v>
      </c>
      <c r="I70" s="106">
        <v>0</v>
      </c>
      <c r="J70" s="106">
        <v>0</v>
      </c>
      <c r="K70" s="106">
        <v>0</v>
      </c>
      <c r="L70" s="106">
        <v>0</v>
      </c>
      <c r="M70" s="106">
        <v>0</v>
      </c>
      <c r="N70" s="106">
        <v>0</v>
      </c>
      <c r="O70" s="106">
        <v>0</v>
      </c>
      <c r="P70" s="106">
        <v>0</v>
      </c>
      <c r="Q70" s="106">
        <v>0</v>
      </c>
      <c r="R70" s="106">
        <v>0</v>
      </c>
      <c r="S70" s="106">
        <v>0</v>
      </c>
      <c r="T70" s="106">
        <v>1</v>
      </c>
      <c r="U70" s="106">
        <v>1</v>
      </c>
      <c r="V70" s="106">
        <v>1</v>
      </c>
      <c r="W70" s="106">
        <v>1</v>
      </c>
      <c r="X70" s="106">
        <v>1</v>
      </c>
      <c r="Y70" s="106">
        <v>1</v>
      </c>
      <c r="Z70" s="106">
        <v>1</v>
      </c>
      <c r="AA70" s="106">
        <v>1</v>
      </c>
      <c r="AB70" s="106">
        <v>1</v>
      </c>
      <c r="AC70" s="106">
        <v>1</v>
      </c>
      <c r="AD70" s="106">
        <v>1</v>
      </c>
      <c r="AE70" s="106">
        <v>1</v>
      </c>
      <c r="AF70" s="106">
        <v>1</v>
      </c>
      <c r="AG70" s="106">
        <v>1</v>
      </c>
      <c r="AH70" s="106">
        <v>1</v>
      </c>
      <c r="AI70" s="106">
        <v>1</v>
      </c>
      <c r="AJ70" s="106">
        <v>1</v>
      </c>
      <c r="AK70" s="106">
        <v>1</v>
      </c>
      <c r="AL70" s="106">
        <v>1</v>
      </c>
      <c r="AM70" s="106">
        <v>1</v>
      </c>
      <c r="AN70" s="106">
        <v>1</v>
      </c>
    </row>
    <row r="71" spans="2:40" x14ac:dyDescent="0.25">
      <c r="B71" s="39"/>
      <c r="C71" s="12"/>
    </row>
    <row r="72" spans="2:40" x14ac:dyDescent="0.25">
      <c r="B72" s="39" t="s">
        <v>23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0</v>
      </c>
      <c r="F72" s="12">
        <v>0</v>
      </c>
      <c r="G72" s="12">
        <v>0</v>
      </c>
      <c r="H72" s="12">
        <v>0</v>
      </c>
      <c r="I72" s="12">
        <v>0</v>
      </c>
      <c r="J72" s="12">
        <v>0</v>
      </c>
      <c r="K72" s="12">
        <v>0</v>
      </c>
      <c r="L72" s="12">
        <v>0</v>
      </c>
      <c r="M72" s="12">
        <v>1354.3559006699554</v>
      </c>
      <c r="N72" s="12">
        <v>2708.7118013399108</v>
      </c>
      <c r="O72" s="12">
        <v>4063.0677020098656</v>
      </c>
      <c r="P72" s="12">
        <v>5417.4236026798217</v>
      </c>
      <c r="Q72" s="12">
        <v>7448.957453684754</v>
      </c>
      <c r="R72" s="12">
        <v>8938.7489444217044</v>
      </c>
      <c r="S72" s="12">
        <v>25612.940435158664</v>
      </c>
      <c r="T72" s="12">
        <v>42287.131925895606</v>
      </c>
      <c r="U72" s="12">
        <v>43776.923416632562</v>
      </c>
      <c r="V72" s="12">
        <v>45266.714907369511</v>
      </c>
      <c r="W72" s="12">
        <v>46756.50639810646</v>
      </c>
      <c r="X72" s="12">
        <v>48246.297888843415</v>
      </c>
      <c r="Y72" s="12">
        <v>49736.089379580364</v>
      </c>
      <c r="Z72" s="12">
        <v>51225.880870317327</v>
      </c>
      <c r="AA72" s="12">
        <v>51225.880870317327</v>
      </c>
      <c r="AB72" s="12">
        <v>51225.880870317327</v>
      </c>
      <c r="AC72" s="12">
        <v>56348.468957349047</v>
      </c>
      <c r="AD72" s="12">
        <v>56348.468957349047</v>
      </c>
      <c r="AE72" s="12">
        <v>56348.468957349047</v>
      </c>
      <c r="AF72" s="12">
        <v>56348.468957349047</v>
      </c>
      <c r="AG72" s="12">
        <v>56348.468957349047</v>
      </c>
      <c r="AH72" s="12">
        <v>56348.468957349047</v>
      </c>
      <c r="AI72" s="12">
        <v>56348.468957349047</v>
      </c>
      <c r="AJ72" s="12">
        <v>56348.468957349047</v>
      </c>
      <c r="AK72" s="12">
        <v>56348.468957349047</v>
      </c>
      <c r="AL72" s="12">
        <v>56348.468957349047</v>
      </c>
      <c r="AM72" s="12">
        <v>56348.468957349047</v>
      </c>
      <c r="AN72" s="12">
        <v>56348.468957349047</v>
      </c>
    </row>
    <row r="73" spans="2:40" x14ac:dyDescent="0.25">
      <c r="B73" s="39" t="s">
        <v>24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306</v>
      </c>
      <c r="E75" s="74" cm="1">
        <f t="array" ref="E75:AN75">_xlfn.ANCHORARRAY(E67)-_xlfn.ANCHORARRAY(E72)-_xlfn.ANCHORARRAY(E73)</f>
        <v>0</v>
      </c>
      <c r="F75" s="74">
        <v>0</v>
      </c>
      <c r="G75" s="74">
        <v>0</v>
      </c>
      <c r="H75" s="74">
        <v>0</v>
      </c>
      <c r="I75" s="74">
        <v>0</v>
      </c>
      <c r="J75" s="74">
        <v>0</v>
      </c>
      <c r="K75" s="74">
        <v>0</v>
      </c>
      <c r="L75" s="74">
        <v>0</v>
      </c>
      <c r="M75" s="74">
        <v>2763.1878776340445</v>
      </c>
      <c r="N75" s="74">
        <v>5526.3757552680891</v>
      </c>
      <c r="O75" s="74">
        <v>8289.5636329021327</v>
      </c>
      <c r="P75" s="74">
        <v>11052.751510536178</v>
      </c>
      <c r="Q75" s="74">
        <v>13756.393004580848</v>
      </c>
      <c r="R75" s="74">
        <v>16507.671605497009</v>
      </c>
      <c r="S75" s="74">
        <v>4074.5502064131688</v>
      </c>
      <c r="T75" s="74">
        <v>-8358.5711926706499</v>
      </c>
      <c r="U75" s="74">
        <v>-5607.2925917544926</v>
      </c>
      <c r="V75" s="74">
        <v>-2856.0139908383062</v>
      </c>
      <c r="W75" s="74">
        <v>-104.7353899221489</v>
      </c>
      <c r="X75" s="74">
        <v>2646.5432109940157</v>
      </c>
      <c r="Y75" s="74">
        <v>5397.8218119101875</v>
      </c>
      <c r="Z75" s="74">
        <v>8149.1004128263376</v>
      </c>
      <c r="AA75" s="74">
        <v>8149.1004128263376</v>
      </c>
      <c r="AB75" s="74">
        <v>8149.1004128263376</v>
      </c>
      <c r="AC75" s="74">
        <v>3026.5123257946179</v>
      </c>
      <c r="AD75" s="74">
        <v>3026.5123257946179</v>
      </c>
      <c r="AE75" s="74">
        <v>3026.5123257946179</v>
      </c>
      <c r="AF75" s="74">
        <v>3026.5123257946179</v>
      </c>
      <c r="AG75" s="74">
        <v>3026.5123257946179</v>
      </c>
      <c r="AH75" s="74">
        <v>3026.5123257946179</v>
      </c>
      <c r="AI75" s="74">
        <v>3026.5123257946179</v>
      </c>
      <c r="AJ75" s="74">
        <v>3026.5123257946179</v>
      </c>
      <c r="AK75" s="74">
        <v>3026.5123257946179</v>
      </c>
      <c r="AL75" s="74">
        <v>3026.5123257946179</v>
      </c>
      <c r="AM75" s="74">
        <v>3026.5123257946179</v>
      </c>
      <c r="AN75" s="74">
        <v>3026.5123257946179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E62B7E-A966-4FA8-9CEA-4F43683B12C7}">
  <dimension ref="A1:AX75"/>
  <sheetViews>
    <sheetView workbookViewId="0">
      <pane xSplit="4" ySplit="25" topLeftCell="E26" activePane="bottomRight" state="frozen"/>
      <selection activeCell="E63" sqref="E63:E65"/>
      <selection pane="topRight" activeCell="E63" sqref="E63:E65"/>
      <selection pane="bottomLeft" activeCell="E63" sqref="E63:E65"/>
      <selection pane="bottomRight" activeCell="E63" sqref="E63:E65"/>
    </sheetView>
  </sheetViews>
  <sheetFormatPr defaultRowHeight="15" outlineLevelRow="1" x14ac:dyDescent="0.25"/>
  <cols>
    <col min="2" max="2" width="24.5703125" bestFit="1" customWidth="1"/>
    <col min="3" max="3" width="10.7109375" bestFit="1" customWidth="1"/>
    <col min="4" max="4" width="10" bestFit="1" customWidth="1"/>
    <col min="5" max="5" width="11.42578125" bestFit="1" customWidth="1"/>
    <col min="6" max="6" width="11.7109375" bestFit="1" customWidth="1"/>
    <col min="7" max="13" width="12.28515625" bestFit="1" customWidth="1"/>
    <col min="14" max="18" width="11.5703125" bestFit="1" customWidth="1"/>
    <col min="19" max="40" width="12.5703125" bestFit="1" customWidth="1"/>
  </cols>
  <sheetData>
    <row r="1" spans="1:40" x14ac:dyDescent="0.25">
      <c r="A1" s="96" t="str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/>
      </c>
      <c r="B1" s="58" t="s">
        <v>65</v>
      </c>
      <c r="C1" s="16" t="s">
        <v>344</v>
      </c>
      <c r="D1" s="3" t="s">
        <v>307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IFERROR(_xlpm.kiddos,0))</f>
        <v>0</v>
      </c>
      <c r="F1" s="69">
        <v>0</v>
      </c>
      <c r="G1" s="69">
        <v>0</v>
      </c>
      <c r="H1" s="69">
        <v>0</v>
      </c>
      <c r="I1" s="69">
        <v>0</v>
      </c>
      <c r="J1" s="69">
        <v>0</v>
      </c>
      <c r="K1" s="69">
        <v>0</v>
      </c>
      <c r="L1" s="69">
        <v>0</v>
      </c>
      <c r="M1" s="69">
        <v>0</v>
      </c>
      <c r="N1" s="69">
        <v>1</v>
      </c>
      <c r="O1" s="69">
        <v>3</v>
      </c>
      <c r="P1" s="69">
        <v>5</v>
      </c>
      <c r="Q1" s="69">
        <v>6</v>
      </c>
      <c r="R1" s="69">
        <v>8</v>
      </c>
      <c r="S1" s="69">
        <v>10</v>
      </c>
      <c r="T1" s="69">
        <v>12</v>
      </c>
      <c r="U1" s="69">
        <v>13</v>
      </c>
      <c r="V1" s="69">
        <v>15</v>
      </c>
      <c r="W1" s="69">
        <v>17</v>
      </c>
      <c r="X1" s="69">
        <v>18</v>
      </c>
      <c r="Y1" s="69">
        <v>20</v>
      </c>
      <c r="Z1" s="69">
        <v>22</v>
      </c>
      <c r="AA1" s="69">
        <v>24</v>
      </c>
      <c r="AB1" s="69">
        <v>24</v>
      </c>
      <c r="AC1" s="69">
        <v>24</v>
      </c>
      <c r="AD1" s="69">
        <v>24</v>
      </c>
      <c r="AE1" s="69">
        <v>24</v>
      </c>
      <c r="AF1" s="69">
        <v>24</v>
      </c>
      <c r="AG1" s="69">
        <v>24</v>
      </c>
      <c r="AH1" s="69">
        <v>24</v>
      </c>
      <c r="AI1" s="69">
        <v>24</v>
      </c>
      <c r="AJ1" s="69">
        <v>24</v>
      </c>
      <c r="AK1" s="69">
        <v>24</v>
      </c>
      <c r="AL1" s="69">
        <v>24</v>
      </c>
      <c r="AM1" s="69">
        <v>24</v>
      </c>
      <c r="AN1" s="69">
        <v>24</v>
      </c>
    </row>
    <row r="2" spans="1:40" x14ac:dyDescent="0.25">
      <c r="A2" s="65"/>
      <c r="B2" s="3" t="str">
        <f>_xlfn.XLOOKUP($B$1&amp;"-"&amp;$C$1,Base!$D$4:$BD$4,Base!$D$2:$BD$2,"",0)</f>
        <v>New Jersey</v>
      </c>
      <c r="C2" s="55"/>
      <c r="D2" s="55" t="s">
        <v>259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0</v>
      </c>
      <c r="F2" s="69">
        <v>0</v>
      </c>
      <c r="G2" s="69">
        <v>0</v>
      </c>
      <c r="H2" s="69">
        <v>0</v>
      </c>
      <c r="I2" s="69">
        <v>0</v>
      </c>
      <c r="J2" s="69">
        <v>0</v>
      </c>
      <c r="K2" s="69">
        <v>0</v>
      </c>
      <c r="L2" s="69">
        <v>0</v>
      </c>
      <c r="M2" s="69">
        <v>0</v>
      </c>
      <c r="N2" s="69">
        <v>0</v>
      </c>
      <c r="O2" s="69">
        <v>1.8809523809523809</v>
      </c>
      <c r="P2" s="69">
        <v>2.0476190476190474</v>
      </c>
      <c r="Q2" s="69">
        <v>2.2142857142857144</v>
      </c>
      <c r="R2" s="69">
        <v>2.3809523809523809</v>
      </c>
      <c r="S2" s="69">
        <v>2.5476190476190474</v>
      </c>
      <c r="T2" s="69">
        <v>2.7142857142857144</v>
      </c>
      <c r="U2" s="69">
        <v>2.8809523809523809</v>
      </c>
      <c r="V2" s="69">
        <v>3.0476190476190474</v>
      </c>
      <c r="W2" s="69">
        <v>3.2142857142857144</v>
      </c>
      <c r="X2" s="69">
        <v>3.3809523809523809</v>
      </c>
      <c r="Y2" s="69">
        <v>3.5476190476190474</v>
      </c>
      <c r="Z2" s="69">
        <v>3.7142857142857144</v>
      </c>
      <c r="AA2" s="69">
        <v>2</v>
      </c>
      <c r="AB2" s="69">
        <v>2</v>
      </c>
      <c r="AC2" s="69">
        <v>2</v>
      </c>
      <c r="AD2" s="69">
        <v>2</v>
      </c>
      <c r="AE2" s="69">
        <v>2</v>
      </c>
      <c r="AF2" s="69">
        <v>2</v>
      </c>
      <c r="AG2" s="69">
        <v>2</v>
      </c>
      <c r="AH2" s="69">
        <v>2</v>
      </c>
      <c r="AI2" s="69">
        <v>2</v>
      </c>
      <c r="AJ2" s="69">
        <v>2</v>
      </c>
      <c r="AK2" s="69">
        <v>2</v>
      </c>
      <c r="AL2" s="69">
        <v>2</v>
      </c>
      <c r="AM2" s="69">
        <v>2</v>
      </c>
      <c r="AN2" s="69">
        <v>2</v>
      </c>
    </row>
    <row r="3" spans="1:40" x14ac:dyDescent="0.25">
      <c r="A3" s="65"/>
      <c r="B3" s="55"/>
      <c r="C3" s="55"/>
      <c r="D3" s="55" t="s">
        <v>62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_xlpm.months_since,DATEDIF(_xlpm.launchdate,_xlfn.ANCHORARRAY($E$25),"m"),_xlfn.BYCOL(_xlpm.months_since,_xlfn.LAMBDA(_xlpm.a,IFERROR(MIN(_xlpm.a/6,_xlpm.max_kiddos),0))))</f>
        <v>0</v>
      </c>
      <c r="F3" s="69">
        <v>0</v>
      </c>
      <c r="G3" s="69">
        <v>0</v>
      </c>
      <c r="H3" s="69">
        <v>0</v>
      </c>
      <c r="I3" s="69">
        <v>0</v>
      </c>
      <c r="J3" s="69">
        <v>0</v>
      </c>
      <c r="K3" s="69">
        <v>0</v>
      </c>
      <c r="L3" s="69">
        <v>0</v>
      </c>
      <c r="M3" s="69">
        <v>0</v>
      </c>
      <c r="N3" s="69">
        <v>0</v>
      </c>
      <c r="O3" s="69">
        <v>0.16666666666666666</v>
      </c>
      <c r="P3" s="69">
        <v>0.33333333333333331</v>
      </c>
      <c r="Q3" s="69">
        <v>0.5</v>
      </c>
      <c r="R3" s="69">
        <v>0.66666666666666663</v>
      </c>
      <c r="S3" s="69">
        <v>0.83333333333333337</v>
      </c>
      <c r="T3" s="69">
        <v>1</v>
      </c>
      <c r="U3" s="69">
        <v>1.1666666666666667</v>
      </c>
      <c r="V3" s="69">
        <v>1.3333333333333333</v>
      </c>
      <c r="W3" s="69">
        <v>1.5</v>
      </c>
      <c r="X3" s="69">
        <v>1.6666666666666667</v>
      </c>
      <c r="Y3" s="69">
        <v>1.8333333333333333</v>
      </c>
      <c r="Z3" s="69">
        <v>2</v>
      </c>
      <c r="AA3" s="69">
        <v>2</v>
      </c>
      <c r="AB3" s="69">
        <v>2</v>
      </c>
      <c r="AC3" s="69">
        <v>2</v>
      </c>
      <c r="AD3" s="69">
        <v>2</v>
      </c>
      <c r="AE3" s="69">
        <v>2</v>
      </c>
      <c r="AF3" s="69">
        <v>2</v>
      </c>
      <c r="AG3" s="69">
        <v>2</v>
      </c>
      <c r="AH3" s="69">
        <v>2</v>
      </c>
      <c r="AI3" s="69">
        <v>2</v>
      </c>
      <c r="AJ3" s="69">
        <v>2</v>
      </c>
      <c r="AK3" s="69">
        <v>2</v>
      </c>
      <c r="AL3" s="69">
        <v>2</v>
      </c>
      <c r="AM3" s="69">
        <v>2</v>
      </c>
      <c r="AN3" s="69">
        <v>2</v>
      </c>
    </row>
    <row r="4" spans="1:40" x14ac:dyDescent="0.25">
      <c r="A4" s="65"/>
      <c r="B4" s="55"/>
      <c r="C4" s="55"/>
      <c r="D4" s="55" t="s">
        <v>260</v>
      </c>
      <c r="E4" s="69" cm="1">
        <f t="array" ref="E4:AN4">_xlfn.BYCOL(_xlfn.VSTACK(_xlfn.ANCHORARRAY($E$1),_xlfn.ANCHORARRAY($E$2)),_xlfn.LAMBDA(_xlpm.a,SUM(_xlpm.a)))</f>
        <v>0</v>
      </c>
      <c r="F4" s="69">
        <v>0</v>
      </c>
      <c r="G4" s="69">
        <v>0</v>
      </c>
      <c r="H4" s="69">
        <v>0</v>
      </c>
      <c r="I4" s="69">
        <v>0</v>
      </c>
      <c r="J4" s="69">
        <v>0</v>
      </c>
      <c r="K4" s="69">
        <v>0</v>
      </c>
      <c r="L4" s="69">
        <v>0</v>
      </c>
      <c r="M4" s="69">
        <v>0</v>
      </c>
      <c r="N4" s="69">
        <v>1</v>
      </c>
      <c r="O4" s="69">
        <v>4.8809523809523814</v>
      </c>
      <c r="P4" s="69">
        <v>7.0476190476190474</v>
      </c>
      <c r="Q4" s="69">
        <v>8.2142857142857153</v>
      </c>
      <c r="R4" s="69">
        <v>10.380952380952381</v>
      </c>
      <c r="S4" s="69">
        <v>12.547619047619047</v>
      </c>
      <c r="T4" s="69">
        <v>14.714285714285715</v>
      </c>
      <c r="U4" s="69">
        <v>15.880952380952381</v>
      </c>
      <c r="V4" s="69">
        <v>18.047619047619047</v>
      </c>
      <c r="W4" s="69">
        <v>20.214285714285715</v>
      </c>
      <c r="X4" s="69">
        <v>21.38095238095238</v>
      </c>
      <c r="Y4" s="69">
        <v>23.547619047619047</v>
      </c>
      <c r="Z4" s="69">
        <v>25.714285714285715</v>
      </c>
      <c r="AA4" s="69">
        <v>26</v>
      </c>
      <c r="AB4" s="69">
        <v>26</v>
      </c>
      <c r="AC4" s="69">
        <v>26</v>
      </c>
      <c r="AD4" s="69">
        <v>26</v>
      </c>
      <c r="AE4" s="69">
        <v>26</v>
      </c>
      <c r="AF4" s="69">
        <v>26</v>
      </c>
      <c r="AG4" s="69">
        <v>26</v>
      </c>
      <c r="AH4" s="69">
        <v>26</v>
      </c>
      <c r="AI4" s="69">
        <v>26</v>
      </c>
      <c r="AJ4" s="69">
        <v>26</v>
      </c>
      <c r="AK4" s="69">
        <v>26</v>
      </c>
      <c r="AL4" s="69">
        <v>26</v>
      </c>
      <c r="AM4" s="69">
        <v>26</v>
      </c>
      <c r="AN4" s="69">
        <v>26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107</v>
      </c>
      <c r="C6" s="3"/>
      <c r="D6" s="3"/>
      <c r="E6" s="66" cm="1">
        <f t="array" ref="E6:AN6">ROUND(_xlfn.BYCOL(_xlfn.ANCHORARRAY(E7),_xlfn.LAMBDA(_xlpm.a,SUM(_xlpm.a))),0)</f>
        <v>0</v>
      </c>
      <c r="F6" s="66">
        <v>0</v>
      </c>
      <c r="G6" s="66">
        <v>0</v>
      </c>
      <c r="H6" s="66">
        <v>0</v>
      </c>
      <c r="I6" s="66">
        <v>0</v>
      </c>
      <c r="J6" s="66">
        <v>0</v>
      </c>
      <c r="K6" s="66">
        <v>0</v>
      </c>
      <c r="L6" s="66">
        <v>0</v>
      </c>
      <c r="M6" s="66">
        <v>0</v>
      </c>
      <c r="N6" s="66">
        <v>2</v>
      </c>
      <c r="O6" s="66">
        <v>4</v>
      </c>
      <c r="P6" s="66">
        <v>5</v>
      </c>
      <c r="Q6" s="66">
        <v>6</v>
      </c>
      <c r="R6" s="66">
        <v>7</v>
      </c>
      <c r="S6" s="66">
        <v>8</v>
      </c>
      <c r="T6" s="66">
        <v>9</v>
      </c>
      <c r="U6" s="66">
        <v>10</v>
      </c>
      <c r="V6" s="66">
        <v>11</v>
      </c>
      <c r="W6" s="66">
        <v>12</v>
      </c>
      <c r="X6" s="66">
        <v>13</v>
      </c>
      <c r="Y6" s="66">
        <v>14</v>
      </c>
      <c r="Z6" s="66">
        <v>15</v>
      </c>
      <c r="AA6" s="66">
        <v>16</v>
      </c>
      <c r="AB6" s="66">
        <v>16</v>
      </c>
      <c r="AC6" s="66">
        <v>16</v>
      </c>
      <c r="AD6" s="66">
        <v>16</v>
      </c>
      <c r="AE6" s="66">
        <v>16</v>
      </c>
      <c r="AF6" s="66">
        <v>16</v>
      </c>
      <c r="AG6" s="66">
        <v>16</v>
      </c>
      <c r="AH6" s="66">
        <v>16</v>
      </c>
      <c r="AI6" s="66">
        <v>16</v>
      </c>
      <c r="AJ6" s="66">
        <v>16</v>
      </c>
      <c r="AK6" s="66">
        <v>16</v>
      </c>
      <c r="AL6" s="66">
        <v>16</v>
      </c>
      <c r="AM6" s="66">
        <v>16</v>
      </c>
      <c r="AN6" s="66">
        <v>16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1"/>
      <c r="E7" s="106" cm="1">
        <f t="array" ref="E7:AN20">_xlfn.LET(_xlpm.Customer_staff,_xlfn._xlws.FILTER(Base!$D$85:$BD$98,ISNUMBER(SEARCH($B$1&amp;"-"&amp;$C$1,Base!$D$4:$BD$4))),_xlpm.Customer,_xlfn.ANCHORARRAY($E$1),_xlpm.headcount,_xlpm.Customer/_xlpm.Customer_staff,
_xlpm.patient_staff,_xlfn.ANCHORARRAY($E$2)/_xlpm.Customer_staff,_xlpm.prim_staff_tr_rec,_xlfn.ANCHORARRAY($E$2)/_xlfn.CHOOSEROWS(_xlpm.Customer_staff,{7,8})+(_xlfn.ANCHORARRAY($E$1)*0.0055),_xlpm.rounding,_xlfn.VSTACK(2,2,0,0,2,2,2,2,2,2,2,0,0,0),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prim_staff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0</v>
      </c>
      <c r="F7" s="106">
        <v>0</v>
      </c>
      <c r="G7" s="106">
        <v>0</v>
      </c>
      <c r="H7" s="106">
        <v>0</v>
      </c>
      <c r="I7" s="106">
        <v>0</v>
      </c>
      <c r="J7" s="106">
        <v>0</v>
      </c>
      <c r="K7" s="106">
        <v>0</v>
      </c>
      <c r="L7" s="106">
        <v>0</v>
      </c>
      <c r="M7" s="106">
        <v>0</v>
      </c>
      <c r="N7" s="106">
        <v>0.46</v>
      </c>
      <c r="O7" s="106">
        <v>1.36</v>
      </c>
      <c r="P7" s="106">
        <v>2.2599999999999998</v>
      </c>
      <c r="Q7" s="106">
        <v>2.71</v>
      </c>
      <c r="R7" s="106">
        <v>3.61</v>
      </c>
      <c r="S7" s="106">
        <v>4.51</v>
      </c>
      <c r="T7" s="106">
        <v>5.42</v>
      </c>
      <c r="U7" s="106">
        <v>5.87</v>
      </c>
      <c r="V7" s="106">
        <v>6.77</v>
      </c>
      <c r="W7" s="106">
        <v>7.67</v>
      </c>
      <c r="X7" s="106">
        <v>8.1199999999999992</v>
      </c>
      <c r="Y7" s="106">
        <v>9.02</v>
      </c>
      <c r="Z7" s="106">
        <v>9.93</v>
      </c>
      <c r="AA7" s="106">
        <v>10.83</v>
      </c>
      <c r="AB7" s="106">
        <v>10.83</v>
      </c>
      <c r="AC7" s="106">
        <v>10.83</v>
      </c>
      <c r="AD7" s="106">
        <v>10.83</v>
      </c>
      <c r="AE7" s="106">
        <v>10.83</v>
      </c>
      <c r="AF7" s="106">
        <v>10.83</v>
      </c>
      <c r="AG7" s="106">
        <v>10.83</v>
      </c>
      <c r="AH7" s="106">
        <v>10.83</v>
      </c>
      <c r="AI7" s="106">
        <v>10.83</v>
      </c>
      <c r="AJ7" s="106">
        <v>10.83</v>
      </c>
      <c r="AK7" s="106">
        <v>10.83</v>
      </c>
      <c r="AL7" s="106">
        <v>10.83</v>
      </c>
      <c r="AM7" s="106">
        <v>10.83</v>
      </c>
      <c r="AN7" s="106">
        <v>10.83</v>
      </c>
    </row>
    <row r="8" spans="1:40" hidden="1" outlineLevel="1" x14ac:dyDescent="0.25">
      <c r="B8" s="39" t="str">
        <v>Secondary Direct Staff</v>
      </c>
      <c r="C8" s="3"/>
      <c r="D8" s="3"/>
      <c r="E8" s="106">
        <v>0</v>
      </c>
      <c r="F8" s="106">
        <v>0</v>
      </c>
      <c r="G8" s="106">
        <v>0</v>
      </c>
      <c r="H8" s="106">
        <v>0</v>
      </c>
      <c r="I8" s="106">
        <v>0</v>
      </c>
      <c r="J8" s="106">
        <v>0</v>
      </c>
      <c r="K8" s="106">
        <v>0</v>
      </c>
      <c r="L8" s="106">
        <v>0</v>
      </c>
      <c r="M8" s="106">
        <v>0</v>
      </c>
      <c r="N8" s="106">
        <v>9.9999999999999992E-2</v>
      </c>
      <c r="O8" s="106">
        <v>0.28000000000000003</v>
      </c>
      <c r="P8" s="106">
        <v>0.46</v>
      </c>
      <c r="Q8" s="106">
        <v>0.55000000000000004</v>
      </c>
      <c r="R8" s="106">
        <v>0.73</v>
      </c>
      <c r="S8" s="106">
        <v>0.91</v>
      </c>
      <c r="T8" s="106">
        <v>1.1000000000000001</v>
      </c>
      <c r="U8" s="106">
        <v>1.19</v>
      </c>
      <c r="V8" s="106">
        <v>1.37</v>
      </c>
      <c r="W8" s="106">
        <v>1.55</v>
      </c>
      <c r="X8" s="106">
        <v>1.64</v>
      </c>
      <c r="Y8" s="106">
        <v>1.82</v>
      </c>
      <c r="Z8" s="106">
        <v>2</v>
      </c>
      <c r="AA8" s="106">
        <v>2.19</v>
      </c>
      <c r="AB8" s="106">
        <v>2.19</v>
      </c>
      <c r="AC8" s="106">
        <v>2.19</v>
      </c>
      <c r="AD8" s="106">
        <v>2.19</v>
      </c>
      <c r="AE8" s="106">
        <v>2.19</v>
      </c>
      <c r="AF8" s="106">
        <v>2.19</v>
      </c>
      <c r="AG8" s="106">
        <v>2.19</v>
      </c>
      <c r="AH8" s="106">
        <v>2.19</v>
      </c>
      <c r="AI8" s="106">
        <v>2.19</v>
      </c>
      <c r="AJ8" s="106">
        <v>2.19</v>
      </c>
      <c r="AK8" s="106">
        <v>2.19</v>
      </c>
      <c r="AL8" s="106">
        <v>2.19</v>
      </c>
      <c r="AM8" s="106">
        <v>2.19</v>
      </c>
      <c r="AN8" s="106">
        <v>2.19</v>
      </c>
    </row>
    <row r="9" spans="1:40" hidden="1" outlineLevel="1" x14ac:dyDescent="0.25">
      <c r="B9" s="39" t="str">
        <v>Center Manager</v>
      </c>
      <c r="C9" s="3"/>
      <c r="D9" s="3"/>
      <c r="E9" s="106">
        <v>0</v>
      </c>
      <c r="F9" s="106">
        <v>0</v>
      </c>
      <c r="G9" s="106">
        <v>0</v>
      </c>
      <c r="H9" s="106">
        <v>0</v>
      </c>
      <c r="I9" s="106">
        <v>0</v>
      </c>
      <c r="J9" s="106">
        <v>0</v>
      </c>
      <c r="K9" s="106">
        <v>0</v>
      </c>
      <c r="L9" s="106">
        <v>0</v>
      </c>
      <c r="M9" s="106">
        <v>0</v>
      </c>
      <c r="N9" s="106">
        <v>1</v>
      </c>
      <c r="O9" s="106">
        <v>1</v>
      </c>
      <c r="P9" s="106">
        <v>1</v>
      </c>
      <c r="Q9" s="106">
        <v>1</v>
      </c>
      <c r="R9" s="106">
        <v>1</v>
      </c>
      <c r="S9" s="106">
        <v>1</v>
      </c>
      <c r="T9" s="106">
        <v>1</v>
      </c>
      <c r="U9" s="106">
        <v>1</v>
      </c>
      <c r="V9" s="106">
        <v>1</v>
      </c>
      <c r="W9" s="106">
        <v>1</v>
      </c>
      <c r="X9" s="106">
        <v>1</v>
      </c>
      <c r="Y9" s="106">
        <v>1</v>
      </c>
      <c r="Z9" s="106">
        <v>1</v>
      </c>
      <c r="AA9" s="106">
        <v>1</v>
      </c>
      <c r="AB9" s="106">
        <v>1</v>
      </c>
      <c r="AC9" s="106">
        <v>1</v>
      </c>
      <c r="AD9" s="106">
        <v>1</v>
      </c>
      <c r="AE9" s="106">
        <v>1</v>
      </c>
      <c r="AF9" s="106">
        <v>1</v>
      </c>
      <c r="AG9" s="106">
        <v>1</v>
      </c>
      <c r="AH9" s="106">
        <v>1</v>
      </c>
      <c r="AI9" s="106">
        <v>1</v>
      </c>
      <c r="AJ9" s="106">
        <v>1</v>
      </c>
      <c r="AK9" s="106">
        <v>1</v>
      </c>
      <c r="AL9" s="106">
        <v>1</v>
      </c>
      <c r="AM9" s="106">
        <v>1</v>
      </c>
      <c r="AN9" s="106">
        <v>1</v>
      </c>
    </row>
    <row r="10" spans="1:40" hidden="1" outlineLevel="1" x14ac:dyDescent="0.25">
      <c r="B10" s="39" t="str">
        <v>Intake</v>
      </c>
      <c r="C10" s="3"/>
      <c r="D10" s="3"/>
      <c r="E10" s="106">
        <v>0</v>
      </c>
      <c r="F10" s="106">
        <v>0</v>
      </c>
      <c r="G10" s="106">
        <v>0</v>
      </c>
      <c r="H10" s="106">
        <v>0</v>
      </c>
      <c r="I10" s="106">
        <v>0</v>
      </c>
      <c r="J10" s="106">
        <v>0</v>
      </c>
      <c r="K10" s="106">
        <v>0</v>
      </c>
      <c r="L10" s="106">
        <v>0</v>
      </c>
      <c r="M10" s="106">
        <v>0</v>
      </c>
      <c r="N10" s="106">
        <v>0</v>
      </c>
      <c r="O10" s="106">
        <v>1</v>
      </c>
      <c r="P10" s="106">
        <v>1</v>
      </c>
      <c r="Q10" s="106">
        <v>1</v>
      </c>
      <c r="R10" s="106">
        <v>1</v>
      </c>
      <c r="S10" s="106">
        <v>1</v>
      </c>
      <c r="T10" s="106">
        <v>1</v>
      </c>
      <c r="U10" s="106">
        <v>1</v>
      </c>
      <c r="V10" s="106">
        <v>1</v>
      </c>
      <c r="W10" s="106">
        <v>1</v>
      </c>
      <c r="X10" s="106">
        <v>1</v>
      </c>
      <c r="Y10" s="106">
        <v>1</v>
      </c>
      <c r="Z10" s="106">
        <v>1</v>
      </c>
      <c r="AA10" s="106">
        <v>1</v>
      </c>
      <c r="AB10" s="106">
        <v>1</v>
      </c>
      <c r="AC10" s="106">
        <v>1</v>
      </c>
      <c r="AD10" s="106">
        <v>1</v>
      </c>
      <c r="AE10" s="106">
        <v>1</v>
      </c>
      <c r="AF10" s="106">
        <v>1</v>
      </c>
      <c r="AG10" s="106">
        <v>1</v>
      </c>
      <c r="AH10" s="106">
        <v>1</v>
      </c>
      <c r="AI10" s="106">
        <v>1</v>
      </c>
      <c r="AJ10" s="106">
        <v>1</v>
      </c>
      <c r="AK10" s="106">
        <v>1</v>
      </c>
      <c r="AL10" s="106">
        <v>1</v>
      </c>
      <c r="AM10" s="106">
        <v>1</v>
      </c>
      <c r="AN10" s="106">
        <v>1</v>
      </c>
    </row>
    <row r="11" spans="1:40" hidden="1" outlineLevel="1" x14ac:dyDescent="0.25">
      <c r="B11" s="39" t="str">
        <v>Scheduler</v>
      </c>
      <c r="C11" s="3"/>
      <c r="D11" s="3"/>
      <c r="E11" s="106">
        <v>0</v>
      </c>
      <c r="F11" s="106">
        <v>0</v>
      </c>
      <c r="G11" s="106">
        <v>0</v>
      </c>
      <c r="H11" s="106">
        <v>0</v>
      </c>
      <c r="I11" s="106">
        <v>0</v>
      </c>
      <c r="J11" s="106">
        <v>0</v>
      </c>
      <c r="K11" s="106">
        <v>0</v>
      </c>
      <c r="L11" s="106">
        <v>0</v>
      </c>
      <c r="M11" s="106">
        <v>0</v>
      </c>
      <c r="N11" s="106">
        <v>0</v>
      </c>
      <c r="O11" s="106">
        <v>0</v>
      </c>
      <c r="P11" s="106">
        <v>0</v>
      </c>
      <c r="Q11" s="106">
        <v>0</v>
      </c>
      <c r="R11" s="106">
        <v>0</v>
      </c>
      <c r="S11" s="106">
        <v>0</v>
      </c>
      <c r="T11" s="106">
        <v>0</v>
      </c>
      <c r="U11" s="106">
        <v>0</v>
      </c>
      <c r="V11" s="106">
        <v>0</v>
      </c>
      <c r="W11" s="106">
        <v>0</v>
      </c>
      <c r="X11" s="106">
        <v>0</v>
      </c>
      <c r="Y11" s="106">
        <v>0</v>
      </c>
      <c r="Z11" s="106">
        <v>0</v>
      </c>
      <c r="AA11" s="106">
        <v>0</v>
      </c>
      <c r="AB11" s="106">
        <v>0</v>
      </c>
      <c r="AC11" s="106">
        <v>0</v>
      </c>
      <c r="AD11" s="106">
        <v>0</v>
      </c>
      <c r="AE11" s="106">
        <v>0</v>
      </c>
      <c r="AF11" s="106">
        <v>0</v>
      </c>
      <c r="AG11" s="106">
        <v>0</v>
      </c>
      <c r="AH11" s="106">
        <v>0</v>
      </c>
      <c r="AI11" s="106">
        <v>0</v>
      </c>
      <c r="AJ11" s="106">
        <v>0</v>
      </c>
      <c r="AK11" s="106">
        <v>0</v>
      </c>
      <c r="AL11" s="106">
        <v>0</v>
      </c>
      <c r="AM11" s="106">
        <v>0</v>
      </c>
      <c r="AN11" s="106">
        <v>0</v>
      </c>
    </row>
    <row r="12" spans="1:40" hidden="1" outlineLevel="1" x14ac:dyDescent="0.25">
      <c r="B12" s="39" t="str">
        <v>Initial Consultation Expert</v>
      </c>
      <c r="C12" s="3"/>
      <c r="D12" s="3"/>
      <c r="E12" s="106">
        <v>0</v>
      </c>
      <c r="F12" s="106">
        <v>0</v>
      </c>
      <c r="G12" s="106">
        <v>0</v>
      </c>
      <c r="H12" s="106">
        <v>0</v>
      </c>
      <c r="I12" s="106">
        <v>0</v>
      </c>
      <c r="J12" s="106">
        <v>0</v>
      </c>
      <c r="K12" s="106">
        <v>0</v>
      </c>
      <c r="L12" s="106">
        <v>0</v>
      </c>
      <c r="M12" s="106">
        <v>0</v>
      </c>
      <c r="N12" s="106">
        <v>0</v>
      </c>
      <c r="O12" s="106">
        <v>0.15000000000000002</v>
      </c>
      <c r="P12" s="106">
        <v>0.16</v>
      </c>
      <c r="Q12" s="106">
        <v>0.18000000000000002</v>
      </c>
      <c r="R12" s="106">
        <v>0.19</v>
      </c>
      <c r="S12" s="106">
        <v>0.2</v>
      </c>
      <c r="T12" s="106">
        <v>0.21000000000000002</v>
      </c>
      <c r="U12" s="106">
        <v>0.23</v>
      </c>
      <c r="V12" s="106">
        <v>0.24000000000000002</v>
      </c>
      <c r="W12" s="106">
        <v>0.25</v>
      </c>
      <c r="X12" s="106">
        <v>0.27</v>
      </c>
      <c r="Y12" s="106">
        <v>0.28000000000000003</v>
      </c>
      <c r="Z12" s="106">
        <v>0.29000000000000004</v>
      </c>
      <c r="AA12" s="106">
        <v>0.16</v>
      </c>
      <c r="AB12" s="106">
        <v>0.16</v>
      </c>
      <c r="AC12" s="106">
        <v>0.16</v>
      </c>
      <c r="AD12" s="106">
        <v>0.16</v>
      </c>
      <c r="AE12" s="106">
        <v>0.16</v>
      </c>
      <c r="AF12" s="106">
        <v>0.16</v>
      </c>
      <c r="AG12" s="106">
        <v>0.16</v>
      </c>
      <c r="AH12" s="106">
        <v>0.16</v>
      </c>
      <c r="AI12" s="106">
        <v>0.16</v>
      </c>
      <c r="AJ12" s="106">
        <v>0.16</v>
      </c>
      <c r="AK12" s="106">
        <v>0.16</v>
      </c>
      <c r="AL12" s="106">
        <v>0.16</v>
      </c>
      <c r="AM12" s="106">
        <v>0.16</v>
      </c>
      <c r="AN12" s="106">
        <v>0.16</v>
      </c>
    </row>
    <row r="13" spans="1:40" hidden="1" outlineLevel="1" x14ac:dyDescent="0.25">
      <c r="B13" s="39" t="str">
        <v>Trainer</v>
      </c>
      <c r="C13" s="3"/>
      <c r="D13" s="3"/>
      <c r="E13" s="106">
        <v>0</v>
      </c>
      <c r="F13" s="106">
        <v>0</v>
      </c>
      <c r="G13" s="106">
        <v>0</v>
      </c>
      <c r="H13" s="106">
        <v>0</v>
      </c>
      <c r="I13" s="106">
        <v>0</v>
      </c>
      <c r="J13" s="106">
        <v>0</v>
      </c>
      <c r="K13" s="106">
        <v>0</v>
      </c>
      <c r="L13" s="106">
        <v>0</v>
      </c>
      <c r="M13" s="106">
        <v>0</v>
      </c>
      <c r="N13" s="106">
        <v>0.01</v>
      </c>
      <c r="O13" s="106">
        <v>0.21000000000000002</v>
      </c>
      <c r="P13" s="106">
        <v>0.24000000000000002</v>
      </c>
      <c r="Q13" s="106">
        <v>0.26</v>
      </c>
      <c r="R13" s="106">
        <v>0.29000000000000004</v>
      </c>
      <c r="S13" s="106">
        <v>0.31</v>
      </c>
      <c r="T13" s="106">
        <v>0.34</v>
      </c>
      <c r="U13" s="106">
        <v>0.36</v>
      </c>
      <c r="V13" s="106">
        <v>0.39</v>
      </c>
      <c r="W13" s="106">
        <v>0.42</v>
      </c>
      <c r="X13" s="106">
        <v>0.44</v>
      </c>
      <c r="Y13" s="106">
        <v>0.47000000000000003</v>
      </c>
      <c r="Z13" s="106">
        <v>0.5</v>
      </c>
      <c r="AA13" s="106">
        <v>0.34</v>
      </c>
      <c r="AB13" s="106">
        <v>0.34</v>
      </c>
      <c r="AC13" s="106">
        <v>0.34</v>
      </c>
      <c r="AD13" s="106">
        <v>0.34</v>
      </c>
      <c r="AE13" s="106">
        <v>0.34</v>
      </c>
      <c r="AF13" s="106">
        <v>0.34</v>
      </c>
      <c r="AG13" s="106">
        <v>0.34</v>
      </c>
      <c r="AH13" s="106">
        <v>0.34</v>
      </c>
      <c r="AI13" s="106">
        <v>0.34</v>
      </c>
      <c r="AJ13" s="106">
        <v>0.34</v>
      </c>
      <c r="AK13" s="106">
        <v>0.34</v>
      </c>
      <c r="AL13" s="106">
        <v>0.34</v>
      </c>
      <c r="AM13" s="106">
        <v>0.34</v>
      </c>
      <c r="AN13" s="106">
        <v>0.34</v>
      </c>
    </row>
    <row r="14" spans="1:40" hidden="1" outlineLevel="1" x14ac:dyDescent="0.25">
      <c r="B14" s="39" t="str">
        <v>Recruiter</v>
      </c>
      <c r="C14" s="3"/>
      <c r="D14" s="3"/>
      <c r="E14" s="106">
        <v>0</v>
      </c>
      <c r="F14" s="106">
        <v>0</v>
      </c>
      <c r="G14" s="106">
        <v>0</v>
      </c>
      <c r="H14" s="106">
        <v>0</v>
      </c>
      <c r="I14" s="106">
        <v>0</v>
      </c>
      <c r="J14" s="106">
        <v>0</v>
      </c>
      <c r="K14" s="106">
        <v>0</v>
      </c>
      <c r="L14" s="106">
        <v>0</v>
      </c>
      <c r="M14" s="106">
        <v>0</v>
      </c>
      <c r="N14" s="106">
        <v>0.01</v>
      </c>
      <c r="O14" s="106">
        <v>0.12</v>
      </c>
      <c r="P14" s="106">
        <v>0.13</v>
      </c>
      <c r="Q14" s="106">
        <v>0.15000000000000002</v>
      </c>
      <c r="R14" s="106">
        <v>0.17</v>
      </c>
      <c r="S14" s="106">
        <v>0.19</v>
      </c>
      <c r="T14" s="106">
        <v>0.21000000000000002</v>
      </c>
      <c r="U14" s="106">
        <v>0.22</v>
      </c>
      <c r="V14" s="106">
        <v>0.24000000000000002</v>
      </c>
      <c r="W14" s="106">
        <v>0.26</v>
      </c>
      <c r="X14" s="106">
        <v>0.27</v>
      </c>
      <c r="Y14" s="106">
        <v>0.29000000000000004</v>
      </c>
      <c r="Z14" s="106">
        <v>0.31</v>
      </c>
      <c r="AA14" s="106">
        <v>0.24000000000000002</v>
      </c>
      <c r="AB14" s="106">
        <v>0.24000000000000002</v>
      </c>
      <c r="AC14" s="106">
        <v>0.24000000000000002</v>
      </c>
      <c r="AD14" s="106">
        <v>0.24000000000000002</v>
      </c>
      <c r="AE14" s="106">
        <v>0.24000000000000002</v>
      </c>
      <c r="AF14" s="106">
        <v>0.24000000000000002</v>
      </c>
      <c r="AG14" s="106">
        <v>0.24000000000000002</v>
      </c>
      <c r="AH14" s="106">
        <v>0.24000000000000002</v>
      </c>
      <c r="AI14" s="106">
        <v>0.24000000000000002</v>
      </c>
      <c r="AJ14" s="106">
        <v>0.24000000000000002</v>
      </c>
      <c r="AK14" s="106">
        <v>0.24000000000000002</v>
      </c>
      <c r="AL14" s="106">
        <v>0.24000000000000002</v>
      </c>
      <c r="AM14" s="106">
        <v>0.24000000000000002</v>
      </c>
      <c r="AN14" s="106">
        <v>0.24000000000000002</v>
      </c>
    </row>
    <row r="15" spans="1:40" hidden="1" outlineLevel="1" x14ac:dyDescent="0.25">
      <c r="B15" s="39" t="str">
        <v>Center Director / Remote Site Director</v>
      </c>
      <c r="C15" s="3"/>
      <c r="D15" s="3"/>
      <c r="E15" s="106">
        <v>0</v>
      </c>
      <c r="F15" s="106">
        <v>0</v>
      </c>
      <c r="G15" s="106">
        <v>0</v>
      </c>
      <c r="H15" s="106">
        <v>0</v>
      </c>
      <c r="I15" s="106">
        <v>0</v>
      </c>
      <c r="J15" s="106">
        <v>0</v>
      </c>
      <c r="K15" s="106">
        <v>0</v>
      </c>
      <c r="L15" s="106">
        <v>0</v>
      </c>
      <c r="M15" s="106">
        <v>0</v>
      </c>
      <c r="N15" s="106">
        <v>0.01</v>
      </c>
      <c r="O15" s="106">
        <v>0.02</v>
      </c>
      <c r="P15" s="106">
        <v>0.02</v>
      </c>
      <c r="Q15" s="106">
        <v>0.03</v>
      </c>
      <c r="R15" s="106">
        <v>0.04</v>
      </c>
      <c r="S15" s="106">
        <v>0.04</v>
      </c>
      <c r="T15" s="106">
        <v>0.05</v>
      </c>
      <c r="U15" s="106">
        <v>6.0000000000000005E-2</v>
      </c>
      <c r="V15" s="106">
        <v>0.06</v>
      </c>
      <c r="W15" s="106">
        <v>6.9999999999999993E-2</v>
      </c>
      <c r="X15" s="106">
        <v>0.08</v>
      </c>
      <c r="Y15" s="106">
        <v>0.08</v>
      </c>
      <c r="Z15" s="106">
        <v>0.09</v>
      </c>
      <c r="AA15" s="106">
        <v>9.9999999999999992E-2</v>
      </c>
      <c r="AB15" s="106">
        <v>9.9999999999999992E-2</v>
      </c>
      <c r="AC15" s="106">
        <v>9.9999999999999992E-2</v>
      </c>
      <c r="AD15" s="106">
        <v>9.9999999999999992E-2</v>
      </c>
      <c r="AE15" s="106">
        <v>9.9999999999999992E-2</v>
      </c>
      <c r="AF15" s="106">
        <v>9.9999999999999992E-2</v>
      </c>
      <c r="AG15" s="106">
        <v>9.9999999999999992E-2</v>
      </c>
      <c r="AH15" s="106">
        <v>9.9999999999999992E-2</v>
      </c>
      <c r="AI15" s="106">
        <v>9.9999999999999992E-2</v>
      </c>
      <c r="AJ15" s="106">
        <v>9.9999999999999992E-2</v>
      </c>
      <c r="AK15" s="106">
        <v>9.9999999999999992E-2</v>
      </c>
      <c r="AL15" s="106">
        <v>9.9999999999999992E-2</v>
      </c>
      <c r="AM15" s="106">
        <v>9.9999999999999992E-2</v>
      </c>
      <c r="AN15" s="106">
        <v>9.9999999999999992E-2</v>
      </c>
    </row>
    <row r="16" spans="1:40" hidden="1" outlineLevel="1" x14ac:dyDescent="0.25">
      <c r="B16" s="39" t="str">
        <v>Center Marketing Outreach</v>
      </c>
      <c r="C16" s="3"/>
      <c r="D16" s="3"/>
      <c r="E16" s="106">
        <v>0</v>
      </c>
      <c r="F16" s="106">
        <v>0</v>
      </c>
      <c r="G16" s="106">
        <v>0</v>
      </c>
      <c r="H16" s="106">
        <v>0</v>
      </c>
      <c r="I16" s="106">
        <v>0</v>
      </c>
      <c r="J16" s="106">
        <v>0</v>
      </c>
      <c r="K16" s="106">
        <v>0</v>
      </c>
      <c r="L16" s="106">
        <v>0</v>
      </c>
      <c r="M16" s="106">
        <v>0</v>
      </c>
      <c r="N16" s="106">
        <v>0.01</v>
      </c>
      <c r="O16" s="106">
        <v>0.02</v>
      </c>
      <c r="P16" s="106">
        <v>0.02</v>
      </c>
      <c r="Q16" s="106">
        <v>0.03</v>
      </c>
      <c r="R16" s="106">
        <v>0.04</v>
      </c>
      <c r="S16" s="106">
        <v>0.04</v>
      </c>
      <c r="T16" s="106">
        <v>0.05</v>
      </c>
      <c r="U16" s="106">
        <v>6.0000000000000005E-2</v>
      </c>
      <c r="V16" s="106">
        <v>0.06</v>
      </c>
      <c r="W16" s="106">
        <v>6.9999999999999993E-2</v>
      </c>
      <c r="X16" s="106">
        <v>0.08</v>
      </c>
      <c r="Y16" s="106">
        <v>0.08</v>
      </c>
      <c r="Z16" s="106">
        <v>0.09</v>
      </c>
      <c r="AA16" s="106">
        <v>9.9999999999999992E-2</v>
      </c>
      <c r="AB16" s="106">
        <v>9.9999999999999992E-2</v>
      </c>
      <c r="AC16" s="106">
        <v>9.9999999999999992E-2</v>
      </c>
      <c r="AD16" s="106">
        <v>9.9999999999999992E-2</v>
      </c>
      <c r="AE16" s="106">
        <v>9.9999999999999992E-2</v>
      </c>
      <c r="AF16" s="106">
        <v>9.9999999999999992E-2</v>
      </c>
      <c r="AG16" s="106">
        <v>9.9999999999999992E-2</v>
      </c>
      <c r="AH16" s="106">
        <v>9.9999999999999992E-2</v>
      </c>
      <c r="AI16" s="106">
        <v>9.9999999999999992E-2</v>
      </c>
      <c r="AJ16" s="106">
        <v>9.9999999999999992E-2</v>
      </c>
      <c r="AK16" s="106">
        <v>9.9999999999999992E-2</v>
      </c>
      <c r="AL16" s="106">
        <v>9.9999999999999992E-2</v>
      </c>
      <c r="AM16" s="106">
        <v>9.9999999999999992E-2</v>
      </c>
      <c r="AN16" s="106">
        <v>9.9999999999999992E-2</v>
      </c>
    </row>
    <row r="17" spans="2:50" hidden="1" outlineLevel="1" x14ac:dyDescent="0.25">
      <c r="B17" s="39" t="str">
        <v>Primary Direct Staff Lead</v>
      </c>
      <c r="C17" s="3"/>
      <c r="D17" s="3"/>
      <c r="E17" s="106">
        <v>0</v>
      </c>
      <c r="F17" s="106">
        <v>0</v>
      </c>
      <c r="G17" s="106">
        <v>0</v>
      </c>
      <c r="H17" s="106">
        <v>0</v>
      </c>
      <c r="I17" s="106">
        <v>0</v>
      </c>
      <c r="J17" s="106">
        <v>0</v>
      </c>
      <c r="K17" s="106">
        <v>0</v>
      </c>
      <c r="L17" s="106">
        <v>0</v>
      </c>
      <c r="M17" s="106">
        <v>0</v>
      </c>
      <c r="N17" s="106">
        <v>0</v>
      </c>
      <c r="O17" s="106">
        <v>0</v>
      </c>
      <c r="P17" s="106">
        <v>0</v>
      </c>
      <c r="Q17" s="106">
        <v>0</v>
      </c>
      <c r="R17" s="106">
        <v>0</v>
      </c>
      <c r="S17" s="106">
        <v>0</v>
      </c>
      <c r="T17" s="106">
        <v>0</v>
      </c>
      <c r="U17" s="106">
        <v>0</v>
      </c>
      <c r="V17" s="106">
        <v>0</v>
      </c>
      <c r="W17" s="106">
        <v>0</v>
      </c>
      <c r="X17" s="106">
        <v>0</v>
      </c>
      <c r="Y17" s="106">
        <v>0</v>
      </c>
      <c r="Z17" s="106">
        <v>0</v>
      </c>
      <c r="AA17" s="106">
        <v>0</v>
      </c>
      <c r="AB17" s="106">
        <v>0</v>
      </c>
      <c r="AC17" s="106">
        <v>0</v>
      </c>
      <c r="AD17" s="106">
        <v>0</v>
      </c>
      <c r="AE17" s="106">
        <v>0</v>
      </c>
      <c r="AF17" s="106">
        <v>0</v>
      </c>
      <c r="AG17" s="106">
        <v>0</v>
      </c>
      <c r="AH17" s="106">
        <v>0</v>
      </c>
      <c r="AI17" s="106">
        <v>0</v>
      </c>
      <c r="AJ17" s="106">
        <v>0</v>
      </c>
      <c r="AK17" s="106">
        <v>0</v>
      </c>
      <c r="AL17" s="106">
        <v>0</v>
      </c>
      <c r="AM17" s="106">
        <v>0</v>
      </c>
      <c r="AN17" s="106">
        <v>0</v>
      </c>
    </row>
    <row r="18" spans="2:50" hidden="1" outlineLevel="1" x14ac:dyDescent="0.25">
      <c r="B18" s="39" t="str">
        <v>Tertiary Direct Staff</v>
      </c>
      <c r="C18" s="3"/>
      <c r="D18" s="3"/>
      <c r="E18" s="106">
        <v>0</v>
      </c>
      <c r="F18" s="106">
        <v>0</v>
      </c>
      <c r="G18" s="106">
        <v>0</v>
      </c>
      <c r="H18" s="106">
        <v>0</v>
      </c>
      <c r="I18" s="106">
        <v>0</v>
      </c>
      <c r="J18" s="106">
        <v>0</v>
      </c>
      <c r="K18" s="106">
        <v>0</v>
      </c>
      <c r="L18" s="106">
        <v>0</v>
      </c>
      <c r="M18" s="106">
        <v>0</v>
      </c>
      <c r="N18" s="106">
        <v>0</v>
      </c>
      <c r="O18" s="106">
        <v>0</v>
      </c>
      <c r="P18" s="106">
        <v>0</v>
      </c>
      <c r="Q18" s="106">
        <v>0</v>
      </c>
      <c r="R18" s="106">
        <v>0</v>
      </c>
      <c r="S18" s="106">
        <v>0</v>
      </c>
      <c r="T18" s="106">
        <v>0</v>
      </c>
      <c r="U18" s="106">
        <v>0</v>
      </c>
      <c r="V18" s="106">
        <v>0</v>
      </c>
      <c r="W18" s="106">
        <v>0</v>
      </c>
      <c r="X18" s="106">
        <v>0</v>
      </c>
      <c r="Y18" s="106">
        <v>0</v>
      </c>
      <c r="Z18" s="106">
        <v>0</v>
      </c>
      <c r="AA18" s="106">
        <v>0</v>
      </c>
      <c r="AB18" s="106">
        <v>0</v>
      </c>
      <c r="AC18" s="106">
        <v>0</v>
      </c>
      <c r="AD18" s="106">
        <v>0</v>
      </c>
      <c r="AE18" s="106">
        <v>0</v>
      </c>
      <c r="AF18" s="106">
        <v>0</v>
      </c>
      <c r="AG18" s="106">
        <v>0</v>
      </c>
      <c r="AH18" s="106">
        <v>0</v>
      </c>
      <c r="AI18" s="106">
        <v>0</v>
      </c>
      <c r="AJ18" s="106">
        <v>0</v>
      </c>
      <c r="AK18" s="106">
        <v>0</v>
      </c>
      <c r="AL18" s="106">
        <v>0</v>
      </c>
      <c r="AM18" s="106">
        <v>0</v>
      </c>
      <c r="AN18" s="106">
        <v>0</v>
      </c>
    </row>
    <row r="19" spans="2:50" hidden="1" outlineLevel="1" x14ac:dyDescent="0.25">
      <c r="B19" s="39" t="str">
        <v>Quinary Direct Staff</v>
      </c>
      <c r="C19" s="3"/>
      <c r="D19" s="3"/>
      <c r="E19" s="106">
        <v>0</v>
      </c>
      <c r="F19" s="106">
        <v>0</v>
      </c>
      <c r="G19" s="106">
        <v>0</v>
      </c>
      <c r="H19" s="106">
        <v>0</v>
      </c>
      <c r="I19" s="106">
        <v>0</v>
      </c>
      <c r="J19" s="106">
        <v>0</v>
      </c>
      <c r="K19" s="106">
        <v>0</v>
      </c>
      <c r="L19" s="106">
        <v>0</v>
      </c>
      <c r="M19" s="106">
        <v>0</v>
      </c>
      <c r="N19" s="106">
        <v>0</v>
      </c>
      <c r="O19" s="106">
        <v>0</v>
      </c>
      <c r="P19" s="106">
        <v>0</v>
      </c>
      <c r="Q19" s="106">
        <v>0</v>
      </c>
      <c r="R19" s="106">
        <v>0</v>
      </c>
      <c r="S19" s="106">
        <v>0</v>
      </c>
      <c r="T19" s="106">
        <v>0</v>
      </c>
      <c r="U19" s="106">
        <v>0</v>
      </c>
      <c r="V19" s="106">
        <v>0</v>
      </c>
      <c r="W19" s="106">
        <v>0</v>
      </c>
      <c r="X19" s="106">
        <v>0</v>
      </c>
      <c r="Y19" s="106">
        <v>0</v>
      </c>
      <c r="Z19" s="106">
        <v>0</v>
      </c>
      <c r="AA19" s="106">
        <v>0</v>
      </c>
      <c r="AB19" s="106">
        <v>0</v>
      </c>
      <c r="AC19" s="106">
        <v>0</v>
      </c>
      <c r="AD19" s="106">
        <v>0</v>
      </c>
      <c r="AE19" s="106">
        <v>0</v>
      </c>
      <c r="AF19" s="106">
        <v>0</v>
      </c>
      <c r="AG19" s="106">
        <v>0</v>
      </c>
      <c r="AH19" s="106">
        <v>0</v>
      </c>
      <c r="AI19" s="106">
        <v>0</v>
      </c>
      <c r="AJ19" s="106">
        <v>0</v>
      </c>
      <c r="AK19" s="106">
        <v>0</v>
      </c>
      <c r="AL19" s="106">
        <v>0</v>
      </c>
      <c r="AM19" s="106">
        <v>0</v>
      </c>
      <c r="AN19" s="106">
        <v>0</v>
      </c>
    </row>
    <row r="20" spans="2:50" hidden="1" outlineLevel="1" x14ac:dyDescent="0.25">
      <c r="B20" s="39" t="str">
        <v>Quaternary Direct Staff</v>
      </c>
      <c r="C20" s="3"/>
      <c r="D20" s="3"/>
      <c r="E20" s="106">
        <v>0</v>
      </c>
      <c r="F20" s="106">
        <v>0</v>
      </c>
      <c r="G20" s="106">
        <v>0</v>
      </c>
      <c r="H20" s="106">
        <v>0</v>
      </c>
      <c r="I20" s="106">
        <v>0</v>
      </c>
      <c r="J20" s="106">
        <v>0</v>
      </c>
      <c r="K20" s="106">
        <v>0</v>
      </c>
      <c r="L20" s="106">
        <v>0</v>
      </c>
      <c r="M20" s="106">
        <v>0</v>
      </c>
      <c r="N20" s="106">
        <v>0</v>
      </c>
      <c r="O20" s="106">
        <v>0</v>
      </c>
      <c r="P20" s="106">
        <v>0</v>
      </c>
      <c r="Q20" s="106">
        <v>0</v>
      </c>
      <c r="R20" s="106">
        <v>0</v>
      </c>
      <c r="S20" s="106">
        <v>0</v>
      </c>
      <c r="T20" s="106">
        <v>0</v>
      </c>
      <c r="U20" s="106">
        <v>0</v>
      </c>
      <c r="V20" s="106">
        <v>0</v>
      </c>
      <c r="W20" s="106">
        <v>0</v>
      </c>
      <c r="X20" s="106">
        <v>0</v>
      </c>
      <c r="Y20" s="106">
        <v>0</v>
      </c>
      <c r="Z20" s="106">
        <v>0</v>
      </c>
      <c r="AA20" s="106">
        <v>0</v>
      </c>
      <c r="AB20" s="106">
        <v>0</v>
      </c>
      <c r="AC20" s="106">
        <v>0</v>
      </c>
      <c r="AD20" s="106">
        <v>0</v>
      </c>
      <c r="AE20" s="106">
        <v>0</v>
      </c>
      <c r="AF20" s="106">
        <v>0</v>
      </c>
      <c r="AG20" s="106">
        <v>0</v>
      </c>
      <c r="AH20" s="106">
        <v>0</v>
      </c>
      <c r="AI20" s="106">
        <v>0</v>
      </c>
      <c r="AJ20" s="106">
        <v>0</v>
      </c>
      <c r="AK20" s="106">
        <v>0</v>
      </c>
      <c r="AL20" s="106">
        <v>0</v>
      </c>
      <c r="AM20" s="106">
        <v>0</v>
      </c>
      <c r="AN20" s="106">
        <v>0</v>
      </c>
    </row>
    <row r="21" spans="2:50" collapsed="1" x14ac:dyDescent="0.25">
      <c r="B21" s="39" t="s">
        <v>389</v>
      </c>
      <c r="C21" s="3"/>
      <c r="D21" s="5"/>
      <c r="E21" s="117" cm="1">
        <f t="array" ref="E21:AN21">ROUND(_xlfn.BYCOL(_xlfn.CHOOSEROWS(_xlfn.ANCHORARRAY(E7),1,2),_xlfn.LAMBDA(_xlpm.col,SUM(_xlpm.col))),0)</f>
        <v>0</v>
      </c>
      <c r="F21" s="117">
        <v>0</v>
      </c>
      <c r="G21" s="117">
        <v>0</v>
      </c>
      <c r="H21" s="117">
        <v>0</v>
      </c>
      <c r="I21" s="117">
        <v>0</v>
      </c>
      <c r="J21" s="117">
        <v>0</v>
      </c>
      <c r="K21" s="117">
        <v>0</v>
      </c>
      <c r="L21" s="117">
        <v>0</v>
      </c>
      <c r="M21" s="117">
        <v>0</v>
      </c>
      <c r="N21" s="117">
        <v>1</v>
      </c>
      <c r="O21" s="117">
        <v>2</v>
      </c>
      <c r="P21" s="117">
        <v>3</v>
      </c>
      <c r="Q21" s="117">
        <v>3</v>
      </c>
      <c r="R21" s="117">
        <v>4</v>
      </c>
      <c r="S21" s="117">
        <v>5</v>
      </c>
      <c r="T21" s="117">
        <v>7</v>
      </c>
      <c r="U21" s="117">
        <v>7</v>
      </c>
      <c r="V21" s="117">
        <v>8</v>
      </c>
      <c r="W21" s="117">
        <v>9</v>
      </c>
      <c r="X21" s="117">
        <v>10</v>
      </c>
      <c r="Y21" s="117">
        <v>11</v>
      </c>
      <c r="Z21" s="117">
        <v>12</v>
      </c>
      <c r="AA21" s="117">
        <v>13</v>
      </c>
      <c r="AB21" s="117">
        <v>13</v>
      </c>
      <c r="AC21" s="117">
        <v>13</v>
      </c>
      <c r="AD21" s="117">
        <v>13</v>
      </c>
      <c r="AE21" s="117">
        <v>13</v>
      </c>
      <c r="AF21" s="117">
        <v>13</v>
      </c>
      <c r="AG21" s="117">
        <v>13</v>
      </c>
      <c r="AH21" s="117">
        <v>13</v>
      </c>
      <c r="AI21" s="117">
        <v>13</v>
      </c>
      <c r="AJ21" s="117">
        <v>13</v>
      </c>
      <c r="AK21" s="117">
        <v>13</v>
      </c>
      <c r="AL21" s="117">
        <v>13</v>
      </c>
      <c r="AM21" s="117">
        <v>13</v>
      </c>
      <c r="AN21" s="117">
        <v>13</v>
      </c>
    </row>
    <row r="22" spans="2:50" x14ac:dyDescent="0.25">
      <c r="B22" s="2" t="s">
        <v>394</v>
      </c>
      <c r="C22" s="3"/>
      <c r="D22" s="77">
        <f>MAX(_xlfn.ANCHORARRAY(E22))</f>
        <v>174.55720170454555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0</v>
      </c>
      <c r="F22" s="78">
        <v>0</v>
      </c>
      <c r="G22" s="78">
        <v>0</v>
      </c>
      <c r="H22" s="78">
        <v>0</v>
      </c>
      <c r="I22" s="78">
        <v>0</v>
      </c>
      <c r="J22" s="78">
        <v>0</v>
      </c>
      <c r="K22" s="78">
        <v>0</v>
      </c>
      <c r="L22" s="78">
        <v>0</v>
      </c>
      <c r="M22" s="78">
        <v>0</v>
      </c>
      <c r="N22" s="78">
        <v>169.4730113636364</v>
      </c>
      <c r="O22" s="78">
        <v>169.47301136363637</v>
      </c>
      <c r="P22" s="78">
        <v>169.47301136363637</v>
      </c>
      <c r="Q22" s="78">
        <v>174.55720170454543</v>
      </c>
      <c r="R22" s="78">
        <v>174.55720170454555</v>
      </c>
      <c r="S22" s="78">
        <v>174.55720170454541</v>
      </c>
      <c r="T22" s="78">
        <v>174.55720170454543</v>
      </c>
      <c r="U22" s="78">
        <v>174.55720170454546</v>
      </c>
      <c r="V22" s="78">
        <v>174.55720170454546</v>
      </c>
      <c r="W22" s="78">
        <v>174.55720170454549</v>
      </c>
      <c r="X22" s="78">
        <v>174.55720170454549</v>
      </c>
      <c r="Y22" s="78">
        <v>174.55720170454541</v>
      </c>
      <c r="Z22" s="78">
        <v>174.55720170454541</v>
      </c>
      <c r="AA22" s="78">
        <v>174.55720170454543</v>
      </c>
      <c r="AB22" s="78">
        <v>174.55720170454543</v>
      </c>
      <c r="AC22" s="78">
        <v>174.55720170454543</v>
      </c>
      <c r="AD22" s="78">
        <v>174.55720170454543</v>
      </c>
      <c r="AE22" s="78">
        <v>174.55720170454543</v>
      </c>
      <c r="AF22" s="78">
        <v>174.55720170454543</v>
      </c>
      <c r="AG22" s="78">
        <v>174.55720170454543</v>
      </c>
      <c r="AH22" s="78">
        <v>174.55720170454543</v>
      </c>
      <c r="AI22" s="78">
        <v>174.55720170454543</v>
      </c>
      <c r="AJ22" s="78">
        <v>174.55720170454543</v>
      </c>
      <c r="AK22" s="78">
        <v>174.55720170454543</v>
      </c>
      <c r="AL22" s="78">
        <v>174.55720170454543</v>
      </c>
      <c r="AM22" s="78">
        <v>174.55720170454543</v>
      </c>
      <c r="AN22" s="78">
        <v>174.55720170454543</v>
      </c>
    </row>
    <row r="23" spans="2:50" x14ac:dyDescent="0.25">
      <c r="B23" s="2" t="s">
        <v>53</v>
      </c>
      <c r="C23" s="3"/>
      <c r="D23" s="72"/>
      <c r="E23" s="52" cm="1">
        <f t="array" ref="E23:AN23">_xlfn.LET(_xlpm.site,$B$1&amp;"-"&amp;$C$1,_xlpm.locations,Base!$D$4:$BD$4,_xlpm.Customer,_xlfn.ANCHORARRAY(E1),_xlpm.hours,SUM(_xlfn.XLOOKUP(_xlpm.site,_xlpm.locations,Base!$D$74:$BD$78,0,0)),
_xlpm.collection,1-_xlfn.XLOOKUP(_xlpm.site,_xlpm.locations,Base!$D$26:$BD$26,0,0),
_xlpm.Customer*_xlpm.hours*_xlpm.collection*(52/12))</f>
        <v>0</v>
      </c>
      <c r="F23" s="52">
        <v>0</v>
      </c>
      <c r="G23" s="52">
        <v>0</v>
      </c>
      <c r="H23" s="52">
        <v>0</v>
      </c>
      <c r="I23" s="52">
        <v>0</v>
      </c>
      <c r="J23" s="52">
        <v>0</v>
      </c>
      <c r="K23" s="52">
        <v>0</v>
      </c>
      <c r="L23" s="52">
        <v>0</v>
      </c>
      <c r="M23" s="52">
        <v>0</v>
      </c>
      <c r="N23" s="52">
        <v>51.626666666666658</v>
      </c>
      <c r="O23" s="52">
        <v>154.88</v>
      </c>
      <c r="P23" s="52">
        <v>258.13333333333333</v>
      </c>
      <c r="Q23" s="52">
        <v>309.76</v>
      </c>
      <c r="R23" s="52">
        <v>413.01333333333326</v>
      </c>
      <c r="S23" s="52">
        <v>516.26666666666665</v>
      </c>
      <c r="T23" s="52">
        <v>619.52</v>
      </c>
      <c r="U23" s="52">
        <v>671.14666666666665</v>
      </c>
      <c r="V23" s="52">
        <v>774.39999999999986</v>
      </c>
      <c r="W23" s="52">
        <v>877.65333333333331</v>
      </c>
      <c r="X23" s="52">
        <v>929.27999999999986</v>
      </c>
      <c r="Y23" s="52">
        <v>1032.5333333333333</v>
      </c>
      <c r="Z23" s="52">
        <v>1135.7866666666666</v>
      </c>
      <c r="AA23" s="52">
        <v>1239.04</v>
      </c>
      <c r="AB23" s="52">
        <v>1239.04</v>
      </c>
      <c r="AC23" s="52">
        <v>1239.04</v>
      </c>
      <c r="AD23" s="52">
        <v>1239.04</v>
      </c>
      <c r="AE23" s="52">
        <v>1239.04</v>
      </c>
      <c r="AF23" s="52">
        <v>1239.04</v>
      </c>
      <c r="AG23" s="52">
        <v>1239.04</v>
      </c>
      <c r="AH23" s="52">
        <v>1239.04</v>
      </c>
      <c r="AI23" s="52">
        <v>1239.04</v>
      </c>
      <c r="AJ23" s="52">
        <v>1239.04</v>
      </c>
      <c r="AK23" s="52">
        <v>1239.04</v>
      </c>
      <c r="AL23" s="52">
        <v>1239.04</v>
      </c>
      <c r="AM23" s="52">
        <v>1239.04</v>
      </c>
      <c r="AN23" s="52">
        <v>1239.04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21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_xlfn.LET(_xlpm.site,$B$1&amp;"-"&amp;$C$1,_xlpm.locations,Base!$D$4:$BD$4,_xlpm.rates,Base!$D31:$BD31,_xlpm.hours,Base!$D74:$BD74,_xlpm.comp,_xlpm.rates*_xlpm.hours,_xlpm.Customer,_xlfn.ANCHORARRAY($E$1),
_xlpm.Customer_comp,_xlfn.XLOOKUP(_xlpm.site,_xlpm.locations,_xlpm.comp,0,0),_xlpm.ann_incr,_xlfn.XLOOKUP(YEAR(_xlfn.ANCHORARRAY($E$25)),Base!$BJ$4:$BL$4,Base!$BJ74:$BL74,0,0),
_xlpm.bad_debt,_xlfn.XLOOKUP(_xlpm.site,_xlpm.locations,Base!$D$28:$BD$28,0,0),_xlpm.Customer_comp*_xlpm.Customer*_xlpm.bad_debt*_xlpm.ann_incr*(52/12))</f>
        <v>0</v>
      </c>
      <c r="F26" s="12">
        <v>0</v>
      </c>
      <c r="G26" s="12">
        <v>0</v>
      </c>
      <c r="H26" s="12">
        <v>0</v>
      </c>
      <c r="I26" s="12">
        <v>0</v>
      </c>
      <c r="J26" s="12">
        <v>0</v>
      </c>
      <c r="K26" s="12">
        <v>0</v>
      </c>
      <c r="L26" s="12">
        <v>0</v>
      </c>
      <c r="M26" s="12">
        <v>0</v>
      </c>
      <c r="N26" s="12">
        <v>7916.5233333333326</v>
      </c>
      <c r="O26" s="12">
        <v>23749.57</v>
      </c>
      <c r="P26" s="12">
        <v>39582.616666666661</v>
      </c>
      <c r="Q26" s="12">
        <v>48924.114199999996</v>
      </c>
      <c r="R26" s="12">
        <v>65232.152266666664</v>
      </c>
      <c r="S26" s="12">
        <v>81540.190333333318</v>
      </c>
      <c r="T26" s="12">
        <v>97848.228399999993</v>
      </c>
      <c r="U26" s="12">
        <v>106002.24743333334</v>
      </c>
      <c r="V26" s="12">
        <v>122310.28549999998</v>
      </c>
      <c r="W26" s="12">
        <v>138618.32356666666</v>
      </c>
      <c r="X26" s="12">
        <v>146772.3426</v>
      </c>
      <c r="Y26" s="12">
        <v>163080.38066666664</v>
      </c>
      <c r="Z26" s="12">
        <v>179388.4187333333</v>
      </c>
      <c r="AA26" s="12">
        <v>195696.45679999999</v>
      </c>
      <c r="AB26" s="12">
        <v>195696.45679999999</v>
      </c>
      <c r="AC26" s="12">
        <v>195696.45679999999</v>
      </c>
      <c r="AD26" s="12">
        <v>195696.45679999999</v>
      </c>
      <c r="AE26" s="12">
        <v>195696.45679999999</v>
      </c>
      <c r="AF26" s="12">
        <v>195696.45679999999</v>
      </c>
      <c r="AG26" s="12">
        <v>195696.45679999999</v>
      </c>
      <c r="AH26" s="12">
        <v>195696.45679999999</v>
      </c>
      <c r="AI26" s="12">
        <v>195696.45679999999</v>
      </c>
      <c r="AJ26" s="12">
        <v>195696.45679999999</v>
      </c>
      <c r="AK26" s="12">
        <v>195696.45679999999</v>
      </c>
      <c r="AL26" s="12">
        <v>195696.45679999999</v>
      </c>
      <c r="AM26" s="12">
        <v>195696.45679999999</v>
      </c>
      <c r="AN26" s="12">
        <v>195696.45679999999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_xlfn.LET(_xlpm.site,$B$1&amp;"-"&amp;$C$1,_xlpm.locations,Base!$D$4:$BD$4,_xlpm.rates,Base!$D32:$BD32,_xlpm.hours,Base!$D75:$BD75,_xlpm.comp,_xlpm.rates*_xlpm.hours,_xlpm.Customer,_xlfn.ANCHORARRAY($E$1),
_xlpm.Customer_comp,_xlfn.XLOOKUP(_xlpm.site,_xlpm.locations,_xlpm.comp,0,0),_xlpm.ann_incr,_xlfn.XLOOKUP(YEAR(_xlfn.ANCHORARRAY($E$25)),Base!$BJ$4:$BL$4,Base!$BJ75:$BL75,0,0),
_xlpm.bad_debt,_xlfn.XLOOKUP(_xlpm.site,_xlpm.locations,Base!$D$28:$BD$28,0,0),_xlpm.Customer_comp*_xlpm.Customer*_xlpm.bad_debt*_xlpm.ann_incr*(52/12))</f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12">
        <v>0</v>
      </c>
      <c r="AA27" s="12">
        <v>0</v>
      </c>
      <c r="AB27" s="12">
        <v>0</v>
      </c>
      <c r="AC27" s="12">
        <v>0</v>
      </c>
      <c r="AD27" s="12">
        <v>0</v>
      </c>
      <c r="AE27" s="12">
        <v>0</v>
      </c>
      <c r="AF27" s="12">
        <v>0</v>
      </c>
      <c r="AG27" s="12">
        <v>0</v>
      </c>
      <c r="AH27" s="12">
        <v>0</v>
      </c>
      <c r="AI27" s="12">
        <v>0</v>
      </c>
      <c r="AJ27" s="12">
        <v>0</v>
      </c>
      <c r="AK27" s="12">
        <v>0</v>
      </c>
      <c r="AL27" s="12">
        <v>0</v>
      </c>
      <c r="AM27" s="12">
        <v>0</v>
      </c>
      <c r="AN27" s="12">
        <v>0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_xlfn.LET(_xlpm.site,$B$1&amp;"-"&amp;$C$1,_xlpm.locations,Base!$D$4:$BD$4,_xlpm.rates,Base!$D33:$BD33,_xlpm.hours,Base!$D76:$BD76,_xlpm.comp,_xlpm.rates*_xlpm.hours,_xlpm.Customer,_xlfn.ANCHORARRAY($E$1),
_xlpm.Customer_comp,_xlfn.XLOOKUP(_xlpm.site,_xlpm.locations,_xlpm.comp,0,0),_xlpm.ann_incr,_xlfn.XLOOKUP(YEAR(_xlfn.ANCHORARRAY($E$25)),Base!$BJ$4:$BL$4,Base!$BJ76:$BL76,0,0),
_xlpm.bad_debt,_xlfn.XLOOKUP(_xlpm.site,_xlpm.locations,Base!$D$28:$BD$28,0,0),_xlpm.Customer_comp*_xlpm.Customer*_xlpm.bad_debt*_xlpm.ann_incr*(52/12))</f>
        <v>0</v>
      </c>
      <c r="F28" s="12">
        <v>0</v>
      </c>
      <c r="G28" s="12">
        <v>0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0</v>
      </c>
      <c r="N28" s="12">
        <v>1055.1969999999997</v>
      </c>
      <c r="O28" s="12">
        <v>3165.590999999999</v>
      </c>
      <c r="P28" s="12">
        <v>5275.9849999999979</v>
      </c>
      <c r="Q28" s="12">
        <v>6521.1174599999977</v>
      </c>
      <c r="R28" s="12">
        <v>8694.8232799999987</v>
      </c>
      <c r="S28" s="12">
        <v>10868.529099999996</v>
      </c>
      <c r="T28" s="12">
        <v>13042.234919999995</v>
      </c>
      <c r="U28" s="12">
        <v>14129.087829999997</v>
      </c>
      <c r="V28" s="12">
        <v>16302.793649999996</v>
      </c>
      <c r="W28" s="12">
        <v>18476.499469999999</v>
      </c>
      <c r="X28" s="12">
        <v>19563.352379999993</v>
      </c>
      <c r="Y28" s="12">
        <v>21737.058199999992</v>
      </c>
      <c r="Z28" s="12">
        <v>23910.764019999991</v>
      </c>
      <c r="AA28" s="12">
        <v>26084.469839999991</v>
      </c>
      <c r="AB28" s="12">
        <v>26084.469839999991</v>
      </c>
      <c r="AC28" s="12">
        <v>26084.469839999991</v>
      </c>
      <c r="AD28" s="12">
        <v>26084.469839999991</v>
      </c>
      <c r="AE28" s="12">
        <v>26084.469839999991</v>
      </c>
      <c r="AF28" s="12">
        <v>26084.469839999991</v>
      </c>
      <c r="AG28" s="12">
        <v>26084.469839999991</v>
      </c>
      <c r="AH28" s="12">
        <v>26084.469839999991</v>
      </c>
      <c r="AI28" s="12">
        <v>26084.469839999991</v>
      </c>
      <c r="AJ28" s="12">
        <v>26084.469839999991</v>
      </c>
      <c r="AK28" s="12">
        <v>26084.469839999991</v>
      </c>
      <c r="AL28" s="12">
        <v>26084.469839999991</v>
      </c>
      <c r="AM28" s="12">
        <v>26084.469839999991</v>
      </c>
      <c r="AN28" s="12">
        <v>26084.469839999991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_xlfn.LET(_xlpm.site,$B$1&amp;"-"&amp;$C$1,_xlpm.locations,Base!$D$4:$BD$4,_xlpm.rates,Base!$D34:$BD34,_xlpm.hours,Base!$D77:$BD77,_xlpm.comp,_xlpm.rates*_xlpm.hours,_xlpm.Customer,_xlfn.ANCHORARRAY($E$1),
_xlpm.Customer_comp,_xlfn.XLOOKUP(_xlpm.site,_xlpm.locations,_xlpm.comp,0,0),_xlpm.ann_incr,_xlfn.XLOOKUP(YEAR(_xlfn.ANCHORARRAY($E$25)),Base!$BJ$4:$BL$4,Base!$BJ77:$BL77,0,0),
_xlpm.bad_debt,_xlfn.XLOOKUP(_xlpm.site,_xlpm.locations,Base!$D$28:$BD$28,0,0),_xlpm.Customer_comp*_xlpm.Customer*_xlpm.bad_debt*_xlpm.ann_incr*(52/12))</f>
        <v>0</v>
      </c>
      <c r="F29" s="12">
        <v>0</v>
      </c>
      <c r="G29" s="12">
        <v>0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0</v>
      </c>
      <c r="N29" s="12">
        <v>162.33799999999999</v>
      </c>
      <c r="O29" s="12">
        <v>487.01399999999995</v>
      </c>
      <c r="P29" s="12">
        <v>811.68999999999994</v>
      </c>
      <c r="Q29" s="12">
        <v>1003.24884</v>
      </c>
      <c r="R29" s="12">
        <v>1337.6651199999999</v>
      </c>
      <c r="S29" s="12">
        <v>1672.0814</v>
      </c>
      <c r="T29" s="12">
        <v>2006.4976799999999</v>
      </c>
      <c r="U29" s="12">
        <v>2173.7058200000001</v>
      </c>
      <c r="V29" s="12">
        <v>2508.1221</v>
      </c>
      <c r="W29" s="12">
        <v>2842.5383799999995</v>
      </c>
      <c r="X29" s="12">
        <v>3009.7465200000001</v>
      </c>
      <c r="Y29" s="12">
        <v>3344.1628000000001</v>
      </c>
      <c r="Z29" s="12">
        <v>3678.5790799999995</v>
      </c>
      <c r="AA29" s="12">
        <v>4012.9953599999999</v>
      </c>
      <c r="AB29" s="12">
        <v>4012.9953599999999</v>
      </c>
      <c r="AC29" s="12">
        <v>4012.9953599999999</v>
      </c>
      <c r="AD29" s="12">
        <v>4012.9953599999999</v>
      </c>
      <c r="AE29" s="12">
        <v>4012.9953599999999</v>
      </c>
      <c r="AF29" s="12">
        <v>4012.9953599999999</v>
      </c>
      <c r="AG29" s="12">
        <v>4012.9953599999999</v>
      </c>
      <c r="AH29" s="12">
        <v>4012.9953599999999</v>
      </c>
      <c r="AI29" s="12">
        <v>4012.9953599999999</v>
      </c>
      <c r="AJ29" s="12">
        <v>4012.9953599999999</v>
      </c>
      <c r="AK29" s="12">
        <v>4012.9953599999999</v>
      </c>
      <c r="AL29" s="12">
        <v>4012.9953599999999</v>
      </c>
      <c r="AM29" s="12">
        <v>4012.9953599999999</v>
      </c>
      <c r="AN29" s="12">
        <v>4012.9953599999999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_xlfn.LET(_xlpm.site,$B$1&amp;"-"&amp;$C$1,_xlpm.locations,Base!$D$4:$BD$4,_xlpm.rates,Base!$D35:$BD35,_xlpm.hours,Base!$D78:$BD78,_xlpm.comp,_xlpm.rates*_xlpm.hours,_xlpm.Customer,_xlfn.ANCHORARRAY($E$1),
_xlpm.Customer_comp,_xlfn.XLOOKUP(_xlpm.site,_xlpm.locations,_xlpm.comp,0,0),_xlpm.ann_incr,_xlfn.XLOOKUP(YEAR(_xlfn.ANCHORARRAY($E$25)),Base!$BJ$4:$BL$4,Base!$BJ78:$BL78,0,0),
_xlpm.bad_debt,_xlfn.XLOOKUP(_xlpm.site,_xlpm.locations,Base!$D$28:$BD$28,0,0),_xlpm.Customer_comp*_xlpm.Customer*_xlpm.bad_debt*_xlpm.ann_incr*(52/12))</f>
        <v>0</v>
      </c>
      <c r="F30" s="12">
        <v>0</v>
      </c>
      <c r="G30" s="12">
        <v>0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0</v>
      </c>
      <c r="N30" s="12">
        <v>211.8133333333333</v>
      </c>
      <c r="O30" s="12">
        <v>635.43999999999994</v>
      </c>
      <c r="P30" s="12">
        <v>1059.0666666666666</v>
      </c>
      <c r="Q30" s="12">
        <v>1309.0063999999998</v>
      </c>
      <c r="R30" s="12">
        <v>1745.3418666666664</v>
      </c>
      <c r="S30" s="12">
        <v>2181.6773333333331</v>
      </c>
      <c r="T30" s="12">
        <v>2618.0127999999995</v>
      </c>
      <c r="U30" s="12">
        <v>2836.1805333333332</v>
      </c>
      <c r="V30" s="12">
        <v>3272.5159999999996</v>
      </c>
      <c r="W30" s="12">
        <v>3708.8514666666661</v>
      </c>
      <c r="X30" s="12">
        <v>3927.0191999999997</v>
      </c>
      <c r="Y30" s="12">
        <v>4363.3546666666662</v>
      </c>
      <c r="Z30" s="12">
        <v>4799.6901333333326</v>
      </c>
      <c r="AA30" s="12">
        <v>5236.025599999999</v>
      </c>
      <c r="AB30" s="12">
        <v>5236.025599999999</v>
      </c>
      <c r="AC30" s="12">
        <v>5236.025599999999</v>
      </c>
      <c r="AD30" s="12">
        <v>5236.025599999999</v>
      </c>
      <c r="AE30" s="12">
        <v>5236.025599999999</v>
      </c>
      <c r="AF30" s="12">
        <v>5236.025599999999</v>
      </c>
      <c r="AG30" s="12">
        <v>5236.025599999999</v>
      </c>
      <c r="AH30" s="12">
        <v>5236.025599999999</v>
      </c>
      <c r="AI30" s="12">
        <v>5236.025599999999</v>
      </c>
      <c r="AJ30" s="12">
        <v>5236.025599999999</v>
      </c>
      <c r="AK30" s="12">
        <v>5236.025599999999</v>
      </c>
      <c r="AL30" s="12">
        <v>5236.025599999999</v>
      </c>
      <c r="AM30" s="12">
        <v>5236.025599999999</v>
      </c>
      <c r="AN30" s="12">
        <v>5236.025599999999</v>
      </c>
    </row>
    <row r="31" spans="2:50" x14ac:dyDescent="0.25">
      <c r="B31" s="39" t="str">
        <f>Base!B36</f>
        <v>Tertiary Direct Staff - Service A</v>
      </c>
      <c r="C31" s="4"/>
      <c r="E31" s="183" cm="1">
        <f t="array" ref="E31:AN31">_xlfn.LET(_xlpm.site,$B$1&amp;"-"&amp;$C$1,_xlpm.locations,Base!$D$4:$BD$4,_xlpm.rates,Base!$D36:$BD36,_xlpm.hours,Base!$D79:$BD79,_xlpm.comp,_xlpm.rates*_xlpm.hours,_xlpm.Customer,_xlfn.ANCHORARRAY($E$1)*0,
_xlpm.Customer_comp,_xlfn.XLOOKUP(_xlpm.site,_xlpm.locations,_xlpm.comp,0,0),_xlpm.ann_incr,_xlfn.XLOOKUP(YEAR(_xlfn.ANCHORARRAY($E$25)),Base!$BJ$4:$BL$4,Base!$BJ79:$BL79,0,0),
_xlpm.bad_debt,_xlfn.XLOOKUP(_xlpm.site,_xlpm.locations,Base!$D$28:$BD$28,0,0),_xlpm.Customer_comp*_xlpm.Customer*_xlpm.bad_debt*_xlpm.ann_incr*(52/12))</f>
        <v>0</v>
      </c>
      <c r="F31" s="183">
        <v>0</v>
      </c>
      <c r="G31" s="183">
        <v>0</v>
      </c>
      <c r="H31" s="183">
        <v>0</v>
      </c>
      <c r="I31" s="183">
        <v>0</v>
      </c>
      <c r="J31" s="183">
        <v>0</v>
      </c>
      <c r="K31" s="183">
        <v>0</v>
      </c>
      <c r="L31" s="183">
        <v>0</v>
      </c>
      <c r="M31" s="183">
        <v>0</v>
      </c>
      <c r="N31" s="183">
        <v>0</v>
      </c>
      <c r="O31" s="183">
        <v>0</v>
      </c>
      <c r="P31" s="183">
        <v>0</v>
      </c>
      <c r="Q31" s="183">
        <v>0</v>
      </c>
      <c r="R31" s="183">
        <v>0</v>
      </c>
      <c r="S31" s="183">
        <v>0</v>
      </c>
      <c r="T31" s="183">
        <v>0</v>
      </c>
      <c r="U31" s="183">
        <v>0</v>
      </c>
      <c r="V31" s="183">
        <v>0</v>
      </c>
      <c r="W31" s="183">
        <v>0</v>
      </c>
      <c r="X31" s="183">
        <v>0</v>
      </c>
      <c r="Y31" s="183">
        <v>0</v>
      </c>
      <c r="Z31" s="183">
        <v>0</v>
      </c>
      <c r="AA31" s="183">
        <v>0</v>
      </c>
      <c r="AB31" s="183">
        <v>0</v>
      </c>
      <c r="AC31" s="183">
        <v>0</v>
      </c>
      <c r="AD31" s="183">
        <v>0</v>
      </c>
      <c r="AE31" s="183">
        <v>0</v>
      </c>
      <c r="AF31" s="183">
        <v>0</v>
      </c>
      <c r="AG31" s="183">
        <v>0</v>
      </c>
      <c r="AH31" s="183">
        <v>0</v>
      </c>
      <c r="AI31" s="183">
        <v>0</v>
      </c>
      <c r="AJ31" s="183">
        <v>0</v>
      </c>
      <c r="AK31" s="183">
        <v>0</v>
      </c>
      <c r="AL31" s="183">
        <v>0</v>
      </c>
      <c r="AM31" s="183">
        <v>0</v>
      </c>
      <c r="AN31" s="183">
        <v>0</v>
      </c>
    </row>
    <row r="32" spans="2:50" x14ac:dyDescent="0.25">
      <c r="B32" s="39" t="str">
        <f>Base!B37</f>
        <v>Tertiary Direct Staff - Service B</v>
      </c>
      <c r="C32" s="4"/>
      <c r="E32" s="183" cm="1">
        <f t="array" ref="E32:AN32">_xlfn.LET(_xlpm.site,$B$1&amp;"-"&amp;$C$1,_xlpm.locations,Base!$D$4:$BD$4,_xlpm.rates,Base!$D37:$BD37,_xlpm.hours,Base!$D80:$BD80,_xlpm.comp,_xlpm.rates*_xlpm.hours,_xlpm.Customer,_xlfn.ANCHORARRAY($E$1)*0,
_xlpm.Customer_comp,_xlfn.XLOOKUP(_xlpm.site,_xlpm.locations,_xlpm.comp,0,0),_xlpm.ann_incr,_xlfn.XLOOKUP(YEAR(_xlfn.ANCHORARRAY($E$25)),Base!$BJ$4:$BL$4,Base!$BJ80:$BL80,0,0),
_xlpm.bad_debt,_xlfn.XLOOKUP(_xlpm.site,_xlpm.locations,Base!$D$28:$BD$28,0,0),_xlpm.Customer_comp*_xlpm.Customer*_xlpm.bad_debt*_xlpm.ann_incr*(52/12))</f>
        <v>0</v>
      </c>
      <c r="F32" s="183">
        <v>0</v>
      </c>
      <c r="G32" s="183">
        <v>0</v>
      </c>
      <c r="H32" s="183">
        <v>0</v>
      </c>
      <c r="I32" s="183">
        <v>0</v>
      </c>
      <c r="J32" s="183">
        <v>0</v>
      </c>
      <c r="K32" s="183">
        <v>0</v>
      </c>
      <c r="L32" s="183">
        <v>0</v>
      </c>
      <c r="M32" s="183">
        <v>0</v>
      </c>
      <c r="N32" s="183">
        <v>0</v>
      </c>
      <c r="O32" s="183">
        <v>0</v>
      </c>
      <c r="P32" s="183">
        <v>0</v>
      </c>
      <c r="Q32" s="183">
        <v>0</v>
      </c>
      <c r="R32" s="183">
        <v>0</v>
      </c>
      <c r="S32" s="183">
        <v>0</v>
      </c>
      <c r="T32" s="183">
        <v>0</v>
      </c>
      <c r="U32" s="183">
        <v>0</v>
      </c>
      <c r="V32" s="183">
        <v>0</v>
      </c>
      <c r="W32" s="183">
        <v>0</v>
      </c>
      <c r="X32" s="183">
        <v>0</v>
      </c>
      <c r="Y32" s="183">
        <v>0</v>
      </c>
      <c r="Z32" s="183">
        <v>0</v>
      </c>
      <c r="AA32" s="183">
        <v>0</v>
      </c>
      <c r="AB32" s="183">
        <v>0</v>
      </c>
      <c r="AC32" s="183">
        <v>0</v>
      </c>
      <c r="AD32" s="183">
        <v>0</v>
      </c>
      <c r="AE32" s="183">
        <v>0</v>
      </c>
      <c r="AF32" s="183">
        <v>0</v>
      </c>
      <c r="AG32" s="183">
        <v>0</v>
      </c>
      <c r="AH32" s="183">
        <v>0</v>
      </c>
      <c r="AI32" s="183">
        <v>0</v>
      </c>
      <c r="AJ32" s="183">
        <v>0</v>
      </c>
      <c r="AK32" s="183">
        <v>0</v>
      </c>
      <c r="AL32" s="183">
        <v>0</v>
      </c>
      <c r="AM32" s="183">
        <v>0</v>
      </c>
      <c r="AN32" s="183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_xlpm.Customer,_xlfn.ANCHORARRAY($E$2),_xlpm.ann_incr,_xlfn.XLOOKUP(YEAR(_xlfn.ANCHORARRAY($E$25)),Base!$BJ$4:$BL$4,Base!$BJ$81:$BL$81,0,0),
_xlpm.bad_debt,_xlfn.XLOOKUP(_xlpm.site,_xlpm.locations,Base!$D$28:$BD$28,0,0),
_xlpm.comp*_xlpm.bad_debt*_xlpm.ann_incr*(52/12))</f>
        <v>0</v>
      </c>
      <c r="F33" s="12">
        <v>0</v>
      </c>
      <c r="G33" s="12">
        <v>0</v>
      </c>
      <c r="H33" s="12">
        <v>0</v>
      </c>
      <c r="I33" s="12">
        <v>0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2">
        <v>0</v>
      </c>
      <c r="Y33" s="12">
        <v>0</v>
      </c>
      <c r="Z33" s="12">
        <v>0</v>
      </c>
      <c r="AA33" s="12">
        <v>0</v>
      </c>
      <c r="AB33" s="12">
        <v>0</v>
      </c>
      <c r="AC33" s="12">
        <v>0</v>
      </c>
      <c r="AD33" s="12">
        <v>0</v>
      </c>
      <c r="AE33" s="12">
        <v>0</v>
      </c>
      <c r="AF33" s="12">
        <v>0</v>
      </c>
      <c r="AG33" s="12">
        <v>0</v>
      </c>
      <c r="AH33" s="12">
        <v>0</v>
      </c>
      <c r="AI33" s="12">
        <v>0</v>
      </c>
      <c r="AJ33" s="12">
        <v>0</v>
      </c>
      <c r="AK33" s="12">
        <v>0</v>
      </c>
      <c r="AL33" s="12">
        <v>0</v>
      </c>
      <c r="AM33" s="12">
        <v>0</v>
      </c>
      <c r="AN33" s="12">
        <v>0</v>
      </c>
    </row>
    <row r="34" spans="2:40" x14ac:dyDescent="0.25">
      <c r="B34" s="39" t="str">
        <f>Base!B39</f>
        <v>Quinary Direct Staff - Service A</v>
      </c>
      <c r="C34" s="4"/>
      <c r="E34" s="183" cm="1">
        <f t="array" ref="E34:AN34">_xlfn.LET(_xlpm.site,$B$1&amp;"-"&amp;$C$1,_xlpm.locations,Base!$D$4:$BD$4,_xlpm.rates,Base!$D39:$BD39,_xlpm.hours,Base!$D82:$BD82,_xlpm.comp,_xlpm.rates*_xlpm.hours,_xlpm.Customer,_xlfn.ANCHORARRAY($E$1)*0,
_xlpm.Customer_comp,_xlfn.XLOOKUP(_xlpm.site,_xlpm.locations,_xlpm.comp,0,0),_xlpm.ann_incr,_xlfn.XLOOKUP(YEAR(_xlfn.ANCHORARRAY($E$25)),Base!$BJ$4:$BL$4,Base!$BJ82:$BL82,0,0),
_xlpm.bad_debt,_xlfn.XLOOKUP(_xlpm.site,_xlpm.locations,Base!$D$28:$BD$28,0,0),_xlpm.Customer_comp*_xlpm.Customer*_xlpm.bad_debt*_xlpm.ann_incr*(52/12))</f>
        <v>0</v>
      </c>
      <c r="F34" s="183">
        <v>0</v>
      </c>
      <c r="G34" s="183">
        <v>0</v>
      </c>
      <c r="H34" s="183">
        <v>0</v>
      </c>
      <c r="I34" s="183">
        <v>0</v>
      </c>
      <c r="J34" s="183">
        <v>0</v>
      </c>
      <c r="K34" s="183">
        <v>0</v>
      </c>
      <c r="L34" s="183">
        <v>0</v>
      </c>
      <c r="M34" s="183">
        <v>0</v>
      </c>
      <c r="N34" s="183">
        <v>0</v>
      </c>
      <c r="O34" s="183">
        <v>0</v>
      </c>
      <c r="P34" s="183">
        <v>0</v>
      </c>
      <c r="Q34" s="183">
        <v>0</v>
      </c>
      <c r="R34" s="183">
        <v>0</v>
      </c>
      <c r="S34" s="183">
        <v>0</v>
      </c>
      <c r="T34" s="183">
        <v>0</v>
      </c>
      <c r="U34" s="183">
        <v>0</v>
      </c>
      <c r="V34" s="183">
        <v>0</v>
      </c>
      <c r="W34" s="183">
        <v>0</v>
      </c>
      <c r="X34" s="183">
        <v>0</v>
      </c>
      <c r="Y34" s="183">
        <v>0</v>
      </c>
      <c r="Z34" s="183">
        <v>0</v>
      </c>
      <c r="AA34" s="183">
        <v>0</v>
      </c>
      <c r="AB34" s="183">
        <v>0</v>
      </c>
      <c r="AC34" s="183">
        <v>0</v>
      </c>
      <c r="AD34" s="183">
        <v>0</v>
      </c>
      <c r="AE34" s="183">
        <v>0</v>
      </c>
      <c r="AF34" s="183">
        <v>0</v>
      </c>
      <c r="AG34" s="183">
        <v>0</v>
      </c>
      <c r="AH34" s="183">
        <v>0</v>
      </c>
      <c r="AI34" s="183">
        <v>0</v>
      </c>
      <c r="AJ34" s="183">
        <v>0</v>
      </c>
      <c r="AK34" s="183">
        <v>0</v>
      </c>
      <c r="AL34" s="183">
        <v>0</v>
      </c>
      <c r="AM34" s="183">
        <v>0</v>
      </c>
      <c r="AN34" s="183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0</v>
      </c>
      <c r="F35" s="12">
        <v>0</v>
      </c>
      <c r="G35" s="12">
        <v>0</v>
      </c>
      <c r="H35" s="12">
        <v>0</v>
      </c>
      <c r="I35" s="12">
        <v>0</v>
      </c>
      <c r="J35" s="12">
        <v>0</v>
      </c>
      <c r="K35" s="12">
        <v>0</v>
      </c>
      <c r="L35" s="12">
        <v>0</v>
      </c>
      <c r="M35" s="12">
        <v>0</v>
      </c>
      <c r="N35" s="12">
        <v>-1121.5046</v>
      </c>
      <c r="O35" s="12">
        <v>-3364.5137999999997</v>
      </c>
      <c r="P35" s="12">
        <v>-5607.5229999999992</v>
      </c>
      <c r="Q35" s="12">
        <v>-6930.8984279999986</v>
      </c>
      <c r="R35" s="12">
        <v>-9241.1979040000006</v>
      </c>
      <c r="S35" s="12">
        <v>-11551.497379999997</v>
      </c>
      <c r="T35" s="12">
        <v>-13861.796855999997</v>
      </c>
      <c r="U35" s="12">
        <v>-15016.946594000001</v>
      </c>
      <c r="V35" s="12">
        <v>-17327.246069999997</v>
      </c>
      <c r="W35" s="12">
        <v>-19637.545546000001</v>
      </c>
      <c r="X35" s="12">
        <v>-20792.695283999998</v>
      </c>
      <c r="Y35" s="12">
        <v>-23102.994759999994</v>
      </c>
      <c r="Z35" s="12">
        <v>-25413.294235999994</v>
      </c>
      <c r="AA35" s="12">
        <v>-27723.593711999994</v>
      </c>
      <c r="AB35" s="12">
        <v>-27723.593711999994</v>
      </c>
      <c r="AC35" s="12">
        <v>-27723.593711999994</v>
      </c>
      <c r="AD35" s="12">
        <v>-27723.593711999994</v>
      </c>
      <c r="AE35" s="12">
        <v>-27723.593711999994</v>
      </c>
      <c r="AF35" s="12">
        <v>-27723.593711999994</v>
      </c>
      <c r="AG35" s="12">
        <v>-27723.593711999994</v>
      </c>
      <c r="AH35" s="12">
        <v>-27723.593711999994</v>
      </c>
      <c r="AI35" s="12">
        <v>-27723.593711999994</v>
      </c>
      <c r="AJ35" s="12">
        <v>-27723.593711999994</v>
      </c>
      <c r="AK35" s="12">
        <v>-27723.593711999994</v>
      </c>
      <c r="AL35" s="12">
        <v>-27723.593711999994</v>
      </c>
      <c r="AM35" s="12">
        <v>-27723.593711999994</v>
      </c>
      <c r="AN35" s="12">
        <v>-27723.593711999994</v>
      </c>
    </row>
    <row r="36" spans="2:40" x14ac:dyDescent="0.25">
      <c r="B36" s="39" t="s">
        <v>261</v>
      </c>
      <c r="C36" s="15"/>
      <c r="E36" s="183" cm="1">
        <f t="array" ref="E36:AN36">_xlfn.BYCOL(_xlfn.ANCHORARRAY($E$25),_xlfn.LAMBDA(_xlpm.a,0))</f>
        <v>0</v>
      </c>
      <c r="F36" s="183">
        <v>0</v>
      </c>
      <c r="G36" s="183">
        <v>0</v>
      </c>
      <c r="H36" s="183">
        <v>0</v>
      </c>
      <c r="I36" s="183">
        <v>0</v>
      </c>
      <c r="J36" s="183">
        <v>0</v>
      </c>
      <c r="K36" s="183">
        <v>0</v>
      </c>
      <c r="L36" s="183">
        <v>0</v>
      </c>
      <c r="M36" s="183">
        <v>0</v>
      </c>
      <c r="N36" s="183">
        <v>0</v>
      </c>
      <c r="O36" s="183">
        <v>0</v>
      </c>
      <c r="P36" s="183">
        <v>0</v>
      </c>
      <c r="Q36" s="183">
        <v>0</v>
      </c>
      <c r="R36" s="183">
        <v>0</v>
      </c>
      <c r="S36" s="183">
        <v>0</v>
      </c>
      <c r="T36" s="183">
        <v>0</v>
      </c>
      <c r="U36" s="183">
        <v>0</v>
      </c>
      <c r="V36" s="183">
        <v>0</v>
      </c>
      <c r="W36" s="183">
        <v>0</v>
      </c>
      <c r="X36" s="183">
        <v>0</v>
      </c>
      <c r="Y36" s="183">
        <v>0</v>
      </c>
      <c r="Z36" s="183">
        <v>0</v>
      </c>
      <c r="AA36" s="183">
        <v>0</v>
      </c>
      <c r="AB36" s="183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271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8224.3670666666658</v>
      </c>
      <c r="O37" s="13">
        <v>24673.101199999997</v>
      </c>
      <c r="P37" s="13">
        <v>41121.835333333329</v>
      </c>
      <c r="Q37" s="13">
        <v>50826.588471999989</v>
      </c>
      <c r="R37" s="13">
        <v>67768.784629333342</v>
      </c>
      <c r="S37" s="13">
        <v>84710.980786666638</v>
      </c>
      <c r="T37" s="13">
        <v>101653.17694399998</v>
      </c>
      <c r="U37" s="13">
        <v>110124.27502266667</v>
      </c>
      <c r="V37" s="13">
        <v>127066.47117999999</v>
      </c>
      <c r="W37" s="13">
        <v>144008.66733733335</v>
      </c>
      <c r="X37" s="13">
        <v>152479.76541600001</v>
      </c>
      <c r="Y37" s="13">
        <v>169421.96157333328</v>
      </c>
      <c r="Z37" s="13">
        <v>186364.15773066663</v>
      </c>
      <c r="AA37" s="13">
        <v>203306.35388799995</v>
      </c>
      <c r="AB37" s="13">
        <v>203306.35388799995</v>
      </c>
      <c r="AC37" s="13">
        <v>203306.35388799995</v>
      </c>
      <c r="AD37" s="13">
        <v>203306.35388799995</v>
      </c>
      <c r="AE37" s="13">
        <v>203306.35388799995</v>
      </c>
      <c r="AF37" s="13">
        <v>203306.35388799995</v>
      </c>
      <c r="AG37" s="13">
        <v>203306.35388799995</v>
      </c>
      <c r="AH37" s="13">
        <v>203306.35388799995</v>
      </c>
      <c r="AI37" s="13">
        <v>203306.35388799995</v>
      </c>
      <c r="AJ37" s="13">
        <v>203306.35388799995</v>
      </c>
      <c r="AK37" s="13">
        <v>203306.35388799995</v>
      </c>
      <c r="AL37" s="13">
        <v>203306.35388799995</v>
      </c>
      <c r="AM37" s="13">
        <v>203306.35388799995</v>
      </c>
      <c r="AN37" s="13">
        <v>203306.35388799995</v>
      </c>
    </row>
    <row r="38" spans="2:40" x14ac:dyDescent="0.25">
      <c r="E38" s="67"/>
      <c r="F38" s="67"/>
    </row>
    <row r="39" spans="2:40" x14ac:dyDescent="0.25">
      <c r="B39" s="1" t="s">
        <v>118</v>
      </c>
    </row>
    <row r="40" spans="2:40" x14ac:dyDescent="0.25">
      <c r="B40" s="39" t="s">
        <v>23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0</v>
      </c>
      <c r="F40" s="12">
        <v>0</v>
      </c>
      <c r="G40" s="12">
        <v>0</v>
      </c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0</v>
      </c>
      <c r="N40" s="12">
        <v>12012.392971067167</v>
      </c>
      <c r="O40" s="12">
        <v>25667.803902090389</v>
      </c>
      <c r="P40" s="12">
        <v>29810.248166446938</v>
      </c>
      <c r="Q40" s="12">
        <v>35591.182328487739</v>
      </c>
      <c r="R40" s="12">
        <v>40441.351019279944</v>
      </c>
      <c r="S40" s="12">
        <v>45001.229710072163</v>
      </c>
      <c r="T40" s="12">
        <v>49981.624656975473</v>
      </c>
      <c r="U40" s="12">
        <v>52711.354002371576</v>
      </c>
      <c r="V40" s="12">
        <v>57338.222693163792</v>
      </c>
      <c r="W40" s="12">
        <v>62188.391383956012</v>
      </c>
      <c r="X40" s="12">
        <v>64918.120729352093</v>
      </c>
      <c r="Y40" s="12">
        <v>69544.989420144324</v>
      </c>
      <c r="Z40" s="12">
        <v>74420.646033714307</v>
      </c>
      <c r="AA40" s="12">
        <v>75982.456391173182</v>
      </c>
      <c r="AB40" s="12">
        <v>75982.456391173182</v>
      </c>
      <c r="AC40" s="12">
        <v>83580.702030290515</v>
      </c>
      <c r="AD40" s="12">
        <v>83580.702030290515</v>
      </c>
      <c r="AE40" s="12">
        <v>83580.702030290515</v>
      </c>
      <c r="AF40" s="12">
        <v>83580.702030290515</v>
      </c>
      <c r="AG40" s="12">
        <v>83580.702030290515</v>
      </c>
      <c r="AH40" s="12">
        <v>83580.702030290515</v>
      </c>
      <c r="AI40" s="12">
        <v>83580.702030290515</v>
      </c>
      <c r="AJ40" s="12">
        <v>83580.702030290515</v>
      </c>
      <c r="AK40" s="12">
        <v>83580.702030290515</v>
      </c>
      <c r="AL40" s="12">
        <v>83580.702030290515</v>
      </c>
      <c r="AM40" s="12">
        <v>83580.702030290515</v>
      </c>
      <c r="AN40" s="12">
        <v>83580.702030290515</v>
      </c>
    </row>
    <row r="41" spans="2:40" x14ac:dyDescent="0.25">
      <c r="B41" s="39" t="s">
        <v>388</v>
      </c>
      <c r="C41" s="142">
        <f>_xlfn.XLOOKUP($B$1&amp;"-"&amp;$C$1,Base!$D$4:$BD$4,Base!$D$12:$BD$12,0,0)</f>
        <v>0</v>
      </c>
      <c r="E41" s="183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28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0</v>
      </c>
      <c r="AJ42" s="12">
        <v>0</v>
      </c>
      <c r="AK42" s="12">
        <v>0</v>
      </c>
      <c r="AL42" s="12">
        <v>0</v>
      </c>
      <c r="AM42" s="12">
        <v>0</v>
      </c>
      <c r="AN42" s="12">
        <v>0</v>
      </c>
    </row>
    <row r="43" spans="2:40" x14ac:dyDescent="0.25">
      <c r="B43" s="39" t="s">
        <v>31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0</v>
      </c>
      <c r="X43" s="12">
        <v>0</v>
      </c>
      <c r="Y43" s="12">
        <v>0</v>
      </c>
      <c r="Z43" s="12">
        <v>0</v>
      </c>
      <c r="AA43" s="12">
        <v>0</v>
      </c>
      <c r="AB43" s="12">
        <v>0</v>
      </c>
      <c r="AC43" s="12">
        <v>0</v>
      </c>
      <c r="AD43" s="12">
        <v>0</v>
      </c>
      <c r="AE43" s="12">
        <v>0</v>
      </c>
      <c r="AF43" s="12">
        <v>0</v>
      </c>
      <c r="AG43" s="12">
        <v>0</v>
      </c>
      <c r="AH43" s="12">
        <v>0</v>
      </c>
      <c r="AI43" s="12">
        <v>0</v>
      </c>
      <c r="AJ43" s="12">
        <v>0</v>
      </c>
      <c r="AK43" s="12">
        <v>0</v>
      </c>
      <c r="AL43" s="12">
        <v>0</v>
      </c>
      <c r="AM43" s="12">
        <v>0</v>
      </c>
      <c r="AN43" s="12">
        <v>0</v>
      </c>
    </row>
    <row r="44" spans="2:40" x14ac:dyDescent="0.25">
      <c r="B44" s="39" t="s">
        <v>34</v>
      </c>
      <c r="C44" s="96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350.41759999999999</v>
      </c>
      <c r="O44" s="12">
        <v>849.08879999999999</v>
      </c>
      <c r="P44" s="12">
        <v>865.93580000000009</v>
      </c>
      <c r="Q44" s="12">
        <v>928.60663999999997</v>
      </c>
      <c r="R44" s="12">
        <v>956.64004799999998</v>
      </c>
      <c r="S44" s="12">
        <v>974.16092800000001</v>
      </c>
      <c r="T44" s="12">
        <v>1002.1943359999998</v>
      </c>
      <c r="U44" s="12">
        <v>1026.7235680000001</v>
      </c>
      <c r="V44" s="12">
        <v>1047.7486240000003</v>
      </c>
      <c r="W44" s="12">
        <v>1075.7820319999998</v>
      </c>
      <c r="X44" s="12">
        <v>1100.3112639999999</v>
      </c>
      <c r="Y44" s="12">
        <v>1121.3363200000001</v>
      </c>
      <c r="Z44" s="12">
        <v>1149.3697279999999</v>
      </c>
      <c r="AA44" s="12">
        <v>1030.227744</v>
      </c>
      <c r="AB44" s="12">
        <v>1030.227744</v>
      </c>
      <c r="AC44" s="12">
        <v>1071.4368537600003</v>
      </c>
      <c r="AD44" s="12">
        <v>1071.4368537600003</v>
      </c>
      <c r="AE44" s="12">
        <v>1071.4368537600003</v>
      </c>
      <c r="AF44" s="12">
        <v>1071.4368537600003</v>
      </c>
      <c r="AG44" s="12">
        <v>1071.4368537600003</v>
      </c>
      <c r="AH44" s="12">
        <v>1071.4368537600003</v>
      </c>
      <c r="AI44" s="12">
        <v>1071.4368537600003</v>
      </c>
      <c r="AJ44" s="12">
        <v>1071.4368537600003</v>
      </c>
      <c r="AK44" s="12">
        <v>1071.4368537600003</v>
      </c>
      <c r="AL44" s="12">
        <v>1071.4368537600003</v>
      </c>
      <c r="AM44" s="12">
        <v>1071.4368537600003</v>
      </c>
      <c r="AN44" s="12">
        <v>1071.4368537600003</v>
      </c>
    </row>
    <row r="45" spans="2:40" x14ac:dyDescent="0.25">
      <c r="B45" s="39" t="s">
        <v>36</v>
      </c>
      <c r="C45" s="96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0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12">
        <v>0</v>
      </c>
      <c r="R45" s="12">
        <v>0</v>
      </c>
      <c r="S45" s="12">
        <v>0</v>
      </c>
      <c r="T45" s="12">
        <v>0</v>
      </c>
      <c r="U45" s="12">
        <v>0</v>
      </c>
      <c r="V45" s="12">
        <v>0</v>
      </c>
      <c r="W45" s="12">
        <v>0</v>
      </c>
      <c r="X45" s="12">
        <v>0</v>
      </c>
      <c r="Y45" s="12">
        <v>0</v>
      </c>
      <c r="Z45" s="12">
        <v>0</v>
      </c>
      <c r="AA45" s="12">
        <v>0</v>
      </c>
      <c r="AB45" s="12">
        <v>0</v>
      </c>
      <c r="AC45" s="12">
        <v>0</v>
      </c>
      <c r="AD45" s="12">
        <v>0</v>
      </c>
      <c r="AE45" s="12">
        <v>0</v>
      </c>
      <c r="AF45" s="12">
        <v>0</v>
      </c>
      <c r="AG45" s="12">
        <v>0</v>
      </c>
      <c r="AH45" s="12">
        <v>0</v>
      </c>
      <c r="AI45" s="12">
        <v>0</v>
      </c>
      <c r="AJ45" s="12">
        <v>0</v>
      </c>
      <c r="AK45" s="12">
        <v>0</v>
      </c>
      <c r="AL45" s="12">
        <v>0</v>
      </c>
      <c r="AM45" s="12">
        <v>0</v>
      </c>
      <c r="AN45" s="12">
        <v>0</v>
      </c>
    </row>
    <row r="46" spans="2:40" x14ac:dyDescent="0.25">
      <c r="B46" s="39" t="s">
        <v>38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0</v>
      </c>
      <c r="F46" s="12">
        <v>0</v>
      </c>
      <c r="G46" s="12">
        <v>0</v>
      </c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0</v>
      </c>
      <c r="N46" s="12">
        <v>2160</v>
      </c>
      <c r="O46" s="12">
        <v>3439.9999999999995</v>
      </c>
      <c r="P46" s="12">
        <v>4004.9999999999995</v>
      </c>
      <c r="Q46" s="12">
        <v>4401.3</v>
      </c>
      <c r="R46" s="12">
        <v>4992.9000000000005</v>
      </c>
      <c r="S46" s="12">
        <v>5569.1999999999989</v>
      </c>
      <c r="T46" s="12">
        <v>6171.0000000000009</v>
      </c>
      <c r="U46" s="12">
        <v>6482.1000000000013</v>
      </c>
      <c r="V46" s="12">
        <v>7063.5000000000009</v>
      </c>
      <c r="W46" s="12">
        <v>7655.1</v>
      </c>
      <c r="X46" s="12">
        <v>7966.1999999999989</v>
      </c>
      <c r="Y46" s="12">
        <v>8547.6</v>
      </c>
      <c r="Z46" s="12">
        <v>9144.2999999999993</v>
      </c>
      <c r="AA46" s="12">
        <v>9526.7999999999993</v>
      </c>
      <c r="AB46" s="12">
        <v>9526.7999999999993</v>
      </c>
      <c r="AC46" s="12">
        <v>9717.3359999999993</v>
      </c>
      <c r="AD46" s="12">
        <v>9717.3359999999993</v>
      </c>
      <c r="AE46" s="12">
        <v>9717.3359999999993</v>
      </c>
      <c r="AF46" s="12">
        <v>9717.3359999999993</v>
      </c>
      <c r="AG46" s="12">
        <v>9717.3359999999993</v>
      </c>
      <c r="AH46" s="12">
        <v>9717.3359999999993</v>
      </c>
      <c r="AI46" s="12">
        <v>9717.3359999999993</v>
      </c>
      <c r="AJ46" s="12">
        <v>9717.3359999999993</v>
      </c>
      <c r="AK46" s="12">
        <v>9717.3359999999993</v>
      </c>
      <c r="AL46" s="12">
        <v>9717.3359999999993</v>
      </c>
      <c r="AM46" s="12">
        <v>9717.3359999999993</v>
      </c>
      <c r="AN46" s="12">
        <v>9717.3359999999993</v>
      </c>
    </row>
    <row r="47" spans="2:40" x14ac:dyDescent="0.25">
      <c r="B47" s="39" t="s">
        <v>40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  <c r="O47" s="12">
        <v>0</v>
      </c>
      <c r="P47" s="12">
        <v>0</v>
      </c>
      <c r="Q47" s="12">
        <v>0</v>
      </c>
      <c r="R47" s="12">
        <v>0</v>
      </c>
      <c r="S47" s="12">
        <v>0</v>
      </c>
      <c r="T47" s="12">
        <v>0</v>
      </c>
      <c r="U47" s="12">
        <v>0</v>
      </c>
      <c r="V47" s="12">
        <v>0</v>
      </c>
      <c r="W47" s="12">
        <v>0</v>
      </c>
      <c r="X47" s="12">
        <v>0</v>
      </c>
      <c r="Y47" s="12">
        <v>0</v>
      </c>
      <c r="Z47" s="12">
        <v>0</v>
      </c>
      <c r="AA47" s="12">
        <v>0</v>
      </c>
      <c r="AB47" s="12">
        <v>0</v>
      </c>
      <c r="AC47" s="12">
        <v>0</v>
      </c>
      <c r="AD47" s="12">
        <v>0</v>
      </c>
      <c r="AE47" s="12">
        <v>0</v>
      </c>
      <c r="AF47" s="12">
        <v>0</v>
      </c>
      <c r="AG47" s="12">
        <v>0</v>
      </c>
      <c r="AH47" s="12">
        <v>0</v>
      </c>
      <c r="AI47" s="12">
        <v>0</v>
      </c>
      <c r="AJ47" s="12">
        <v>0</v>
      </c>
      <c r="AK47" s="12">
        <v>0</v>
      </c>
      <c r="AL47" s="12">
        <v>0</v>
      </c>
      <c r="AM47" s="12">
        <v>0</v>
      </c>
      <c r="AN47" s="12">
        <v>0</v>
      </c>
    </row>
    <row r="48" spans="2:40" x14ac:dyDescent="0.25">
      <c r="B48" s="39" t="s">
        <v>41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42</v>
      </c>
      <c r="E49" s="12">
        <f>'Corp.'!E$50*(E$37-(E31-E32-E34)*$C$35)/(SUM('MDA1:NCA9'!E$37)-SUM('MDA1:NCA9'!E$31)-SUM('MDA1:NCA9'!E$32)-SUM('MDA1:NCA9'!E$34))</f>
        <v>0</v>
      </c>
      <c r="F49" s="12">
        <f>'Corp.'!F$50*(F$37-(F31-F32-F34)*$C$35)/(SUM('MDA1:NCA9'!F$37)-SUM('MDA1:NCA9'!F$31)-SUM('MDA1:NCA9'!F$32)-SUM('MDA1:NCA9'!F$34))</f>
        <v>0</v>
      </c>
      <c r="G49" s="12">
        <f>'Corp.'!G$50*(G$37-(G31-G32-G34)*$C$35)/(SUM('MDA1:NCA9'!G$37)-SUM('MDA1:NCA9'!G$31)-SUM('MDA1:NCA9'!G$32)-SUM('MDA1:NCA9'!G$34))</f>
        <v>0</v>
      </c>
      <c r="H49" s="12">
        <f>'Corp.'!H$50*(H$37-(H31-H32-H34)*$C$35)/(SUM('MDA1:NCA9'!H$37)-SUM('MDA1:NCA9'!H$31)-SUM('MDA1:NCA9'!H$32)-SUM('MDA1:NCA9'!H$34))</f>
        <v>0</v>
      </c>
      <c r="I49" s="12">
        <f>'Corp.'!I$50*(I$37-(I31-I32-I34)*$C$35)/(SUM('MDA1:NCA9'!I$37)-SUM('MDA1:NCA9'!I$31)-SUM('MDA1:NCA9'!I$32)-SUM('MDA1:NCA9'!I$34))</f>
        <v>0</v>
      </c>
      <c r="J49" s="12">
        <f>'Corp.'!J$50*(J$37-(J31-J32-J34)*$C$35)/(SUM('MDA1:NCA9'!J$37)-SUM('MDA1:NCA9'!J$31)-SUM('MDA1:NCA9'!J$32)-SUM('MDA1:NCA9'!J$34))</f>
        <v>0</v>
      </c>
      <c r="K49" s="12">
        <f>'Corp.'!K$50*(K$37-(K31-K32-K34)*$C$35)/(SUM('MDA1:NCA9'!K$37)-SUM('MDA1:NCA9'!K$31)-SUM('MDA1:NCA9'!K$32)-SUM('MDA1:NCA9'!K$34))</f>
        <v>0</v>
      </c>
      <c r="L49" s="12">
        <f>'Corp.'!L$50*(L$37-(L31-L32-L34)*$C$35)/(SUM('MDA1:NCA9'!L$37)-SUM('MDA1:NCA9'!L$31)-SUM('MDA1:NCA9'!L$32)-SUM('MDA1:NCA9'!L$34))</f>
        <v>0</v>
      </c>
      <c r="M49" s="12">
        <f>'Corp.'!M$50*(M$37-(M31-M32-M34)*$C$35)/(SUM('MDA1:NCA9'!M$37)-SUM('MDA1:NCA9'!M$31)-SUM('MDA1:NCA9'!M$32)-SUM('MDA1:NCA9'!M$34))</f>
        <v>0</v>
      </c>
      <c r="N49" s="12">
        <f>'Corp.'!N$50*(N$37-(N31-N32-N34)*$C$35)/(SUM('MDA1:NCA9'!N$37)-SUM('MDA1:NCA9'!N$31)-SUM('MDA1:NCA9'!N$32)-SUM('MDA1:NCA9'!N$34))</f>
        <v>1435.3911381436239</v>
      </c>
      <c r="O49" s="12">
        <f>'Corp.'!O$50*(O$37-(O31-O32-O34)*$C$35)/(SUM('MDA1:NCA9'!O$37)-SUM('MDA1:NCA9'!O$31)-SUM('MDA1:NCA9'!O$32)-SUM('MDA1:NCA9'!O$34))</f>
        <v>4030.1436196176683</v>
      </c>
      <c r="P49" s="12">
        <f>'Corp.'!P$50*(P$37-(P31-P32-P34)*$C$35)/(SUM('MDA1:NCA9'!P$37)-SUM('MDA1:NCA9'!P$31)-SUM('MDA1:NCA9'!P$32)-SUM('MDA1:NCA9'!P$34))</f>
        <v>6338.3906047598357</v>
      </c>
      <c r="Q49" s="12">
        <f>'Corp.'!Q$50*(Q$37-(Q31-Q32-Q34)*$C$35)/(SUM('MDA1:NCA9'!Q$37)-SUM('MDA1:NCA9'!Q$31)-SUM('MDA1:NCA9'!Q$32)-SUM('MDA1:NCA9'!Q$34))</f>
        <v>7862.9859615118112</v>
      </c>
      <c r="R49" s="12">
        <f>'Corp.'!R$50*(R$37-(R31-R32-R34)*$C$35)/(SUM('MDA1:NCA9'!R$37)-SUM('MDA1:NCA9'!R$31)-SUM('MDA1:NCA9'!R$32)-SUM('MDA1:NCA9'!R$34))</f>
        <v>10086.882517351374</v>
      </c>
      <c r="S49" s="12">
        <f>'Corp.'!S$50*(S$37-(S31-S32-S34)*$C$35)/(SUM('MDA1:NCA9'!S$37)-SUM('MDA1:NCA9'!S$31)-SUM('MDA1:NCA9'!S$32)-SUM('MDA1:NCA9'!S$34))</f>
        <v>12062.988170700306</v>
      </c>
      <c r="T49" s="12">
        <f>'Corp.'!T$50*(T$37-(T31-T32-T34)*$C$35)/(SUM('MDA1:NCA9'!T$37)-SUM('MDA1:NCA9'!T$31)-SUM('MDA1:NCA9'!T$32)-SUM('MDA1:NCA9'!T$34))</f>
        <v>13921.376201828312</v>
      </c>
      <c r="U49" s="12">
        <f>'Corp.'!U$50*(U$37-(U31-U32-U34)*$C$35)/(SUM('MDA1:NCA9'!U$37)-SUM('MDA1:NCA9'!U$31)-SUM('MDA1:NCA9'!U$32)-SUM('MDA1:NCA9'!U$34))</f>
        <v>14669.852931904665</v>
      </c>
      <c r="V49" s="12">
        <f>'Corp.'!V$50*(V$37-(V31-V32-V34)*$C$35)/(SUM('MDA1:NCA9'!V$37)-SUM('MDA1:NCA9'!V$31)-SUM('MDA1:NCA9'!V$32)-SUM('MDA1:NCA9'!V$34))</f>
        <v>16539.514015535755</v>
      </c>
      <c r="W49" s="12">
        <f>'Corp.'!W$50*(W$37-(W31-W32-W34)*$C$35)/(SUM('MDA1:NCA9'!W$37)-SUM('MDA1:NCA9'!W$31)-SUM('MDA1:NCA9'!W$32)-SUM('MDA1:NCA9'!W$34))</f>
        <v>18175.081633655653</v>
      </c>
      <c r="X49" s="12">
        <f>'Corp.'!X$50*(X$37-(X31-X32-X34)*$C$35)/(SUM('MDA1:NCA9'!X$37)-SUM('MDA1:NCA9'!X$31)-SUM('MDA1:NCA9'!X$32)-SUM('MDA1:NCA9'!X$34))</f>
        <v>18641.405217097468</v>
      </c>
      <c r="Y49" s="12">
        <f>'Corp.'!Y$50*(Y$37-(Y31-Y32-Y34)*$C$35)/(SUM('MDA1:NCA9'!Y$37)-SUM('MDA1:NCA9'!Y$31)-SUM('MDA1:NCA9'!Y$32)-SUM('MDA1:NCA9'!Y$34))</f>
        <v>20273.845124523996</v>
      </c>
      <c r="Z49" s="12">
        <f>'Corp.'!Z$50*(Z$37-(Z31-Z32-Z34)*$C$35)/(SUM('MDA1:NCA9'!Z$37)-SUM('MDA1:NCA9'!Z$31)-SUM('MDA1:NCA9'!Z$32)-SUM('MDA1:NCA9'!Z$34))</f>
        <v>21816.900450497364</v>
      </c>
      <c r="AA49" s="12">
        <f>'Corp.'!AA$50*(AA$37-(AA31-AA32-AA34)*$C$35)/(SUM('MDA1:NCA9'!AA$37)-SUM('MDA1:NCA9'!AA$31)-SUM('MDA1:NCA9'!AA$32)-SUM('MDA1:NCA9'!AA$34))</f>
        <v>23256.101793290807</v>
      </c>
      <c r="AB49" s="12">
        <f>'Corp.'!AB$50*(AB$37-(AB31-AB32-AB34)*$C$35)/(SUM('MDA1:NCA9'!AB$37)-SUM('MDA1:NCA9'!AB$31)-SUM('MDA1:NCA9'!AB$32)-SUM('MDA1:NCA9'!AB$34))</f>
        <v>22728.32805108387</v>
      </c>
      <c r="AC49" s="12">
        <f>'Corp.'!AC$50*(AC$37-(AC31-AC32-AC34)*$C$35)/(SUM('MDA1:NCA9'!AC$37)-SUM('MDA1:NCA9'!AC$31)-SUM('MDA1:NCA9'!AC$32)-SUM('MDA1:NCA9'!AC$34))</f>
        <v>24393.116262000727</v>
      </c>
      <c r="AD49" s="12">
        <f>'Corp.'!AD$50*(AD$37-(AD31-AD32-AD34)*$C$35)/(SUM('MDA1:NCA9'!AD$37)-SUM('MDA1:NCA9'!AD$31)-SUM('MDA1:NCA9'!AD$32)-SUM('MDA1:NCA9'!AD$34))</f>
        <v>23992.384246946993</v>
      </c>
      <c r="AE49" s="12">
        <f>'Corp.'!AE$50*(AE$37-(AE31-AE32-AE34)*$C$35)/(SUM('MDA1:NCA9'!AE$37)-SUM('MDA1:NCA9'!AE$31)-SUM('MDA1:NCA9'!AE$32)-SUM('MDA1:NCA9'!AE$34))</f>
        <v>23614.531887835434</v>
      </c>
      <c r="AF49" s="12">
        <f>'Corp.'!AF$50*(AF$37-(AF31-AF32-AF34)*$C$35)/(SUM('MDA1:NCA9'!AF$37)-SUM('MDA1:NCA9'!AF$31)-SUM('MDA1:NCA9'!AF$32)-SUM('MDA1:NCA9'!AF$34))</f>
        <v>23260.471839546066</v>
      </c>
      <c r="AG49" s="12">
        <f>'Corp.'!AG$50*(AG$37-(AG31-AG32-AG34)*$C$35)/(SUM('MDA1:NCA9'!AG$37)-SUM('MDA1:NCA9'!AG$31)-SUM('MDA1:NCA9'!AG$32)-SUM('MDA1:NCA9'!AG$34))</f>
        <v>22976.532152122585</v>
      </c>
      <c r="AH49" s="12">
        <f>'Corp.'!AH$50*(AH$37-(AH31-AH32-AH34)*$C$35)/(SUM('MDA1:NCA9'!AH$37)-SUM('MDA1:NCA9'!AH$31)-SUM('MDA1:NCA9'!AH$32)-SUM('MDA1:NCA9'!AH$34))</f>
        <v>22603.045450998201</v>
      </c>
      <c r="AI49" s="12">
        <f>'Corp.'!AI$50*(AI$37-(AI31-AI32-AI34)*$C$35)/(SUM('MDA1:NCA9'!AI$37)-SUM('MDA1:NCA9'!AI$31)-SUM('MDA1:NCA9'!AI$32)-SUM('MDA1:NCA9'!AI$34))</f>
        <v>22213.828616816445</v>
      </c>
      <c r="AJ49" s="12">
        <f>'Corp.'!AJ$50*(AJ$37-(AJ31-AJ32-AJ34)*$C$35)/(SUM('MDA1:NCA9'!AJ$37)-SUM('MDA1:NCA9'!AJ$31)-SUM('MDA1:NCA9'!AJ$32)-SUM('MDA1:NCA9'!AJ$34))</f>
        <v>21815.050997731094</v>
      </c>
      <c r="AK49" s="12">
        <f>'Corp.'!AK$50*(AK$37-(AK31-AK32-AK34)*$C$35)/(SUM('MDA1:NCA9'!AK$37)-SUM('MDA1:NCA9'!AK$31)-SUM('MDA1:NCA9'!AK$32)-SUM('MDA1:NCA9'!AK$34))</f>
        <v>21446.829438828536</v>
      </c>
      <c r="AL49" s="12">
        <f>'Corp.'!AL$50*(AL$37-(AL31-AL32-AL34)*$C$35)/(SUM('MDA1:NCA9'!AL$37)-SUM('MDA1:NCA9'!AL$31)-SUM('MDA1:NCA9'!AL$32)-SUM('MDA1:NCA9'!AL$34))</f>
        <v>21108.92697424068</v>
      </c>
      <c r="AM49" s="12">
        <f>'Corp.'!AM$50*(AM$37-(AM31-AM32-AM34)*$C$35)/(SUM('MDA1:NCA9'!AM$37)-SUM('MDA1:NCA9'!AM$31)-SUM('MDA1:NCA9'!AM$32)-SUM('MDA1:NCA9'!AM$34))</f>
        <v>20745.022866408221</v>
      </c>
      <c r="AN49" s="12">
        <f>'Corp.'!AN$50*(AN$37-(AN31-AN32-AN34)*$C$35)/(SUM('MDA1:NCA9'!AN$37)-SUM('MDA1:NCA9'!AN$31)-SUM('MDA1:NCA9'!AN$32)-SUM('MDA1:NCA9'!AN$34))</f>
        <v>20434.824344544046</v>
      </c>
    </row>
    <row r="50" spans="2:40" x14ac:dyDescent="0.25">
      <c r="B50" s="1" t="s">
        <v>272</v>
      </c>
      <c r="E50" s="13" cm="1">
        <f t="array" ref="E50:AN50">_xlfn.BYCOL(_xlfn.VSTACK(_xlfn.ANCHORARRAY(E40),_xlfn.ANCHORARRAY(E42),_xlfn.ANCHORARRAY(E43),_xlfn.ANCHORARRAY(E45),_xlfn.ANCHORARRAY(E46),_xlfn.ANCHORARRAY(E47),_xlfn.ANCHORARRAY(E48),_xlfn.HSTACK(E49:AN49)),_xlfn.LAMBDA(_xlpm.a,SUM(_xlpm.a)))</f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15607.784109210792</v>
      </c>
      <c r="O50" s="13">
        <v>33137.947521708054</v>
      </c>
      <c r="P50" s="13">
        <v>40153.638771206774</v>
      </c>
      <c r="Q50" s="13">
        <v>47855.468289999553</v>
      </c>
      <c r="R50" s="13">
        <v>55521.133536631321</v>
      </c>
      <c r="S50" s="13">
        <v>62633.417880772467</v>
      </c>
      <c r="T50" s="13">
        <v>70074.000858803789</v>
      </c>
      <c r="U50" s="13">
        <v>73863.306934276246</v>
      </c>
      <c r="V50" s="13">
        <v>80941.236708699551</v>
      </c>
      <c r="W50" s="13">
        <v>88018.573017611663</v>
      </c>
      <c r="X50" s="13">
        <v>91525.725946449558</v>
      </c>
      <c r="Y50" s="13">
        <v>98366.434544668329</v>
      </c>
      <c r="Z50" s="13">
        <v>105381.84648421168</v>
      </c>
      <c r="AA50" s="13">
        <v>108765.35818446398</v>
      </c>
      <c r="AB50" s="13">
        <v>108237.58444225705</v>
      </c>
      <c r="AC50" s="13">
        <v>117691.15429229123</v>
      </c>
      <c r="AD50" s="13">
        <v>117290.42227723751</v>
      </c>
      <c r="AE50" s="13">
        <v>116912.56991812594</v>
      </c>
      <c r="AF50" s="13">
        <v>116558.50986983658</v>
      </c>
      <c r="AG50" s="13">
        <v>116274.5701824131</v>
      </c>
      <c r="AH50" s="13">
        <v>115901.08348128872</v>
      </c>
      <c r="AI50" s="13">
        <v>115511.86664710696</v>
      </c>
      <c r="AJ50" s="13">
        <v>115113.08902802161</v>
      </c>
      <c r="AK50" s="13">
        <v>114744.86746911905</v>
      </c>
      <c r="AL50" s="13">
        <v>114406.96500453119</v>
      </c>
      <c r="AM50" s="13">
        <v>114043.06089669873</v>
      </c>
      <c r="AN50" s="13">
        <v>113732.86237483456</v>
      </c>
    </row>
    <row r="52" spans="2:40" x14ac:dyDescent="0.25">
      <c r="B52" s="1" t="s">
        <v>48</v>
      </c>
      <c r="E52" s="74">
        <f>E37-E50</f>
        <v>0</v>
      </c>
      <c r="F52" s="74">
        <f t="shared" ref="F52:AN52" si="0">F37-F50</f>
        <v>0</v>
      </c>
      <c r="G52" s="74">
        <f t="shared" si="0"/>
        <v>0</v>
      </c>
      <c r="H52" s="74">
        <f t="shared" si="0"/>
        <v>0</v>
      </c>
      <c r="I52" s="74">
        <f t="shared" si="0"/>
        <v>0</v>
      </c>
      <c r="J52" s="74">
        <f t="shared" si="0"/>
        <v>0</v>
      </c>
      <c r="K52" s="74">
        <f t="shared" si="0"/>
        <v>0</v>
      </c>
      <c r="L52" s="74">
        <f t="shared" si="0"/>
        <v>0</v>
      </c>
      <c r="M52" s="74">
        <f t="shared" si="0"/>
        <v>0</v>
      </c>
      <c r="N52" s="74">
        <f t="shared" si="0"/>
        <v>-7383.4170425441262</v>
      </c>
      <c r="O52" s="74">
        <f t="shared" si="0"/>
        <v>-8464.8463217080571</v>
      </c>
      <c r="P52" s="74">
        <f t="shared" si="0"/>
        <v>968.19656212655536</v>
      </c>
      <c r="Q52" s="74">
        <f t="shared" si="0"/>
        <v>2971.1201820004353</v>
      </c>
      <c r="R52" s="74">
        <f t="shared" si="0"/>
        <v>12247.651092702021</v>
      </c>
      <c r="S52" s="74">
        <f t="shared" si="0"/>
        <v>22077.56290589417</v>
      </c>
      <c r="T52" s="74">
        <f t="shared" si="0"/>
        <v>31579.176085196188</v>
      </c>
      <c r="U52" s="74">
        <f t="shared" si="0"/>
        <v>36260.968088390422</v>
      </c>
      <c r="V52" s="74">
        <f t="shared" si="0"/>
        <v>46125.234471300442</v>
      </c>
      <c r="W52" s="74">
        <f t="shared" si="0"/>
        <v>55990.094319721684</v>
      </c>
      <c r="X52" s="74">
        <f t="shared" si="0"/>
        <v>60954.039469550451</v>
      </c>
      <c r="Y52" s="74">
        <f t="shared" si="0"/>
        <v>71055.527028664947</v>
      </c>
      <c r="Z52" s="74">
        <f t="shared" si="0"/>
        <v>80982.311246454949</v>
      </c>
      <c r="AA52" s="74">
        <f t="shared" si="0"/>
        <v>94540.995703535969</v>
      </c>
      <c r="AB52" s="74">
        <f t="shared" si="0"/>
        <v>95068.769445742902</v>
      </c>
      <c r="AC52" s="74">
        <f t="shared" si="0"/>
        <v>85615.19959570872</v>
      </c>
      <c r="AD52" s="74">
        <f t="shared" si="0"/>
        <v>86015.931610762447</v>
      </c>
      <c r="AE52" s="74">
        <f t="shared" si="0"/>
        <v>86393.783969874014</v>
      </c>
      <c r="AF52" s="74">
        <f t="shared" si="0"/>
        <v>86747.844018163378</v>
      </c>
      <c r="AG52" s="74">
        <f t="shared" si="0"/>
        <v>87031.783705586859</v>
      </c>
      <c r="AH52" s="74">
        <f t="shared" si="0"/>
        <v>87405.270406711235</v>
      </c>
      <c r="AI52" s="74">
        <f t="shared" si="0"/>
        <v>87794.487240892995</v>
      </c>
      <c r="AJ52" s="74">
        <f t="shared" si="0"/>
        <v>88193.264859978342</v>
      </c>
      <c r="AK52" s="74">
        <f t="shared" si="0"/>
        <v>88561.486418880901</v>
      </c>
      <c r="AL52" s="74">
        <f t="shared" si="0"/>
        <v>88899.388883468768</v>
      </c>
      <c r="AM52" s="74">
        <f t="shared" si="0"/>
        <v>89263.292991301219</v>
      </c>
      <c r="AN52" s="74">
        <f t="shared" si="0"/>
        <v>89573.491513165398</v>
      </c>
    </row>
    <row r="53" spans="2:40" x14ac:dyDescent="0.25">
      <c r="E53" s="105" t="str">
        <f>IFERROR(E52/E37,"")</f>
        <v/>
      </c>
      <c r="F53" s="105" t="str">
        <f t="shared" ref="F53:AN53" si="1">IFERROR(F52/F37,"")</f>
        <v/>
      </c>
      <c r="G53" s="105" t="str">
        <f t="shared" si="1"/>
        <v/>
      </c>
      <c r="H53" s="105" t="str">
        <f t="shared" si="1"/>
        <v/>
      </c>
      <c r="I53" s="105" t="str">
        <f t="shared" si="1"/>
        <v/>
      </c>
      <c r="J53" s="105" t="str">
        <f t="shared" si="1"/>
        <v/>
      </c>
      <c r="K53" s="105" t="str">
        <f t="shared" si="1"/>
        <v/>
      </c>
      <c r="L53" s="105" t="str">
        <f t="shared" si="1"/>
        <v/>
      </c>
      <c r="M53" s="105" t="str">
        <f t="shared" si="1"/>
        <v/>
      </c>
      <c r="N53" s="105">
        <f t="shared" si="1"/>
        <v>-0.89774896751253874</v>
      </c>
      <c r="O53" s="105">
        <f t="shared" si="1"/>
        <v>-0.34307994982438844</v>
      </c>
      <c r="P53" s="105">
        <f t="shared" si="1"/>
        <v>2.3544585359052201E-2</v>
      </c>
      <c r="Q53" s="105">
        <f t="shared" si="1"/>
        <v>5.8456022159291778E-2</v>
      </c>
      <c r="R53" s="105">
        <f t="shared" si="1"/>
        <v>0.18072702881852618</v>
      </c>
      <c r="S53" s="105">
        <f t="shared" si="1"/>
        <v>0.26062220860709406</v>
      </c>
      <c r="T53" s="105">
        <f t="shared" si="1"/>
        <v>0.31065606638730964</v>
      </c>
      <c r="U53" s="105">
        <f t="shared" si="1"/>
        <v>0.32927316053546685</v>
      </c>
      <c r="V53" s="105">
        <f t="shared" si="1"/>
        <v>0.36300082974650566</v>
      </c>
      <c r="W53" s="105">
        <f t="shared" si="1"/>
        <v>0.38879669783046872</v>
      </c>
      <c r="X53" s="105">
        <f t="shared" si="1"/>
        <v>0.39975166084007119</v>
      </c>
      <c r="Y53" s="105">
        <f t="shared" si="1"/>
        <v>0.41939974232861771</v>
      </c>
      <c r="Z53" s="105">
        <f t="shared" si="1"/>
        <v>0.43453801542403092</v>
      </c>
      <c r="AA53" s="105">
        <f t="shared" si="1"/>
        <v>0.46501741778133476</v>
      </c>
      <c r="AB53" s="105">
        <f t="shared" si="1"/>
        <v>0.46761337079565957</v>
      </c>
      <c r="AC53" s="105">
        <f t="shared" si="1"/>
        <v>0.42111423454514135</v>
      </c>
      <c r="AD53" s="105">
        <f t="shared" si="1"/>
        <v>0.42308530926755011</v>
      </c>
      <c r="AE53" s="105">
        <f t="shared" si="1"/>
        <v>0.42494384615971098</v>
      </c>
      <c r="AF53" s="105">
        <f t="shared" si="1"/>
        <v>0.42668535615936604</v>
      </c>
      <c r="AG53" s="105">
        <f t="shared" si="1"/>
        <v>0.42808196616192357</v>
      </c>
      <c r="AH53" s="105">
        <f t="shared" si="1"/>
        <v>0.42991902975576546</v>
      </c>
      <c r="AI53" s="105">
        <f t="shared" si="1"/>
        <v>0.43183346492583485</v>
      </c>
      <c r="AJ53" s="105">
        <f t="shared" si="1"/>
        <v>0.43379492658927615</v>
      </c>
      <c r="AK53" s="105">
        <f t="shared" si="1"/>
        <v>0.43560609260480271</v>
      </c>
      <c r="AL53" s="105">
        <f t="shared" si="1"/>
        <v>0.43726812853297647</v>
      </c>
      <c r="AM53" s="105">
        <f t="shared" si="1"/>
        <v>0.43905805836484452</v>
      </c>
      <c r="AN53" s="105">
        <f t="shared" si="1"/>
        <v>0.44058382731368451</v>
      </c>
    </row>
    <row r="55" spans="2:40" x14ac:dyDescent="0.25">
      <c r="B55" t="s">
        <v>57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0</v>
      </c>
      <c r="D55" s="12">
        <f>C55-SUM(_xlfn.ANCHORARRAY(E55))</f>
        <v>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</row>
    <row r="56" spans="2:40" x14ac:dyDescent="0.25">
      <c r="B56" t="s">
        <v>285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0</v>
      </c>
      <c r="F56" s="90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0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0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0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0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-1233.6550599999998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-3700.9651799999992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-6168.2752999999993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-7623.9882707999977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-10165.317694400001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-12706.647117999995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-15247.976541599995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-16518.641253400001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-19059.970676999998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-21601.300100600001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-22871.964812400001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-25413.294235999991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-27954.623659599994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276</v>
      </c>
      <c r="E58" s="13">
        <f>E37-E50-E55+E56</f>
        <v>0</v>
      </c>
      <c r="F58" s="13">
        <f t="shared" ref="F58:AN58" si="2">F37-F50-F55+F56</f>
        <v>0</v>
      </c>
      <c r="G58" s="13">
        <f t="shared" si="2"/>
        <v>0</v>
      </c>
      <c r="H58" s="13">
        <f t="shared" si="2"/>
        <v>0</v>
      </c>
      <c r="I58" s="13">
        <f t="shared" si="2"/>
        <v>0</v>
      </c>
      <c r="J58" s="13">
        <f t="shared" si="2"/>
        <v>0</v>
      </c>
      <c r="K58" s="13">
        <f t="shared" si="2"/>
        <v>0</v>
      </c>
      <c r="L58" s="13">
        <f t="shared" si="2"/>
        <v>0</v>
      </c>
      <c r="M58" s="13">
        <f t="shared" si="2"/>
        <v>0</v>
      </c>
      <c r="N58" s="13">
        <f t="shared" si="2"/>
        <v>-7383.4170425441262</v>
      </c>
      <c r="O58" s="13">
        <f t="shared" si="2"/>
        <v>-8464.8463217080571</v>
      </c>
      <c r="P58" s="13">
        <f t="shared" si="2"/>
        <v>968.19656212655536</v>
      </c>
      <c r="Q58" s="13">
        <f t="shared" si="2"/>
        <v>2971.1201820004353</v>
      </c>
      <c r="R58" s="13">
        <f t="shared" si="2"/>
        <v>12247.651092702021</v>
      </c>
      <c r="S58" s="13">
        <f t="shared" si="2"/>
        <v>20843.907845894169</v>
      </c>
      <c r="T58" s="13">
        <f t="shared" si="2"/>
        <v>27878.210905196189</v>
      </c>
      <c r="U58" s="13">
        <f t="shared" si="2"/>
        <v>30092.692788390421</v>
      </c>
      <c r="V58" s="13">
        <f t="shared" si="2"/>
        <v>38501.246200500442</v>
      </c>
      <c r="W58" s="13">
        <f t="shared" si="2"/>
        <v>45824.776625321683</v>
      </c>
      <c r="X58" s="13">
        <f t="shared" si="2"/>
        <v>48247.392351550458</v>
      </c>
      <c r="Y58" s="13">
        <f t="shared" si="2"/>
        <v>55807.550487064953</v>
      </c>
      <c r="Z58" s="13">
        <f t="shared" si="2"/>
        <v>64463.669993054951</v>
      </c>
      <c r="AA58" s="13">
        <f t="shared" si="2"/>
        <v>75481.025026535965</v>
      </c>
      <c r="AB58" s="13">
        <f t="shared" si="2"/>
        <v>73467.469345142905</v>
      </c>
      <c r="AC58" s="13">
        <f t="shared" si="2"/>
        <v>62743.234783308719</v>
      </c>
      <c r="AD58" s="13">
        <f t="shared" si="2"/>
        <v>60602.63737476246</v>
      </c>
      <c r="AE58" s="13">
        <f t="shared" si="2"/>
        <v>58439.160310274019</v>
      </c>
      <c r="AF58" s="13">
        <f t="shared" si="2"/>
        <v>56251.89093496339</v>
      </c>
      <c r="AG58" s="13">
        <f t="shared" si="2"/>
        <v>56535.830622386871</v>
      </c>
      <c r="AH58" s="13">
        <f t="shared" si="2"/>
        <v>56909.317323511248</v>
      </c>
      <c r="AI58" s="13">
        <f t="shared" si="2"/>
        <v>57298.534157693008</v>
      </c>
      <c r="AJ58" s="13">
        <f t="shared" si="2"/>
        <v>57697.311776778355</v>
      </c>
      <c r="AK58" s="13">
        <f t="shared" si="2"/>
        <v>58065.533335680913</v>
      </c>
      <c r="AL58" s="13">
        <f t="shared" si="2"/>
        <v>58403.43580026878</v>
      </c>
      <c r="AM58" s="13">
        <f t="shared" si="2"/>
        <v>58767.339908101232</v>
      </c>
      <c r="AN58" s="13">
        <f t="shared" si="2"/>
        <v>59077.538429965411</v>
      </c>
    </row>
    <row r="59" spans="2:40" x14ac:dyDescent="0.25">
      <c r="B59" t="s">
        <v>277</v>
      </c>
      <c r="E59" s="12" cm="1">
        <f t="array" ref="E59:AN59">_xlfn.SCAN(-D55,E58:AN58,_xlfn.LAMBDA(_xlpm.capex,_xlpm.fcf,_xlpm.capex+_xlpm.fcf))</f>
        <v>0</v>
      </c>
      <c r="F59" s="12">
        <v>0</v>
      </c>
      <c r="G59" s="12">
        <v>0</v>
      </c>
      <c r="H59" s="12">
        <v>0</v>
      </c>
      <c r="I59" s="12">
        <v>0</v>
      </c>
      <c r="J59" s="12">
        <v>0</v>
      </c>
      <c r="K59" s="12">
        <v>0</v>
      </c>
      <c r="L59" s="12">
        <v>0</v>
      </c>
      <c r="M59" s="12">
        <v>0</v>
      </c>
      <c r="N59" s="12">
        <v>-7383.4170425441262</v>
      </c>
      <c r="O59" s="12">
        <v>-15848.263364252183</v>
      </c>
      <c r="P59" s="12">
        <v>-14880.066802125628</v>
      </c>
      <c r="Q59" s="12">
        <v>-11908.946620125193</v>
      </c>
      <c r="R59" s="12">
        <v>338.70447257682827</v>
      </c>
      <c r="S59" s="12">
        <v>21182.612318470998</v>
      </c>
      <c r="T59" s="12">
        <v>49060.82322366719</v>
      </c>
      <c r="U59" s="12">
        <v>79153.516012057604</v>
      </c>
      <c r="V59" s="12">
        <v>117654.76221255804</v>
      </c>
      <c r="W59" s="12">
        <v>163479.53883787972</v>
      </c>
      <c r="X59" s="12">
        <v>211726.93118943018</v>
      </c>
      <c r="Y59" s="12">
        <v>267534.48167649511</v>
      </c>
      <c r="Z59" s="12">
        <v>331998.15166955005</v>
      </c>
      <c r="AA59" s="12">
        <v>407479.17669608601</v>
      </c>
      <c r="AB59" s="12">
        <v>480946.6460412289</v>
      </c>
      <c r="AC59" s="12">
        <v>543689.8808245376</v>
      </c>
      <c r="AD59" s="12">
        <v>604292.51819930004</v>
      </c>
      <c r="AE59" s="12">
        <v>662731.67850957403</v>
      </c>
      <c r="AF59" s="12">
        <v>718983.5694445374</v>
      </c>
      <c r="AG59" s="12">
        <v>775519.40006692428</v>
      </c>
      <c r="AH59" s="12">
        <v>832428.71739043551</v>
      </c>
      <c r="AI59" s="12">
        <v>889727.25154812855</v>
      </c>
      <c r="AJ59" s="12">
        <v>947424.56332490686</v>
      </c>
      <c r="AK59" s="12">
        <v>1005490.0966605878</v>
      </c>
      <c r="AL59" s="12">
        <v>1063893.5324608567</v>
      </c>
      <c r="AM59" s="12">
        <v>1122660.8723689578</v>
      </c>
      <c r="AN59" s="12">
        <v>1181738.4107989233</v>
      </c>
    </row>
    <row r="61" spans="2:40" x14ac:dyDescent="0.25">
      <c r="B61" s="1" t="s">
        <v>302</v>
      </c>
    </row>
    <row r="63" spans="2:40" x14ac:dyDescent="0.25">
      <c r="B63" s="39" t="s">
        <v>103</v>
      </c>
      <c r="E63" s="12" cm="1">
        <f t="array" ref="E63:AN63">_xlfn.LET(_xlpm.site,$B$1&amp;"-"&amp;$C$1,_xlpm.locations,Base!$D$4:$BD$4,_xlpm.rates,Base!$D$36:$BD$36,_xlpm.hours,Base!$D$79:$BD$79,_xlpm.comp,_xlpm.rates*_xlpm.hours,_xlpm.Customer,_xlfn.ANCHORARRAY($E$1),
_xlpm.Customer_comp,_xlfn.XLOOKUP(_xlpm.site,_xlpm.locations,_xlpm.comp,0,0),_xlpm.ann_incr,_xlfn.XLOOKUP(YEAR(_xlfn.ANCHORARRAY($E$25)),Base!$BJ$4:$BL$4,Base!$BJ$79:$BL$79,0,0),
_xlpm.bad_debt,_xlfn.XLOOKUP(_xlpm.site,_xlpm.locations,Base!$D$28:$BD$28,0,0),_xlpm.Customer_comp*_xlpm.Customer*_xlpm.bad_debt*_xlpm.ann_incr*(52/12)*(1-$C$35))</f>
        <v>0</v>
      </c>
      <c r="F63" s="12">
        <v>0</v>
      </c>
      <c r="G63" s="12">
        <v>0</v>
      </c>
      <c r="H63" s="12">
        <v>0</v>
      </c>
      <c r="I63" s="12">
        <v>0</v>
      </c>
      <c r="J63" s="12">
        <v>0</v>
      </c>
      <c r="K63" s="12">
        <v>0</v>
      </c>
      <c r="L63" s="12">
        <v>0</v>
      </c>
      <c r="M63" s="12">
        <v>0</v>
      </c>
      <c r="N63" s="12">
        <v>0</v>
      </c>
      <c r="O63" s="12">
        <v>0</v>
      </c>
      <c r="P63" s="12">
        <v>0</v>
      </c>
      <c r="Q63" s="12">
        <v>0</v>
      </c>
      <c r="R63" s="12">
        <v>0</v>
      </c>
      <c r="S63" s="12">
        <v>0</v>
      </c>
      <c r="T63" s="12">
        <v>0</v>
      </c>
      <c r="U63" s="12">
        <v>0</v>
      </c>
      <c r="V63" s="12">
        <v>0</v>
      </c>
      <c r="W63" s="12">
        <v>0</v>
      </c>
      <c r="X63" s="12">
        <v>0</v>
      </c>
      <c r="Y63" s="12">
        <v>0</v>
      </c>
      <c r="Z63" s="12">
        <v>0</v>
      </c>
      <c r="AA63" s="12">
        <v>0</v>
      </c>
      <c r="AB63" s="12">
        <v>0</v>
      </c>
      <c r="AC63" s="12">
        <v>0</v>
      </c>
      <c r="AD63" s="12">
        <v>0</v>
      </c>
      <c r="AE63" s="12">
        <v>0</v>
      </c>
      <c r="AF63" s="12">
        <v>0</v>
      </c>
      <c r="AG63" s="12">
        <v>0</v>
      </c>
      <c r="AH63" s="12">
        <v>0</v>
      </c>
      <c r="AI63" s="12">
        <v>0</v>
      </c>
      <c r="AJ63" s="12">
        <v>0</v>
      </c>
      <c r="AK63" s="12">
        <v>0</v>
      </c>
      <c r="AL63" s="12">
        <v>0</v>
      </c>
      <c r="AM63" s="12">
        <v>0</v>
      </c>
      <c r="AN63" s="12">
        <v>0</v>
      </c>
    </row>
    <row r="64" spans="2:40" x14ac:dyDescent="0.25">
      <c r="B64" s="39" t="s">
        <v>104</v>
      </c>
      <c r="E64" s="12" cm="1">
        <f t="array" ref="E64:AN64">_xlfn.LET(_xlpm.site,$B$1&amp;"-"&amp;$C$1,_xlpm.locations,Base!$D$4:$BD$4,_xlpm.rates,Base!$D$37:$BD$37,_xlpm.hours,Base!$D$80:$BD$80,_xlpm.comp,_xlpm.rates*_xlpm.hours,_xlpm.Customer,_xlfn.ANCHORARRAY($E$1),
_xlpm.Customer_comp,_xlfn.XLOOKUP(_xlpm.site,_xlpm.locations,_xlpm.comp,0,0),_xlpm.ann_incr,_xlfn.XLOOKUP(YEAR(_xlfn.ANCHORARRAY($E$25)),Base!$BJ$4:$BL$4,Base!$BJ$80:$BL$80,0,0),
_xlpm.bad_debt,_xlfn.XLOOKUP(_xlpm.site,_xlpm.locations,Base!$D$28:$BD$28,0,0),_xlpm.Customer_comp*_xlpm.Customer*_xlpm.bad_debt*_xlpm.ann_incr*(52/12)*(1-$C$35))</f>
        <v>0</v>
      </c>
      <c r="F64" s="12">
        <v>0</v>
      </c>
      <c r="G64" s="12">
        <v>0</v>
      </c>
      <c r="H64" s="12">
        <v>0</v>
      </c>
      <c r="I64" s="12">
        <v>0</v>
      </c>
      <c r="J64" s="12">
        <v>0</v>
      </c>
      <c r="K64" s="12">
        <v>0</v>
      </c>
      <c r="L64" s="12">
        <v>0</v>
      </c>
      <c r="M64" s="12">
        <v>0</v>
      </c>
      <c r="N64" s="12">
        <v>0</v>
      </c>
      <c r="O64" s="12">
        <v>0</v>
      </c>
      <c r="P64" s="12">
        <v>0</v>
      </c>
      <c r="Q64" s="12">
        <v>0</v>
      </c>
      <c r="R64" s="12">
        <v>0</v>
      </c>
      <c r="S64" s="12">
        <v>0</v>
      </c>
      <c r="T64" s="12">
        <v>0</v>
      </c>
      <c r="U64" s="12">
        <v>0</v>
      </c>
      <c r="V64" s="12">
        <v>0</v>
      </c>
      <c r="W64" s="12">
        <v>0</v>
      </c>
      <c r="X64" s="12">
        <v>0</v>
      </c>
      <c r="Y64" s="12">
        <v>0</v>
      </c>
      <c r="Z64" s="12">
        <v>0</v>
      </c>
      <c r="AA64" s="12">
        <v>0</v>
      </c>
      <c r="AB64" s="12">
        <v>0</v>
      </c>
      <c r="AC64" s="12">
        <v>0</v>
      </c>
      <c r="AD64" s="12">
        <v>0</v>
      </c>
      <c r="AE64" s="12">
        <v>0</v>
      </c>
      <c r="AF64" s="12">
        <v>0</v>
      </c>
      <c r="AG64" s="12">
        <v>0</v>
      </c>
      <c r="AH64" s="12">
        <v>0</v>
      </c>
      <c r="AI64" s="12">
        <v>0</v>
      </c>
      <c r="AJ64" s="12">
        <v>0</v>
      </c>
      <c r="AK64" s="12">
        <v>0</v>
      </c>
      <c r="AL64" s="12">
        <v>0</v>
      </c>
      <c r="AM64" s="12">
        <v>0</v>
      </c>
      <c r="AN64" s="12">
        <v>0</v>
      </c>
    </row>
    <row r="65" spans="2:40" x14ac:dyDescent="0.25">
      <c r="B65" s="39" t="s">
        <v>56</v>
      </c>
      <c r="E65" s="12" cm="1">
        <f t="array" ref="E65:AN65">_xlfn.LET(_xlpm.site,$B$1&amp;"-"&amp;$C$1,_xlpm.locations,Base!$D$4:$BD$4,_xlpm.rates,Base!$D$39:$BD$39,_xlpm.hours,Base!$D$82:$BD$82,_xlpm.comp,_xlpm.rates*_xlpm.hours,_xlpm.Customer,_xlfn.ANCHORARRAY($E$1),
_xlpm.Customer_comp,_xlfn.XLOOKUP(_xlpm.site,_xlpm.locations,_xlpm.comp,0,0),_xlpm.ann_incr,_xlfn.XLOOKUP(YEAR(_xlfn.ANCHORARRAY($E$25)),Base!$BJ$4:$BL$4,Base!$BJ$82:$BL$82,0,0),
_xlpm.bad_debt,_xlfn.XLOOKUP(_xlpm.site,_xlpm.locations,Base!$D$28:$BD$28,0,0),_xlpm.Customer_comp*_xlpm.Customer*_xlpm.bad_debt*_xlpm.ann_incr*(52/12)*(1-$C$35))</f>
        <v>0</v>
      </c>
      <c r="F65" s="12">
        <v>0</v>
      </c>
      <c r="G65" s="12">
        <v>0</v>
      </c>
      <c r="H65" s="12">
        <v>0</v>
      </c>
      <c r="I65" s="12">
        <v>0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  <c r="O65" s="12">
        <v>0</v>
      </c>
      <c r="P65" s="12">
        <v>0</v>
      </c>
      <c r="Q65" s="12">
        <v>0</v>
      </c>
      <c r="R65" s="12">
        <v>0</v>
      </c>
      <c r="S65" s="12">
        <v>0</v>
      </c>
      <c r="T65" s="12">
        <v>0</v>
      </c>
      <c r="U65" s="12">
        <v>0</v>
      </c>
      <c r="V65" s="12">
        <v>0</v>
      </c>
      <c r="W65" s="12">
        <v>0</v>
      </c>
      <c r="X65" s="12">
        <v>0</v>
      </c>
      <c r="Y65" s="12">
        <v>0</v>
      </c>
      <c r="Z65" s="12">
        <v>0</v>
      </c>
      <c r="AA65" s="12">
        <v>0</v>
      </c>
      <c r="AB65" s="12">
        <v>0</v>
      </c>
      <c r="AC65" s="12">
        <v>0</v>
      </c>
      <c r="AD65" s="12">
        <v>0</v>
      </c>
      <c r="AE65" s="12">
        <v>0</v>
      </c>
      <c r="AF65" s="12">
        <v>0</v>
      </c>
      <c r="AG65" s="12">
        <v>0</v>
      </c>
      <c r="AH65" s="12">
        <v>0</v>
      </c>
      <c r="AI65" s="12">
        <v>0</v>
      </c>
      <c r="AJ65" s="12">
        <v>0</v>
      </c>
      <c r="AK65" s="12">
        <v>0</v>
      </c>
      <c r="AL65" s="12">
        <v>0</v>
      </c>
      <c r="AM65" s="12">
        <v>0</v>
      </c>
      <c r="AN65" s="12">
        <v>0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303</v>
      </c>
      <c r="C67" s="12"/>
      <c r="E67" s="13" cm="1">
        <f t="array" ref="E67:AN67">_xlfn.BYCOL(_xlfn.VSTACK(_xlfn.ANCHORARRAY($E$63),_xlfn.ANCHORARRAY($E$64),_xlfn.ANCHORARRAY($E$65)),_xlfn.LAMBDA(_xlpm.a,SUM(_xlpm.a)))</f>
        <v>0</v>
      </c>
      <c r="F67" s="13">
        <v>0</v>
      </c>
      <c r="G67" s="13">
        <v>0</v>
      </c>
      <c r="H67" s="13">
        <v>0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  <c r="W67" s="13">
        <v>0</v>
      </c>
      <c r="X67" s="13">
        <v>0</v>
      </c>
      <c r="Y67" s="13">
        <v>0</v>
      </c>
      <c r="Z67" s="13">
        <v>0</v>
      </c>
      <c r="AA67" s="13">
        <v>0</v>
      </c>
      <c r="AB67" s="13">
        <v>0</v>
      </c>
      <c r="AC67" s="13">
        <v>0</v>
      </c>
      <c r="AD67" s="13">
        <v>0</v>
      </c>
      <c r="AE67" s="13">
        <v>0</v>
      </c>
      <c r="AF67" s="13">
        <v>0</v>
      </c>
      <c r="AG67" s="13">
        <v>0</v>
      </c>
      <c r="AH67" s="13">
        <v>0</v>
      </c>
      <c r="AI67" s="13">
        <v>0</v>
      </c>
      <c r="AJ67" s="13">
        <v>0</v>
      </c>
      <c r="AK67" s="13">
        <v>0</v>
      </c>
      <c r="AL67" s="13">
        <v>0</v>
      </c>
      <c r="AM67" s="13">
        <v>0</v>
      </c>
      <c r="AN67" s="13">
        <v>0</v>
      </c>
    </row>
    <row r="68" spans="2:40" x14ac:dyDescent="0.25">
      <c r="B68" s="39"/>
      <c r="C68" s="12"/>
    </row>
    <row r="69" spans="2:40" x14ac:dyDescent="0.25">
      <c r="B69" s="39" t="s">
        <v>304</v>
      </c>
      <c r="C69" s="12"/>
      <c r="E69" s="106" cm="1">
        <f t="array" ref="E69:AN70">_xlfn.LET(_xlpm.Customer_staff,_xlfn._xlws.FILTER(Base!$D$96:$BD$97,ISNUMBER(SEARCH($B$1&amp;"-"&amp;$C$1,Base!$D$4:$BD$4))),_xlpm.Customer,_xlfn.ANCHORARRAY($E$1),_xlpm.headcount,_xlpm.Customer/_xlpm.Customer_staff,
_xlpm.rounding,_xlfn.VSTACK(0,0),IFERROR(ROUND(_xlpm.headcount,_xlpm.rounding),0))</f>
        <v>0</v>
      </c>
      <c r="F69" s="106">
        <v>0</v>
      </c>
      <c r="G69" s="106">
        <v>0</v>
      </c>
      <c r="H69" s="106">
        <v>0</v>
      </c>
      <c r="I69" s="106">
        <v>0</v>
      </c>
      <c r="J69" s="106">
        <v>0</v>
      </c>
      <c r="K69" s="106">
        <v>0</v>
      </c>
      <c r="L69" s="106">
        <v>0</v>
      </c>
      <c r="M69" s="106">
        <v>0</v>
      </c>
      <c r="N69" s="106">
        <v>0</v>
      </c>
      <c r="O69" s="106">
        <v>0</v>
      </c>
      <c r="P69" s="106">
        <v>0</v>
      </c>
      <c r="Q69" s="106">
        <v>0</v>
      </c>
      <c r="R69" s="106">
        <v>0</v>
      </c>
      <c r="S69" s="106">
        <v>0</v>
      </c>
      <c r="T69" s="106">
        <v>0</v>
      </c>
      <c r="U69" s="106">
        <v>0</v>
      </c>
      <c r="V69" s="106">
        <v>0</v>
      </c>
      <c r="W69" s="106">
        <v>0</v>
      </c>
      <c r="X69" s="106">
        <v>0</v>
      </c>
      <c r="Y69" s="106">
        <v>0</v>
      </c>
      <c r="Z69" s="106">
        <v>0</v>
      </c>
      <c r="AA69" s="106">
        <v>0</v>
      </c>
      <c r="AB69" s="106">
        <v>0</v>
      </c>
      <c r="AC69" s="106">
        <v>0</v>
      </c>
      <c r="AD69" s="106">
        <v>0</v>
      </c>
      <c r="AE69" s="106">
        <v>0</v>
      </c>
      <c r="AF69" s="106">
        <v>0</v>
      </c>
      <c r="AG69" s="106">
        <v>0</v>
      </c>
      <c r="AH69" s="106">
        <v>0</v>
      </c>
      <c r="AI69" s="106">
        <v>0</v>
      </c>
      <c r="AJ69" s="106">
        <v>0</v>
      </c>
      <c r="AK69" s="106">
        <v>0</v>
      </c>
      <c r="AL69" s="106">
        <v>0</v>
      </c>
      <c r="AM69" s="106">
        <v>0</v>
      </c>
      <c r="AN69" s="106">
        <v>0</v>
      </c>
    </row>
    <row r="70" spans="2:40" x14ac:dyDescent="0.25">
      <c r="B70" s="39" t="s">
        <v>305</v>
      </c>
      <c r="C70" s="12"/>
      <c r="E70" s="106">
        <v>0</v>
      </c>
      <c r="F70" s="106">
        <v>0</v>
      </c>
      <c r="G70" s="106">
        <v>0</v>
      </c>
      <c r="H70" s="106">
        <v>0</v>
      </c>
      <c r="I70" s="106">
        <v>0</v>
      </c>
      <c r="J70" s="106">
        <v>0</v>
      </c>
      <c r="K70" s="106">
        <v>0</v>
      </c>
      <c r="L70" s="106">
        <v>0</v>
      </c>
      <c r="M70" s="106">
        <v>0</v>
      </c>
      <c r="N70" s="106">
        <v>0</v>
      </c>
      <c r="O70" s="106">
        <v>0</v>
      </c>
      <c r="P70" s="106">
        <v>0</v>
      </c>
      <c r="Q70" s="106">
        <v>0</v>
      </c>
      <c r="R70" s="106">
        <v>0</v>
      </c>
      <c r="S70" s="106">
        <v>0</v>
      </c>
      <c r="T70" s="106">
        <v>0</v>
      </c>
      <c r="U70" s="106">
        <v>0</v>
      </c>
      <c r="V70" s="106">
        <v>0</v>
      </c>
      <c r="W70" s="106">
        <v>0</v>
      </c>
      <c r="X70" s="106">
        <v>0</v>
      </c>
      <c r="Y70" s="106">
        <v>0</v>
      </c>
      <c r="Z70" s="106">
        <v>0</v>
      </c>
      <c r="AA70" s="106">
        <v>0</v>
      </c>
      <c r="AB70" s="106">
        <v>0</v>
      </c>
      <c r="AC70" s="106">
        <v>0</v>
      </c>
      <c r="AD70" s="106">
        <v>0</v>
      </c>
      <c r="AE70" s="106">
        <v>0</v>
      </c>
      <c r="AF70" s="106">
        <v>0</v>
      </c>
      <c r="AG70" s="106">
        <v>0</v>
      </c>
      <c r="AH70" s="106">
        <v>0</v>
      </c>
      <c r="AI70" s="106">
        <v>0</v>
      </c>
      <c r="AJ70" s="106">
        <v>0</v>
      </c>
      <c r="AK70" s="106">
        <v>0</v>
      </c>
      <c r="AL70" s="106">
        <v>0</v>
      </c>
      <c r="AM70" s="106">
        <v>0</v>
      </c>
      <c r="AN70" s="106">
        <v>0</v>
      </c>
    </row>
    <row r="71" spans="2:40" x14ac:dyDescent="0.25">
      <c r="B71" s="39"/>
      <c r="C71" s="12"/>
    </row>
    <row r="72" spans="2:40" x14ac:dyDescent="0.25">
      <c r="B72" s="39" t="s">
        <v>23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0</v>
      </c>
      <c r="F72" s="12">
        <v>0</v>
      </c>
      <c r="G72" s="12">
        <v>0</v>
      </c>
      <c r="H72" s="12">
        <v>0</v>
      </c>
      <c r="I72" s="12">
        <v>0</v>
      </c>
      <c r="J72" s="12">
        <v>0</v>
      </c>
      <c r="K72" s="12">
        <v>0</v>
      </c>
      <c r="L72" s="12">
        <v>0</v>
      </c>
      <c r="M72" s="12">
        <v>0</v>
      </c>
      <c r="N72" s="12">
        <v>1.0488449438217826E-3</v>
      </c>
      <c r="O72" s="12">
        <v>3.1465348314653478E-3</v>
      </c>
      <c r="P72" s="12">
        <v>5.2442247191089144E-3</v>
      </c>
      <c r="Q72" s="12">
        <v>6.9223766292237652E-3</v>
      </c>
      <c r="R72" s="12">
        <v>9.2298355056316863E-3</v>
      </c>
      <c r="S72" s="12">
        <v>1.153729438203961E-2</v>
      </c>
      <c r="T72" s="12">
        <v>1.384475325844753E-2</v>
      </c>
      <c r="U72" s="12">
        <v>1.499848269665149E-2</v>
      </c>
      <c r="V72" s="12">
        <v>1.7305941573059418E-2</v>
      </c>
      <c r="W72" s="12">
        <v>1.9613400449467334E-2</v>
      </c>
      <c r="X72" s="12">
        <v>2.0767129887671303E-2</v>
      </c>
      <c r="Y72" s="12">
        <v>2.307458876407922E-2</v>
      </c>
      <c r="Z72" s="12">
        <v>2.5382047640487147E-2</v>
      </c>
      <c r="AA72" s="12">
        <v>2.7689506516895061E-2</v>
      </c>
      <c r="AB72" s="12">
        <v>2.7689506516895061E-2</v>
      </c>
      <c r="AC72" s="12">
        <v>3.0458457168584575E-2</v>
      </c>
      <c r="AD72" s="12">
        <v>3.0458457168584575E-2</v>
      </c>
      <c r="AE72" s="12">
        <v>3.0458457168584575E-2</v>
      </c>
      <c r="AF72" s="12">
        <v>3.0458457168584575E-2</v>
      </c>
      <c r="AG72" s="12">
        <v>3.0458457168584575E-2</v>
      </c>
      <c r="AH72" s="12">
        <v>3.0458457168584575E-2</v>
      </c>
      <c r="AI72" s="12">
        <v>3.0458457168584575E-2</v>
      </c>
      <c r="AJ72" s="12">
        <v>3.0458457168584575E-2</v>
      </c>
      <c r="AK72" s="12">
        <v>3.0458457168584575E-2</v>
      </c>
      <c r="AL72" s="12">
        <v>3.0458457168584575E-2</v>
      </c>
      <c r="AM72" s="12">
        <v>3.0458457168584575E-2</v>
      </c>
      <c r="AN72" s="12">
        <v>3.0458457168584575E-2</v>
      </c>
    </row>
    <row r="73" spans="2:40" x14ac:dyDescent="0.25">
      <c r="B73" s="39" t="s">
        <v>24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306</v>
      </c>
      <c r="E75" s="74" cm="1">
        <f t="array" ref="E75:AN75">_xlfn.ANCHORARRAY(E67)-_xlfn.ANCHORARRAY(E72)-_xlfn.ANCHORARRAY(E73)</f>
        <v>0</v>
      </c>
      <c r="F75" s="74">
        <v>0</v>
      </c>
      <c r="G75" s="74">
        <v>0</v>
      </c>
      <c r="H75" s="74">
        <v>0</v>
      </c>
      <c r="I75" s="74">
        <v>0</v>
      </c>
      <c r="J75" s="74">
        <v>0</v>
      </c>
      <c r="K75" s="74">
        <v>0</v>
      </c>
      <c r="L75" s="74">
        <v>0</v>
      </c>
      <c r="M75" s="74">
        <v>0</v>
      </c>
      <c r="N75" s="74">
        <v>-1.0488449438217826E-3</v>
      </c>
      <c r="O75" s="74">
        <v>-3.1465348314653478E-3</v>
      </c>
      <c r="P75" s="74">
        <v>-5.2442247191089144E-3</v>
      </c>
      <c r="Q75" s="74">
        <v>-6.9223766292237652E-3</v>
      </c>
      <c r="R75" s="74">
        <v>-9.2298355056316863E-3</v>
      </c>
      <c r="S75" s="74">
        <v>-1.153729438203961E-2</v>
      </c>
      <c r="T75" s="74">
        <v>-1.384475325844753E-2</v>
      </c>
      <c r="U75" s="74">
        <v>-1.499848269665149E-2</v>
      </c>
      <c r="V75" s="74">
        <v>-1.7305941573059418E-2</v>
      </c>
      <c r="W75" s="74">
        <v>-1.9613400449467334E-2</v>
      </c>
      <c r="X75" s="74">
        <v>-2.0767129887671303E-2</v>
      </c>
      <c r="Y75" s="74">
        <v>-2.307458876407922E-2</v>
      </c>
      <c r="Z75" s="74">
        <v>-2.5382047640487147E-2</v>
      </c>
      <c r="AA75" s="74">
        <v>-2.7689506516895061E-2</v>
      </c>
      <c r="AB75" s="74">
        <v>-2.7689506516895061E-2</v>
      </c>
      <c r="AC75" s="74">
        <v>-3.0458457168584575E-2</v>
      </c>
      <c r="AD75" s="74">
        <v>-3.0458457168584575E-2</v>
      </c>
      <c r="AE75" s="74">
        <v>-3.0458457168584575E-2</v>
      </c>
      <c r="AF75" s="74">
        <v>-3.0458457168584575E-2</v>
      </c>
      <c r="AG75" s="74">
        <v>-3.0458457168584575E-2</v>
      </c>
      <c r="AH75" s="74">
        <v>-3.0458457168584575E-2</v>
      </c>
      <c r="AI75" s="74">
        <v>-3.0458457168584575E-2</v>
      </c>
      <c r="AJ75" s="74">
        <v>-3.0458457168584575E-2</v>
      </c>
      <c r="AK75" s="74">
        <v>-3.0458457168584575E-2</v>
      </c>
      <c r="AL75" s="74">
        <v>-3.0458457168584575E-2</v>
      </c>
      <c r="AM75" s="74">
        <v>-3.0458457168584575E-2</v>
      </c>
      <c r="AN75" s="74">
        <v>-3.0458457168584575E-2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96593-7410-45C5-B4E3-F56621FB39E4}">
  <dimension ref="A1:AX75"/>
  <sheetViews>
    <sheetView workbookViewId="0">
      <pane xSplit="4" ySplit="25" topLeftCell="E26" activePane="bottomRight" state="frozen"/>
      <selection activeCell="E63" sqref="E63:E65"/>
      <selection pane="topRight" activeCell="E63" sqref="E63:E65"/>
      <selection pane="bottomLeft" activeCell="E63" sqref="E63:E65"/>
      <selection pane="bottomRight" activeCell="E63" sqref="E63:E65"/>
    </sheetView>
  </sheetViews>
  <sheetFormatPr defaultRowHeight="15" outlineLevelRow="1" x14ac:dyDescent="0.25"/>
  <cols>
    <col min="2" max="2" width="24.5703125" bestFit="1" customWidth="1"/>
    <col min="3" max="3" width="11.5703125" bestFit="1" customWidth="1"/>
    <col min="4" max="4" width="10" bestFit="1" customWidth="1"/>
    <col min="5" max="5" width="11.42578125" bestFit="1" customWidth="1"/>
    <col min="6" max="6" width="11.7109375" bestFit="1" customWidth="1"/>
    <col min="7" max="13" width="12.28515625" bestFit="1" customWidth="1"/>
    <col min="14" max="16" width="11.5703125" bestFit="1" customWidth="1"/>
    <col min="17" max="17" width="12.28515625" bestFit="1" customWidth="1"/>
    <col min="18" max="18" width="11.5703125" bestFit="1" customWidth="1"/>
    <col min="19" max="40" width="12.5703125" bestFit="1" customWidth="1"/>
  </cols>
  <sheetData>
    <row r="1" spans="1:40" x14ac:dyDescent="0.25">
      <c r="A1" s="96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>2026</v>
      </c>
      <c r="B1" s="58" t="s">
        <v>66</v>
      </c>
      <c r="C1" s="16" t="s">
        <v>61</v>
      </c>
      <c r="D1" s="3" t="s">
        <v>307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IFERROR(_xlpm.kiddos,0))</f>
        <v>0</v>
      </c>
      <c r="F1" s="69">
        <v>0</v>
      </c>
      <c r="G1" s="69">
        <v>0</v>
      </c>
      <c r="H1" s="69">
        <v>0</v>
      </c>
      <c r="I1" s="69">
        <v>0</v>
      </c>
      <c r="J1" s="69">
        <v>0</v>
      </c>
      <c r="K1" s="69">
        <v>3</v>
      </c>
      <c r="L1" s="69">
        <v>6</v>
      </c>
      <c r="M1" s="69">
        <v>9</v>
      </c>
      <c r="N1" s="69">
        <v>12</v>
      </c>
      <c r="O1" s="69">
        <v>15</v>
      </c>
      <c r="P1" s="69">
        <v>18</v>
      </c>
      <c r="Q1" s="69">
        <v>21</v>
      </c>
      <c r="R1" s="69">
        <v>24</v>
      </c>
      <c r="S1" s="69">
        <v>27</v>
      </c>
      <c r="T1" s="69">
        <v>30</v>
      </c>
      <c r="U1" s="69">
        <v>33</v>
      </c>
      <c r="V1" s="69">
        <v>36</v>
      </c>
      <c r="W1" s="69">
        <v>39</v>
      </c>
      <c r="X1" s="69">
        <v>42</v>
      </c>
      <c r="Y1" s="69">
        <v>42</v>
      </c>
      <c r="Z1" s="69">
        <v>42</v>
      </c>
      <c r="AA1" s="69">
        <v>42</v>
      </c>
      <c r="AB1" s="69">
        <v>42</v>
      </c>
      <c r="AC1" s="69">
        <v>42</v>
      </c>
      <c r="AD1" s="69">
        <v>42</v>
      </c>
      <c r="AE1" s="69">
        <v>42</v>
      </c>
      <c r="AF1" s="69">
        <v>42</v>
      </c>
      <c r="AG1" s="69">
        <v>42</v>
      </c>
      <c r="AH1" s="69">
        <v>42</v>
      </c>
      <c r="AI1" s="69">
        <v>42</v>
      </c>
      <c r="AJ1" s="69">
        <v>42</v>
      </c>
      <c r="AK1" s="69">
        <v>42</v>
      </c>
      <c r="AL1" s="69">
        <v>42</v>
      </c>
      <c r="AM1" s="69">
        <v>42</v>
      </c>
      <c r="AN1" s="69">
        <v>42</v>
      </c>
    </row>
    <row r="2" spans="1:40" x14ac:dyDescent="0.25">
      <c r="A2" s="65"/>
      <c r="B2" s="3" t="str">
        <f>_xlfn.XLOOKUP($B$1&amp;"-"&amp;$C$1,Base!$D$4:$BD$4,Base!$D$2:$BD$2,"",0)</f>
        <v>New Jersey</v>
      </c>
      <c r="C2" s="55"/>
      <c r="D2" s="55" t="s">
        <v>259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0</v>
      </c>
      <c r="F2" s="69">
        <v>0</v>
      </c>
      <c r="G2" s="69">
        <v>0</v>
      </c>
      <c r="H2" s="69">
        <v>0</v>
      </c>
      <c r="I2" s="69">
        <v>0</v>
      </c>
      <c r="J2" s="69">
        <v>0</v>
      </c>
      <c r="K2" s="69">
        <v>0</v>
      </c>
      <c r="L2" s="69">
        <v>3.1666666666666665</v>
      </c>
      <c r="M2" s="69">
        <v>3.3333333333333335</v>
      </c>
      <c r="N2" s="69">
        <v>3.5</v>
      </c>
      <c r="O2" s="69">
        <v>3.6666666666666665</v>
      </c>
      <c r="P2" s="69">
        <v>3.8333333333333335</v>
      </c>
      <c r="Q2" s="69">
        <v>4</v>
      </c>
      <c r="R2" s="69">
        <v>4.166666666666667</v>
      </c>
      <c r="S2" s="69">
        <v>4.333333333333333</v>
      </c>
      <c r="T2" s="69">
        <v>4.5</v>
      </c>
      <c r="U2" s="69">
        <v>4.666666666666667</v>
      </c>
      <c r="V2" s="69">
        <v>4.833333333333333</v>
      </c>
      <c r="W2" s="69">
        <v>5</v>
      </c>
      <c r="X2" s="69">
        <v>2.1666666666666665</v>
      </c>
      <c r="Y2" s="69">
        <v>2.3333333333333335</v>
      </c>
      <c r="Z2" s="69">
        <v>2.5</v>
      </c>
      <c r="AA2" s="69">
        <v>2.6666666666666665</v>
      </c>
      <c r="AB2" s="69">
        <v>2.8333333333333335</v>
      </c>
      <c r="AC2" s="69">
        <v>3</v>
      </c>
      <c r="AD2" s="69">
        <v>3.1666666666666665</v>
      </c>
      <c r="AE2" s="69">
        <v>3.3333333333333335</v>
      </c>
      <c r="AF2" s="69">
        <v>3.5</v>
      </c>
      <c r="AG2" s="69">
        <v>3.6666666666666665</v>
      </c>
      <c r="AH2" s="69">
        <v>3.8333333333333335</v>
      </c>
      <c r="AI2" s="69">
        <v>4</v>
      </c>
      <c r="AJ2" s="69">
        <v>4</v>
      </c>
      <c r="AK2" s="69">
        <v>4</v>
      </c>
      <c r="AL2" s="69">
        <v>4</v>
      </c>
      <c r="AM2" s="69">
        <v>4</v>
      </c>
      <c r="AN2" s="69">
        <v>4</v>
      </c>
    </row>
    <row r="3" spans="1:40" x14ac:dyDescent="0.25">
      <c r="A3" s="65"/>
      <c r="B3" s="55"/>
      <c r="C3" s="55"/>
      <c r="D3" s="55" t="s">
        <v>62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_xlpm.months_since,DATEDIF(_xlpm.launchdate,_xlfn.ANCHORARRAY($E$25),"m"),_xlfn.BYCOL(_xlpm.months_since,_xlfn.LAMBDA(_xlpm.a,IFERROR(MIN(_xlpm.a/6,_xlpm.max_kiddos),0))))</f>
        <v>0</v>
      </c>
      <c r="F3" s="69">
        <v>0</v>
      </c>
      <c r="G3" s="69">
        <v>0</v>
      </c>
      <c r="H3" s="69">
        <v>0</v>
      </c>
      <c r="I3" s="69">
        <v>0</v>
      </c>
      <c r="J3" s="69">
        <v>0</v>
      </c>
      <c r="K3" s="69">
        <v>0</v>
      </c>
      <c r="L3" s="69">
        <v>0.16666666666666666</v>
      </c>
      <c r="M3" s="69">
        <v>0.33333333333333331</v>
      </c>
      <c r="N3" s="69">
        <v>0.5</v>
      </c>
      <c r="O3" s="69">
        <v>0.66666666666666663</v>
      </c>
      <c r="P3" s="69">
        <v>0.83333333333333337</v>
      </c>
      <c r="Q3" s="69">
        <v>1</v>
      </c>
      <c r="R3" s="69">
        <v>1.1666666666666667</v>
      </c>
      <c r="S3" s="69">
        <v>1.3333333333333333</v>
      </c>
      <c r="T3" s="69">
        <v>1.5</v>
      </c>
      <c r="U3" s="69">
        <v>1.6666666666666667</v>
      </c>
      <c r="V3" s="69">
        <v>1.8333333333333333</v>
      </c>
      <c r="W3" s="69">
        <v>2</v>
      </c>
      <c r="X3" s="69">
        <v>2.1666666666666665</v>
      </c>
      <c r="Y3" s="69">
        <v>2.3333333333333335</v>
      </c>
      <c r="Z3" s="69">
        <v>2.5</v>
      </c>
      <c r="AA3" s="69">
        <v>2.6666666666666665</v>
      </c>
      <c r="AB3" s="69">
        <v>2.8333333333333335</v>
      </c>
      <c r="AC3" s="69">
        <v>3</v>
      </c>
      <c r="AD3" s="69">
        <v>3.1666666666666665</v>
      </c>
      <c r="AE3" s="69">
        <v>3.3333333333333335</v>
      </c>
      <c r="AF3" s="69">
        <v>3.5</v>
      </c>
      <c r="AG3" s="69">
        <v>3.6666666666666665</v>
      </c>
      <c r="AH3" s="69">
        <v>3.8333333333333335</v>
      </c>
      <c r="AI3" s="69">
        <v>4</v>
      </c>
      <c r="AJ3" s="69">
        <v>4</v>
      </c>
      <c r="AK3" s="69">
        <v>4</v>
      </c>
      <c r="AL3" s="69">
        <v>4</v>
      </c>
      <c r="AM3" s="69">
        <v>4</v>
      </c>
      <c r="AN3" s="69">
        <v>4</v>
      </c>
    </row>
    <row r="4" spans="1:40" x14ac:dyDescent="0.25">
      <c r="A4" s="65"/>
      <c r="B4" s="55"/>
      <c r="C4" s="55"/>
      <c r="D4" s="55" t="s">
        <v>260</v>
      </c>
      <c r="E4" s="69" cm="1">
        <f t="array" ref="E4:AN4">_xlfn.BYCOL(_xlfn.VSTACK(_xlfn.ANCHORARRAY($E$1),_xlfn.ANCHORARRAY($E$2)),_xlfn.LAMBDA(_xlpm.a,SUM(_xlpm.a)))</f>
        <v>0</v>
      </c>
      <c r="F4" s="69">
        <v>0</v>
      </c>
      <c r="G4" s="69">
        <v>0</v>
      </c>
      <c r="H4" s="69">
        <v>0</v>
      </c>
      <c r="I4" s="69">
        <v>0</v>
      </c>
      <c r="J4" s="69">
        <v>0</v>
      </c>
      <c r="K4" s="69">
        <v>3</v>
      </c>
      <c r="L4" s="69">
        <v>9.1666666666666661</v>
      </c>
      <c r="M4" s="69">
        <v>12.333333333333334</v>
      </c>
      <c r="N4" s="69">
        <v>15.5</v>
      </c>
      <c r="O4" s="69">
        <v>18.666666666666668</v>
      </c>
      <c r="P4" s="69">
        <v>21.833333333333332</v>
      </c>
      <c r="Q4" s="69">
        <v>25</v>
      </c>
      <c r="R4" s="69">
        <v>28.166666666666668</v>
      </c>
      <c r="S4" s="69">
        <v>31.333333333333332</v>
      </c>
      <c r="T4" s="69">
        <v>34.5</v>
      </c>
      <c r="U4" s="69">
        <v>37.666666666666664</v>
      </c>
      <c r="V4" s="69">
        <v>40.833333333333336</v>
      </c>
      <c r="W4" s="69">
        <v>44</v>
      </c>
      <c r="X4" s="69">
        <v>44.166666666666664</v>
      </c>
      <c r="Y4" s="69">
        <v>44.333333333333336</v>
      </c>
      <c r="Z4" s="69">
        <v>44.5</v>
      </c>
      <c r="AA4" s="69">
        <v>44.666666666666664</v>
      </c>
      <c r="AB4" s="69">
        <v>44.833333333333336</v>
      </c>
      <c r="AC4" s="69">
        <v>45</v>
      </c>
      <c r="AD4" s="69">
        <v>45.166666666666664</v>
      </c>
      <c r="AE4" s="69">
        <v>45.333333333333336</v>
      </c>
      <c r="AF4" s="69">
        <v>45.5</v>
      </c>
      <c r="AG4" s="69">
        <v>45.666666666666664</v>
      </c>
      <c r="AH4" s="69">
        <v>45.833333333333336</v>
      </c>
      <c r="AI4" s="69">
        <v>46</v>
      </c>
      <c r="AJ4" s="69">
        <v>46</v>
      </c>
      <c r="AK4" s="69">
        <v>46</v>
      </c>
      <c r="AL4" s="69">
        <v>46</v>
      </c>
      <c r="AM4" s="69">
        <v>46</v>
      </c>
      <c r="AN4" s="69">
        <v>46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107</v>
      </c>
      <c r="C6" s="3"/>
      <c r="D6" s="3"/>
      <c r="E6" s="66" cm="1">
        <f t="array" ref="E6:AN6">ROUND(_xlfn.BYCOL(_xlfn.ANCHORARRAY(E7),_xlfn.LAMBDA(_xlpm.a,SUM(_xlpm.a))),0)</f>
        <v>0</v>
      </c>
      <c r="F6" s="66">
        <v>0</v>
      </c>
      <c r="G6" s="66">
        <v>0</v>
      </c>
      <c r="H6" s="66">
        <v>0</v>
      </c>
      <c r="I6" s="66">
        <v>0</v>
      </c>
      <c r="J6" s="66">
        <v>0</v>
      </c>
      <c r="K6" s="66">
        <v>6</v>
      </c>
      <c r="L6" s="66">
        <v>11</v>
      </c>
      <c r="M6" s="66">
        <v>15</v>
      </c>
      <c r="N6" s="66">
        <v>18</v>
      </c>
      <c r="O6" s="66">
        <v>22</v>
      </c>
      <c r="P6" s="66">
        <v>26</v>
      </c>
      <c r="Q6" s="66">
        <v>29</v>
      </c>
      <c r="R6" s="66">
        <v>33</v>
      </c>
      <c r="S6" s="66">
        <v>37</v>
      </c>
      <c r="T6" s="66">
        <v>40</v>
      </c>
      <c r="U6" s="66">
        <v>44</v>
      </c>
      <c r="V6" s="66">
        <v>47</v>
      </c>
      <c r="W6" s="66">
        <v>51</v>
      </c>
      <c r="X6" s="66">
        <v>54</v>
      </c>
      <c r="Y6" s="66">
        <v>54</v>
      </c>
      <c r="Z6" s="66">
        <v>54</v>
      </c>
      <c r="AA6" s="66">
        <v>54</v>
      </c>
      <c r="AB6" s="66">
        <v>54</v>
      </c>
      <c r="AC6" s="66">
        <v>54</v>
      </c>
      <c r="AD6" s="66">
        <v>54</v>
      </c>
      <c r="AE6" s="66">
        <v>54</v>
      </c>
      <c r="AF6" s="66">
        <v>54</v>
      </c>
      <c r="AG6" s="66">
        <v>54</v>
      </c>
      <c r="AH6" s="66">
        <v>54</v>
      </c>
      <c r="AI6" s="66">
        <v>54</v>
      </c>
      <c r="AJ6" s="66">
        <v>54</v>
      </c>
      <c r="AK6" s="66">
        <v>54</v>
      </c>
      <c r="AL6" s="66">
        <v>54</v>
      </c>
      <c r="AM6" s="66">
        <v>54</v>
      </c>
      <c r="AN6" s="66">
        <v>54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1"/>
      <c r="E7" s="106" cm="1">
        <f t="array" ref="E7:AN20">_xlfn.LET(_xlpm.Customer_staff,_xlfn._xlws.FILTER(Base!$D$85:$BD$98,ISNUMBER(SEARCH($B$1&amp;"-"&amp;$C$1,Base!$D$4:$BD$4))),_xlpm.Customer,_xlfn.ANCHORARRAY($E$1),_xlpm.headcount,_xlpm.Customer/_xlpm.Customer_staff,
_xlpm.patient_staff,_xlfn.ANCHORARRAY($E$2)/_xlpm.Customer_staff,_xlpm.prim_staff_tr_rec,_xlfn.ANCHORARRAY($E$2)/_xlfn.CHOOSEROWS(_xlpm.Customer_staff,{7,8})+(_xlfn.ANCHORARRAY($E$1)*0.0055),_xlpm.rounding,_xlfn.VSTACK(2,2,0,0,2,2,2,2,2,2,2,0,0,0),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prim_staff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0</v>
      </c>
      <c r="F7" s="106">
        <v>0</v>
      </c>
      <c r="G7" s="106">
        <v>0</v>
      </c>
      <c r="H7" s="106">
        <v>0</v>
      </c>
      <c r="I7" s="106">
        <v>0</v>
      </c>
      <c r="J7" s="106">
        <v>0</v>
      </c>
      <c r="K7" s="106">
        <v>2.8299999999999996</v>
      </c>
      <c r="L7" s="106">
        <v>5.6499999999999995</v>
      </c>
      <c r="M7" s="106">
        <v>8.48</v>
      </c>
      <c r="N7" s="106">
        <v>11.299999999999999</v>
      </c>
      <c r="O7" s="106">
        <v>14.12</v>
      </c>
      <c r="P7" s="106">
        <v>16.950000000000003</v>
      </c>
      <c r="Q7" s="106">
        <v>19.770000000000003</v>
      </c>
      <c r="R7" s="106">
        <v>22.59</v>
      </c>
      <c r="S7" s="106">
        <v>25.42</v>
      </c>
      <c r="T7" s="106">
        <v>28.240000000000002</v>
      </c>
      <c r="U7" s="106">
        <v>31.060000000000002</v>
      </c>
      <c r="V7" s="106">
        <v>33.89</v>
      </c>
      <c r="W7" s="106">
        <v>36.71</v>
      </c>
      <c r="X7" s="106">
        <v>39.53</v>
      </c>
      <c r="Y7" s="106">
        <v>39.53</v>
      </c>
      <c r="Z7" s="106">
        <v>39.53</v>
      </c>
      <c r="AA7" s="106">
        <v>39.53</v>
      </c>
      <c r="AB7" s="106">
        <v>39.53</v>
      </c>
      <c r="AC7" s="106">
        <v>39.53</v>
      </c>
      <c r="AD7" s="106">
        <v>39.53</v>
      </c>
      <c r="AE7" s="106">
        <v>39.53</v>
      </c>
      <c r="AF7" s="106">
        <v>39.53</v>
      </c>
      <c r="AG7" s="106">
        <v>39.53</v>
      </c>
      <c r="AH7" s="106">
        <v>39.53</v>
      </c>
      <c r="AI7" s="106">
        <v>39.53</v>
      </c>
      <c r="AJ7" s="106">
        <v>39.53</v>
      </c>
      <c r="AK7" s="106">
        <v>39.53</v>
      </c>
      <c r="AL7" s="106">
        <v>39.53</v>
      </c>
      <c r="AM7" s="106">
        <v>39.53</v>
      </c>
      <c r="AN7" s="106">
        <v>39.53</v>
      </c>
    </row>
    <row r="8" spans="1:40" hidden="1" outlineLevel="1" x14ac:dyDescent="0.25">
      <c r="B8" s="39" t="str">
        <v>Secondary Direct Staff</v>
      </c>
      <c r="C8" s="3"/>
      <c r="D8" s="3"/>
      <c r="E8" s="106">
        <v>0</v>
      </c>
      <c r="F8" s="106">
        <v>0</v>
      </c>
      <c r="G8" s="106">
        <v>0</v>
      </c>
      <c r="H8" s="106">
        <v>0</v>
      </c>
      <c r="I8" s="106">
        <v>0</v>
      </c>
      <c r="J8" s="106">
        <v>0</v>
      </c>
      <c r="K8" s="106">
        <v>0.43</v>
      </c>
      <c r="L8" s="106">
        <v>0.86</v>
      </c>
      <c r="M8" s="106">
        <v>1.29</v>
      </c>
      <c r="N8" s="106">
        <v>1.72</v>
      </c>
      <c r="O8" s="106">
        <v>2.15</v>
      </c>
      <c r="P8" s="106">
        <v>2.5799999999999996</v>
      </c>
      <c r="Q8" s="106">
        <v>3</v>
      </c>
      <c r="R8" s="106">
        <v>3.4299999999999997</v>
      </c>
      <c r="S8" s="106">
        <v>3.86</v>
      </c>
      <c r="T8" s="106">
        <v>4.29</v>
      </c>
      <c r="U8" s="106">
        <v>4.72</v>
      </c>
      <c r="V8" s="106">
        <v>5.1499999999999995</v>
      </c>
      <c r="W8" s="106">
        <v>5.58</v>
      </c>
      <c r="X8" s="106">
        <v>6</v>
      </c>
      <c r="Y8" s="106">
        <v>6</v>
      </c>
      <c r="Z8" s="106">
        <v>6</v>
      </c>
      <c r="AA8" s="106">
        <v>6</v>
      </c>
      <c r="AB8" s="106">
        <v>6</v>
      </c>
      <c r="AC8" s="106">
        <v>6</v>
      </c>
      <c r="AD8" s="106">
        <v>6</v>
      </c>
      <c r="AE8" s="106">
        <v>6</v>
      </c>
      <c r="AF8" s="106">
        <v>6</v>
      </c>
      <c r="AG8" s="106">
        <v>6</v>
      </c>
      <c r="AH8" s="106">
        <v>6</v>
      </c>
      <c r="AI8" s="106">
        <v>6</v>
      </c>
      <c r="AJ8" s="106">
        <v>6</v>
      </c>
      <c r="AK8" s="106">
        <v>6</v>
      </c>
      <c r="AL8" s="106">
        <v>6</v>
      </c>
      <c r="AM8" s="106">
        <v>6</v>
      </c>
      <c r="AN8" s="106">
        <v>6</v>
      </c>
    </row>
    <row r="9" spans="1:40" hidden="1" outlineLevel="1" x14ac:dyDescent="0.25">
      <c r="B9" s="39" t="str">
        <v>Center Manager</v>
      </c>
      <c r="C9" s="3"/>
      <c r="D9" s="3"/>
      <c r="E9" s="106">
        <v>0</v>
      </c>
      <c r="F9" s="106">
        <v>0</v>
      </c>
      <c r="G9" s="106">
        <v>0</v>
      </c>
      <c r="H9" s="106">
        <v>0</v>
      </c>
      <c r="I9" s="106">
        <v>0</v>
      </c>
      <c r="J9" s="106">
        <v>0</v>
      </c>
      <c r="K9" s="106">
        <v>1</v>
      </c>
      <c r="L9" s="106">
        <v>1</v>
      </c>
      <c r="M9" s="106">
        <v>1</v>
      </c>
      <c r="N9" s="106">
        <v>1</v>
      </c>
      <c r="O9" s="106">
        <v>1</v>
      </c>
      <c r="P9" s="106">
        <v>1</v>
      </c>
      <c r="Q9" s="106">
        <v>1</v>
      </c>
      <c r="R9" s="106">
        <v>1</v>
      </c>
      <c r="S9" s="106">
        <v>1</v>
      </c>
      <c r="T9" s="106">
        <v>1</v>
      </c>
      <c r="U9" s="106">
        <v>1</v>
      </c>
      <c r="V9" s="106">
        <v>1</v>
      </c>
      <c r="W9" s="106">
        <v>1</v>
      </c>
      <c r="X9" s="106">
        <v>1</v>
      </c>
      <c r="Y9" s="106">
        <v>1</v>
      </c>
      <c r="Z9" s="106">
        <v>1</v>
      </c>
      <c r="AA9" s="106">
        <v>1</v>
      </c>
      <c r="AB9" s="106">
        <v>1</v>
      </c>
      <c r="AC9" s="106">
        <v>1</v>
      </c>
      <c r="AD9" s="106">
        <v>1</v>
      </c>
      <c r="AE9" s="106">
        <v>1</v>
      </c>
      <c r="AF9" s="106">
        <v>1</v>
      </c>
      <c r="AG9" s="106">
        <v>1</v>
      </c>
      <c r="AH9" s="106">
        <v>1</v>
      </c>
      <c r="AI9" s="106">
        <v>1</v>
      </c>
      <c r="AJ9" s="106">
        <v>1</v>
      </c>
      <c r="AK9" s="106">
        <v>1</v>
      </c>
      <c r="AL9" s="106">
        <v>1</v>
      </c>
      <c r="AM9" s="106">
        <v>1</v>
      </c>
      <c r="AN9" s="106">
        <v>1</v>
      </c>
    </row>
    <row r="10" spans="1:40" hidden="1" outlineLevel="1" x14ac:dyDescent="0.25">
      <c r="B10" s="39" t="str">
        <v>Intake</v>
      </c>
      <c r="C10" s="3"/>
      <c r="D10" s="3"/>
      <c r="E10" s="106">
        <v>0</v>
      </c>
      <c r="F10" s="106">
        <v>0</v>
      </c>
      <c r="G10" s="106">
        <v>0</v>
      </c>
      <c r="H10" s="106">
        <v>0</v>
      </c>
      <c r="I10" s="106">
        <v>0</v>
      </c>
      <c r="J10" s="106">
        <v>0</v>
      </c>
      <c r="K10" s="106">
        <v>0</v>
      </c>
      <c r="L10" s="106">
        <v>1</v>
      </c>
      <c r="M10" s="106">
        <v>1</v>
      </c>
      <c r="N10" s="106">
        <v>1</v>
      </c>
      <c r="O10" s="106">
        <v>1</v>
      </c>
      <c r="P10" s="106">
        <v>1</v>
      </c>
      <c r="Q10" s="106">
        <v>1</v>
      </c>
      <c r="R10" s="106">
        <v>1</v>
      </c>
      <c r="S10" s="106">
        <v>1</v>
      </c>
      <c r="T10" s="106">
        <v>1</v>
      </c>
      <c r="U10" s="106">
        <v>1</v>
      </c>
      <c r="V10" s="106">
        <v>1</v>
      </c>
      <c r="W10" s="106">
        <v>1</v>
      </c>
      <c r="X10" s="106">
        <v>1</v>
      </c>
      <c r="Y10" s="106">
        <v>1</v>
      </c>
      <c r="Z10" s="106">
        <v>1</v>
      </c>
      <c r="AA10" s="106">
        <v>1</v>
      </c>
      <c r="AB10" s="106">
        <v>1</v>
      </c>
      <c r="AC10" s="106">
        <v>1</v>
      </c>
      <c r="AD10" s="106">
        <v>1</v>
      </c>
      <c r="AE10" s="106">
        <v>1</v>
      </c>
      <c r="AF10" s="106">
        <v>1</v>
      </c>
      <c r="AG10" s="106">
        <v>1</v>
      </c>
      <c r="AH10" s="106">
        <v>1</v>
      </c>
      <c r="AI10" s="106">
        <v>1</v>
      </c>
      <c r="AJ10" s="106">
        <v>1</v>
      </c>
      <c r="AK10" s="106">
        <v>1</v>
      </c>
      <c r="AL10" s="106">
        <v>1</v>
      </c>
      <c r="AM10" s="106">
        <v>1</v>
      </c>
      <c r="AN10" s="106">
        <v>1</v>
      </c>
    </row>
    <row r="11" spans="1:40" hidden="1" outlineLevel="1" x14ac:dyDescent="0.25">
      <c r="B11" s="39" t="str">
        <v>Scheduler</v>
      </c>
      <c r="C11" s="3"/>
      <c r="D11" s="3"/>
      <c r="E11" s="106">
        <v>0</v>
      </c>
      <c r="F11" s="106">
        <v>0</v>
      </c>
      <c r="G11" s="106">
        <v>0</v>
      </c>
      <c r="H11" s="106">
        <v>0</v>
      </c>
      <c r="I11" s="106">
        <v>0</v>
      </c>
      <c r="J11" s="106">
        <v>0</v>
      </c>
      <c r="K11" s="106">
        <v>0</v>
      </c>
      <c r="L11" s="106">
        <v>0</v>
      </c>
      <c r="M11" s="106">
        <v>0</v>
      </c>
      <c r="N11" s="106">
        <v>0</v>
      </c>
      <c r="O11" s="106">
        <v>0</v>
      </c>
      <c r="P11" s="106">
        <v>0</v>
      </c>
      <c r="Q11" s="106">
        <v>0</v>
      </c>
      <c r="R11" s="106">
        <v>0</v>
      </c>
      <c r="S11" s="106">
        <v>0</v>
      </c>
      <c r="T11" s="106">
        <v>0</v>
      </c>
      <c r="U11" s="106">
        <v>0</v>
      </c>
      <c r="V11" s="106">
        <v>0</v>
      </c>
      <c r="W11" s="106">
        <v>0</v>
      </c>
      <c r="X11" s="106">
        <v>0</v>
      </c>
      <c r="Y11" s="106">
        <v>0</v>
      </c>
      <c r="Z11" s="106">
        <v>0</v>
      </c>
      <c r="AA11" s="106">
        <v>0</v>
      </c>
      <c r="AB11" s="106">
        <v>0</v>
      </c>
      <c r="AC11" s="106">
        <v>0</v>
      </c>
      <c r="AD11" s="106">
        <v>0</v>
      </c>
      <c r="AE11" s="106">
        <v>0</v>
      </c>
      <c r="AF11" s="106">
        <v>0</v>
      </c>
      <c r="AG11" s="106">
        <v>0</v>
      </c>
      <c r="AH11" s="106">
        <v>0</v>
      </c>
      <c r="AI11" s="106">
        <v>0</v>
      </c>
      <c r="AJ11" s="106">
        <v>0</v>
      </c>
      <c r="AK11" s="106">
        <v>0</v>
      </c>
      <c r="AL11" s="106">
        <v>0</v>
      </c>
      <c r="AM11" s="106">
        <v>0</v>
      </c>
      <c r="AN11" s="106">
        <v>0</v>
      </c>
    </row>
    <row r="12" spans="1:40" hidden="1" outlineLevel="1" x14ac:dyDescent="0.25">
      <c r="B12" s="39" t="str">
        <v>Initial Consultation Expert</v>
      </c>
      <c r="C12" s="3"/>
      <c r="D12" s="3"/>
      <c r="E12" s="106">
        <v>0</v>
      </c>
      <c r="F12" s="106">
        <v>0</v>
      </c>
      <c r="G12" s="106">
        <v>0</v>
      </c>
      <c r="H12" s="106">
        <v>0</v>
      </c>
      <c r="I12" s="106">
        <v>0</v>
      </c>
      <c r="J12" s="106">
        <v>0</v>
      </c>
      <c r="K12" s="106">
        <v>0</v>
      </c>
      <c r="L12" s="106">
        <v>0.25</v>
      </c>
      <c r="M12" s="106">
        <v>0.26</v>
      </c>
      <c r="N12" s="106">
        <v>0.27</v>
      </c>
      <c r="O12" s="106">
        <v>0.29000000000000004</v>
      </c>
      <c r="P12" s="106">
        <v>0.3</v>
      </c>
      <c r="Q12" s="106">
        <v>0.31</v>
      </c>
      <c r="R12" s="106">
        <v>0.33</v>
      </c>
      <c r="S12" s="106">
        <v>0.34</v>
      </c>
      <c r="T12" s="106">
        <v>0.35000000000000003</v>
      </c>
      <c r="U12" s="106">
        <v>0.36</v>
      </c>
      <c r="V12" s="106">
        <v>0.38</v>
      </c>
      <c r="W12" s="106">
        <v>0.39</v>
      </c>
      <c r="X12" s="106">
        <v>0.17</v>
      </c>
      <c r="Y12" s="106">
        <v>0.18000000000000002</v>
      </c>
      <c r="Z12" s="106">
        <v>0.2</v>
      </c>
      <c r="AA12" s="106">
        <v>0.21000000000000002</v>
      </c>
      <c r="AB12" s="106">
        <v>0.22</v>
      </c>
      <c r="AC12" s="106">
        <v>0.24000000000000002</v>
      </c>
      <c r="AD12" s="106">
        <v>0.25</v>
      </c>
      <c r="AE12" s="106">
        <v>0.26</v>
      </c>
      <c r="AF12" s="106">
        <v>0.27</v>
      </c>
      <c r="AG12" s="106">
        <v>0.29000000000000004</v>
      </c>
      <c r="AH12" s="106">
        <v>0.3</v>
      </c>
      <c r="AI12" s="106">
        <v>0.31</v>
      </c>
      <c r="AJ12" s="106">
        <v>0.31</v>
      </c>
      <c r="AK12" s="106">
        <v>0.31</v>
      </c>
      <c r="AL12" s="106">
        <v>0.31</v>
      </c>
      <c r="AM12" s="106">
        <v>0.31</v>
      </c>
      <c r="AN12" s="106">
        <v>0.31</v>
      </c>
    </row>
    <row r="13" spans="1:40" hidden="1" outlineLevel="1" x14ac:dyDescent="0.25">
      <c r="B13" s="39" t="str">
        <v>Trainer</v>
      </c>
      <c r="C13" s="3"/>
      <c r="D13" s="3"/>
      <c r="E13" s="106">
        <v>0</v>
      </c>
      <c r="F13" s="106">
        <v>0</v>
      </c>
      <c r="G13" s="106">
        <v>0</v>
      </c>
      <c r="H13" s="106">
        <v>0</v>
      </c>
      <c r="I13" s="106">
        <v>0</v>
      </c>
      <c r="J13" s="106">
        <v>0</v>
      </c>
      <c r="K13" s="106">
        <v>0.02</v>
      </c>
      <c r="L13" s="106">
        <v>0.35000000000000003</v>
      </c>
      <c r="M13" s="106">
        <v>0.39</v>
      </c>
      <c r="N13" s="106">
        <v>0.42</v>
      </c>
      <c r="O13" s="106">
        <v>0.45</v>
      </c>
      <c r="P13" s="106">
        <v>0.49</v>
      </c>
      <c r="Q13" s="106">
        <v>0.52</v>
      </c>
      <c r="R13" s="106">
        <v>0.55000000000000004</v>
      </c>
      <c r="S13" s="106">
        <v>0.59</v>
      </c>
      <c r="T13" s="106">
        <v>0.62</v>
      </c>
      <c r="U13" s="106">
        <v>0.65</v>
      </c>
      <c r="V13" s="106">
        <v>0.69000000000000006</v>
      </c>
      <c r="W13" s="106">
        <v>0.72</v>
      </c>
      <c r="X13" s="106">
        <v>0.45</v>
      </c>
      <c r="Y13" s="106">
        <v>0.47000000000000003</v>
      </c>
      <c r="Z13" s="106">
        <v>0.49</v>
      </c>
      <c r="AA13" s="106">
        <v>0.5</v>
      </c>
      <c r="AB13" s="106">
        <v>0.52</v>
      </c>
      <c r="AC13" s="106">
        <v>0.54</v>
      </c>
      <c r="AD13" s="106">
        <v>0.55000000000000004</v>
      </c>
      <c r="AE13" s="106">
        <v>0.57000000000000006</v>
      </c>
      <c r="AF13" s="106">
        <v>0.59</v>
      </c>
      <c r="AG13" s="106">
        <v>0.6</v>
      </c>
      <c r="AH13" s="106">
        <v>0.62</v>
      </c>
      <c r="AI13" s="106">
        <v>0.64</v>
      </c>
      <c r="AJ13" s="106">
        <v>0.64</v>
      </c>
      <c r="AK13" s="106">
        <v>0.64</v>
      </c>
      <c r="AL13" s="106">
        <v>0.64</v>
      </c>
      <c r="AM13" s="106">
        <v>0.64</v>
      </c>
      <c r="AN13" s="106">
        <v>0.64</v>
      </c>
    </row>
    <row r="14" spans="1:40" hidden="1" outlineLevel="1" x14ac:dyDescent="0.25">
      <c r="B14" s="39" t="str">
        <v>Recruiter</v>
      </c>
      <c r="C14" s="3"/>
      <c r="D14" s="3"/>
      <c r="E14" s="106">
        <v>0</v>
      </c>
      <c r="F14" s="106">
        <v>0</v>
      </c>
      <c r="G14" s="106">
        <v>0</v>
      </c>
      <c r="H14" s="106">
        <v>0</v>
      </c>
      <c r="I14" s="106">
        <v>0</v>
      </c>
      <c r="J14" s="106">
        <v>0</v>
      </c>
      <c r="K14" s="106">
        <v>0.02</v>
      </c>
      <c r="L14" s="106">
        <v>0.2</v>
      </c>
      <c r="M14" s="106">
        <v>0.22</v>
      </c>
      <c r="N14" s="106">
        <v>0.25</v>
      </c>
      <c r="O14" s="106">
        <v>0.27</v>
      </c>
      <c r="P14" s="106">
        <v>0.3</v>
      </c>
      <c r="Q14" s="106">
        <v>0.32</v>
      </c>
      <c r="R14" s="106">
        <v>0.35000000000000003</v>
      </c>
      <c r="S14" s="106">
        <v>0.37</v>
      </c>
      <c r="T14" s="106">
        <v>0.39</v>
      </c>
      <c r="U14" s="106">
        <v>0.42</v>
      </c>
      <c r="V14" s="106">
        <v>0.44</v>
      </c>
      <c r="W14" s="106">
        <v>0.47000000000000003</v>
      </c>
      <c r="X14" s="106">
        <v>0.34</v>
      </c>
      <c r="Y14" s="106">
        <v>0.35000000000000003</v>
      </c>
      <c r="Z14" s="106">
        <v>0.36</v>
      </c>
      <c r="AA14" s="106">
        <v>0.37</v>
      </c>
      <c r="AB14" s="106">
        <v>0.38</v>
      </c>
      <c r="AC14" s="106">
        <v>0.39</v>
      </c>
      <c r="AD14" s="106">
        <v>0.39</v>
      </c>
      <c r="AE14" s="106">
        <v>0.4</v>
      </c>
      <c r="AF14" s="106">
        <v>0.41000000000000003</v>
      </c>
      <c r="AG14" s="106">
        <v>0.42</v>
      </c>
      <c r="AH14" s="106">
        <v>0.43</v>
      </c>
      <c r="AI14" s="106">
        <v>0.44</v>
      </c>
      <c r="AJ14" s="106">
        <v>0.44</v>
      </c>
      <c r="AK14" s="106">
        <v>0.44</v>
      </c>
      <c r="AL14" s="106">
        <v>0.44</v>
      </c>
      <c r="AM14" s="106">
        <v>0.44</v>
      </c>
      <c r="AN14" s="106">
        <v>0.44</v>
      </c>
    </row>
    <row r="15" spans="1:40" hidden="1" outlineLevel="1" x14ac:dyDescent="0.25">
      <c r="B15" s="39" t="str">
        <v>Center Director / Remote Site Director</v>
      </c>
      <c r="C15" s="3"/>
      <c r="D15" s="3"/>
      <c r="E15" s="106">
        <v>0</v>
      </c>
      <c r="F15" s="106">
        <v>0</v>
      </c>
      <c r="G15" s="106">
        <v>0</v>
      </c>
      <c r="H15" s="106">
        <v>0</v>
      </c>
      <c r="I15" s="106">
        <v>0</v>
      </c>
      <c r="J15" s="106">
        <v>0</v>
      </c>
      <c r="K15" s="106">
        <v>0.02</v>
      </c>
      <c r="L15" s="106">
        <v>0.03</v>
      </c>
      <c r="M15" s="106">
        <v>0.04</v>
      </c>
      <c r="N15" s="106">
        <v>0.05</v>
      </c>
      <c r="O15" s="106">
        <v>0.06</v>
      </c>
      <c r="P15" s="106">
        <v>0.08</v>
      </c>
      <c r="Q15" s="106">
        <v>0.09</v>
      </c>
      <c r="R15" s="106">
        <v>9.9999999999999992E-2</v>
      </c>
      <c r="S15" s="106">
        <v>0.11</v>
      </c>
      <c r="T15" s="106">
        <v>0.12</v>
      </c>
      <c r="U15" s="106">
        <v>0.14000000000000001</v>
      </c>
      <c r="V15" s="106">
        <v>0.15000000000000002</v>
      </c>
      <c r="W15" s="106">
        <v>0.16</v>
      </c>
      <c r="X15" s="106">
        <v>0.17</v>
      </c>
      <c r="Y15" s="106">
        <v>0.17</v>
      </c>
      <c r="Z15" s="106">
        <v>0.17</v>
      </c>
      <c r="AA15" s="106">
        <v>0.17</v>
      </c>
      <c r="AB15" s="106">
        <v>0.17</v>
      </c>
      <c r="AC15" s="106">
        <v>0.17</v>
      </c>
      <c r="AD15" s="106">
        <v>0.17</v>
      </c>
      <c r="AE15" s="106">
        <v>0.17</v>
      </c>
      <c r="AF15" s="106">
        <v>0.17</v>
      </c>
      <c r="AG15" s="106">
        <v>0.17</v>
      </c>
      <c r="AH15" s="106">
        <v>0.17</v>
      </c>
      <c r="AI15" s="106">
        <v>0.17</v>
      </c>
      <c r="AJ15" s="106">
        <v>0.17</v>
      </c>
      <c r="AK15" s="106">
        <v>0.17</v>
      </c>
      <c r="AL15" s="106">
        <v>0.17</v>
      </c>
      <c r="AM15" s="106">
        <v>0.17</v>
      </c>
      <c r="AN15" s="106">
        <v>0.17</v>
      </c>
    </row>
    <row r="16" spans="1:40" hidden="1" outlineLevel="1" x14ac:dyDescent="0.25">
      <c r="B16" s="39" t="str">
        <v>Center Marketing Outreach</v>
      </c>
      <c r="C16" s="3"/>
      <c r="D16" s="3"/>
      <c r="E16" s="106">
        <v>0</v>
      </c>
      <c r="F16" s="106">
        <v>0</v>
      </c>
      <c r="G16" s="106">
        <v>0</v>
      </c>
      <c r="H16" s="106">
        <v>0</v>
      </c>
      <c r="I16" s="106">
        <v>0</v>
      </c>
      <c r="J16" s="106">
        <v>0</v>
      </c>
      <c r="K16" s="106">
        <v>0.02</v>
      </c>
      <c r="L16" s="106">
        <v>0.03</v>
      </c>
      <c r="M16" s="106">
        <v>0.04</v>
      </c>
      <c r="N16" s="106">
        <v>0.05</v>
      </c>
      <c r="O16" s="106">
        <v>0.06</v>
      </c>
      <c r="P16" s="106">
        <v>0.08</v>
      </c>
      <c r="Q16" s="106">
        <v>0.09</v>
      </c>
      <c r="R16" s="106">
        <v>9.9999999999999992E-2</v>
      </c>
      <c r="S16" s="106">
        <v>0.11</v>
      </c>
      <c r="T16" s="106">
        <v>0.12</v>
      </c>
      <c r="U16" s="106">
        <v>0.14000000000000001</v>
      </c>
      <c r="V16" s="106">
        <v>0.15000000000000002</v>
      </c>
      <c r="W16" s="106">
        <v>0.16</v>
      </c>
      <c r="X16" s="106">
        <v>0.17</v>
      </c>
      <c r="Y16" s="106">
        <v>0.17</v>
      </c>
      <c r="Z16" s="106">
        <v>0.17</v>
      </c>
      <c r="AA16" s="106">
        <v>0.17</v>
      </c>
      <c r="AB16" s="106">
        <v>0.17</v>
      </c>
      <c r="AC16" s="106">
        <v>0.17</v>
      </c>
      <c r="AD16" s="106">
        <v>0.17</v>
      </c>
      <c r="AE16" s="106">
        <v>0.17</v>
      </c>
      <c r="AF16" s="106">
        <v>0.17</v>
      </c>
      <c r="AG16" s="106">
        <v>0.17</v>
      </c>
      <c r="AH16" s="106">
        <v>0.17</v>
      </c>
      <c r="AI16" s="106">
        <v>0.17</v>
      </c>
      <c r="AJ16" s="106">
        <v>0.17</v>
      </c>
      <c r="AK16" s="106">
        <v>0.17</v>
      </c>
      <c r="AL16" s="106">
        <v>0.17</v>
      </c>
      <c r="AM16" s="106">
        <v>0.17</v>
      </c>
      <c r="AN16" s="106">
        <v>0.17</v>
      </c>
    </row>
    <row r="17" spans="2:50" hidden="1" outlineLevel="1" x14ac:dyDescent="0.25">
      <c r="B17" s="39" t="str">
        <v>Primary Direct Staff Lead</v>
      </c>
      <c r="C17" s="3"/>
      <c r="D17" s="3"/>
      <c r="E17" s="106">
        <v>0</v>
      </c>
      <c r="F17" s="106">
        <v>0</v>
      </c>
      <c r="G17" s="106">
        <v>0</v>
      </c>
      <c r="H17" s="106">
        <v>0</v>
      </c>
      <c r="I17" s="106">
        <v>0</v>
      </c>
      <c r="J17" s="106">
        <v>0</v>
      </c>
      <c r="K17" s="106">
        <v>0.3</v>
      </c>
      <c r="L17" s="106">
        <v>0.6</v>
      </c>
      <c r="M17" s="106">
        <v>0.9</v>
      </c>
      <c r="N17" s="106">
        <v>1.2</v>
      </c>
      <c r="O17" s="106">
        <v>1.5</v>
      </c>
      <c r="P17" s="106">
        <v>1.8</v>
      </c>
      <c r="Q17" s="106">
        <v>2.1</v>
      </c>
      <c r="R17" s="106">
        <v>2.4</v>
      </c>
      <c r="S17" s="106">
        <v>2.7</v>
      </c>
      <c r="T17" s="106">
        <v>3</v>
      </c>
      <c r="U17" s="106">
        <v>3.3</v>
      </c>
      <c r="V17" s="106">
        <v>3.6</v>
      </c>
      <c r="W17" s="106">
        <v>3.9</v>
      </c>
      <c r="X17" s="106">
        <v>4.2</v>
      </c>
      <c r="Y17" s="106">
        <v>4.2</v>
      </c>
      <c r="Z17" s="106">
        <v>4.2</v>
      </c>
      <c r="AA17" s="106">
        <v>4.2</v>
      </c>
      <c r="AB17" s="106">
        <v>4.2</v>
      </c>
      <c r="AC17" s="106">
        <v>4.2</v>
      </c>
      <c r="AD17" s="106">
        <v>4.2</v>
      </c>
      <c r="AE17" s="106">
        <v>4.2</v>
      </c>
      <c r="AF17" s="106">
        <v>4.2</v>
      </c>
      <c r="AG17" s="106">
        <v>4.2</v>
      </c>
      <c r="AH17" s="106">
        <v>4.2</v>
      </c>
      <c r="AI17" s="106">
        <v>4.2</v>
      </c>
      <c r="AJ17" s="106">
        <v>4.2</v>
      </c>
      <c r="AK17" s="106">
        <v>4.2</v>
      </c>
      <c r="AL17" s="106">
        <v>4.2</v>
      </c>
      <c r="AM17" s="106">
        <v>4.2</v>
      </c>
      <c r="AN17" s="106">
        <v>4.2</v>
      </c>
    </row>
    <row r="18" spans="2:50" hidden="1" outlineLevel="1" x14ac:dyDescent="0.25">
      <c r="B18" s="39" t="str">
        <v>Tertiary Direct Staff</v>
      </c>
      <c r="C18" s="3"/>
      <c r="D18" s="3"/>
      <c r="E18" s="106">
        <v>0</v>
      </c>
      <c r="F18" s="106">
        <v>0</v>
      </c>
      <c r="G18" s="106">
        <v>0</v>
      </c>
      <c r="H18" s="106">
        <v>0</v>
      </c>
      <c r="I18" s="106">
        <v>0</v>
      </c>
      <c r="J18" s="106">
        <v>0</v>
      </c>
      <c r="K18" s="106">
        <v>0</v>
      </c>
      <c r="L18" s="106">
        <v>0</v>
      </c>
      <c r="M18" s="106">
        <v>0</v>
      </c>
      <c r="N18" s="106">
        <v>0</v>
      </c>
      <c r="O18" s="106">
        <v>0</v>
      </c>
      <c r="P18" s="106">
        <v>0</v>
      </c>
      <c r="Q18" s="106">
        <v>0</v>
      </c>
      <c r="R18" s="106">
        <v>0</v>
      </c>
      <c r="S18" s="106">
        <v>0</v>
      </c>
      <c r="T18" s="106">
        <v>0</v>
      </c>
      <c r="U18" s="106">
        <v>0</v>
      </c>
      <c r="V18" s="106">
        <v>0</v>
      </c>
      <c r="W18" s="106">
        <v>0</v>
      </c>
      <c r="X18" s="106">
        <v>0</v>
      </c>
      <c r="Y18" s="106">
        <v>0</v>
      </c>
      <c r="Z18" s="106">
        <v>0</v>
      </c>
      <c r="AA18" s="106">
        <v>0</v>
      </c>
      <c r="AB18" s="106">
        <v>0</v>
      </c>
      <c r="AC18" s="106">
        <v>0</v>
      </c>
      <c r="AD18" s="106">
        <v>0</v>
      </c>
      <c r="AE18" s="106">
        <v>0</v>
      </c>
      <c r="AF18" s="106">
        <v>0</v>
      </c>
      <c r="AG18" s="106">
        <v>0</v>
      </c>
      <c r="AH18" s="106">
        <v>0</v>
      </c>
      <c r="AI18" s="106">
        <v>0</v>
      </c>
      <c r="AJ18" s="106">
        <v>0</v>
      </c>
      <c r="AK18" s="106">
        <v>0</v>
      </c>
      <c r="AL18" s="106">
        <v>0</v>
      </c>
      <c r="AM18" s="106">
        <v>0</v>
      </c>
      <c r="AN18" s="106">
        <v>0</v>
      </c>
    </row>
    <row r="19" spans="2:50" hidden="1" outlineLevel="1" x14ac:dyDescent="0.25">
      <c r="B19" s="39" t="str">
        <v>Quinary Direct Staff</v>
      </c>
      <c r="C19" s="3"/>
      <c r="D19" s="3"/>
      <c r="E19" s="106">
        <v>0</v>
      </c>
      <c r="F19" s="106">
        <v>0</v>
      </c>
      <c r="G19" s="106">
        <v>0</v>
      </c>
      <c r="H19" s="106">
        <v>0</v>
      </c>
      <c r="I19" s="106">
        <v>0</v>
      </c>
      <c r="J19" s="106">
        <v>0</v>
      </c>
      <c r="K19" s="106">
        <v>0</v>
      </c>
      <c r="L19" s="106">
        <v>0</v>
      </c>
      <c r="M19" s="106">
        <v>0</v>
      </c>
      <c r="N19" s="106">
        <v>0</v>
      </c>
      <c r="O19" s="106">
        <v>0</v>
      </c>
      <c r="P19" s="106">
        <v>0</v>
      </c>
      <c r="Q19" s="106">
        <v>0</v>
      </c>
      <c r="R19" s="106">
        <v>0</v>
      </c>
      <c r="S19" s="106">
        <v>0</v>
      </c>
      <c r="T19" s="106">
        <v>0</v>
      </c>
      <c r="U19" s="106">
        <v>0</v>
      </c>
      <c r="V19" s="106">
        <v>0</v>
      </c>
      <c r="W19" s="106">
        <v>0</v>
      </c>
      <c r="X19" s="106">
        <v>0</v>
      </c>
      <c r="Y19" s="106">
        <v>0</v>
      </c>
      <c r="Z19" s="106">
        <v>0</v>
      </c>
      <c r="AA19" s="106">
        <v>0</v>
      </c>
      <c r="AB19" s="106">
        <v>0</v>
      </c>
      <c r="AC19" s="106">
        <v>0</v>
      </c>
      <c r="AD19" s="106">
        <v>0</v>
      </c>
      <c r="AE19" s="106">
        <v>0</v>
      </c>
      <c r="AF19" s="106">
        <v>0</v>
      </c>
      <c r="AG19" s="106">
        <v>0</v>
      </c>
      <c r="AH19" s="106">
        <v>0</v>
      </c>
      <c r="AI19" s="106">
        <v>0</v>
      </c>
      <c r="AJ19" s="106">
        <v>0</v>
      </c>
      <c r="AK19" s="106">
        <v>0</v>
      </c>
      <c r="AL19" s="106">
        <v>0</v>
      </c>
      <c r="AM19" s="106">
        <v>0</v>
      </c>
      <c r="AN19" s="106">
        <v>0</v>
      </c>
    </row>
    <row r="20" spans="2:50" hidden="1" outlineLevel="1" x14ac:dyDescent="0.25">
      <c r="B20" s="39" t="str">
        <v>Quaternary Direct Staff</v>
      </c>
      <c r="C20" s="3"/>
      <c r="D20" s="3"/>
      <c r="E20" s="106">
        <v>0</v>
      </c>
      <c r="F20" s="106">
        <v>0</v>
      </c>
      <c r="G20" s="106">
        <v>0</v>
      </c>
      <c r="H20" s="106">
        <v>0</v>
      </c>
      <c r="I20" s="106">
        <v>0</v>
      </c>
      <c r="J20" s="106">
        <v>0</v>
      </c>
      <c r="K20" s="106">
        <v>1</v>
      </c>
      <c r="L20" s="106">
        <v>1</v>
      </c>
      <c r="M20" s="106">
        <v>1</v>
      </c>
      <c r="N20" s="106">
        <v>1</v>
      </c>
      <c r="O20" s="106">
        <v>1</v>
      </c>
      <c r="P20" s="106">
        <v>1</v>
      </c>
      <c r="Q20" s="106">
        <v>1</v>
      </c>
      <c r="R20" s="106">
        <v>1</v>
      </c>
      <c r="S20" s="106">
        <v>1</v>
      </c>
      <c r="T20" s="106">
        <v>1</v>
      </c>
      <c r="U20" s="106">
        <v>1</v>
      </c>
      <c r="V20" s="106">
        <v>1</v>
      </c>
      <c r="W20" s="106">
        <v>1</v>
      </c>
      <c r="X20" s="106">
        <v>1</v>
      </c>
      <c r="Y20" s="106">
        <v>1</v>
      </c>
      <c r="Z20" s="106">
        <v>1</v>
      </c>
      <c r="AA20" s="106">
        <v>1</v>
      </c>
      <c r="AB20" s="106">
        <v>1</v>
      </c>
      <c r="AC20" s="106">
        <v>1</v>
      </c>
      <c r="AD20" s="106">
        <v>1</v>
      </c>
      <c r="AE20" s="106">
        <v>1</v>
      </c>
      <c r="AF20" s="106">
        <v>1</v>
      </c>
      <c r="AG20" s="106">
        <v>1</v>
      </c>
      <c r="AH20" s="106">
        <v>1</v>
      </c>
      <c r="AI20" s="106">
        <v>1</v>
      </c>
      <c r="AJ20" s="106">
        <v>1</v>
      </c>
      <c r="AK20" s="106">
        <v>1</v>
      </c>
      <c r="AL20" s="106">
        <v>1</v>
      </c>
      <c r="AM20" s="106">
        <v>1</v>
      </c>
      <c r="AN20" s="106">
        <v>1</v>
      </c>
    </row>
    <row r="21" spans="2:50" collapsed="1" x14ac:dyDescent="0.25">
      <c r="B21" s="39" t="s">
        <v>389</v>
      </c>
      <c r="C21" s="3"/>
      <c r="D21" s="5"/>
      <c r="E21" s="117" cm="1">
        <f t="array" ref="E21:AN21">ROUND(_xlfn.BYCOL(_xlfn.CHOOSEROWS(_xlfn.ANCHORARRAY(E7),1,2),_xlfn.LAMBDA(_xlpm.col,SUM(_xlpm.col))),0)</f>
        <v>0</v>
      </c>
      <c r="F21" s="117">
        <v>0</v>
      </c>
      <c r="G21" s="117">
        <v>0</v>
      </c>
      <c r="H21" s="117">
        <v>0</v>
      </c>
      <c r="I21" s="117">
        <v>0</v>
      </c>
      <c r="J21" s="117">
        <v>0</v>
      </c>
      <c r="K21" s="117">
        <v>3</v>
      </c>
      <c r="L21" s="117">
        <v>7</v>
      </c>
      <c r="M21" s="117">
        <v>10</v>
      </c>
      <c r="N21" s="117">
        <v>13</v>
      </c>
      <c r="O21" s="117">
        <v>16</v>
      </c>
      <c r="P21" s="117">
        <v>20</v>
      </c>
      <c r="Q21" s="117">
        <v>23</v>
      </c>
      <c r="R21" s="117">
        <v>26</v>
      </c>
      <c r="S21" s="117">
        <v>29</v>
      </c>
      <c r="T21" s="117">
        <v>33</v>
      </c>
      <c r="U21" s="117">
        <v>36</v>
      </c>
      <c r="V21" s="117">
        <v>39</v>
      </c>
      <c r="W21" s="117">
        <v>42</v>
      </c>
      <c r="X21" s="117">
        <v>46</v>
      </c>
      <c r="Y21" s="117">
        <v>46</v>
      </c>
      <c r="Z21" s="117">
        <v>46</v>
      </c>
      <c r="AA21" s="117">
        <v>46</v>
      </c>
      <c r="AB21" s="117">
        <v>46</v>
      </c>
      <c r="AC21" s="117">
        <v>46</v>
      </c>
      <c r="AD21" s="117">
        <v>46</v>
      </c>
      <c r="AE21" s="117">
        <v>46</v>
      </c>
      <c r="AF21" s="117">
        <v>46</v>
      </c>
      <c r="AG21" s="117">
        <v>46</v>
      </c>
      <c r="AH21" s="117">
        <v>46</v>
      </c>
      <c r="AI21" s="117">
        <v>46</v>
      </c>
      <c r="AJ21" s="117">
        <v>46</v>
      </c>
      <c r="AK21" s="117">
        <v>46</v>
      </c>
      <c r="AL21" s="117">
        <v>46</v>
      </c>
      <c r="AM21" s="117">
        <v>46</v>
      </c>
      <c r="AN21" s="117">
        <v>46</v>
      </c>
    </row>
    <row r="22" spans="2:50" x14ac:dyDescent="0.25">
      <c r="B22" s="2" t="s">
        <v>394</v>
      </c>
      <c r="C22" s="3"/>
      <c r="D22" s="77">
        <f>MAX(_xlfn.ANCHORARRAY(E22))</f>
        <v>170.02883240223468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0</v>
      </c>
      <c r="F22" s="78">
        <v>0</v>
      </c>
      <c r="G22" s="78">
        <v>0</v>
      </c>
      <c r="H22" s="78">
        <v>0</v>
      </c>
      <c r="I22" s="78">
        <v>0</v>
      </c>
      <c r="J22" s="78">
        <v>0</v>
      </c>
      <c r="K22" s="78">
        <v>165.07653631284921</v>
      </c>
      <c r="L22" s="78">
        <v>165.07653631284921</v>
      </c>
      <c r="M22" s="78">
        <v>165.07653631284916</v>
      </c>
      <c r="N22" s="78">
        <v>165.07653631284921</v>
      </c>
      <c r="O22" s="78">
        <v>165.07653631284919</v>
      </c>
      <c r="P22" s="78">
        <v>165.07653631284916</v>
      </c>
      <c r="Q22" s="78">
        <v>170.02883240223463</v>
      </c>
      <c r="R22" s="78">
        <v>170.02883240223466</v>
      </c>
      <c r="S22" s="78">
        <v>170.02883240223468</v>
      </c>
      <c r="T22" s="78">
        <v>170.02883240223466</v>
      </c>
      <c r="U22" s="78">
        <v>170.02883240223468</v>
      </c>
      <c r="V22" s="78">
        <v>170.02883240223466</v>
      </c>
      <c r="W22" s="78">
        <v>170.02883240223466</v>
      </c>
      <c r="X22" s="78">
        <v>170.02883240223463</v>
      </c>
      <c r="Y22" s="78">
        <v>170.02883240223463</v>
      </c>
      <c r="Z22" s="78">
        <v>170.02883240223463</v>
      </c>
      <c r="AA22" s="78">
        <v>170.02883240223463</v>
      </c>
      <c r="AB22" s="78">
        <v>170.02883240223463</v>
      </c>
      <c r="AC22" s="78">
        <v>170.02883240223463</v>
      </c>
      <c r="AD22" s="78">
        <v>170.02883240223463</v>
      </c>
      <c r="AE22" s="78">
        <v>170.02883240223463</v>
      </c>
      <c r="AF22" s="78">
        <v>170.02883240223463</v>
      </c>
      <c r="AG22" s="78">
        <v>170.02883240223463</v>
      </c>
      <c r="AH22" s="78">
        <v>170.02883240223463</v>
      </c>
      <c r="AI22" s="78">
        <v>170.02883240223463</v>
      </c>
      <c r="AJ22" s="78">
        <v>170.02883240223463</v>
      </c>
      <c r="AK22" s="78">
        <v>170.02883240223463</v>
      </c>
      <c r="AL22" s="78">
        <v>170.02883240223463</v>
      </c>
      <c r="AM22" s="78">
        <v>170.02883240223463</v>
      </c>
      <c r="AN22" s="78">
        <v>170.02883240223463</v>
      </c>
    </row>
    <row r="23" spans="2:50" x14ac:dyDescent="0.25">
      <c r="B23" s="2" t="s">
        <v>53</v>
      </c>
      <c r="C23" s="3"/>
      <c r="D23" s="72"/>
      <c r="E23" s="52" cm="1">
        <f t="array" ref="E23:AN23">_xlfn.LET(_xlpm.site,$B$1&amp;"-"&amp;$C$1,_xlpm.locations,Base!$D$4:$BD$4,_xlpm.Customer,_xlfn.ANCHORARRAY(E1),_xlpm.hours,SUM(_xlfn.XLOOKUP(_xlpm.site,_xlpm.locations,Base!$D$74:$BD$78,0,0)),
_xlpm.collection,1-_xlfn.XLOOKUP(_xlpm.site,_xlpm.locations,Base!$D$26:$BD$26,0,0),
_xlpm.Customer*_xlpm.hours*_xlpm.collection*(52/12))</f>
        <v>0</v>
      </c>
      <c r="F23" s="52">
        <v>0</v>
      </c>
      <c r="G23" s="52">
        <v>0</v>
      </c>
      <c r="H23" s="52">
        <v>0</v>
      </c>
      <c r="I23" s="52">
        <v>0</v>
      </c>
      <c r="J23" s="52">
        <v>0</v>
      </c>
      <c r="K23" s="52">
        <v>315.03999999999996</v>
      </c>
      <c r="L23" s="52">
        <v>630.07999999999993</v>
      </c>
      <c r="M23" s="52">
        <v>945.11999999999989</v>
      </c>
      <c r="N23" s="52">
        <v>1260.1599999999999</v>
      </c>
      <c r="O23" s="52">
        <v>1575.1999999999996</v>
      </c>
      <c r="P23" s="52">
        <v>1890.2399999999998</v>
      </c>
      <c r="Q23" s="52">
        <v>2205.2799999999997</v>
      </c>
      <c r="R23" s="52">
        <v>2520.3199999999997</v>
      </c>
      <c r="S23" s="52">
        <v>2835.3599999999992</v>
      </c>
      <c r="T23" s="52">
        <v>3150.3999999999992</v>
      </c>
      <c r="U23" s="52">
        <v>3465.4399999999996</v>
      </c>
      <c r="V23" s="52">
        <v>3780.4799999999996</v>
      </c>
      <c r="W23" s="52">
        <v>4095.5199999999995</v>
      </c>
      <c r="X23" s="52">
        <v>4410.5599999999995</v>
      </c>
      <c r="Y23" s="52">
        <v>4410.5599999999995</v>
      </c>
      <c r="Z23" s="52">
        <v>4410.5599999999995</v>
      </c>
      <c r="AA23" s="52">
        <v>4410.5599999999995</v>
      </c>
      <c r="AB23" s="52">
        <v>4410.5599999999995</v>
      </c>
      <c r="AC23" s="52">
        <v>4410.5599999999995</v>
      </c>
      <c r="AD23" s="52">
        <v>4410.5599999999995</v>
      </c>
      <c r="AE23" s="52">
        <v>4410.5599999999995</v>
      </c>
      <c r="AF23" s="52">
        <v>4410.5599999999995</v>
      </c>
      <c r="AG23" s="52">
        <v>4410.5599999999995</v>
      </c>
      <c r="AH23" s="52">
        <v>4410.5599999999995</v>
      </c>
      <c r="AI23" s="52">
        <v>4410.5599999999995</v>
      </c>
      <c r="AJ23" s="52">
        <v>4410.5599999999995</v>
      </c>
      <c r="AK23" s="52">
        <v>4410.5599999999995</v>
      </c>
      <c r="AL23" s="52">
        <v>4410.5599999999995</v>
      </c>
      <c r="AM23" s="52">
        <v>4410.5599999999995</v>
      </c>
      <c r="AN23" s="52">
        <v>4410.5599999999995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21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_xlfn.LET(_xlpm.site,$B$1&amp;"-"&amp;$C$1,_xlpm.locations,Base!$D$4:$BD$4,_xlpm.rates,Base!$D31:$BD31,_xlpm.hours,Base!$D74:$BD74,_xlpm.comp,_xlpm.rates*_xlpm.hours,_xlpm.Customer,_xlfn.ANCHORARRAY($E$1),
_xlpm.Customer_comp,_xlfn.XLOOKUP(_xlpm.site,_xlpm.locations,_xlpm.comp,0,0),_xlpm.ann_incr,_xlfn.XLOOKUP(YEAR(_xlfn.ANCHORARRAY($E$25)),Base!$BJ$4:$BL$4,Base!$BJ74:$BL74,0,0),
_xlpm.bad_debt,_xlfn.XLOOKUP(_xlpm.site,_xlpm.locations,Base!$D$28:$BD$28,0,0),_xlpm.Customer_comp*_xlpm.Customer*_xlpm.bad_debt*_xlpm.ann_incr*(52/12))</f>
        <v>0</v>
      </c>
      <c r="F26" s="12">
        <v>0</v>
      </c>
      <c r="G26" s="12">
        <v>0</v>
      </c>
      <c r="H26" s="12">
        <v>0</v>
      </c>
      <c r="I26" s="12">
        <v>0</v>
      </c>
      <c r="J26" s="12">
        <v>0</v>
      </c>
      <c r="K26" s="12">
        <v>45433.96</v>
      </c>
      <c r="L26" s="12">
        <v>90867.92</v>
      </c>
      <c r="M26" s="12">
        <v>136301.87999999998</v>
      </c>
      <c r="N26" s="12">
        <v>181735.84</v>
      </c>
      <c r="O26" s="12">
        <v>227169.79999999996</v>
      </c>
      <c r="P26" s="12">
        <v>272603.75999999995</v>
      </c>
      <c r="Q26" s="12">
        <v>327578.85159999994</v>
      </c>
      <c r="R26" s="12">
        <v>374375.83040000004</v>
      </c>
      <c r="S26" s="12">
        <v>421172.80919999996</v>
      </c>
      <c r="T26" s="12">
        <v>467969.78799999994</v>
      </c>
      <c r="U26" s="12">
        <v>514766.76679999998</v>
      </c>
      <c r="V26" s="12">
        <v>561563.74560000002</v>
      </c>
      <c r="W26" s="12">
        <v>608360.72439999995</v>
      </c>
      <c r="X26" s="12">
        <v>655157.70319999987</v>
      </c>
      <c r="Y26" s="12">
        <v>655157.70319999987</v>
      </c>
      <c r="Z26" s="12">
        <v>655157.70319999987</v>
      </c>
      <c r="AA26" s="12">
        <v>655157.70319999987</v>
      </c>
      <c r="AB26" s="12">
        <v>655157.70319999987</v>
      </c>
      <c r="AC26" s="12">
        <v>655157.70319999987</v>
      </c>
      <c r="AD26" s="12">
        <v>655157.70319999987</v>
      </c>
      <c r="AE26" s="12">
        <v>655157.70319999987</v>
      </c>
      <c r="AF26" s="12">
        <v>655157.70319999987</v>
      </c>
      <c r="AG26" s="12">
        <v>655157.70319999987</v>
      </c>
      <c r="AH26" s="12">
        <v>655157.70319999987</v>
      </c>
      <c r="AI26" s="12">
        <v>655157.70319999987</v>
      </c>
      <c r="AJ26" s="12">
        <v>655157.70319999987</v>
      </c>
      <c r="AK26" s="12">
        <v>655157.70319999987</v>
      </c>
      <c r="AL26" s="12">
        <v>655157.70319999987</v>
      </c>
      <c r="AM26" s="12">
        <v>655157.70319999987</v>
      </c>
      <c r="AN26" s="12">
        <v>655157.70319999987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_xlfn.LET(_xlpm.site,$B$1&amp;"-"&amp;$C$1,_xlpm.locations,Base!$D$4:$BD$4,_xlpm.rates,Base!$D32:$BD32,_xlpm.hours,Base!$D75:$BD75,_xlpm.comp,_xlpm.rates*_xlpm.hours,_xlpm.Customer,_xlfn.ANCHORARRAY($E$1),
_xlpm.Customer_comp,_xlfn.XLOOKUP(_xlpm.site,_xlpm.locations,_xlpm.comp,0,0),_xlpm.ann_incr,_xlfn.XLOOKUP(YEAR(_xlfn.ANCHORARRAY($E$25)),Base!$BJ$4:$BL$4,Base!$BJ75:$BL75,0,0),
_xlpm.bad_debt,_xlfn.XLOOKUP(_xlpm.site,_xlpm.locations,Base!$D$28:$BD$28,0,0),_xlpm.Customer_comp*_xlpm.Customer*_xlpm.bad_debt*_xlpm.ann_incr*(52/12))</f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2663.9599999999996</v>
      </c>
      <c r="L27" s="12">
        <v>5327.9199999999992</v>
      </c>
      <c r="M27" s="12">
        <v>7991.8799999999992</v>
      </c>
      <c r="N27" s="12">
        <v>10655.839999999998</v>
      </c>
      <c r="O27" s="12">
        <v>13319.799999999997</v>
      </c>
      <c r="P27" s="12">
        <v>15983.759999999998</v>
      </c>
      <c r="Q27" s="12">
        <v>19207.151600000001</v>
      </c>
      <c r="R27" s="12">
        <v>21951.0304</v>
      </c>
      <c r="S27" s="12">
        <v>24694.909199999995</v>
      </c>
      <c r="T27" s="12">
        <v>27438.787999999997</v>
      </c>
      <c r="U27" s="12">
        <v>30182.666799999999</v>
      </c>
      <c r="V27" s="12">
        <v>32926.545599999998</v>
      </c>
      <c r="W27" s="12">
        <v>35670.424399999996</v>
      </c>
      <c r="X27" s="12">
        <v>38414.303200000002</v>
      </c>
      <c r="Y27" s="12">
        <v>38414.303200000002</v>
      </c>
      <c r="Z27" s="12">
        <v>38414.303200000002</v>
      </c>
      <c r="AA27" s="12">
        <v>38414.303200000002</v>
      </c>
      <c r="AB27" s="12">
        <v>38414.303200000002</v>
      </c>
      <c r="AC27" s="12">
        <v>38414.303200000002</v>
      </c>
      <c r="AD27" s="12">
        <v>38414.303200000002</v>
      </c>
      <c r="AE27" s="12">
        <v>38414.303200000002</v>
      </c>
      <c r="AF27" s="12">
        <v>38414.303200000002</v>
      </c>
      <c r="AG27" s="12">
        <v>38414.303200000002</v>
      </c>
      <c r="AH27" s="12">
        <v>38414.303200000002</v>
      </c>
      <c r="AI27" s="12">
        <v>38414.303200000002</v>
      </c>
      <c r="AJ27" s="12">
        <v>38414.303200000002</v>
      </c>
      <c r="AK27" s="12">
        <v>38414.303200000002</v>
      </c>
      <c r="AL27" s="12">
        <v>38414.303200000002</v>
      </c>
      <c r="AM27" s="12">
        <v>38414.303200000002</v>
      </c>
      <c r="AN27" s="12">
        <v>38414.303200000002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_xlfn.LET(_xlpm.site,$B$1&amp;"-"&amp;$C$1,_xlpm.locations,Base!$D$4:$BD$4,_xlpm.rates,Base!$D33:$BD33,_xlpm.hours,Base!$D76:$BD76,_xlpm.comp,_xlpm.rates*_xlpm.hours,_xlpm.Customer,_xlfn.ANCHORARRAY($E$1),
_xlpm.Customer_comp,_xlfn.XLOOKUP(_xlpm.site,_xlpm.locations,_xlpm.comp,0,0),_xlpm.ann_incr,_xlfn.XLOOKUP(YEAR(_xlfn.ANCHORARRAY($E$25)),Base!$BJ$4:$BL$4,Base!$BJ76:$BL76,0,0),
_xlpm.bad_debt,_xlfn.XLOOKUP(_xlpm.site,_xlpm.locations,Base!$D$28:$BD$28,0,0),_xlpm.Customer_comp*_xlpm.Customer*_xlpm.bad_debt*_xlpm.ann_incr*(52/12))</f>
        <v>0</v>
      </c>
      <c r="F28" s="12">
        <v>0</v>
      </c>
      <c r="G28" s="12">
        <v>0</v>
      </c>
      <c r="H28" s="12">
        <v>0</v>
      </c>
      <c r="I28" s="12">
        <v>0</v>
      </c>
      <c r="J28" s="12">
        <v>0</v>
      </c>
      <c r="K28" s="12">
        <v>6331.181999999998</v>
      </c>
      <c r="L28" s="12">
        <v>12662.363999999996</v>
      </c>
      <c r="M28" s="12">
        <v>18993.545999999995</v>
      </c>
      <c r="N28" s="12">
        <v>25324.727999999992</v>
      </c>
      <c r="O28" s="12">
        <v>31655.909999999989</v>
      </c>
      <c r="P28" s="12">
        <v>37987.09199999999</v>
      </c>
      <c r="Q28" s="12">
        <v>45647.822219999987</v>
      </c>
      <c r="R28" s="12">
        <v>52168.939679999981</v>
      </c>
      <c r="S28" s="12">
        <v>58690.057139999983</v>
      </c>
      <c r="T28" s="12">
        <v>65211.174599999984</v>
      </c>
      <c r="U28" s="12">
        <v>71732.292059999978</v>
      </c>
      <c r="V28" s="12">
        <v>78253.409519999972</v>
      </c>
      <c r="W28" s="12">
        <v>84774.526979999995</v>
      </c>
      <c r="X28" s="12">
        <v>91295.644439999975</v>
      </c>
      <c r="Y28" s="12">
        <v>91295.644439999975</v>
      </c>
      <c r="Z28" s="12">
        <v>91295.644439999975</v>
      </c>
      <c r="AA28" s="12">
        <v>91295.644439999975</v>
      </c>
      <c r="AB28" s="12">
        <v>91295.644439999975</v>
      </c>
      <c r="AC28" s="12">
        <v>91295.644439999975</v>
      </c>
      <c r="AD28" s="12">
        <v>91295.644439999975</v>
      </c>
      <c r="AE28" s="12">
        <v>91295.644439999975</v>
      </c>
      <c r="AF28" s="12">
        <v>91295.644439999975</v>
      </c>
      <c r="AG28" s="12">
        <v>91295.644439999975</v>
      </c>
      <c r="AH28" s="12">
        <v>91295.644439999975</v>
      </c>
      <c r="AI28" s="12">
        <v>91295.644439999975</v>
      </c>
      <c r="AJ28" s="12">
        <v>91295.644439999975</v>
      </c>
      <c r="AK28" s="12">
        <v>91295.644439999975</v>
      </c>
      <c r="AL28" s="12">
        <v>91295.644439999975</v>
      </c>
      <c r="AM28" s="12">
        <v>91295.644439999975</v>
      </c>
      <c r="AN28" s="12">
        <v>91295.644439999975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_xlfn.LET(_xlpm.site,$B$1&amp;"-"&amp;$C$1,_xlpm.locations,Base!$D$4:$BD$4,_xlpm.rates,Base!$D34:$BD34,_xlpm.hours,Base!$D77:$BD77,_xlpm.comp,_xlpm.rates*_xlpm.hours,_xlpm.Customer,_xlfn.ANCHORARRAY($E$1),
_xlpm.Customer_comp,_xlfn.XLOOKUP(_xlpm.site,_xlpm.locations,_xlpm.comp,0,0),_xlpm.ann_incr,_xlfn.XLOOKUP(YEAR(_xlfn.ANCHORARRAY($E$25)),Base!$BJ$4:$BL$4,Base!$BJ77:$BL77,0,0),
_xlpm.bad_debt,_xlfn.XLOOKUP(_xlpm.site,_xlpm.locations,Base!$D$28:$BD$28,0,0),_xlpm.Customer_comp*_xlpm.Customer*_xlpm.bad_debt*_xlpm.ann_incr*(52/12))</f>
        <v>0</v>
      </c>
      <c r="F29" s="12">
        <v>0</v>
      </c>
      <c r="G29" s="12">
        <v>0</v>
      </c>
      <c r="H29" s="12">
        <v>0</v>
      </c>
      <c r="I29" s="12">
        <v>0</v>
      </c>
      <c r="J29" s="12">
        <v>0</v>
      </c>
      <c r="K29" s="12">
        <v>487.01399999999995</v>
      </c>
      <c r="L29" s="12">
        <v>974.02799999999991</v>
      </c>
      <c r="M29" s="12">
        <v>1461.0420000000001</v>
      </c>
      <c r="N29" s="12">
        <v>1948.0559999999998</v>
      </c>
      <c r="O29" s="12">
        <v>2435.0699999999997</v>
      </c>
      <c r="P29" s="12">
        <v>2922.0840000000003</v>
      </c>
      <c r="Q29" s="12">
        <v>3511.3709400000002</v>
      </c>
      <c r="R29" s="12">
        <v>4012.9953599999999</v>
      </c>
      <c r="S29" s="12">
        <v>4514.61978</v>
      </c>
      <c r="T29" s="12">
        <v>5016.2442000000001</v>
      </c>
      <c r="U29" s="12">
        <v>5517.8686199999993</v>
      </c>
      <c r="V29" s="12">
        <v>6019.4930400000003</v>
      </c>
      <c r="W29" s="12">
        <v>6521.1174600000013</v>
      </c>
      <c r="X29" s="12">
        <v>7022.7418800000005</v>
      </c>
      <c r="Y29" s="12">
        <v>7022.7418800000005</v>
      </c>
      <c r="Z29" s="12">
        <v>7022.7418800000005</v>
      </c>
      <c r="AA29" s="12">
        <v>7022.7418800000005</v>
      </c>
      <c r="AB29" s="12">
        <v>7022.7418800000005</v>
      </c>
      <c r="AC29" s="12">
        <v>7022.7418800000005</v>
      </c>
      <c r="AD29" s="12">
        <v>7022.7418800000005</v>
      </c>
      <c r="AE29" s="12">
        <v>7022.7418800000005</v>
      </c>
      <c r="AF29" s="12">
        <v>7022.7418800000005</v>
      </c>
      <c r="AG29" s="12">
        <v>7022.7418800000005</v>
      </c>
      <c r="AH29" s="12">
        <v>7022.7418800000005</v>
      </c>
      <c r="AI29" s="12">
        <v>7022.7418800000005</v>
      </c>
      <c r="AJ29" s="12">
        <v>7022.7418800000005</v>
      </c>
      <c r="AK29" s="12">
        <v>7022.7418800000005</v>
      </c>
      <c r="AL29" s="12">
        <v>7022.7418800000005</v>
      </c>
      <c r="AM29" s="12">
        <v>7022.7418800000005</v>
      </c>
      <c r="AN29" s="12">
        <v>7022.7418800000005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_xlfn.LET(_xlpm.site,$B$1&amp;"-"&amp;$C$1,_xlpm.locations,Base!$D$4:$BD$4,_xlpm.rates,Base!$D35:$BD35,_xlpm.hours,Base!$D78:$BD78,_xlpm.comp,_xlpm.rates*_xlpm.hours,_xlpm.Customer,_xlfn.ANCHORARRAY($E$1),
_xlpm.Customer_comp,_xlfn.XLOOKUP(_xlpm.site,_xlpm.locations,_xlpm.comp,0,0),_xlpm.ann_incr,_xlfn.XLOOKUP(YEAR(_xlfn.ANCHORARRAY($E$25)),Base!$BJ$4:$BL$4,Base!$BJ78:$BL78,0,0),
_xlpm.bad_debt,_xlfn.XLOOKUP(_xlpm.site,_xlpm.locations,Base!$D$28:$BD$28,0,0),_xlpm.Customer_comp*_xlpm.Customer*_xlpm.bad_debt*_xlpm.ann_incr*(52/12))</f>
        <v>0</v>
      </c>
      <c r="F30" s="12">
        <v>0</v>
      </c>
      <c r="G30" s="12">
        <v>0</v>
      </c>
      <c r="H30" s="12">
        <v>0</v>
      </c>
      <c r="I30" s="12">
        <v>0</v>
      </c>
      <c r="J30" s="12">
        <v>0</v>
      </c>
      <c r="K30" s="12">
        <v>635.43999999999994</v>
      </c>
      <c r="L30" s="12">
        <v>1270.8799999999999</v>
      </c>
      <c r="M30" s="12">
        <v>1906.3199999999997</v>
      </c>
      <c r="N30" s="12">
        <v>2541.7599999999998</v>
      </c>
      <c r="O30" s="12">
        <v>3177.1999999999994</v>
      </c>
      <c r="P30" s="12">
        <v>3812.6399999999994</v>
      </c>
      <c r="Q30" s="12">
        <v>4581.5223999999998</v>
      </c>
      <c r="R30" s="12">
        <v>5236.025599999999</v>
      </c>
      <c r="S30" s="12">
        <v>5890.5288</v>
      </c>
      <c r="T30" s="12">
        <v>6545.0319999999992</v>
      </c>
      <c r="U30" s="12">
        <v>7199.5351999999993</v>
      </c>
      <c r="V30" s="12">
        <v>7854.0383999999995</v>
      </c>
      <c r="W30" s="12">
        <v>8508.5416000000005</v>
      </c>
      <c r="X30" s="12">
        <v>9163.0447999999997</v>
      </c>
      <c r="Y30" s="12">
        <v>9163.0447999999997</v>
      </c>
      <c r="Z30" s="12">
        <v>9163.0447999999997</v>
      </c>
      <c r="AA30" s="12">
        <v>9163.0447999999997</v>
      </c>
      <c r="AB30" s="12">
        <v>9163.0447999999997</v>
      </c>
      <c r="AC30" s="12">
        <v>9163.0447999999997</v>
      </c>
      <c r="AD30" s="12">
        <v>9163.0447999999997</v>
      </c>
      <c r="AE30" s="12">
        <v>9163.0447999999997</v>
      </c>
      <c r="AF30" s="12">
        <v>9163.0447999999997</v>
      </c>
      <c r="AG30" s="12">
        <v>9163.0447999999997</v>
      </c>
      <c r="AH30" s="12">
        <v>9163.0447999999997</v>
      </c>
      <c r="AI30" s="12">
        <v>9163.0447999999997</v>
      </c>
      <c r="AJ30" s="12">
        <v>9163.0447999999997</v>
      </c>
      <c r="AK30" s="12">
        <v>9163.0447999999997</v>
      </c>
      <c r="AL30" s="12">
        <v>9163.0447999999997</v>
      </c>
      <c r="AM30" s="12">
        <v>9163.0447999999997</v>
      </c>
      <c r="AN30" s="12">
        <v>9163.0447999999997</v>
      </c>
    </row>
    <row r="31" spans="2:50" x14ac:dyDescent="0.25">
      <c r="B31" s="39" t="str">
        <f>Base!B36</f>
        <v>Tertiary Direct Staff - Service A</v>
      </c>
      <c r="C31" s="4"/>
      <c r="E31" s="183" cm="1">
        <f t="array" ref="E31:AN31">_xlfn.LET(_xlpm.site,$B$1&amp;"-"&amp;$C$1,_xlpm.locations,Base!$D$4:$BD$4,_xlpm.rates,Base!$D36:$BD36,_xlpm.hours,Base!$D79:$BD79,_xlpm.comp,_xlpm.rates*_xlpm.hours,_xlpm.Customer,_xlfn.ANCHORARRAY($E$1)*0,
_xlpm.Customer_comp,_xlfn.XLOOKUP(_xlpm.site,_xlpm.locations,_xlpm.comp,0,0),_xlpm.ann_incr,_xlfn.XLOOKUP(YEAR(_xlfn.ANCHORARRAY($E$25)),Base!$BJ$4:$BL$4,Base!$BJ79:$BL79,0,0),
_xlpm.bad_debt,_xlfn.XLOOKUP(_xlpm.site,_xlpm.locations,Base!$D$28:$BD$28,0,0),_xlpm.Customer_comp*_xlpm.Customer*_xlpm.bad_debt*_xlpm.ann_incr*(52/12))</f>
        <v>0</v>
      </c>
      <c r="F31" s="183">
        <v>0</v>
      </c>
      <c r="G31" s="183">
        <v>0</v>
      </c>
      <c r="H31" s="183">
        <v>0</v>
      </c>
      <c r="I31" s="183">
        <v>0</v>
      </c>
      <c r="J31" s="183">
        <v>0</v>
      </c>
      <c r="K31" s="183">
        <v>0</v>
      </c>
      <c r="L31" s="183">
        <v>0</v>
      </c>
      <c r="M31" s="183">
        <v>0</v>
      </c>
      <c r="N31" s="183">
        <v>0</v>
      </c>
      <c r="O31" s="183">
        <v>0</v>
      </c>
      <c r="P31" s="183">
        <v>0</v>
      </c>
      <c r="Q31" s="183">
        <v>0</v>
      </c>
      <c r="R31" s="183">
        <v>0</v>
      </c>
      <c r="S31" s="183">
        <v>0</v>
      </c>
      <c r="T31" s="183">
        <v>0</v>
      </c>
      <c r="U31" s="183">
        <v>0</v>
      </c>
      <c r="V31" s="183">
        <v>0</v>
      </c>
      <c r="W31" s="183">
        <v>0</v>
      </c>
      <c r="X31" s="183">
        <v>0</v>
      </c>
      <c r="Y31" s="183">
        <v>0</v>
      </c>
      <c r="Z31" s="183">
        <v>0</v>
      </c>
      <c r="AA31" s="183">
        <v>0</v>
      </c>
      <c r="AB31" s="183">
        <v>0</v>
      </c>
      <c r="AC31" s="183">
        <v>0</v>
      </c>
      <c r="AD31" s="183">
        <v>0</v>
      </c>
      <c r="AE31" s="183">
        <v>0</v>
      </c>
      <c r="AF31" s="183">
        <v>0</v>
      </c>
      <c r="AG31" s="183">
        <v>0</v>
      </c>
      <c r="AH31" s="183">
        <v>0</v>
      </c>
      <c r="AI31" s="183">
        <v>0</v>
      </c>
      <c r="AJ31" s="183">
        <v>0</v>
      </c>
      <c r="AK31" s="183">
        <v>0</v>
      </c>
      <c r="AL31" s="183">
        <v>0</v>
      </c>
      <c r="AM31" s="183">
        <v>0</v>
      </c>
      <c r="AN31" s="183">
        <v>0</v>
      </c>
    </row>
    <row r="32" spans="2:50" x14ac:dyDescent="0.25">
      <c r="B32" s="39" t="str">
        <f>Base!B37</f>
        <v>Tertiary Direct Staff - Service B</v>
      </c>
      <c r="C32" s="4"/>
      <c r="E32" s="183" cm="1">
        <f t="array" ref="E32:AN32">_xlfn.LET(_xlpm.site,$B$1&amp;"-"&amp;$C$1,_xlpm.locations,Base!$D$4:$BD$4,_xlpm.rates,Base!$D37:$BD37,_xlpm.hours,Base!$D80:$BD80,_xlpm.comp,_xlpm.rates*_xlpm.hours,_xlpm.Customer,_xlfn.ANCHORARRAY($E$1)*0,
_xlpm.Customer_comp,_xlfn.XLOOKUP(_xlpm.site,_xlpm.locations,_xlpm.comp,0,0),_xlpm.ann_incr,_xlfn.XLOOKUP(YEAR(_xlfn.ANCHORARRAY($E$25)),Base!$BJ$4:$BL$4,Base!$BJ80:$BL80,0,0),
_xlpm.bad_debt,_xlfn.XLOOKUP(_xlpm.site,_xlpm.locations,Base!$D$28:$BD$28,0,0),_xlpm.Customer_comp*_xlpm.Customer*_xlpm.bad_debt*_xlpm.ann_incr*(52/12))</f>
        <v>0</v>
      </c>
      <c r="F32" s="183">
        <v>0</v>
      </c>
      <c r="G32" s="183">
        <v>0</v>
      </c>
      <c r="H32" s="183">
        <v>0</v>
      </c>
      <c r="I32" s="183">
        <v>0</v>
      </c>
      <c r="J32" s="183">
        <v>0</v>
      </c>
      <c r="K32" s="183">
        <v>0</v>
      </c>
      <c r="L32" s="183">
        <v>0</v>
      </c>
      <c r="M32" s="183">
        <v>0</v>
      </c>
      <c r="N32" s="183">
        <v>0</v>
      </c>
      <c r="O32" s="183">
        <v>0</v>
      </c>
      <c r="P32" s="183">
        <v>0</v>
      </c>
      <c r="Q32" s="183">
        <v>0</v>
      </c>
      <c r="R32" s="183">
        <v>0</v>
      </c>
      <c r="S32" s="183">
        <v>0</v>
      </c>
      <c r="T32" s="183">
        <v>0</v>
      </c>
      <c r="U32" s="183">
        <v>0</v>
      </c>
      <c r="V32" s="183">
        <v>0</v>
      </c>
      <c r="W32" s="183">
        <v>0</v>
      </c>
      <c r="X32" s="183">
        <v>0</v>
      </c>
      <c r="Y32" s="183">
        <v>0</v>
      </c>
      <c r="Z32" s="183">
        <v>0</v>
      </c>
      <c r="AA32" s="183">
        <v>0</v>
      </c>
      <c r="AB32" s="183">
        <v>0</v>
      </c>
      <c r="AC32" s="183">
        <v>0</v>
      </c>
      <c r="AD32" s="183">
        <v>0</v>
      </c>
      <c r="AE32" s="183">
        <v>0</v>
      </c>
      <c r="AF32" s="183">
        <v>0</v>
      </c>
      <c r="AG32" s="183">
        <v>0</v>
      </c>
      <c r="AH32" s="183">
        <v>0</v>
      </c>
      <c r="AI32" s="183">
        <v>0</v>
      </c>
      <c r="AJ32" s="183">
        <v>0</v>
      </c>
      <c r="AK32" s="183">
        <v>0</v>
      </c>
      <c r="AL32" s="183">
        <v>0</v>
      </c>
      <c r="AM32" s="183">
        <v>0</v>
      </c>
      <c r="AN32" s="183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_xlpm.Customer,_xlfn.ANCHORARRAY($E$2),_xlpm.ann_incr,_xlfn.XLOOKUP(YEAR(_xlfn.ANCHORARRAY($E$25)),Base!$BJ$4:$BL$4,Base!$BJ$81:$BL$81,0,0),
_xlpm.bad_debt,_xlfn.XLOOKUP(_xlpm.site,_xlpm.locations,Base!$D$28:$BD$28,0,0),
_xlpm.comp*_xlpm.bad_debt*_xlpm.ann_incr*(52/12))</f>
        <v>0</v>
      </c>
      <c r="F33" s="12">
        <v>0</v>
      </c>
      <c r="G33" s="12">
        <v>0</v>
      </c>
      <c r="H33" s="12">
        <v>0</v>
      </c>
      <c r="I33" s="12">
        <v>0</v>
      </c>
      <c r="J33" s="12">
        <v>0</v>
      </c>
      <c r="K33" s="12">
        <v>25911.491666666665</v>
      </c>
      <c r="L33" s="12">
        <v>25911.491666666665</v>
      </c>
      <c r="M33" s="12">
        <v>25911.491666666665</v>
      </c>
      <c r="N33" s="12">
        <v>25911.491666666665</v>
      </c>
      <c r="O33" s="12">
        <v>25911.491666666665</v>
      </c>
      <c r="P33" s="12">
        <v>25911.491666666665</v>
      </c>
      <c r="Q33" s="12">
        <v>26688.836416666662</v>
      </c>
      <c r="R33" s="12">
        <v>26688.836416666662</v>
      </c>
      <c r="S33" s="12">
        <v>26688.836416666662</v>
      </c>
      <c r="T33" s="12">
        <v>26688.836416666662</v>
      </c>
      <c r="U33" s="12">
        <v>26688.836416666662</v>
      </c>
      <c r="V33" s="12">
        <v>26688.836416666662</v>
      </c>
      <c r="W33" s="12">
        <v>26688.836416666662</v>
      </c>
      <c r="X33" s="12">
        <v>26688.836416666662</v>
      </c>
      <c r="Y33" s="12">
        <v>26688.836416666662</v>
      </c>
      <c r="Z33" s="12">
        <v>26688.836416666662</v>
      </c>
      <c r="AA33" s="12">
        <v>26688.836416666662</v>
      </c>
      <c r="AB33" s="12">
        <v>26688.836416666662</v>
      </c>
      <c r="AC33" s="12">
        <v>26688.836416666662</v>
      </c>
      <c r="AD33" s="12">
        <v>26688.836416666662</v>
      </c>
      <c r="AE33" s="12">
        <v>26688.836416666662</v>
      </c>
      <c r="AF33" s="12">
        <v>26688.836416666662</v>
      </c>
      <c r="AG33" s="12">
        <v>26688.836416666662</v>
      </c>
      <c r="AH33" s="12">
        <v>26688.836416666662</v>
      </c>
      <c r="AI33" s="12">
        <v>26688.836416666662</v>
      </c>
      <c r="AJ33" s="12">
        <v>26688.836416666662</v>
      </c>
      <c r="AK33" s="12">
        <v>26688.836416666662</v>
      </c>
      <c r="AL33" s="12">
        <v>26688.836416666662</v>
      </c>
      <c r="AM33" s="12">
        <v>26688.836416666662</v>
      </c>
      <c r="AN33" s="12">
        <v>26688.836416666662</v>
      </c>
    </row>
    <row r="34" spans="2:40" x14ac:dyDescent="0.25">
      <c r="B34" s="39" t="str">
        <f>Base!B39</f>
        <v>Quinary Direct Staff - Service A</v>
      </c>
      <c r="C34" s="4"/>
      <c r="E34" s="183" cm="1">
        <f t="array" ref="E34:AN34">_xlfn.LET(_xlpm.site,$B$1&amp;"-"&amp;$C$1,_xlpm.locations,Base!$D$4:$BD$4,_xlpm.rates,Base!$D39:$BD39,_xlpm.hours,Base!$D82:$BD82,_xlpm.comp,_xlpm.rates*_xlpm.hours,_xlpm.Customer,_xlfn.ANCHORARRAY($E$1)*0,
_xlpm.Customer_comp,_xlfn.XLOOKUP(_xlpm.site,_xlpm.locations,_xlpm.comp,0,0),_xlpm.ann_incr,_xlfn.XLOOKUP(YEAR(_xlfn.ANCHORARRAY($E$25)),Base!$BJ$4:$BL$4,Base!$BJ82:$BL82,0,0),
_xlpm.bad_debt,_xlfn.XLOOKUP(_xlpm.site,_xlpm.locations,Base!$D$28:$BD$28,0,0),_xlpm.Customer_comp*_xlpm.Customer*_xlpm.bad_debt*_xlpm.ann_incr*(52/12))</f>
        <v>0</v>
      </c>
      <c r="F34" s="183">
        <v>0</v>
      </c>
      <c r="G34" s="183">
        <v>0</v>
      </c>
      <c r="H34" s="183">
        <v>0</v>
      </c>
      <c r="I34" s="183">
        <v>0</v>
      </c>
      <c r="J34" s="183">
        <v>0</v>
      </c>
      <c r="K34" s="183">
        <v>0</v>
      </c>
      <c r="L34" s="183">
        <v>0</v>
      </c>
      <c r="M34" s="183">
        <v>0</v>
      </c>
      <c r="N34" s="183">
        <v>0</v>
      </c>
      <c r="O34" s="183">
        <v>0</v>
      </c>
      <c r="P34" s="183">
        <v>0</v>
      </c>
      <c r="Q34" s="183">
        <v>0</v>
      </c>
      <c r="R34" s="183">
        <v>0</v>
      </c>
      <c r="S34" s="183">
        <v>0</v>
      </c>
      <c r="T34" s="183">
        <v>0</v>
      </c>
      <c r="U34" s="183">
        <v>0</v>
      </c>
      <c r="V34" s="183">
        <v>0</v>
      </c>
      <c r="W34" s="183">
        <v>0</v>
      </c>
      <c r="X34" s="183">
        <v>0</v>
      </c>
      <c r="Y34" s="183">
        <v>0</v>
      </c>
      <c r="Z34" s="183">
        <v>0</v>
      </c>
      <c r="AA34" s="183">
        <v>0</v>
      </c>
      <c r="AB34" s="183">
        <v>0</v>
      </c>
      <c r="AC34" s="183">
        <v>0</v>
      </c>
      <c r="AD34" s="183">
        <v>0</v>
      </c>
      <c r="AE34" s="183">
        <v>0</v>
      </c>
      <c r="AF34" s="183">
        <v>0</v>
      </c>
      <c r="AG34" s="183">
        <v>0</v>
      </c>
      <c r="AH34" s="183">
        <v>0</v>
      </c>
      <c r="AI34" s="183">
        <v>0</v>
      </c>
      <c r="AJ34" s="183">
        <v>0</v>
      </c>
      <c r="AK34" s="183">
        <v>0</v>
      </c>
      <c r="AL34" s="183">
        <v>0</v>
      </c>
      <c r="AM34" s="183">
        <v>0</v>
      </c>
      <c r="AN34" s="183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0</v>
      </c>
      <c r="F35" s="12">
        <v>0</v>
      </c>
      <c r="G35" s="12">
        <v>0</v>
      </c>
      <c r="H35" s="12">
        <v>0</v>
      </c>
      <c r="I35" s="12">
        <v>0</v>
      </c>
      <c r="J35" s="12">
        <v>0</v>
      </c>
      <c r="K35" s="12">
        <v>-9775.5657199999987</v>
      </c>
      <c r="L35" s="12">
        <v>-16441.75244</v>
      </c>
      <c r="M35" s="12">
        <v>-23107.939159999998</v>
      </c>
      <c r="N35" s="12">
        <v>-29774.12588</v>
      </c>
      <c r="O35" s="12">
        <v>-36440.31259999999</v>
      </c>
      <c r="P35" s="12">
        <v>-43106.499319999988</v>
      </c>
      <c r="Q35" s="12">
        <v>-51265.866621199988</v>
      </c>
      <c r="R35" s="12">
        <v>-58132.038942799998</v>
      </c>
      <c r="S35" s="12">
        <v>-64998.211264399994</v>
      </c>
      <c r="T35" s="12">
        <v>-71864.383585999982</v>
      </c>
      <c r="U35" s="12">
        <v>-78730.555907599992</v>
      </c>
      <c r="V35" s="12">
        <v>-85596.728229199987</v>
      </c>
      <c r="W35" s="12">
        <v>-92462.900550799983</v>
      </c>
      <c r="X35" s="12">
        <v>-99329.072872399964</v>
      </c>
      <c r="Y35" s="12">
        <v>-99329.072872399964</v>
      </c>
      <c r="Z35" s="12">
        <v>-99329.072872399964</v>
      </c>
      <c r="AA35" s="12">
        <v>-99329.072872399964</v>
      </c>
      <c r="AB35" s="12">
        <v>-99329.072872399964</v>
      </c>
      <c r="AC35" s="12">
        <v>-99329.072872399964</v>
      </c>
      <c r="AD35" s="12">
        <v>-99329.072872399964</v>
      </c>
      <c r="AE35" s="12">
        <v>-99329.072872399964</v>
      </c>
      <c r="AF35" s="12">
        <v>-99329.072872399964</v>
      </c>
      <c r="AG35" s="12">
        <v>-99329.072872399964</v>
      </c>
      <c r="AH35" s="12">
        <v>-99329.072872399964</v>
      </c>
      <c r="AI35" s="12">
        <v>-99329.072872399964</v>
      </c>
      <c r="AJ35" s="12">
        <v>-99329.072872399964</v>
      </c>
      <c r="AK35" s="12">
        <v>-99329.072872399964</v>
      </c>
      <c r="AL35" s="12">
        <v>-99329.072872399964</v>
      </c>
      <c r="AM35" s="12">
        <v>-99329.072872399964</v>
      </c>
      <c r="AN35" s="12">
        <v>-99329.072872399964</v>
      </c>
    </row>
    <row r="36" spans="2:40" x14ac:dyDescent="0.25">
      <c r="B36" s="39" t="s">
        <v>261</v>
      </c>
      <c r="C36" s="15"/>
      <c r="E36" s="183" cm="1">
        <f t="array" ref="E36:AN36">_xlfn.BYCOL(_xlfn.ANCHORARRAY($E$25),_xlfn.LAMBDA(_xlpm.a,0))</f>
        <v>0</v>
      </c>
      <c r="F36" s="183">
        <v>0</v>
      </c>
      <c r="G36" s="183">
        <v>0</v>
      </c>
      <c r="H36" s="183">
        <v>0</v>
      </c>
      <c r="I36" s="183">
        <v>0</v>
      </c>
      <c r="J36" s="183">
        <v>0</v>
      </c>
      <c r="K36" s="183">
        <v>0</v>
      </c>
      <c r="L36" s="183">
        <v>0</v>
      </c>
      <c r="M36" s="183">
        <v>0</v>
      </c>
      <c r="N36" s="183">
        <v>0</v>
      </c>
      <c r="O36" s="183">
        <v>0</v>
      </c>
      <c r="P36" s="183">
        <v>0</v>
      </c>
      <c r="Q36" s="183">
        <v>0</v>
      </c>
      <c r="R36" s="183">
        <v>0</v>
      </c>
      <c r="S36" s="183">
        <v>0</v>
      </c>
      <c r="T36" s="183">
        <v>0</v>
      </c>
      <c r="U36" s="183">
        <v>0</v>
      </c>
      <c r="V36" s="183">
        <v>0</v>
      </c>
      <c r="W36" s="183">
        <v>0</v>
      </c>
      <c r="X36" s="183">
        <v>0</v>
      </c>
      <c r="Y36" s="183">
        <v>0</v>
      </c>
      <c r="Z36" s="183">
        <v>0</v>
      </c>
      <c r="AA36" s="183">
        <v>0</v>
      </c>
      <c r="AB36" s="183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271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69023.521946666675</v>
      </c>
      <c r="L37" s="13">
        <v>115244.93122666668</v>
      </c>
      <c r="M37" s="13">
        <v>161466.34050666663</v>
      </c>
      <c r="N37" s="13">
        <v>207687.74978666668</v>
      </c>
      <c r="O37" s="13">
        <v>253909.15906666662</v>
      </c>
      <c r="P37" s="13">
        <v>300130.56834666658</v>
      </c>
      <c r="Q37" s="13">
        <v>356742.53695546661</v>
      </c>
      <c r="R37" s="13">
        <v>404350.58851386671</v>
      </c>
      <c r="S37" s="13">
        <v>451958.64007226669</v>
      </c>
      <c r="T37" s="13">
        <v>499566.69163066661</v>
      </c>
      <c r="U37" s="13">
        <v>547174.74318906665</v>
      </c>
      <c r="V37" s="13">
        <v>594782.79474746657</v>
      </c>
      <c r="W37" s="13">
        <v>642390.84630586649</v>
      </c>
      <c r="X37" s="13">
        <v>689998.89786426653</v>
      </c>
      <c r="Y37" s="13">
        <v>689998.89786426653</v>
      </c>
      <c r="Z37" s="13">
        <v>689998.89786426653</v>
      </c>
      <c r="AA37" s="13">
        <v>689998.89786426653</v>
      </c>
      <c r="AB37" s="13">
        <v>689998.89786426653</v>
      </c>
      <c r="AC37" s="13">
        <v>689998.89786426653</v>
      </c>
      <c r="AD37" s="13">
        <v>689998.89786426653</v>
      </c>
      <c r="AE37" s="13">
        <v>689998.89786426653</v>
      </c>
      <c r="AF37" s="13">
        <v>689998.89786426653</v>
      </c>
      <c r="AG37" s="13">
        <v>689998.89786426653</v>
      </c>
      <c r="AH37" s="13">
        <v>689998.89786426653</v>
      </c>
      <c r="AI37" s="13">
        <v>689998.89786426653</v>
      </c>
      <c r="AJ37" s="13">
        <v>689998.89786426653</v>
      </c>
      <c r="AK37" s="13">
        <v>689998.89786426653</v>
      </c>
      <c r="AL37" s="13">
        <v>689998.89786426653</v>
      </c>
      <c r="AM37" s="13">
        <v>689998.89786426653</v>
      </c>
      <c r="AN37" s="13">
        <v>689998.89786426653</v>
      </c>
    </row>
    <row r="38" spans="2:40" x14ac:dyDescent="0.25">
      <c r="E38" s="67"/>
      <c r="F38" s="67"/>
    </row>
    <row r="39" spans="2:40" x14ac:dyDescent="0.25">
      <c r="B39" s="1" t="s">
        <v>118</v>
      </c>
    </row>
    <row r="40" spans="2:40" x14ac:dyDescent="0.25">
      <c r="B40" s="39" t="s">
        <v>23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0</v>
      </c>
      <c r="F40" s="12">
        <v>0</v>
      </c>
      <c r="G40" s="12">
        <v>0</v>
      </c>
      <c r="H40" s="12">
        <v>0</v>
      </c>
      <c r="I40" s="12">
        <v>0</v>
      </c>
      <c r="J40" s="12">
        <v>0</v>
      </c>
      <c r="K40" s="12">
        <v>44337.989634003286</v>
      </c>
      <c r="L40" s="12">
        <v>75871.883801339907</v>
      </c>
      <c r="M40" s="12">
        <v>96058.673435343182</v>
      </c>
      <c r="N40" s="12">
        <v>116205.23426934646</v>
      </c>
      <c r="O40" s="12">
        <v>136384.66177001642</v>
      </c>
      <c r="P40" s="12">
        <v>156838.25140401974</v>
      </c>
      <c r="Q40" s="12">
        <v>194508.37512849199</v>
      </c>
      <c r="R40" s="12">
        <v>216775.92537922892</v>
      </c>
      <c r="S40" s="12">
        <v>238981.39397663256</v>
      </c>
      <c r="T40" s="12">
        <v>261072.43089403611</v>
      </c>
      <c r="U40" s="12">
        <v>283456.94781143981</v>
      </c>
      <c r="V40" s="12">
        <v>305768.74974217667</v>
      </c>
      <c r="W40" s="12">
        <v>327929.9666595803</v>
      </c>
      <c r="X40" s="12">
        <v>344408.19857698394</v>
      </c>
      <c r="Y40" s="12">
        <v>344718.69191031728</v>
      </c>
      <c r="Z40" s="12">
        <v>345135.51857698389</v>
      </c>
      <c r="AA40" s="12">
        <v>345379.02191031724</v>
      </c>
      <c r="AB40" s="12">
        <v>345689.51524365065</v>
      </c>
      <c r="AC40" s="12">
        <v>380716.97610134899</v>
      </c>
      <c r="AD40" s="12">
        <v>380907.63176801568</v>
      </c>
      <c r="AE40" s="12">
        <v>381249.17443468235</v>
      </c>
      <c r="AF40" s="12">
        <v>381590.71710134903</v>
      </c>
      <c r="AG40" s="12">
        <v>381975.53743468237</v>
      </c>
      <c r="AH40" s="12">
        <v>382317.08010134904</v>
      </c>
      <c r="AI40" s="12">
        <v>382658.62276801572</v>
      </c>
      <c r="AJ40" s="12">
        <v>382658.62276801572</v>
      </c>
      <c r="AK40" s="12">
        <v>382658.62276801572</v>
      </c>
      <c r="AL40" s="12">
        <v>382658.62276801572</v>
      </c>
      <c r="AM40" s="12">
        <v>382658.62276801572</v>
      </c>
      <c r="AN40" s="12">
        <v>382658.62276801572</v>
      </c>
    </row>
    <row r="41" spans="2:40" x14ac:dyDescent="0.25">
      <c r="B41" s="39" t="s">
        <v>388</v>
      </c>
      <c r="C41" s="142">
        <f>_xlfn.XLOOKUP($B$1&amp;"-"&amp;$C$1,Base!$D$4:$BD$4,Base!$D$12:$BD$12,0,0)</f>
        <v>0</v>
      </c>
      <c r="E41" s="183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28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15000</v>
      </c>
      <c r="L42" s="12">
        <v>15000</v>
      </c>
      <c r="M42" s="12">
        <v>15000</v>
      </c>
      <c r="N42" s="12">
        <v>15000</v>
      </c>
      <c r="O42" s="12">
        <v>15000</v>
      </c>
      <c r="P42" s="12">
        <v>15000</v>
      </c>
      <c r="Q42" s="12">
        <v>15450</v>
      </c>
      <c r="R42" s="12">
        <v>15450</v>
      </c>
      <c r="S42" s="12">
        <v>15450</v>
      </c>
      <c r="T42" s="12">
        <v>15450</v>
      </c>
      <c r="U42" s="12">
        <v>15450</v>
      </c>
      <c r="V42" s="12">
        <v>15450</v>
      </c>
      <c r="W42" s="12">
        <v>15450</v>
      </c>
      <c r="X42" s="12">
        <v>15450</v>
      </c>
      <c r="Y42" s="12">
        <v>15450</v>
      </c>
      <c r="Z42" s="12">
        <v>15450</v>
      </c>
      <c r="AA42" s="12">
        <v>15450</v>
      </c>
      <c r="AB42" s="12">
        <v>15450</v>
      </c>
      <c r="AC42" s="12">
        <v>15913.5</v>
      </c>
      <c r="AD42" s="12">
        <v>15913.5</v>
      </c>
      <c r="AE42" s="12">
        <v>15913.5</v>
      </c>
      <c r="AF42" s="12">
        <v>15913.5</v>
      </c>
      <c r="AG42" s="12">
        <v>15913.5</v>
      </c>
      <c r="AH42" s="12">
        <v>15913.5</v>
      </c>
      <c r="AI42" s="12">
        <v>15913.5</v>
      </c>
      <c r="AJ42" s="12">
        <v>15913.5</v>
      </c>
      <c r="AK42" s="12">
        <v>15913.5</v>
      </c>
      <c r="AL42" s="12">
        <v>15913.5</v>
      </c>
      <c r="AM42" s="12">
        <v>15913.5</v>
      </c>
      <c r="AN42" s="12">
        <v>15913.5</v>
      </c>
    </row>
    <row r="43" spans="2:40" x14ac:dyDescent="0.25">
      <c r="B43" s="39" t="s">
        <v>31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8700</v>
      </c>
      <c r="L43" s="12">
        <v>8700</v>
      </c>
      <c r="M43" s="12">
        <v>8700</v>
      </c>
      <c r="N43" s="12">
        <v>8700</v>
      </c>
      <c r="O43" s="12">
        <v>8700</v>
      </c>
      <c r="P43" s="12">
        <v>8700</v>
      </c>
      <c r="Q43" s="12">
        <v>9048</v>
      </c>
      <c r="R43" s="12">
        <v>9048</v>
      </c>
      <c r="S43" s="12">
        <v>9048</v>
      </c>
      <c r="T43" s="12">
        <v>9048</v>
      </c>
      <c r="U43" s="12">
        <v>9048</v>
      </c>
      <c r="V43" s="12">
        <v>9048</v>
      </c>
      <c r="W43" s="12">
        <v>9048</v>
      </c>
      <c r="X43" s="12">
        <v>9048</v>
      </c>
      <c r="Y43" s="12">
        <v>9048</v>
      </c>
      <c r="Z43" s="12">
        <v>9048</v>
      </c>
      <c r="AA43" s="12">
        <v>9048</v>
      </c>
      <c r="AB43" s="12">
        <v>9048</v>
      </c>
      <c r="AC43" s="12">
        <v>9409.9200000000019</v>
      </c>
      <c r="AD43" s="12">
        <v>9409.9200000000019</v>
      </c>
      <c r="AE43" s="12">
        <v>9409.9200000000019</v>
      </c>
      <c r="AF43" s="12">
        <v>9409.9200000000019</v>
      </c>
      <c r="AG43" s="12">
        <v>9409.9200000000019</v>
      </c>
      <c r="AH43" s="12">
        <v>9409.9200000000019</v>
      </c>
      <c r="AI43" s="12">
        <v>9409.9200000000019</v>
      </c>
      <c r="AJ43" s="12">
        <v>9409.9200000000019</v>
      </c>
      <c r="AK43" s="12">
        <v>9409.9200000000019</v>
      </c>
      <c r="AL43" s="12">
        <v>9409.9200000000019</v>
      </c>
      <c r="AM43" s="12">
        <v>9409.9200000000019</v>
      </c>
      <c r="AN43" s="12">
        <v>9409.9200000000019</v>
      </c>
    </row>
    <row r="44" spans="2:40" x14ac:dyDescent="0.25">
      <c r="B44" s="39" t="s">
        <v>34</v>
      </c>
      <c r="C44" s="96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363.89520000000005</v>
      </c>
      <c r="L44" s="12">
        <v>963.64839999999992</v>
      </c>
      <c r="M44" s="12">
        <v>993.97300000000007</v>
      </c>
      <c r="N44" s="12">
        <v>1024.2975999999999</v>
      </c>
      <c r="O44" s="12">
        <v>1054.6222</v>
      </c>
      <c r="P44" s="12">
        <v>1095.0550000000001</v>
      </c>
      <c r="Q44" s="12">
        <v>1166.8906079999999</v>
      </c>
      <c r="R44" s="12">
        <v>1201.932368</v>
      </c>
      <c r="S44" s="12">
        <v>1233.4699519999999</v>
      </c>
      <c r="T44" s="12">
        <v>1261.5033600000002</v>
      </c>
      <c r="U44" s="12">
        <v>1300.0492959999999</v>
      </c>
      <c r="V44" s="12">
        <v>1335.0910559999998</v>
      </c>
      <c r="W44" s="12">
        <v>1366.6286400000004</v>
      </c>
      <c r="X44" s="12">
        <v>1156.37808</v>
      </c>
      <c r="Y44" s="12">
        <v>1170.3947840000001</v>
      </c>
      <c r="Z44" s="12">
        <v>1187.9156640000001</v>
      </c>
      <c r="AA44" s="12">
        <v>1198.4281919999999</v>
      </c>
      <c r="AB44" s="12">
        <v>1212.444896</v>
      </c>
      <c r="AC44" s="12">
        <v>1279.1644070400002</v>
      </c>
      <c r="AD44" s="12">
        <v>1286.4530931200002</v>
      </c>
      <c r="AE44" s="12">
        <v>1301.03046528</v>
      </c>
      <c r="AF44" s="12">
        <v>1315.6078374400001</v>
      </c>
      <c r="AG44" s="12">
        <v>1330.1852096000002</v>
      </c>
      <c r="AH44" s="12">
        <v>1344.7625817600001</v>
      </c>
      <c r="AI44" s="12">
        <v>1359.3399539200002</v>
      </c>
      <c r="AJ44" s="12">
        <v>1359.3399539200002</v>
      </c>
      <c r="AK44" s="12">
        <v>1359.3399539200002</v>
      </c>
      <c r="AL44" s="12">
        <v>1359.3399539200002</v>
      </c>
      <c r="AM44" s="12">
        <v>1359.3399539200002</v>
      </c>
      <c r="AN44" s="12">
        <v>1359.3399539200002</v>
      </c>
    </row>
    <row r="45" spans="2:40" x14ac:dyDescent="0.25">
      <c r="B45" s="39" t="s">
        <v>36</v>
      </c>
      <c r="C45" s="96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0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>
        <v>7500</v>
      </c>
      <c r="L45" s="12">
        <v>7500</v>
      </c>
      <c r="M45" s="12">
        <v>7500</v>
      </c>
      <c r="N45" s="12">
        <v>7500</v>
      </c>
      <c r="O45" s="12">
        <v>7500</v>
      </c>
      <c r="P45" s="12">
        <v>7500</v>
      </c>
      <c r="Q45" s="12">
        <v>7650</v>
      </c>
      <c r="R45" s="12">
        <v>7650</v>
      </c>
      <c r="S45" s="12">
        <v>7650</v>
      </c>
      <c r="T45" s="12">
        <v>7650</v>
      </c>
      <c r="U45" s="12">
        <v>7650</v>
      </c>
      <c r="V45" s="12">
        <v>7650</v>
      </c>
      <c r="W45" s="12">
        <v>7650</v>
      </c>
      <c r="X45" s="12">
        <v>7650</v>
      </c>
      <c r="Y45" s="12">
        <v>7650</v>
      </c>
      <c r="Z45" s="12">
        <v>7650</v>
      </c>
      <c r="AA45" s="12">
        <v>7650</v>
      </c>
      <c r="AB45" s="12">
        <v>7650</v>
      </c>
      <c r="AC45" s="12">
        <v>7803</v>
      </c>
      <c r="AD45" s="12">
        <v>7803</v>
      </c>
      <c r="AE45" s="12">
        <v>7803</v>
      </c>
      <c r="AF45" s="12">
        <v>7803</v>
      </c>
      <c r="AG45" s="12">
        <v>7803</v>
      </c>
      <c r="AH45" s="12">
        <v>7803</v>
      </c>
      <c r="AI45" s="12">
        <v>7803</v>
      </c>
      <c r="AJ45" s="12">
        <v>7803</v>
      </c>
      <c r="AK45" s="12">
        <v>7803</v>
      </c>
      <c r="AL45" s="12">
        <v>7803</v>
      </c>
      <c r="AM45" s="12">
        <v>7803</v>
      </c>
      <c r="AN45" s="12">
        <v>7803</v>
      </c>
    </row>
    <row r="46" spans="2:40" x14ac:dyDescent="0.25">
      <c r="B46" s="39" t="s">
        <v>38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0</v>
      </c>
      <c r="F46" s="12">
        <v>0</v>
      </c>
      <c r="G46" s="12">
        <v>0</v>
      </c>
      <c r="H46" s="12">
        <v>0</v>
      </c>
      <c r="I46" s="12">
        <v>0</v>
      </c>
      <c r="J46" s="12">
        <v>0</v>
      </c>
      <c r="K46" s="12">
        <v>3533.9999999999991</v>
      </c>
      <c r="L46" s="12">
        <v>5399.4999999999991</v>
      </c>
      <c r="M46" s="12">
        <v>6677</v>
      </c>
      <c r="N46" s="12">
        <v>7950.9999999999991</v>
      </c>
      <c r="O46" s="12">
        <v>9224.9999999999982</v>
      </c>
      <c r="P46" s="12">
        <v>10513</v>
      </c>
      <c r="Q46" s="12">
        <v>12015.600000000002</v>
      </c>
      <c r="R46" s="12">
        <v>13318.650000000001</v>
      </c>
      <c r="S46" s="12">
        <v>14621.7</v>
      </c>
      <c r="T46" s="12">
        <v>15917.609999999999</v>
      </c>
      <c r="U46" s="12">
        <v>17224.23</v>
      </c>
      <c r="V46" s="12">
        <v>18530.849999999999</v>
      </c>
      <c r="W46" s="12">
        <v>19830.329999999998</v>
      </c>
      <c r="X46" s="12">
        <v>20879.910000000007</v>
      </c>
      <c r="Y46" s="12">
        <v>20894.190000000002</v>
      </c>
      <c r="Z46" s="12">
        <v>20912.040000000005</v>
      </c>
      <c r="AA46" s="12">
        <v>20922.750000000004</v>
      </c>
      <c r="AB46" s="12">
        <v>20937.030000000006</v>
      </c>
      <c r="AC46" s="12">
        <v>21373.977600000006</v>
      </c>
      <c r="AD46" s="12">
        <v>21381.260400000003</v>
      </c>
      <c r="AE46" s="12">
        <v>21395.826000000001</v>
      </c>
      <c r="AF46" s="12">
        <v>21410.391600000003</v>
      </c>
      <c r="AG46" s="12">
        <v>21424.957200000004</v>
      </c>
      <c r="AH46" s="12">
        <v>21439.522800000002</v>
      </c>
      <c r="AI46" s="12">
        <v>21454.088400000004</v>
      </c>
      <c r="AJ46" s="12">
        <v>21454.088400000004</v>
      </c>
      <c r="AK46" s="12">
        <v>21454.088400000004</v>
      </c>
      <c r="AL46" s="12">
        <v>21454.088400000004</v>
      </c>
      <c r="AM46" s="12">
        <v>21454.088400000004</v>
      </c>
      <c r="AN46" s="12">
        <v>21454.088400000004</v>
      </c>
    </row>
    <row r="47" spans="2:40" x14ac:dyDescent="0.25">
      <c r="B47" s="39" t="s">
        <v>40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6000</v>
      </c>
      <c r="L47" s="12">
        <v>6000</v>
      </c>
      <c r="M47" s="12">
        <v>6000</v>
      </c>
      <c r="N47" s="12">
        <v>6000</v>
      </c>
      <c r="O47" s="12">
        <v>6000</v>
      </c>
      <c r="P47" s="12">
        <v>6000</v>
      </c>
      <c r="Q47" s="12">
        <v>6300</v>
      </c>
      <c r="R47" s="12">
        <v>6300</v>
      </c>
      <c r="S47" s="12">
        <v>6300</v>
      </c>
      <c r="T47" s="12">
        <v>6300</v>
      </c>
      <c r="U47" s="12">
        <v>6300</v>
      </c>
      <c r="V47" s="12">
        <v>6300</v>
      </c>
      <c r="W47" s="12">
        <v>6300</v>
      </c>
      <c r="X47" s="12">
        <v>6300</v>
      </c>
      <c r="Y47" s="12">
        <v>6300</v>
      </c>
      <c r="Z47" s="12">
        <v>6300</v>
      </c>
      <c r="AA47" s="12">
        <v>6300</v>
      </c>
      <c r="AB47" s="12">
        <v>6300</v>
      </c>
      <c r="AC47" s="12">
        <v>6615</v>
      </c>
      <c r="AD47" s="12">
        <v>6615</v>
      </c>
      <c r="AE47" s="12">
        <v>6615</v>
      </c>
      <c r="AF47" s="12">
        <v>6615</v>
      </c>
      <c r="AG47" s="12">
        <v>6615</v>
      </c>
      <c r="AH47" s="12">
        <v>6615</v>
      </c>
      <c r="AI47" s="12">
        <v>6615</v>
      </c>
      <c r="AJ47" s="12">
        <v>6615</v>
      </c>
      <c r="AK47" s="12">
        <v>6615</v>
      </c>
      <c r="AL47" s="12">
        <v>6615</v>
      </c>
      <c r="AM47" s="12">
        <v>6615</v>
      </c>
      <c r="AN47" s="12">
        <v>6615</v>
      </c>
    </row>
    <row r="48" spans="2:40" x14ac:dyDescent="0.25">
      <c r="B48" s="39" t="s">
        <v>41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0</v>
      </c>
      <c r="F48" s="12">
        <v>0</v>
      </c>
      <c r="G48" s="12">
        <v>0</v>
      </c>
      <c r="H48" s="12">
        <v>0</v>
      </c>
      <c r="I48" s="12">
        <v>151234.47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42</v>
      </c>
      <c r="E49" s="12">
        <f>'Corp.'!E$50*(E$37-(E31-E32-E34)*$C$35)/(SUM('MDA1:NCA9'!E$37)-SUM('MDA1:NCA9'!E$31)-SUM('MDA1:NCA9'!E$32)-SUM('MDA1:NCA9'!E$34))</f>
        <v>0</v>
      </c>
      <c r="F49" s="12">
        <f>'Corp.'!F$50*(F$37-(F31-F32-F34)*$C$35)/(SUM('MDA1:NCA9'!F$37)-SUM('MDA1:NCA9'!F$31)-SUM('MDA1:NCA9'!F$32)-SUM('MDA1:NCA9'!F$34))</f>
        <v>0</v>
      </c>
      <c r="G49" s="12">
        <f>'Corp.'!G$50*(G$37-(G31-G32-G34)*$C$35)/(SUM('MDA1:NCA9'!G$37)-SUM('MDA1:NCA9'!G$31)-SUM('MDA1:NCA9'!G$32)-SUM('MDA1:NCA9'!G$34))</f>
        <v>0</v>
      </c>
      <c r="H49" s="12">
        <f>'Corp.'!H$50*(H$37-(H31-H32-H34)*$C$35)/(SUM('MDA1:NCA9'!H$37)-SUM('MDA1:NCA9'!H$31)-SUM('MDA1:NCA9'!H$32)-SUM('MDA1:NCA9'!H$34))</f>
        <v>0</v>
      </c>
      <c r="I49" s="12">
        <f>'Corp.'!I$50*(I$37-(I31-I32-I34)*$C$35)/(SUM('MDA1:NCA9'!I$37)-SUM('MDA1:NCA9'!I$31)-SUM('MDA1:NCA9'!I$32)-SUM('MDA1:NCA9'!I$34))</f>
        <v>0</v>
      </c>
      <c r="J49" s="12">
        <f>'Corp.'!J$50*(J$37-(J31-J32-J34)*$C$35)/(SUM('MDA1:NCA9'!J$37)-SUM('MDA1:NCA9'!J$31)-SUM('MDA1:NCA9'!J$32)-SUM('MDA1:NCA9'!J$34))</f>
        <v>0</v>
      </c>
      <c r="K49" s="12">
        <f>'Corp.'!K$50*(K$37-(K31-K32-K34)*$C$35)/(SUM('MDA1:NCA9'!K$37)-SUM('MDA1:NCA9'!K$31)-SUM('MDA1:NCA9'!K$32)-SUM('MDA1:NCA9'!K$34))</f>
        <v>14435.887013451311</v>
      </c>
      <c r="L49" s="12">
        <f>'Corp.'!L$50*(L$37-(L31-L32-L34)*$C$35)/(SUM('MDA1:NCA9'!L$37)-SUM('MDA1:NCA9'!L$31)-SUM('MDA1:NCA9'!L$32)-SUM('MDA1:NCA9'!L$34))</f>
        <v>22777.130489780131</v>
      </c>
      <c r="M49" s="12">
        <f>'Corp.'!M$50*(M$37-(M31-M32-M34)*$C$35)/(SUM('MDA1:NCA9'!M$37)-SUM('MDA1:NCA9'!M$31)-SUM('MDA1:NCA9'!M$32)-SUM('MDA1:NCA9'!M$34))</f>
        <v>29906.75663873486</v>
      </c>
      <c r="N49" s="12">
        <f>'Corp.'!N$50*(N$37-(N31-N32-N34)*$C$35)/(SUM('MDA1:NCA9'!N$37)-SUM('MDA1:NCA9'!N$31)-SUM('MDA1:NCA9'!N$32)-SUM('MDA1:NCA9'!N$34))</f>
        <v>36247.549887823385</v>
      </c>
      <c r="O49" s="12">
        <f>'Corp.'!O$50*(O$37-(O31-O32-O34)*$C$35)/(SUM('MDA1:NCA9'!O$37)-SUM('MDA1:NCA9'!O$31)-SUM('MDA1:NCA9'!O$32)-SUM('MDA1:NCA9'!O$34))</f>
        <v>41473.92616275631</v>
      </c>
      <c r="P49" s="12">
        <f>'Corp.'!P$50*(P$37-(P31-P32-P34)*$C$35)/(SUM('MDA1:NCA9'!P$37)-SUM('MDA1:NCA9'!P$31)-SUM('MDA1:NCA9'!P$32)-SUM('MDA1:NCA9'!P$34))</f>
        <v>46261.18360694134</v>
      </c>
      <c r="Q49" s="12">
        <f>'Corp.'!Q$50*(Q$37-(Q31-Q32-Q34)*$C$35)/(SUM('MDA1:NCA9'!Q$37)-SUM('MDA1:NCA9'!Q$31)-SUM('MDA1:NCA9'!Q$32)-SUM('MDA1:NCA9'!Q$34))</f>
        <v>55188.861662439354</v>
      </c>
      <c r="R49" s="12">
        <f>'Corp.'!R$50*(R$37-(R31-R32-R34)*$C$35)/(SUM('MDA1:NCA9'!R$37)-SUM('MDA1:NCA9'!R$31)-SUM('MDA1:NCA9'!R$32)-SUM('MDA1:NCA9'!R$34))</f>
        <v>60184.595377793543</v>
      </c>
      <c r="S49" s="12">
        <f>'Corp.'!S$50*(S$37-(S31-S32-S34)*$C$35)/(SUM('MDA1:NCA9'!S$37)-SUM('MDA1:NCA9'!S$31)-SUM('MDA1:NCA9'!S$32)-SUM('MDA1:NCA9'!S$34))</f>
        <v>64359.681333021246</v>
      </c>
      <c r="T49" s="12">
        <f>'Corp.'!T$50*(T$37-(T31-T32-T34)*$C$35)/(SUM('MDA1:NCA9'!T$37)-SUM('MDA1:NCA9'!T$31)-SUM('MDA1:NCA9'!T$32)-SUM('MDA1:NCA9'!T$34))</f>
        <v>68415.528773139435</v>
      </c>
      <c r="U49" s="12">
        <f>'Corp.'!U$50*(U$37-(U31-U32-U34)*$C$35)/(SUM('MDA1:NCA9'!U$37)-SUM('MDA1:NCA9'!U$31)-SUM('MDA1:NCA9'!U$32)-SUM('MDA1:NCA9'!U$34))</f>
        <v>72890.132615938986</v>
      </c>
      <c r="V49" s="12">
        <f>'Corp.'!V$50*(V$37-(V31-V32-V34)*$C$35)/(SUM('MDA1:NCA9'!V$37)-SUM('MDA1:NCA9'!V$31)-SUM('MDA1:NCA9'!V$32)-SUM('MDA1:NCA9'!V$34))</f>
        <v>77419.466194113033</v>
      </c>
      <c r="W49" s="12">
        <f>'Corp.'!W$50*(W$37-(W31-W32-W34)*$C$35)/(SUM('MDA1:NCA9'!W$37)-SUM('MDA1:NCA9'!W$31)-SUM('MDA1:NCA9'!W$32)-SUM('MDA1:NCA9'!W$34))</f>
        <v>81075.023387119858</v>
      </c>
      <c r="X49" s="12">
        <f>'Corp.'!X$50*(X$37-(X31-X32-X34)*$C$35)/(SUM('MDA1:NCA9'!X$37)-SUM('MDA1:NCA9'!X$31)-SUM('MDA1:NCA9'!X$32)-SUM('MDA1:NCA9'!X$34))</f>
        <v>84355.776776980463</v>
      </c>
      <c r="Y49" s="12">
        <f>'Corp.'!Y$50*(Y$37-(Y31-Y32-Y34)*$C$35)/(SUM('MDA1:NCA9'!Y$37)-SUM('MDA1:NCA9'!Y$31)-SUM('MDA1:NCA9'!Y$32)-SUM('MDA1:NCA9'!Y$34))</f>
        <v>82568.580020467809</v>
      </c>
      <c r="Z49" s="12">
        <f>'Corp.'!Z$50*(Z$37-(Z31-Z32-Z34)*$C$35)/(SUM('MDA1:NCA9'!Z$37)-SUM('MDA1:NCA9'!Z$31)-SUM('MDA1:NCA9'!Z$32)-SUM('MDA1:NCA9'!Z$34))</f>
        <v>80775.388620665501</v>
      </c>
      <c r="AA49" s="12">
        <f>'Corp.'!AA$50*(AA$37-(AA31-AA32-AA34)*$C$35)/(SUM('MDA1:NCA9'!AA$37)-SUM('MDA1:NCA9'!AA$31)-SUM('MDA1:NCA9'!AA$32)-SUM('MDA1:NCA9'!AA$34))</f>
        <v>78928.593716406205</v>
      </c>
      <c r="AB49" s="12">
        <f>'Corp.'!AB$50*(AB$37-(AB31-AB32-AB34)*$C$35)/(SUM('MDA1:NCA9'!AB$37)-SUM('MDA1:NCA9'!AB$31)-SUM('MDA1:NCA9'!AB$32)-SUM('MDA1:NCA9'!AB$34))</f>
        <v>77137.388997614675</v>
      </c>
      <c r="AC49" s="12">
        <f>'Corp.'!AC$50*(AC$37-(AC31-AC32-AC34)*$C$35)/(SUM('MDA1:NCA9'!AC$37)-SUM('MDA1:NCA9'!AC$31)-SUM('MDA1:NCA9'!AC$32)-SUM('MDA1:NCA9'!AC$34))</f>
        <v>82787.492935550952</v>
      </c>
      <c r="AD49" s="12">
        <f>'Corp.'!AD$50*(AD$37-(AD31-AD32-AD34)*$C$35)/(SUM('MDA1:NCA9'!AD$37)-SUM('MDA1:NCA9'!AD$31)-SUM('MDA1:NCA9'!AD$32)-SUM('MDA1:NCA9'!AD$34))</f>
        <v>81427.453549480764</v>
      </c>
      <c r="AE49" s="12">
        <f>'Corp.'!AE$50*(AE$37-(AE31-AE32-AE34)*$C$35)/(SUM('MDA1:NCA9'!AE$37)-SUM('MDA1:NCA9'!AE$31)-SUM('MDA1:NCA9'!AE$32)-SUM('MDA1:NCA9'!AE$34))</f>
        <v>80145.065142249689</v>
      </c>
      <c r="AF49" s="12">
        <f>'Corp.'!AF$50*(AF$37-(AF31-AF32-AF34)*$C$35)/(SUM('MDA1:NCA9'!AF$37)-SUM('MDA1:NCA9'!AF$31)-SUM('MDA1:NCA9'!AF$32)-SUM('MDA1:NCA9'!AF$34))</f>
        <v>78943.425161868086</v>
      </c>
      <c r="AG49" s="12">
        <f>'Corp.'!AG$50*(AG$37-(AG31-AG32-AG34)*$C$35)/(SUM('MDA1:NCA9'!AG$37)-SUM('MDA1:NCA9'!AG$31)-SUM('MDA1:NCA9'!AG$32)-SUM('MDA1:NCA9'!AG$34))</f>
        <v>77979.765799357177</v>
      </c>
      <c r="AH49" s="12">
        <f>'Corp.'!AH$50*(AH$37-(AH31-AH32-AH34)*$C$35)/(SUM('MDA1:NCA9'!AH$37)-SUM('MDA1:NCA9'!AH$31)-SUM('MDA1:NCA9'!AH$32)-SUM('MDA1:NCA9'!AH$34))</f>
        <v>76712.193944299695</v>
      </c>
      <c r="AI49" s="12">
        <f>'Corp.'!AI$50*(AI$37-(AI31-AI32-AI34)*$C$35)/(SUM('MDA1:NCA9'!AI$37)-SUM('MDA1:NCA9'!AI$31)-SUM('MDA1:NCA9'!AI$32)-SUM('MDA1:NCA9'!AI$34))</f>
        <v>75391.235786919249</v>
      </c>
      <c r="AJ49" s="12">
        <f>'Corp.'!AJ$50*(AJ$37-(AJ31-AJ32-AJ34)*$C$35)/(SUM('MDA1:NCA9'!AJ$37)-SUM('MDA1:NCA9'!AJ$31)-SUM('MDA1:NCA9'!AJ$32)-SUM('MDA1:NCA9'!AJ$34))</f>
        <v>74037.829400941715</v>
      </c>
      <c r="AK49" s="12">
        <f>'Corp.'!AK$50*(AK$37-(AK31-AK32-AK34)*$C$35)/(SUM('MDA1:NCA9'!AK$37)-SUM('MDA1:NCA9'!AK$31)-SUM('MDA1:NCA9'!AK$32)-SUM('MDA1:NCA9'!AK$34))</f>
        <v>72788.126846379178</v>
      </c>
      <c r="AL49" s="12">
        <f>'Corp.'!AL$50*(AL$37-(AL31-AL32-AL34)*$C$35)/(SUM('MDA1:NCA9'!AL$37)-SUM('MDA1:NCA9'!AL$31)-SUM('MDA1:NCA9'!AL$32)-SUM('MDA1:NCA9'!AL$34))</f>
        <v>71641.323887728504</v>
      </c>
      <c r="AM49" s="12">
        <f>'Corp.'!AM$50*(AM$37-(AM31-AM32-AM34)*$C$35)/(SUM('MDA1:NCA9'!AM$37)-SUM('MDA1:NCA9'!AM$31)-SUM('MDA1:NCA9'!AM$32)-SUM('MDA1:NCA9'!AM$34))</f>
        <v>70406.274276485157</v>
      </c>
      <c r="AN49" s="12">
        <f>'Corp.'!AN$50*(AN$37-(AN31-AN32-AN34)*$C$35)/(SUM('MDA1:NCA9'!AN$37)-SUM('MDA1:NCA9'!AN$31)-SUM('MDA1:NCA9'!AN$32)-SUM('MDA1:NCA9'!AN$34))</f>
        <v>69353.495383390065</v>
      </c>
    </row>
    <row r="50" spans="2:40" x14ac:dyDescent="0.25">
      <c r="B50" s="1" t="s">
        <v>272</v>
      </c>
      <c r="E50" s="13" cm="1">
        <f t="array" ref="E50:AN50">_xlfn.BYCOL(_xlfn.VSTACK(_xlfn.ANCHORARRAY(E40),_xlfn.ANCHORARRAY(E42),_xlfn.ANCHORARRAY(E43),_xlfn.ANCHORARRAY(E45),_xlfn.ANCHORARRAY(E46),_xlfn.ANCHORARRAY(E47),_xlfn.ANCHORARRAY(E48),_xlfn.HSTACK(E49:AN49)),_xlfn.LAMBDA(_xlpm.a,SUM(_xlpm.a)))</f>
        <v>0</v>
      </c>
      <c r="F50" s="13">
        <v>0</v>
      </c>
      <c r="G50" s="13">
        <v>0</v>
      </c>
      <c r="H50" s="13">
        <v>0</v>
      </c>
      <c r="I50" s="13">
        <v>151234.47</v>
      </c>
      <c r="J50" s="13">
        <v>0</v>
      </c>
      <c r="K50" s="13">
        <v>99507.876647454599</v>
      </c>
      <c r="L50" s="13">
        <v>141248.51429112005</v>
      </c>
      <c r="M50" s="13">
        <v>169842.43007407806</v>
      </c>
      <c r="N50" s="13">
        <v>197603.78415716984</v>
      </c>
      <c r="O50" s="13">
        <v>224283.58793277273</v>
      </c>
      <c r="P50" s="13">
        <v>250812.43501096108</v>
      </c>
      <c r="Q50" s="13">
        <v>300160.83679093135</v>
      </c>
      <c r="R50" s="13">
        <v>328727.17075702245</v>
      </c>
      <c r="S50" s="13">
        <v>356410.77530965384</v>
      </c>
      <c r="T50" s="13">
        <v>383853.56966717553</v>
      </c>
      <c r="U50" s="13">
        <v>412019.31042737875</v>
      </c>
      <c r="V50" s="13">
        <v>440167.06593628967</v>
      </c>
      <c r="W50" s="13">
        <v>467283.32004670019</v>
      </c>
      <c r="X50" s="13">
        <v>488091.8853539644</v>
      </c>
      <c r="Y50" s="13">
        <v>486629.4619307851</v>
      </c>
      <c r="Z50" s="13">
        <v>485270.9471976494</v>
      </c>
      <c r="AA50" s="13">
        <v>483678.36562672345</v>
      </c>
      <c r="AB50" s="13">
        <v>482211.93424126535</v>
      </c>
      <c r="AC50" s="13">
        <v>524619.86663689988</v>
      </c>
      <c r="AD50" s="13">
        <v>523457.76571749646</v>
      </c>
      <c r="AE50" s="13">
        <v>522531.48557693203</v>
      </c>
      <c r="AF50" s="13">
        <v>521685.95386321715</v>
      </c>
      <c r="AG50" s="13">
        <v>521121.68043403956</v>
      </c>
      <c r="AH50" s="13">
        <v>520210.21684564871</v>
      </c>
      <c r="AI50" s="13">
        <v>519245.36695493496</v>
      </c>
      <c r="AJ50" s="13">
        <v>517891.96056895744</v>
      </c>
      <c r="AK50" s="13">
        <v>516642.2580143949</v>
      </c>
      <c r="AL50" s="13">
        <v>515495.45505574421</v>
      </c>
      <c r="AM50" s="13">
        <v>514260.40544450085</v>
      </c>
      <c r="AN50" s="13">
        <v>513207.62655140576</v>
      </c>
    </row>
    <row r="52" spans="2:40" x14ac:dyDescent="0.25">
      <c r="B52" s="1" t="s">
        <v>48</v>
      </c>
      <c r="E52" s="74">
        <f>E37-E50</f>
        <v>0</v>
      </c>
      <c r="F52" s="74">
        <f t="shared" ref="F52:AN52" si="0">F37-F50</f>
        <v>0</v>
      </c>
      <c r="G52" s="74">
        <f t="shared" si="0"/>
        <v>0</v>
      </c>
      <c r="H52" s="74">
        <f t="shared" si="0"/>
        <v>0</v>
      </c>
      <c r="I52" s="74">
        <f t="shared" si="0"/>
        <v>-151234.47</v>
      </c>
      <c r="J52" s="74">
        <f t="shared" si="0"/>
        <v>0</v>
      </c>
      <c r="K52" s="74">
        <f t="shared" si="0"/>
        <v>-30484.354700787924</v>
      </c>
      <c r="L52" s="74">
        <f t="shared" si="0"/>
        <v>-26003.583064453371</v>
      </c>
      <c r="M52" s="74">
        <f t="shared" si="0"/>
        <v>-8376.089567411429</v>
      </c>
      <c r="N52" s="74">
        <f t="shared" si="0"/>
        <v>10083.965629496844</v>
      </c>
      <c r="O52" s="74">
        <f t="shared" si="0"/>
        <v>29625.571133893885</v>
      </c>
      <c r="P52" s="74">
        <f t="shared" si="0"/>
        <v>49318.133335705497</v>
      </c>
      <c r="Q52" s="74">
        <f t="shared" si="0"/>
        <v>56581.700164535257</v>
      </c>
      <c r="R52" s="74">
        <f t="shared" si="0"/>
        <v>75623.417756844254</v>
      </c>
      <c r="S52" s="74">
        <f t="shared" si="0"/>
        <v>95547.864762612851</v>
      </c>
      <c r="T52" s="74">
        <f t="shared" si="0"/>
        <v>115713.12196349108</v>
      </c>
      <c r="U52" s="74">
        <f t="shared" si="0"/>
        <v>135155.4327616879</v>
      </c>
      <c r="V52" s="74">
        <f t="shared" si="0"/>
        <v>154615.7288111769</v>
      </c>
      <c r="W52" s="74">
        <f t="shared" si="0"/>
        <v>175107.5262591663</v>
      </c>
      <c r="X52" s="74">
        <f t="shared" si="0"/>
        <v>201907.01251030213</v>
      </c>
      <c r="Y52" s="74">
        <f t="shared" si="0"/>
        <v>203369.43593348144</v>
      </c>
      <c r="Z52" s="74">
        <f t="shared" si="0"/>
        <v>204727.95066661714</v>
      </c>
      <c r="AA52" s="74">
        <f t="shared" si="0"/>
        <v>206320.53223754308</v>
      </c>
      <c r="AB52" s="74">
        <f t="shared" si="0"/>
        <v>207786.96362300118</v>
      </c>
      <c r="AC52" s="74">
        <f t="shared" si="0"/>
        <v>165379.03122736665</v>
      </c>
      <c r="AD52" s="74">
        <f t="shared" si="0"/>
        <v>166541.13214677008</v>
      </c>
      <c r="AE52" s="74">
        <f t="shared" si="0"/>
        <v>167467.4122873345</v>
      </c>
      <c r="AF52" s="74">
        <f t="shared" si="0"/>
        <v>168312.94400104939</v>
      </c>
      <c r="AG52" s="74">
        <f t="shared" si="0"/>
        <v>168877.21743022697</v>
      </c>
      <c r="AH52" s="74">
        <f t="shared" si="0"/>
        <v>169788.68101861782</v>
      </c>
      <c r="AI52" s="74">
        <f t="shared" si="0"/>
        <v>170753.53090933157</v>
      </c>
      <c r="AJ52" s="74">
        <f t="shared" si="0"/>
        <v>172106.93729530909</v>
      </c>
      <c r="AK52" s="74">
        <f t="shared" si="0"/>
        <v>173356.63984987163</v>
      </c>
      <c r="AL52" s="74">
        <f t="shared" si="0"/>
        <v>174503.44280852232</v>
      </c>
      <c r="AM52" s="74">
        <f t="shared" si="0"/>
        <v>175738.49241976568</v>
      </c>
      <c r="AN52" s="74">
        <f t="shared" si="0"/>
        <v>176791.27131286077</v>
      </c>
    </row>
    <row r="53" spans="2:40" x14ac:dyDescent="0.25">
      <c r="E53" s="105" t="str">
        <f>IFERROR(E52/E37,"")</f>
        <v/>
      </c>
      <c r="F53" s="105" t="str">
        <f t="shared" ref="F53:AN53" si="1">IFERROR(F52/F37,"")</f>
        <v/>
      </c>
      <c r="G53" s="105" t="str">
        <f t="shared" si="1"/>
        <v/>
      </c>
      <c r="H53" s="105" t="str">
        <f t="shared" si="1"/>
        <v/>
      </c>
      <c r="I53" s="105" t="str">
        <f t="shared" si="1"/>
        <v/>
      </c>
      <c r="J53" s="105" t="str">
        <f t="shared" si="1"/>
        <v/>
      </c>
      <c r="K53" s="105">
        <f t="shared" si="1"/>
        <v>-0.44165168396278992</v>
      </c>
      <c r="L53" s="105">
        <f t="shared" si="1"/>
        <v>-0.22563754247298615</v>
      </c>
      <c r="M53" s="105">
        <f t="shared" si="1"/>
        <v>-5.1875143396004547E-2</v>
      </c>
      <c r="N53" s="105">
        <f t="shared" si="1"/>
        <v>4.855349263427873E-2</v>
      </c>
      <c r="O53" s="105">
        <f t="shared" si="1"/>
        <v>0.11667783565899396</v>
      </c>
      <c r="P53" s="105">
        <f t="shared" si="1"/>
        <v>0.16432226016625026</v>
      </c>
      <c r="Q53" s="105">
        <f t="shared" si="1"/>
        <v>0.15860654198240046</v>
      </c>
      <c r="R53" s="105">
        <f t="shared" si="1"/>
        <v>0.18702437910326139</v>
      </c>
      <c r="S53" s="105">
        <f t="shared" si="1"/>
        <v>0.21140842610583807</v>
      </c>
      <c r="T53" s="105">
        <f t="shared" si="1"/>
        <v>0.23162697574128632</v>
      </c>
      <c r="U53" s="105">
        <f t="shared" si="1"/>
        <v>0.24700597833512813</v>
      </c>
      <c r="V53" s="105">
        <f t="shared" si="1"/>
        <v>0.25995326390842188</v>
      </c>
      <c r="W53" s="105">
        <f t="shared" si="1"/>
        <v>0.27258720647428247</v>
      </c>
      <c r="X53" s="105">
        <f t="shared" si="1"/>
        <v>0.29261932611089525</v>
      </c>
      <c r="Y53" s="105">
        <f t="shared" si="1"/>
        <v>0.29473878373279278</v>
      </c>
      <c r="Z53" s="105">
        <f t="shared" si="1"/>
        <v>0.2967076488097381</v>
      </c>
      <c r="AA53" s="105">
        <f t="shared" si="1"/>
        <v>0.29901574172967671</v>
      </c>
      <c r="AB53" s="105">
        <f t="shared" si="1"/>
        <v>0.30114100800183613</v>
      </c>
      <c r="AC53" s="105">
        <f t="shared" si="1"/>
        <v>0.23968013824262552</v>
      </c>
      <c r="AD53" s="105">
        <f t="shared" si="1"/>
        <v>0.2413643451638256</v>
      </c>
      <c r="AE53" s="105">
        <f t="shared" si="1"/>
        <v>0.24270678229442322</v>
      </c>
      <c r="AF53" s="105">
        <f t="shared" si="1"/>
        <v>0.24393219253251494</v>
      </c>
      <c r="AG53" s="105">
        <f t="shared" si="1"/>
        <v>0.24474998141728588</v>
      </c>
      <c r="AH53" s="105">
        <f t="shared" si="1"/>
        <v>0.24607094524956455</v>
      </c>
      <c r="AI53" s="105">
        <f t="shared" si="1"/>
        <v>0.24746928065807061</v>
      </c>
      <c r="AJ53" s="105">
        <f t="shared" si="1"/>
        <v>0.24943074232151194</v>
      </c>
      <c r="AK53" s="105">
        <f t="shared" si="1"/>
        <v>0.25124190833703847</v>
      </c>
      <c r="AL53" s="105">
        <f t="shared" si="1"/>
        <v>0.25290394426521223</v>
      </c>
      <c r="AM53" s="105">
        <f t="shared" si="1"/>
        <v>0.25469387409708033</v>
      </c>
      <c r="AN53" s="105">
        <f t="shared" si="1"/>
        <v>0.25621964304592026</v>
      </c>
    </row>
    <row r="55" spans="2:40" x14ac:dyDescent="0.25">
      <c r="B55" t="s">
        <v>57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1411000</v>
      </c>
      <c r="D55" s="12">
        <f>C55-SUM(_xlfn.ANCHORARRAY(E55))</f>
        <v>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0</v>
      </c>
      <c r="F55" s="12">
        <v>0</v>
      </c>
      <c r="G55" s="12">
        <v>0</v>
      </c>
      <c r="H55" s="12">
        <v>0</v>
      </c>
      <c r="I55" s="12">
        <v>235166.66666666666</v>
      </c>
      <c r="J55" s="12">
        <v>235166.66666666666</v>
      </c>
      <c r="K55" s="12">
        <v>235166.66666666666</v>
      </c>
      <c r="L55" s="12">
        <v>235166.66666666666</v>
      </c>
      <c r="M55" s="12">
        <v>235166.66666666666</v>
      </c>
      <c r="N55" s="12">
        <v>235166.66666666666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</row>
    <row r="56" spans="2:40" x14ac:dyDescent="0.25">
      <c r="B56" t="s">
        <v>285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0</v>
      </c>
      <c r="F56" s="90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0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0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0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0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-81965.853478666671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-90070.029701333304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-95863.135459999961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-110069.73838215997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-114336.90360396005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-121755.43979339997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-38086.373859999992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-45019.585251999983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-53511.380543319989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-60652.588277080002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-67793.79601084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-74935.003744599991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-82076.211478359997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-89217.419212119989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-96358.626945879965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276</v>
      </c>
      <c r="E58" s="13">
        <f>E37-E50-E55+E56</f>
        <v>0</v>
      </c>
      <c r="F58" s="13">
        <f t="shared" ref="F58:AN58" si="2">F37-F50-F55+F56</f>
        <v>0</v>
      </c>
      <c r="G58" s="13">
        <f t="shared" si="2"/>
        <v>0</v>
      </c>
      <c r="H58" s="13">
        <f t="shared" si="2"/>
        <v>0</v>
      </c>
      <c r="I58" s="13">
        <f t="shared" si="2"/>
        <v>-386401.13666666666</v>
      </c>
      <c r="J58" s="13">
        <f t="shared" si="2"/>
        <v>-235166.66666666666</v>
      </c>
      <c r="K58" s="13">
        <f t="shared" si="2"/>
        <v>-265651.02136745455</v>
      </c>
      <c r="L58" s="13">
        <f t="shared" si="2"/>
        <v>-261170.24973112001</v>
      </c>
      <c r="M58" s="13">
        <f t="shared" si="2"/>
        <v>-243542.75623407809</v>
      </c>
      <c r="N58" s="13">
        <f t="shared" si="2"/>
        <v>-307048.55451583647</v>
      </c>
      <c r="O58" s="13">
        <f t="shared" si="2"/>
        <v>-60444.458567439418</v>
      </c>
      <c r="P58" s="13">
        <f t="shared" si="2"/>
        <v>-46545.002124294464</v>
      </c>
      <c r="Q58" s="13">
        <f t="shared" si="2"/>
        <v>-53488.038217624708</v>
      </c>
      <c r="R58" s="13">
        <f t="shared" si="2"/>
        <v>-38713.485847115793</v>
      </c>
      <c r="S58" s="13">
        <f t="shared" si="2"/>
        <v>-26207.57503078712</v>
      </c>
      <c r="T58" s="13">
        <f t="shared" si="2"/>
        <v>77626.748103491089</v>
      </c>
      <c r="U58" s="13">
        <f t="shared" si="2"/>
        <v>90135.847509687912</v>
      </c>
      <c r="V58" s="13">
        <f t="shared" si="2"/>
        <v>101104.34826785691</v>
      </c>
      <c r="W58" s="13">
        <f t="shared" si="2"/>
        <v>114454.9379820863</v>
      </c>
      <c r="X58" s="13">
        <f t="shared" si="2"/>
        <v>134113.21649946214</v>
      </c>
      <c r="Y58" s="13">
        <f t="shared" si="2"/>
        <v>128434.43218888144</v>
      </c>
      <c r="Z58" s="13">
        <f t="shared" si="2"/>
        <v>122651.73918825714</v>
      </c>
      <c r="AA58" s="13">
        <f t="shared" si="2"/>
        <v>117103.1130254231</v>
      </c>
      <c r="AB58" s="13">
        <f t="shared" si="2"/>
        <v>111428.33667712122</v>
      </c>
      <c r="AC58" s="13">
        <f t="shared" si="2"/>
        <v>61879.196547726679</v>
      </c>
      <c r="AD58" s="13">
        <f t="shared" si="2"/>
        <v>63041.297467130105</v>
      </c>
      <c r="AE58" s="13">
        <f t="shared" si="2"/>
        <v>63967.577607694533</v>
      </c>
      <c r="AF58" s="13">
        <f t="shared" si="2"/>
        <v>64813.109321409414</v>
      </c>
      <c r="AG58" s="13">
        <f t="shared" si="2"/>
        <v>65377.382750586999</v>
      </c>
      <c r="AH58" s="13">
        <f t="shared" si="2"/>
        <v>66288.846338977848</v>
      </c>
      <c r="AI58" s="13">
        <f t="shared" si="2"/>
        <v>67253.696229691603</v>
      </c>
      <c r="AJ58" s="13">
        <f t="shared" si="2"/>
        <v>68607.102615669122</v>
      </c>
      <c r="AK58" s="13">
        <f t="shared" si="2"/>
        <v>69856.805170231659</v>
      </c>
      <c r="AL58" s="13">
        <f t="shared" si="2"/>
        <v>71003.608128882348</v>
      </c>
      <c r="AM58" s="13">
        <f t="shared" si="2"/>
        <v>72238.657740125709</v>
      </c>
      <c r="AN58" s="13">
        <f t="shared" si="2"/>
        <v>73291.436633220801</v>
      </c>
    </row>
    <row r="59" spans="2:40" x14ac:dyDescent="0.25">
      <c r="B59" t="s">
        <v>277</v>
      </c>
      <c r="E59" s="12" cm="1">
        <f t="array" ref="E59:AN59">_xlfn.SCAN(-D55,E58:AN58,_xlfn.LAMBDA(_xlpm.capex,_xlpm.fcf,_xlpm.capex+_xlpm.fcf))</f>
        <v>0</v>
      </c>
      <c r="F59" s="12">
        <v>0</v>
      </c>
      <c r="G59" s="12">
        <v>0</v>
      </c>
      <c r="H59" s="12">
        <v>0</v>
      </c>
      <c r="I59" s="12">
        <v>-386401.13666666666</v>
      </c>
      <c r="J59" s="12">
        <v>-621567.80333333334</v>
      </c>
      <c r="K59" s="12">
        <v>-887218.8247007879</v>
      </c>
      <c r="L59" s="12">
        <v>-1148389.0744319079</v>
      </c>
      <c r="M59" s="12">
        <v>-1391931.8306659861</v>
      </c>
      <c r="N59" s="12">
        <v>-1698980.3851818226</v>
      </c>
      <c r="O59" s="12">
        <v>-1759424.8437492619</v>
      </c>
      <c r="P59" s="12">
        <v>-1805969.8458735563</v>
      </c>
      <c r="Q59" s="12">
        <v>-1859457.884091181</v>
      </c>
      <c r="R59" s="12">
        <v>-1898171.3699382967</v>
      </c>
      <c r="S59" s="12">
        <v>-1924378.9449690839</v>
      </c>
      <c r="T59" s="12">
        <v>-1846752.1968655929</v>
      </c>
      <c r="U59" s="12">
        <v>-1756616.3493559049</v>
      </c>
      <c r="V59" s="12">
        <v>-1655512.0010880479</v>
      </c>
      <c r="W59" s="12">
        <v>-1541057.0631059615</v>
      </c>
      <c r="X59" s="12">
        <v>-1406943.8466064995</v>
      </c>
      <c r="Y59" s="12">
        <v>-1278509.414417618</v>
      </c>
      <c r="Z59" s="12">
        <v>-1155857.6752293608</v>
      </c>
      <c r="AA59" s="12">
        <v>-1038754.5622039377</v>
      </c>
      <c r="AB59" s="12">
        <v>-927326.22552681644</v>
      </c>
      <c r="AC59" s="12">
        <v>-865447.02897908981</v>
      </c>
      <c r="AD59" s="12">
        <v>-802405.73151195969</v>
      </c>
      <c r="AE59" s="12">
        <v>-738438.15390426514</v>
      </c>
      <c r="AF59" s="12">
        <v>-673625.04458285577</v>
      </c>
      <c r="AG59" s="12">
        <v>-608247.66183226882</v>
      </c>
      <c r="AH59" s="12">
        <v>-541958.81549329101</v>
      </c>
      <c r="AI59" s="12">
        <v>-474705.11926359939</v>
      </c>
      <c r="AJ59" s="12">
        <v>-406098.01664793026</v>
      </c>
      <c r="AK59" s="12">
        <v>-336241.21147769858</v>
      </c>
      <c r="AL59" s="12">
        <v>-265237.60334881622</v>
      </c>
      <c r="AM59" s="12">
        <v>-192998.9456086905</v>
      </c>
      <c r="AN59" s="12">
        <v>-119707.5089754697</v>
      </c>
    </row>
    <row r="61" spans="2:40" x14ac:dyDescent="0.25">
      <c r="B61" s="1" t="s">
        <v>302</v>
      </c>
    </row>
    <row r="63" spans="2:40" x14ac:dyDescent="0.25">
      <c r="B63" s="39" t="s">
        <v>103</v>
      </c>
      <c r="E63" s="12" cm="1">
        <f t="array" ref="E63:AN63">_xlfn.LET(_xlpm.site,$B$1&amp;"-"&amp;$C$1,_xlpm.locations,Base!$D$4:$BD$4,_xlpm.rates,Base!$D$36:$BD$36,_xlpm.hours,Base!$D$79:$BD$79,_xlpm.comp,_xlpm.rates*_xlpm.hours,_xlpm.Customer,_xlfn.ANCHORARRAY($E$1),
_xlpm.Customer_comp,_xlfn.XLOOKUP(_xlpm.site,_xlpm.locations,_xlpm.comp,0,0),_xlpm.ann_incr,_xlfn.XLOOKUP(YEAR(_xlfn.ANCHORARRAY($E$25)),Base!$BJ$4:$BL$4,Base!$BJ$79:$BL$79,0,0),
_xlpm.bad_debt,_xlfn.XLOOKUP(_xlpm.site,_xlpm.locations,Base!$D$28:$BD$28,0,0),_xlpm.Customer_comp*_xlpm.Customer*_xlpm.bad_debt*_xlpm.ann_incr*(52/12)*(1-$C$35))</f>
        <v>0</v>
      </c>
      <c r="F63" s="12">
        <v>0</v>
      </c>
      <c r="G63" s="12">
        <v>0</v>
      </c>
      <c r="H63" s="12">
        <v>0</v>
      </c>
      <c r="I63" s="12">
        <v>0</v>
      </c>
      <c r="J63" s="12">
        <v>0</v>
      </c>
      <c r="K63" s="12">
        <v>2115.6236907519992</v>
      </c>
      <c r="L63" s="12">
        <v>4231.2473815039984</v>
      </c>
      <c r="M63" s="12">
        <v>6346.871072255999</v>
      </c>
      <c r="N63" s="12">
        <v>8462.4947630079969</v>
      </c>
      <c r="O63" s="12">
        <v>10578.118453759998</v>
      </c>
      <c r="P63" s="12">
        <v>12693.742144511998</v>
      </c>
      <c r="Q63" s="12">
        <v>15253.646810321916</v>
      </c>
      <c r="R63" s="12">
        <v>17432.739211796474</v>
      </c>
      <c r="S63" s="12">
        <v>19611.831613271035</v>
      </c>
      <c r="T63" s="12">
        <v>21790.9240147456</v>
      </c>
      <c r="U63" s="12">
        <v>23970.016416220154</v>
      </c>
      <c r="V63" s="12">
        <v>26149.108817694712</v>
      </c>
      <c r="W63" s="12">
        <v>28328.201219169274</v>
      </c>
      <c r="X63" s="12">
        <v>30507.293620643832</v>
      </c>
      <c r="Y63" s="12">
        <v>30507.293620643832</v>
      </c>
      <c r="Z63" s="12">
        <v>30507.293620643832</v>
      </c>
      <c r="AA63" s="12">
        <v>30507.293620643832</v>
      </c>
      <c r="AB63" s="12">
        <v>30507.293620643832</v>
      </c>
      <c r="AC63" s="12">
        <v>30507.293620643832</v>
      </c>
      <c r="AD63" s="12">
        <v>30507.293620643832</v>
      </c>
      <c r="AE63" s="12">
        <v>30507.293620643832</v>
      </c>
      <c r="AF63" s="12">
        <v>30507.293620643832</v>
      </c>
      <c r="AG63" s="12">
        <v>30507.293620643832</v>
      </c>
      <c r="AH63" s="12">
        <v>30507.293620643832</v>
      </c>
      <c r="AI63" s="12">
        <v>30507.293620643832</v>
      </c>
      <c r="AJ63" s="12">
        <v>30507.293620643832</v>
      </c>
      <c r="AK63" s="12">
        <v>30507.293620643832</v>
      </c>
      <c r="AL63" s="12">
        <v>30507.293620643832</v>
      </c>
      <c r="AM63" s="12">
        <v>30507.293620643832</v>
      </c>
      <c r="AN63" s="12">
        <v>30507.293620643832</v>
      </c>
    </row>
    <row r="64" spans="2:40" x14ac:dyDescent="0.25">
      <c r="B64" s="39" t="s">
        <v>104</v>
      </c>
      <c r="E64" s="12" cm="1">
        <f t="array" ref="E64:AN64">_xlfn.LET(_xlpm.site,$B$1&amp;"-"&amp;$C$1,_xlpm.locations,Base!$D$4:$BD$4,_xlpm.rates,Base!$D$37:$BD$37,_xlpm.hours,Base!$D$80:$BD$80,_xlpm.comp,_xlpm.rates*_xlpm.hours,_xlpm.Customer,_xlfn.ANCHORARRAY($E$1),
_xlpm.Customer_comp,_xlfn.XLOOKUP(_xlpm.site,_xlpm.locations,_xlpm.comp,0,0),_xlpm.ann_incr,_xlfn.XLOOKUP(YEAR(_xlfn.ANCHORARRAY($E$25)),Base!$BJ$4:$BL$4,Base!$BJ$80:$BL$80,0,0),
_xlpm.bad_debt,_xlfn.XLOOKUP(_xlpm.site,_xlpm.locations,Base!$D$28:$BD$28,0,0),_xlpm.Customer_comp*_xlpm.Customer*_xlpm.bad_debt*_xlpm.ann_incr*(52/12)*(1-$C$35))</f>
        <v>0</v>
      </c>
      <c r="F64" s="12">
        <v>0</v>
      </c>
      <c r="G64" s="12">
        <v>0</v>
      </c>
      <c r="H64" s="12">
        <v>0</v>
      </c>
      <c r="I64" s="12">
        <v>0</v>
      </c>
      <c r="J64" s="12">
        <v>0</v>
      </c>
      <c r="K64" s="12">
        <v>282.68957798400004</v>
      </c>
      <c r="L64" s="12">
        <v>565.37915596800008</v>
      </c>
      <c r="M64" s="12">
        <v>848.06873395200023</v>
      </c>
      <c r="N64" s="12">
        <v>1130.7583119360002</v>
      </c>
      <c r="O64" s="12">
        <v>1413.4478899200003</v>
      </c>
      <c r="P64" s="12">
        <v>1696.1374679040005</v>
      </c>
      <c r="Q64" s="12">
        <v>2038.1918572646407</v>
      </c>
      <c r="R64" s="12">
        <v>2329.3621225881607</v>
      </c>
      <c r="S64" s="12">
        <v>2620.5323879116804</v>
      </c>
      <c r="T64" s="12">
        <v>2911.7026532352006</v>
      </c>
      <c r="U64" s="12">
        <v>3202.8729185587208</v>
      </c>
      <c r="V64" s="12">
        <v>3494.0431838822406</v>
      </c>
      <c r="W64" s="12">
        <v>3785.2134492057612</v>
      </c>
      <c r="X64" s="12">
        <v>4076.3837145292814</v>
      </c>
      <c r="Y64" s="12">
        <v>4076.3837145292814</v>
      </c>
      <c r="Z64" s="12">
        <v>4076.3837145292814</v>
      </c>
      <c r="AA64" s="12">
        <v>4076.3837145292814</v>
      </c>
      <c r="AB64" s="12">
        <v>4076.3837145292814</v>
      </c>
      <c r="AC64" s="12">
        <v>4076.3837145292814</v>
      </c>
      <c r="AD64" s="12">
        <v>4076.3837145292814</v>
      </c>
      <c r="AE64" s="12">
        <v>4076.3837145292814</v>
      </c>
      <c r="AF64" s="12">
        <v>4076.3837145292814</v>
      </c>
      <c r="AG64" s="12">
        <v>4076.3837145292814</v>
      </c>
      <c r="AH64" s="12">
        <v>4076.3837145292814</v>
      </c>
      <c r="AI64" s="12">
        <v>4076.3837145292814</v>
      </c>
      <c r="AJ64" s="12">
        <v>4076.3837145292814</v>
      </c>
      <c r="AK64" s="12">
        <v>4076.3837145292814</v>
      </c>
      <c r="AL64" s="12">
        <v>4076.3837145292814</v>
      </c>
      <c r="AM64" s="12">
        <v>4076.3837145292814</v>
      </c>
      <c r="AN64" s="12">
        <v>4076.3837145292814</v>
      </c>
    </row>
    <row r="65" spans="2:40" x14ac:dyDescent="0.25">
      <c r="B65" s="39" t="s">
        <v>56</v>
      </c>
      <c r="E65" s="12" cm="1">
        <f t="array" ref="E65:AN65">_xlfn.LET(_xlpm.site,$B$1&amp;"-"&amp;$C$1,_xlpm.locations,Base!$D$4:$BD$4,_xlpm.rates,Base!$D$39:$BD$39,_xlpm.hours,Base!$D$82:$BD$82,_xlpm.comp,_xlpm.rates*_xlpm.hours,_xlpm.Customer,_xlfn.ANCHORARRAY($E$1),
_xlpm.Customer_comp,_xlfn.XLOOKUP(_xlpm.site,_xlpm.locations,_xlpm.comp,0,0),_xlpm.ann_incr,_xlfn.XLOOKUP(YEAR(_xlfn.ANCHORARRAY($E$25)),Base!$BJ$4:$BL$4,Base!$BJ$82:$BL$82,0,0),
_xlpm.bad_debt,_xlfn.XLOOKUP(_xlpm.site,_xlpm.locations,Base!$D$28:$BD$28,0,0),_xlpm.Customer_comp*_xlpm.Customer*_xlpm.bad_debt*_xlpm.ann_incr*(52/12)*(1-$C$35))</f>
        <v>0</v>
      </c>
      <c r="F65" s="12">
        <v>0</v>
      </c>
      <c r="G65" s="12">
        <v>0</v>
      </c>
      <c r="H65" s="12">
        <v>0</v>
      </c>
      <c r="I65" s="12">
        <v>0</v>
      </c>
      <c r="J65" s="12">
        <v>0</v>
      </c>
      <c r="K65" s="12">
        <v>1719.2305095679999</v>
      </c>
      <c r="L65" s="12">
        <v>3438.4610191359998</v>
      </c>
      <c r="M65" s="12">
        <v>5157.6915287040001</v>
      </c>
      <c r="N65" s="12">
        <v>6876.9220382719996</v>
      </c>
      <c r="O65" s="12">
        <v>8596.1525478399981</v>
      </c>
      <c r="P65" s="12">
        <v>10315.383057408</v>
      </c>
      <c r="Q65" s="12">
        <v>12395.651973985277</v>
      </c>
      <c r="R65" s="12">
        <v>14166.459398840319</v>
      </c>
      <c r="S65" s="12">
        <v>15937.266823695358</v>
      </c>
      <c r="T65" s="12">
        <v>17708.074248550402</v>
      </c>
      <c r="U65" s="12">
        <v>19478.881673405438</v>
      </c>
      <c r="V65" s="12">
        <v>21249.689098260478</v>
      </c>
      <c r="W65" s="12">
        <v>23020.496523115518</v>
      </c>
      <c r="X65" s="12">
        <v>24791.303947970555</v>
      </c>
      <c r="Y65" s="12">
        <v>24791.303947970555</v>
      </c>
      <c r="Z65" s="12">
        <v>24791.303947970555</v>
      </c>
      <c r="AA65" s="12">
        <v>24791.303947970555</v>
      </c>
      <c r="AB65" s="12">
        <v>24791.303947970555</v>
      </c>
      <c r="AC65" s="12">
        <v>24791.303947970555</v>
      </c>
      <c r="AD65" s="12">
        <v>24791.303947970555</v>
      </c>
      <c r="AE65" s="12">
        <v>24791.303947970555</v>
      </c>
      <c r="AF65" s="12">
        <v>24791.303947970555</v>
      </c>
      <c r="AG65" s="12">
        <v>24791.303947970555</v>
      </c>
      <c r="AH65" s="12">
        <v>24791.303947970555</v>
      </c>
      <c r="AI65" s="12">
        <v>24791.303947970555</v>
      </c>
      <c r="AJ65" s="12">
        <v>24791.303947970555</v>
      </c>
      <c r="AK65" s="12">
        <v>24791.303947970555</v>
      </c>
      <c r="AL65" s="12">
        <v>24791.303947970555</v>
      </c>
      <c r="AM65" s="12">
        <v>24791.303947970555</v>
      </c>
      <c r="AN65" s="12">
        <v>24791.303947970555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303</v>
      </c>
      <c r="C67" s="12"/>
      <c r="E67" s="13" cm="1">
        <f t="array" ref="E67:AN67">_xlfn.BYCOL(_xlfn.VSTACK(_xlfn.ANCHORARRAY($E$63),_xlfn.ANCHORARRAY($E$64),_xlfn.ANCHORARRAY($E$65)),_xlfn.LAMBDA(_xlpm.a,SUM(_xlpm.a)))</f>
        <v>0</v>
      </c>
      <c r="F67" s="13">
        <v>0</v>
      </c>
      <c r="G67" s="13">
        <v>0</v>
      </c>
      <c r="H67" s="13">
        <v>0</v>
      </c>
      <c r="I67" s="13">
        <v>0</v>
      </c>
      <c r="J67" s="13">
        <v>0</v>
      </c>
      <c r="K67" s="13">
        <v>4117.5437783039997</v>
      </c>
      <c r="L67" s="13">
        <v>8235.0875566079994</v>
      </c>
      <c r="M67" s="13">
        <v>12352.631334911999</v>
      </c>
      <c r="N67" s="13">
        <v>16470.175113215999</v>
      </c>
      <c r="O67" s="13">
        <v>20587.718891519995</v>
      </c>
      <c r="P67" s="13">
        <v>24705.262669823998</v>
      </c>
      <c r="Q67" s="13">
        <v>29687.490641571832</v>
      </c>
      <c r="R67" s="13">
        <v>33928.560733224956</v>
      </c>
      <c r="S67" s="13">
        <v>38169.63082487807</v>
      </c>
      <c r="T67" s="13">
        <v>42410.700916531205</v>
      </c>
      <c r="U67" s="13">
        <v>46651.771008184311</v>
      </c>
      <c r="V67" s="13">
        <v>50892.841099837431</v>
      </c>
      <c r="W67" s="13">
        <v>55133.911191490552</v>
      </c>
      <c r="X67" s="13">
        <v>59374.981283143665</v>
      </c>
      <c r="Y67" s="13">
        <v>59374.981283143665</v>
      </c>
      <c r="Z67" s="13">
        <v>59374.981283143665</v>
      </c>
      <c r="AA67" s="13">
        <v>59374.981283143665</v>
      </c>
      <c r="AB67" s="13">
        <v>59374.981283143665</v>
      </c>
      <c r="AC67" s="13">
        <v>59374.981283143665</v>
      </c>
      <c r="AD67" s="13">
        <v>59374.981283143665</v>
      </c>
      <c r="AE67" s="13">
        <v>59374.981283143665</v>
      </c>
      <c r="AF67" s="13">
        <v>59374.981283143665</v>
      </c>
      <c r="AG67" s="13">
        <v>59374.981283143665</v>
      </c>
      <c r="AH67" s="13">
        <v>59374.981283143665</v>
      </c>
      <c r="AI67" s="13">
        <v>59374.981283143665</v>
      </c>
      <c r="AJ67" s="13">
        <v>59374.981283143665</v>
      </c>
      <c r="AK67" s="13">
        <v>59374.981283143665</v>
      </c>
      <c r="AL67" s="13">
        <v>59374.981283143665</v>
      </c>
      <c r="AM67" s="13">
        <v>59374.981283143665</v>
      </c>
      <c r="AN67" s="13">
        <v>59374.981283143665</v>
      </c>
    </row>
    <row r="68" spans="2:40" x14ac:dyDescent="0.25">
      <c r="B68" s="39"/>
      <c r="C68" s="12"/>
    </row>
    <row r="69" spans="2:40" x14ac:dyDescent="0.25">
      <c r="B69" s="39" t="s">
        <v>304</v>
      </c>
      <c r="C69" s="12"/>
      <c r="E69" s="106" cm="1">
        <f t="array" ref="E69:AN70">_xlfn.LET(_xlpm.Customer_staff,_xlfn._xlws.FILTER(Base!$D$96:$BD$97,ISNUMBER(SEARCH($B$1&amp;"-"&amp;$C$1,Base!$D$4:$BD$4))),_xlpm.Customer,_xlfn.ANCHORARRAY($E$1),_xlpm.headcount,_xlpm.Customer/_xlpm.Customer_staff,
_xlpm.rounding,_xlfn.VSTACK(0,0),IFERROR(ROUND(_xlpm.headcount,_xlpm.rounding),0))</f>
        <v>0</v>
      </c>
      <c r="F69" s="106">
        <v>0</v>
      </c>
      <c r="G69" s="106">
        <v>0</v>
      </c>
      <c r="H69" s="106">
        <v>0</v>
      </c>
      <c r="I69" s="106">
        <v>0</v>
      </c>
      <c r="J69" s="106">
        <v>0</v>
      </c>
      <c r="K69" s="106">
        <v>0</v>
      </c>
      <c r="L69" s="106">
        <v>0</v>
      </c>
      <c r="M69" s="106">
        <v>0</v>
      </c>
      <c r="N69" s="106">
        <v>0</v>
      </c>
      <c r="O69" s="106">
        <v>0</v>
      </c>
      <c r="P69" s="106">
        <v>0</v>
      </c>
      <c r="Q69" s="106">
        <v>1</v>
      </c>
      <c r="R69" s="106">
        <v>1</v>
      </c>
      <c r="S69" s="106">
        <v>1</v>
      </c>
      <c r="T69" s="106">
        <v>1</v>
      </c>
      <c r="U69" s="106">
        <v>1</v>
      </c>
      <c r="V69" s="106">
        <v>1</v>
      </c>
      <c r="W69" s="106">
        <v>1</v>
      </c>
      <c r="X69" s="106">
        <v>1</v>
      </c>
      <c r="Y69" s="106">
        <v>1</v>
      </c>
      <c r="Z69" s="106">
        <v>1</v>
      </c>
      <c r="AA69" s="106">
        <v>1</v>
      </c>
      <c r="AB69" s="106">
        <v>1</v>
      </c>
      <c r="AC69" s="106">
        <v>1</v>
      </c>
      <c r="AD69" s="106">
        <v>1</v>
      </c>
      <c r="AE69" s="106">
        <v>1</v>
      </c>
      <c r="AF69" s="106">
        <v>1</v>
      </c>
      <c r="AG69" s="106">
        <v>1</v>
      </c>
      <c r="AH69" s="106">
        <v>1</v>
      </c>
      <c r="AI69" s="106">
        <v>1</v>
      </c>
      <c r="AJ69" s="106">
        <v>1</v>
      </c>
      <c r="AK69" s="106">
        <v>1</v>
      </c>
      <c r="AL69" s="106">
        <v>1</v>
      </c>
      <c r="AM69" s="106">
        <v>1</v>
      </c>
      <c r="AN69" s="106">
        <v>1</v>
      </c>
    </row>
    <row r="70" spans="2:40" x14ac:dyDescent="0.25">
      <c r="B70" s="39" t="s">
        <v>305</v>
      </c>
      <c r="C70" s="12"/>
      <c r="E70" s="106">
        <v>0</v>
      </c>
      <c r="F70" s="106">
        <v>0</v>
      </c>
      <c r="G70" s="106">
        <v>0</v>
      </c>
      <c r="H70" s="106">
        <v>0</v>
      </c>
      <c r="I70" s="106">
        <v>0</v>
      </c>
      <c r="J70" s="106">
        <v>0</v>
      </c>
      <c r="K70" s="106">
        <v>0</v>
      </c>
      <c r="L70" s="106">
        <v>0</v>
      </c>
      <c r="M70" s="106">
        <v>0</v>
      </c>
      <c r="N70" s="106">
        <v>0</v>
      </c>
      <c r="O70" s="106">
        <v>0</v>
      </c>
      <c r="P70" s="106">
        <v>0</v>
      </c>
      <c r="Q70" s="106">
        <v>0</v>
      </c>
      <c r="R70" s="106">
        <v>1</v>
      </c>
      <c r="S70" s="106">
        <v>1</v>
      </c>
      <c r="T70" s="106">
        <v>1</v>
      </c>
      <c r="U70" s="106">
        <v>1</v>
      </c>
      <c r="V70" s="106">
        <v>1</v>
      </c>
      <c r="W70" s="106">
        <v>1</v>
      </c>
      <c r="X70" s="106">
        <v>1</v>
      </c>
      <c r="Y70" s="106">
        <v>1</v>
      </c>
      <c r="Z70" s="106">
        <v>1</v>
      </c>
      <c r="AA70" s="106">
        <v>1</v>
      </c>
      <c r="AB70" s="106">
        <v>1</v>
      </c>
      <c r="AC70" s="106">
        <v>1</v>
      </c>
      <c r="AD70" s="106">
        <v>1</v>
      </c>
      <c r="AE70" s="106">
        <v>1</v>
      </c>
      <c r="AF70" s="106">
        <v>1</v>
      </c>
      <c r="AG70" s="106">
        <v>1</v>
      </c>
      <c r="AH70" s="106">
        <v>1</v>
      </c>
      <c r="AI70" s="106">
        <v>1</v>
      </c>
      <c r="AJ70" s="106">
        <v>1</v>
      </c>
      <c r="AK70" s="106">
        <v>1</v>
      </c>
      <c r="AL70" s="106">
        <v>1</v>
      </c>
      <c r="AM70" s="106">
        <v>1</v>
      </c>
      <c r="AN70" s="106">
        <v>1</v>
      </c>
    </row>
    <row r="71" spans="2:40" x14ac:dyDescent="0.25">
      <c r="B71" s="39"/>
      <c r="C71" s="12"/>
    </row>
    <row r="72" spans="2:40" x14ac:dyDescent="0.25">
      <c r="B72" s="39" t="s">
        <v>23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0</v>
      </c>
      <c r="F72" s="12">
        <v>0</v>
      </c>
      <c r="G72" s="12">
        <v>0</v>
      </c>
      <c r="H72" s="12">
        <v>0</v>
      </c>
      <c r="I72" s="12">
        <v>0</v>
      </c>
      <c r="J72" s="12">
        <v>0</v>
      </c>
      <c r="K72" s="12">
        <v>1354.3559006699554</v>
      </c>
      <c r="L72" s="12">
        <v>2708.7118013399108</v>
      </c>
      <c r="M72" s="12">
        <v>4063.0677020098656</v>
      </c>
      <c r="N72" s="12">
        <v>5417.4236026798217</v>
      </c>
      <c r="O72" s="12">
        <v>6771.7795033497741</v>
      </c>
      <c r="P72" s="12">
        <v>8126.1354040197311</v>
      </c>
      <c r="Q72" s="12">
        <v>25612.94043515866</v>
      </c>
      <c r="R72" s="12">
        <v>42287.131925895614</v>
      </c>
      <c r="S72" s="12">
        <v>43776.923416632562</v>
      </c>
      <c r="T72" s="12">
        <v>45266.714907369511</v>
      </c>
      <c r="U72" s="12">
        <v>46756.50639810646</v>
      </c>
      <c r="V72" s="12">
        <v>48246.297888843415</v>
      </c>
      <c r="W72" s="12">
        <v>49736.089379580364</v>
      </c>
      <c r="X72" s="12">
        <v>51225.88087031732</v>
      </c>
      <c r="Y72" s="12">
        <v>51225.88087031732</v>
      </c>
      <c r="Z72" s="12">
        <v>51225.88087031732</v>
      </c>
      <c r="AA72" s="12">
        <v>51225.88087031732</v>
      </c>
      <c r="AB72" s="12">
        <v>51225.88087031732</v>
      </c>
      <c r="AC72" s="12">
        <v>56348.468957349047</v>
      </c>
      <c r="AD72" s="12">
        <v>56348.468957349047</v>
      </c>
      <c r="AE72" s="12">
        <v>56348.468957349047</v>
      </c>
      <c r="AF72" s="12">
        <v>56348.468957349047</v>
      </c>
      <c r="AG72" s="12">
        <v>56348.468957349047</v>
      </c>
      <c r="AH72" s="12">
        <v>56348.468957349047</v>
      </c>
      <c r="AI72" s="12">
        <v>56348.468957349047</v>
      </c>
      <c r="AJ72" s="12">
        <v>56348.468957349047</v>
      </c>
      <c r="AK72" s="12">
        <v>56348.468957349047</v>
      </c>
      <c r="AL72" s="12">
        <v>56348.468957349047</v>
      </c>
      <c r="AM72" s="12">
        <v>56348.468957349047</v>
      </c>
      <c r="AN72" s="12">
        <v>56348.468957349047</v>
      </c>
    </row>
    <row r="73" spans="2:40" x14ac:dyDescent="0.25">
      <c r="B73" s="39" t="s">
        <v>24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306</v>
      </c>
      <c r="E75" s="74" cm="1">
        <f t="array" ref="E75:AN75">_xlfn.ANCHORARRAY(E67)-_xlfn.ANCHORARRAY(E72)-_xlfn.ANCHORARRAY(E73)</f>
        <v>0</v>
      </c>
      <c r="F75" s="74">
        <v>0</v>
      </c>
      <c r="G75" s="74">
        <v>0</v>
      </c>
      <c r="H75" s="74">
        <v>0</v>
      </c>
      <c r="I75" s="74">
        <v>0</v>
      </c>
      <c r="J75" s="74">
        <v>0</v>
      </c>
      <c r="K75" s="74">
        <v>2763.1878776340445</v>
      </c>
      <c r="L75" s="74">
        <v>5526.3757552680891</v>
      </c>
      <c r="M75" s="74">
        <v>8289.5636329021327</v>
      </c>
      <c r="N75" s="74">
        <v>11052.751510536178</v>
      </c>
      <c r="O75" s="74">
        <v>13815.93938817022</v>
      </c>
      <c r="P75" s="74">
        <v>16579.127265804265</v>
      </c>
      <c r="Q75" s="74">
        <v>4074.5502064131724</v>
      </c>
      <c r="R75" s="74">
        <v>-8358.5711926706572</v>
      </c>
      <c r="S75" s="74">
        <v>-5607.2925917544926</v>
      </c>
      <c r="T75" s="74">
        <v>-2856.0139908383062</v>
      </c>
      <c r="U75" s="74">
        <v>-104.7353899221489</v>
      </c>
      <c r="V75" s="74">
        <v>2646.5432109940157</v>
      </c>
      <c r="W75" s="74">
        <v>5397.8218119101875</v>
      </c>
      <c r="X75" s="74">
        <v>8149.1004128263448</v>
      </c>
      <c r="Y75" s="74">
        <v>8149.1004128263448</v>
      </c>
      <c r="Z75" s="74">
        <v>8149.1004128263448</v>
      </c>
      <c r="AA75" s="74">
        <v>8149.1004128263448</v>
      </c>
      <c r="AB75" s="74">
        <v>8149.1004128263448</v>
      </c>
      <c r="AC75" s="74">
        <v>3026.5123257946179</v>
      </c>
      <c r="AD75" s="74">
        <v>3026.5123257946179</v>
      </c>
      <c r="AE75" s="74">
        <v>3026.5123257946179</v>
      </c>
      <c r="AF75" s="74">
        <v>3026.5123257946179</v>
      </c>
      <c r="AG75" s="74">
        <v>3026.5123257946179</v>
      </c>
      <c r="AH75" s="74">
        <v>3026.5123257946179</v>
      </c>
      <c r="AI75" s="74">
        <v>3026.5123257946179</v>
      </c>
      <c r="AJ75" s="74">
        <v>3026.5123257946179</v>
      </c>
      <c r="AK75" s="74">
        <v>3026.5123257946179</v>
      </c>
      <c r="AL75" s="74">
        <v>3026.5123257946179</v>
      </c>
      <c r="AM75" s="74">
        <v>3026.5123257946179</v>
      </c>
      <c r="AN75" s="74">
        <v>3026.5123257946179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A86FE9-DE17-4100-8B41-4B339C1CAEE4}">
  <dimension ref="A1:AX75"/>
  <sheetViews>
    <sheetView workbookViewId="0">
      <pane xSplit="4" ySplit="25" topLeftCell="E26" activePane="bottomRight" state="frozen"/>
      <selection activeCell="E63" sqref="E63:E65"/>
      <selection pane="topRight" activeCell="E63" sqref="E63:E65"/>
      <selection pane="bottomLeft" activeCell="E63" sqref="E63:E65"/>
      <selection pane="bottomRight" activeCell="E63" sqref="E63:E65"/>
    </sheetView>
  </sheetViews>
  <sheetFormatPr defaultRowHeight="15" outlineLevelRow="1" x14ac:dyDescent="0.25"/>
  <cols>
    <col min="2" max="2" width="24.5703125" bestFit="1" customWidth="1"/>
    <col min="3" max="3" width="10.7109375" bestFit="1" customWidth="1"/>
    <col min="4" max="4" width="10" bestFit="1" customWidth="1"/>
    <col min="5" max="5" width="11.42578125" bestFit="1" customWidth="1"/>
    <col min="6" max="6" width="11.7109375" bestFit="1" customWidth="1"/>
    <col min="7" max="13" width="12.28515625" bestFit="1" customWidth="1"/>
    <col min="14" max="18" width="11.5703125" bestFit="1" customWidth="1"/>
    <col min="19" max="40" width="12.5703125" bestFit="1" customWidth="1"/>
  </cols>
  <sheetData>
    <row r="1" spans="1:40" x14ac:dyDescent="0.25">
      <c r="A1" s="96" t="str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/>
      </c>
      <c r="B1" s="58" t="s">
        <v>66</v>
      </c>
      <c r="C1" s="16" t="s">
        <v>344</v>
      </c>
      <c r="D1" s="3" t="s">
        <v>307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IFERROR(_xlpm.kiddos,0))</f>
        <v>0</v>
      </c>
      <c r="F1" s="69">
        <v>0</v>
      </c>
      <c r="G1" s="69">
        <v>0</v>
      </c>
      <c r="H1" s="69">
        <v>0</v>
      </c>
      <c r="I1" s="69">
        <v>0</v>
      </c>
      <c r="J1" s="69">
        <v>0</v>
      </c>
      <c r="K1" s="69">
        <v>0</v>
      </c>
      <c r="L1" s="69">
        <v>0</v>
      </c>
      <c r="M1" s="69">
        <v>0</v>
      </c>
      <c r="N1" s="69">
        <v>0</v>
      </c>
      <c r="O1" s="69">
        <v>0</v>
      </c>
      <c r="P1" s="69">
        <v>0</v>
      </c>
      <c r="Q1" s="69">
        <v>0</v>
      </c>
      <c r="R1" s="69">
        <v>1</v>
      </c>
      <c r="S1" s="69">
        <v>3</v>
      </c>
      <c r="T1" s="69">
        <v>5</v>
      </c>
      <c r="U1" s="69">
        <v>6</v>
      </c>
      <c r="V1" s="69">
        <v>8</v>
      </c>
      <c r="W1" s="69">
        <v>10</v>
      </c>
      <c r="X1" s="69">
        <v>12</v>
      </c>
      <c r="Y1" s="69">
        <v>13</v>
      </c>
      <c r="Z1" s="69">
        <v>15</v>
      </c>
      <c r="AA1" s="69">
        <v>17</v>
      </c>
      <c r="AB1" s="69">
        <v>18</v>
      </c>
      <c r="AC1" s="69">
        <v>20</v>
      </c>
      <c r="AD1" s="69">
        <v>22</v>
      </c>
      <c r="AE1" s="69">
        <v>24</v>
      </c>
      <c r="AF1" s="69">
        <v>24</v>
      </c>
      <c r="AG1" s="69">
        <v>24</v>
      </c>
      <c r="AH1" s="69">
        <v>24</v>
      </c>
      <c r="AI1" s="69">
        <v>24</v>
      </c>
      <c r="AJ1" s="69">
        <v>24</v>
      </c>
      <c r="AK1" s="69">
        <v>24</v>
      </c>
      <c r="AL1" s="69">
        <v>24</v>
      </c>
      <c r="AM1" s="69">
        <v>24</v>
      </c>
      <c r="AN1" s="69">
        <v>24</v>
      </c>
    </row>
    <row r="2" spans="1:40" x14ac:dyDescent="0.25">
      <c r="A2" s="65"/>
      <c r="B2" s="3" t="str">
        <f>_xlfn.XLOOKUP($B$1&amp;"-"&amp;$C$1,Base!$D$4:$BD$4,Base!$D$2:$BD$2,"",0)</f>
        <v>New Jersey</v>
      </c>
      <c r="C2" s="55"/>
      <c r="D2" s="55" t="s">
        <v>259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0</v>
      </c>
      <c r="F2" s="69">
        <v>0</v>
      </c>
      <c r="G2" s="69">
        <v>0</v>
      </c>
      <c r="H2" s="69">
        <v>0</v>
      </c>
      <c r="I2" s="69">
        <v>0</v>
      </c>
      <c r="J2" s="69">
        <v>0</v>
      </c>
      <c r="K2" s="69">
        <v>0</v>
      </c>
      <c r="L2" s="69">
        <v>0</v>
      </c>
      <c r="M2" s="69">
        <v>0</v>
      </c>
      <c r="N2" s="69">
        <v>0</v>
      </c>
      <c r="O2" s="69">
        <v>0</v>
      </c>
      <c r="P2" s="69">
        <v>0</v>
      </c>
      <c r="Q2" s="69">
        <v>0</v>
      </c>
      <c r="R2" s="69">
        <v>0</v>
      </c>
      <c r="S2" s="69">
        <v>1.8809523809523809</v>
      </c>
      <c r="T2" s="69">
        <v>2.0476190476190474</v>
      </c>
      <c r="U2" s="69">
        <v>2.2142857142857144</v>
      </c>
      <c r="V2" s="69">
        <v>2.3809523809523809</v>
      </c>
      <c r="W2" s="69">
        <v>2.5476190476190474</v>
      </c>
      <c r="X2" s="69">
        <v>2.7142857142857144</v>
      </c>
      <c r="Y2" s="69">
        <v>2.8809523809523809</v>
      </c>
      <c r="Z2" s="69">
        <v>3.0476190476190474</v>
      </c>
      <c r="AA2" s="69">
        <v>3.2142857142857144</v>
      </c>
      <c r="AB2" s="69">
        <v>3.3809523809523809</v>
      </c>
      <c r="AC2" s="69">
        <v>3.5476190476190474</v>
      </c>
      <c r="AD2" s="69">
        <v>3.7142857142857144</v>
      </c>
      <c r="AE2" s="69">
        <v>2</v>
      </c>
      <c r="AF2" s="69">
        <v>2</v>
      </c>
      <c r="AG2" s="69">
        <v>2</v>
      </c>
      <c r="AH2" s="69">
        <v>2</v>
      </c>
      <c r="AI2" s="69">
        <v>2</v>
      </c>
      <c r="AJ2" s="69">
        <v>2</v>
      </c>
      <c r="AK2" s="69">
        <v>2</v>
      </c>
      <c r="AL2" s="69">
        <v>2</v>
      </c>
      <c r="AM2" s="69">
        <v>2</v>
      </c>
      <c r="AN2" s="69">
        <v>2</v>
      </c>
    </row>
    <row r="3" spans="1:40" x14ac:dyDescent="0.25">
      <c r="A3" s="65"/>
      <c r="B3" s="55"/>
      <c r="C3" s="55"/>
      <c r="D3" s="55" t="s">
        <v>62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_xlpm.months_since,DATEDIF(_xlpm.launchdate,_xlfn.ANCHORARRAY($E$25),"m"),_xlfn.BYCOL(_xlpm.months_since,_xlfn.LAMBDA(_xlpm.a,IFERROR(MIN(_xlpm.a/6,_xlpm.max_kiddos),0))))</f>
        <v>0</v>
      </c>
      <c r="F3" s="69">
        <v>0</v>
      </c>
      <c r="G3" s="69">
        <v>0</v>
      </c>
      <c r="H3" s="69">
        <v>0</v>
      </c>
      <c r="I3" s="69">
        <v>0</v>
      </c>
      <c r="J3" s="69">
        <v>0</v>
      </c>
      <c r="K3" s="69">
        <v>0</v>
      </c>
      <c r="L3" s="69">
        <v>0</v>
      </c>
      <c r="M3" s="69">
        <v>0</v>
      </c>
      <c r="N3" s="69">
        <v>0</v>
      </c>
      <c r="O3" s="69">
        <v>0</v>
      </c>
      <c r="P3" s="69">
        <v>0</v>
      </c>
      <c r="Q3" s="69">
        <v>0</v>
      </c>
      <c r="R3" s="69">
        <v>0</v>
      </c>
      <c r="S3" s="69">
        <v>0.16666666666666666</v>
      </c>
      <c r="T3" s="69">
        <v>0.33333333333333331</v>
      </c>
      <c r="U3" s="69">
        <v>0.5</v>
      </c>
      <c r="V3" s="69">
        <v>0.66666666666666663</v>
      </c>
      <c r="W3" s="69">
        <v>0.83333333333333337</v>
      </c>
      <c r="X3" s="69">
        <v>1</v>
      </c>
      <c r="Y3" s="69">
        <v>1.1666666666666667</v>
      </c>
      <c r="Z3" s="69">
        <v>1.3333333333333333</v>
      </c>
      <c r="AA3" s="69">
        <v>1.5</v>
      </c>
      <c r="AB3" s="69">
        <v>1.6666666666666667</v>
      </c>
      <c r="AC3" s="69">
        <v>1.8333333333333333</v>
      </c>
      <c r="AD3" s="69">
        <v>2</v>
      </c>
      <c r="AE3" s="69">
        <v>2</v>
      </c>
      <c r="AF3" s="69">
        <v>2</v>
      </c>
      <c r="AG3" s="69">
        <v>2</v>
      </c>
      <c r="AH3" s="69">
        <v>2</v>
      </c>
      <c r="AI3" s="69">
        <v>2</v>
      </c>
      <c r="AJ3" s="69">
        <v>2</v>
      </c>
      <c r="AK3" s="69">
        <v>2</v>
      </c>
      <c r="AL3" s="69">
        <v>2</v>
      </c>
      <c r="AM3" s="69">
        <v>2</v>
      </c>
      <c r="AN3" s="69">
        <v>2</v>
      </c>
    </row>
    <row r="4" spans="1:40" x14ac:dyDescent="0.25">
      <c r="A4" s="65"/>
      <c r="B4" s="55"/>
      <c r="C4" s="55"/>
      <c r="D4" s="55" t="s">
        <v>260</v>
      </c>
      <c r="E4" s="69" cm="1">
        <f t="array" ref="E4:AN4">_xlfn.BYCOL(_xlfn.VSTACK(_xlfn.ANCHORARRAY($E$1),_xlfn.ANCHORARRAY($E$2)),_xlfn.LAMBDA(_xlpm.a,SUM(_xlpm.a)))</f>
        <v>0</v>
      </c>
      <c r="F4" s="69">
        <v>0</v>
      </c>
      <c r="G4" s="69">
        <v>0</v>
      </c>
      <c r="H4" s="69">
        <v>0</v>
      </c>
      <c r="I4" s="69">
        <v>0</v>
      </c>
      <c r="J4" s="69">
        <v>0</v>
      </c>
      <c r="K4" s="69">
        <v>0</v>
      </c>
      <c r="L4" s="69">
        <v>0</v>
      </c>
      <c r="M4" s="69">
        <v>0</v>
      </c>
      <c r="N4" s="69">
        <v>0</v>
      </c>
      <c r="O4" s="69">
        <v>0</v>
      </c>
      <c r="P4" s="69">
        <v>0</v>
      </c>
      <c r="Q4" s="69">
        <v>0</v>
      </c>
      <c r="R4" s="69">
        <v>1</v>
      </c>
      <c r="S4" s="69">
        <v>4.8809523809523814</v>
      </c>
      <c r="T4" s="69">
        <v>7.0476190476190474</v>
      </c>
      <c r="U4" s="69">
        <v>8.2142857142857153</v>
      </c>
      <c r="V4" s="69">
        <v>10.380952380952381</v>
      </c>
      <c r="W4" s="69">
        <v>12.547619047619047</v>
      </c>
      <c r="X4" s="69">
        <v>14.714285714285715</v>
      </c>
      <c r="Y4" s="69">
        <v>15.880952380952381</v>
      </c>
      <c r="Z4" s="69">
        <v>18.047619047619047</v>
      </c>
      <c r="AA4" s="69">
        <v>20.214285714285715</v>
      </c>
      <c r="AB4" s="69">
        <v>21.38095238095238</v>
      </c>
      <c r="AC4" s="69">
        <v>23.547619047619047</v>
      </c>
      <c r="AD4" s="69">
        <v>25.714285714285715</v>
      </c>
      <c r="AE4" s="69">
        <v>26</v>
      </c>
      <c r="AF4" s="69">
        <v>26</v>
      </c>
      <c r="AG4" s="69">
        <v>26</v>
      </c>
      <c r="AH4" s="69">
        <v>26</v>
      </c>
      <c r="AI4" s="69">
        <v>26</v>
      </c>
      <c r="AJ4" s="69">
        <v>26</v>
      </c>
      <c r="AK4" s="69">
        <v>26</v>
      </c>
      <c r="AL4" s="69">
        <v>26</v>
      </c>
      <c r="AM4" s="69">
        <v>26</v>
      </c>
      <c r="AN4" s="69">
        <v>26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107</v>
      </c>
      <c r="C6" s="3"/>
      <c r="D6" s="3"/>
      <c r="E6" s="66" cm="1">
        <f t="array" ref="E6:AN6">ROUND(_xlfn.BYCOL(_xlfn.ANCHORARRAY(E7),_xlfn.LAMBDA(_xlpm.a,SUM(_xlpm.a))),0)</f>
        <v>0</v>
      </c>
      <c r="F6" s="66">
        <v>0</v>
      </c>
      <c r="G6" s="66">
        <v>0</v>
      </c>
      <c r="H6" s="66">
        <v>0</v>
      </c>
      <c r="I6" s="66">
        <v>0</v>
      </c>
      <c r="J6" s="66">
        <v>0</v>
      </c>
      <c r="K6" s="66">
        <v>0</v>
      </c>
      <c r="L6" s="66">
        <v>0</v>
      </c>
      <c r="M6" s="66">
        <v>0</v>
      </c>
      <c r="N6" s="66">
        <v>0</v>
      </c>
      <c r="O6" s="66">
        <v>0</v>
      </c>
      <c r="P6" s="66">
        <v>0</v>
      </c>
      <c r="Q6" s="66">
        <v>0</v>
      </c>
      <c r="R6" s="66">
        <v>2</v>
      </c>
      <c r="S6" s="66">
        <v>4</v>
      </c>
      <c r="T6" s="66">
        <v>5</v>
      </c>
      <c r="U6" s="66">
        <v>6</v>
      </c>
      <c r="V6" s="66">
        <v>7</v>
      </c>
      <c r="W6" s="66">
        <v>8</v>
      </c>
      <c r="X6" s="66">
        <v>9</v>
      </c>
      <c r="Y6" s="66">
        <v>10</v>
      </c>
      <c r="Z6" s="66">
        <v>11</v>
      </c>
      <c r="AA6" s="66">
        <v>12</v>
      </c>
      <c r="AB6" s="66">
        <v>13</v>
      </c>
      <c r="AC6" s="66">
        <v>14</v>
      </c>
      <c r="AD6" s="66">
        <v>15</v>
      </c>
      <c r="AE6" s="66">
        <v>16</v>
      </c>
      <c r="AF6" s="66">
        <v>16</v>
      </c>
      <c r="AG6" s="66">
        <v>16</v>
      </c>
      <c r="AH6" s="66">
        <v>16</v>
      </c>
      <c r="AI6" s="66">
        <v>16</v>
      </c>
      <c r="AJ6" s="66">
        <v>16</v>
      </c>
      <c r="AK6" s="66">
        <v>16</v>
      </c>
      <c r="AL6" s="66">
        <v>16</v>
      </c>
      <c r="AM6" s="66">
        <v>16</v>
      </c>
      <c r="AN6" s="66">
        <v>16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1"/>
      <c r="E7" s="106" cm="1">
        <f t="array" ref="E7:AN20">_xlfn.LET(_xlpm.Customer_staff,_xlfn._xlws.FILTER(Base!$D$85:$BD$98,ISNUMBER(SEARCH($B$1&amp;"-"&amp;$C$1,Base!$D$4:$BD$4))),_xlpm.Customer,_xlfn.ANCHORARRAY($E$1),_xlpm.headcount,_xlpm.Customer/_xlpm.Customer_staff,
_xlpm.patient_staff,_xlfn.ANCHORARRAY($E$2)/_xlpm.Customer_staff,_xlpm.prim_staff_tr_rec,_xlfn.ANCHORARRAY($E$2)/_xlfn.CHOOSEROWS(_xlpm.Customer_staff,{7,8})+(_xlfn.ANCHORARRAY($E$1)*0.0055),_xlpm.rounding,_xlfn.VSTACK(2,2,0,0,2,2,2,2,2,2,2,0,0,0),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prim_staff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0</v>
      </c>
      <c r="F7" s="106">
        <v>0</v>
      </c>
      <c r="G7" s="106">
        <v>0</v>
      </c>
      <c r="H7" s="106">
        <v>0</v>
      </c>
      <c r="I7" s="106">
        <v>0</v>
      </c>
      <c r="J7" s="106">
        <v>0</v>
      </c>
      <c r="K7" s="106">
        <v>0</v>
      </c>
      <c r="L7" s="106">
        <v>0</v>
      </c>
      <c r="M7" s="106">
        <v>0</v>
      </c>
      <c r="N7" s="106">
        <v>0</v>
      </c>
      <c r="O7" s="106">
        <v>0</v>
      </c>
      <c r="P7" s="106">
        <v>0</v>
      </c>
      <c r="Q7" s="106">
        <v>0</v>
      </c>
      <c r="R7" s="106">
        <v>0.46</v>
      </c>
      <c r="S7" s="106">
        <v>1.36</v>
      </c>
      <c r="T7" s="106">
        <v>2.2599999999999998</v>
      </c>
      <c r="U7" s="106">
        <v>2.71</v>
      </c>
      <c r="V7" s="106">
        <v>3.61</v>
      </c>
      <c r="W7" s="106">
        <v>4.51</v>
      </c>
      <c r="X7" s="106">
        <v>5.42</v>
      </c>
      <c r="Y7" s="106">
        <v>5.87</v>
      </c>
      <c r="Z7" s="106">
        <v>6.77</v>
      </c>
      <c r="AA7" s="106">
        <v>7.67</v>
      </c>
      <c r="AB7" s="106">
        <v>8.1199999999999992</v>
      </c>
      <c r="AC7" s="106">
        <v>9.02</v>
      </c>
      <c r="AD7" s="106">
        <v>9.93</v>
      </c>
      <c r="AE7" s="106">
        <v>10.83</v>
      </c>
      <c r="AF7" s="106">
        <v>10.83</v>
      </c>
      <c r="AG7" s="106">
        <v>10.83</v>
      </c>
      <c r="AH7" s="106">
        <v>10.83</v>
      </c>
      <c r="AI7" s="106">
        <v>10.83</v>
      </c>
      <c r="AJ7" s="106">
        <v>10.83</v>
      </c>
      <c r="AK7" s="106">
        <v>10.83</v>
      </c>
      <c r="AL7" s="106">
        <v>10.83</v>
      </c>
      <c r="AM7" s="106">
        <v>10.83</v>
      </c>
      <c r="AN7" s="106">
        <v>10.83</v>
      </c>
    </row>
    <row r="8" spans="1:40" hidden="1" outlineLevel="1" x14ac:dyDescent="0.25">
      <c r="B8" s="39" t="str">
        <v>Secondary Direct Staff</v>
      </c>
      <c r="C8" s="3"/>
      <c r="D8" s="3"/>
      <c r="E8" s="106">
        <v>0</v>
      </c>
      <c r="F8" s="106">
        <v>0</v>
      </c>
      <c r="G8" s="106">
        <v>0</v>
      </c>
      <c r="H8" s="106">
        <v>0</v>
      </c>
      <c r="I8" s="106">
        <v>0</v>
      </c>
      <c r="J8" s="106">
        <v>0</v>
      </c>
      <c r="K8" s="106">
        <v>0</v>
      </c>
      <c r="L8" s="106">
        <v>0</v>
      </c>
      <c r="M8" s="106">
        <v>0</v>
      </c>
      <c r="N8" s="106">
        <v>0</v>
      </c>
      <c r="O8" s="106">
        <v>0</v>
      </c>
      <c r="P8" s="106">
        <v>0</v>
      </c>
      <c r="Q8" s="106">
        <v>0</v>
      </c>
      <c r="R8" s="106">
        <v>9.9999999999999992E-2</v>
      </c>
      <c r="S8" s="106">
        <v>0.28000000000000003</v>
      </c>
      <c r="T8" s="106">
        <v>0.46</v>
      </c>
      <c r="U8" s="106">
        <v>0.55000000000000004</v>
      </c>
      <c r="V8" s="106">
        <v>0.73</v>
      </c>
      <c r="W8" s="106">
        <v>0.91</v>
      </c>
      <c r="X8" s="106">
        <v>1.1000000000000001</v>
      </c>
      <c r="Y8" s="106">
        <v>1.19</v>
      </c>
      <c r="Z8" s="106">
        <v>1.37</v>
      </c>
      <c r="AA8" s="106">
        <v>1.55</v>
      </c>
      <c r="AB8" s="106">
        <v>1.64</v>
      </c>
      <c r="AC8" s="106">
        <v>1.82</v>
      </c>
      <c r="AD8" s="106">
        <v>2</v>
      </c>
      <c r="AE8" s="106">
        <v>2.19</v>
      </c>
      <c r="AF8" s="106">
        <v>2.19</v>
      </c>
      <c r="AG8" s="106">
        <v>2.19</v>
      </c>
      <c r="AH8" s="106">
        <v>2.19</v>
      </c>
      <c r="AI8" s="106">
        <v>2.19</v>
      </c>
      <c r="AJ8" s="106">
        <v>2.19</v>
      </c>
      <c r="AK8" s="106">
        <v>2.19</v>
      </c>
      <c r="AL8" s="106">
        <v>2.19</v>
      </c>
      <c r="AM8" s="106">
        <v>2.19</v>
      </c>
      <c r="AN8" s="106">
        <v>2.19</v>
      </c>
    </row>
    <row r="9" spans="1:40" hidden="1" outlineLevel="1" x14ac:dyDescent="0.25">
      <c r="B9" s="39" t="str">
        <v>Center Manager</v>
      </c>
      <c r="C9" s="3"/>
      <c r="D9" s="3"/>
      <c r="E9" s="106">
        <v>0</v>
      </c>
      <c r="F9" s="106">
        <v>0</v>
      </c>
      <c r="G9" s="106">
        <v>0</v>
      </c>
      <c r="H9" s="106">
        <v>0</v>
      </c>
      <c r="I9" s="106">
        <v>0</v>
      </c>
      <c r="J9" s="106">
        <v>0</v>
      </c>
      <c r="K9" s="106">
        <v>0</v>
      </c>
      <c r="L9" s="106">
        <v>0</v>
      </c>
      <c r="M9" s="106">
        <v>0</v>
      </c>
      <c r="N9" s="106">
        <v>0</v>
      </c>
      <c r="O9" s="106">
        <v>0</v>
      </c>
      <c r="P9" s="106">
        <v>0</v>
      </c>
      <c r="Q9" s="106">
        <v>0</v>
      </c>
      <c r="R9" s="106">
        <v>1</v>
      </c>
      <c r="S9" s="106">
        <v>1</v>
      </c>
      <c r="T9" s="106">
        <v>1</v>
      </c>
      <c r="U9" s="106">
        <v>1</v>
      </c>
      <c r="V9" s="106">
        <v>1</v>
      </c>
      <c r="W9" s="106">
        <v>1</v>
      </c>
      <c r="X9" s="106">
        <v>1</v>
      </c>
      <c r="Y9" s="106">
        <v>1</v>
      </c>
      <c r="Z9" s="106">
        <v>1</v>
      </c>
      <c r="AA9" s="106">
        <v>1</v>
      </c>
      <c r="AB9" s="106">
        <v>1</v>
      </c>
      <c r="AC9" s="106">
        <v>1</v>
      </c>
      <c r="AD9" s="106">
        <v>1</v>
      </c>
      <c r="AE9" s="106">
        <v>1</v>
      </c>
      <c r="AF9" s="106">
        <v>1</v>
      </c>
      <c r="AG9" s="106">
        <v>1</v>
      </c>
      <c r="AH9" s="106">
        <v>1</v>
      </c>
      <c r="AI9" s="106">
        <v>1</v>
      </c>
      <c r="AJ9" s="106">
        <v>1</v>
      </c>
      <c r="AK9" s="106">
        <v>1</v>
      </c>
      <c r="AL9" s="106">
        <v>1</v>
      </c>
      <c r="AM9" s="106">
        <v>1</v>
      </c>
      <c r="AN9" s="106">
        <v>1</v>
      </c>
    </row>
    <row r="10" spans="1:40" hidden="1" outlineLevel="1" x14ac:dyDescent="0.25">
      <c r="B10" s="39" t="str">
        <v>Intake</v>
      </c>
      <c r="C10" s="3"/>
      <c r="D10" s="3"/>
      <c r="E10" s="106">
        <v>0</v>
      </c>
      <c r="F10" s="106">
        <v>0</v>
      </c>
      <c r="G10" s="106">
        <v>0</v>
      </c>
      <c r="H10" s="106">
        <v>0</v>
      </c>
      <c r="I10" s="106">
        <v>0</v>
      </c>
      <c r="J10" s="106">
        <v>0</v>
      </c>
      <c r="K10" s="106">
        <v>0</v>
      </c>
      <c r="L10" s="106">
        <v>0</v>
      </c>
      <c r="M10" s="106">
        <v>0</v>
      </c>
      <c r="N10" s="106">
        <v>0</v>
      </c>
      <c r="O10" s="106">
        <v>0</v>
      </c>
      <c r="P10" s="106">
        <v>0</v>
      </c>
      <c r="Q10" s="106">
        <v>0</v>
      </c>
      <c r="R10" s="106">
        <v>0</v>
      </c>
      <c r="S10" s="106">
        <v>1</v>
      </c>
      <c r="T10" s="106">
        <v>1</v>
      </c>
      <c r="U10" s="106">
        <v>1</v>
      </c>
      <c r="V10" s="106">
        <v>1</v>
      </c>
      <c r="W10" s="106">
        <v>1</v>
      </c>
      <c r="X10" s="106">
        <v>1</v>
      </c>
      <c r="Y10" s="106">
        <v>1</v>
      </c>
      <c r="Z10" s="106">
        <v>1</v>
      </c>
      <c r="AA10" s="106">
        <v>1</v>
      </c>
      <c r="AB10" s="106">
        <v>1</v>
      </c>
      <c r="AC10" s="106">
        <v>1</v>
      </c>
      <c r="AD10" s="106">
        <v>1</v>
      </c>
      <c r="AE10" s="106">
        <v>1</v>
      </c>
      <c r="AF10" s="106">
        <v>1</v>
      </c>
      <c r="AG10" s="106">
        <v>1</v>
      </c>
      <c r="AH10" s="106">
        <v>1</v>
      </c>
      <c r="AI10" s="106">
        <v>1</v>
      </c>
      <c r="AJ10" s="106">
        <v>1</v>
      </c>
      <c r="AK10" s="106">
        <v>1</v>
      </c>
      <c r="AL10" s="106">
        <v>1</v>
      </c>
      <c r="AM10" s="106">
        <v>1</v>
      </c>
      <c r="AN10" s="106">
        <v>1</v>
      </c>
    </row>
    <row r="11" spans="1:40" hidden="1" outlineLevel="1" x14ac:dyDescent="0.25">
      <c r="B11" s="39" t="str">
        <v>Scheduler</v>
      </c>
      <c r="C11" s="3"/>
      <c r="D11" s="3"/>
      <c r="E11" s="106">
        <v>0</v>
      </c>
      <c r="F11" s="106">
        <v>0</v>
      </c>
      <c r="G11" s="106">
        <v>0</v>
      </c>
      <c r="H11" s="106">
        <v>0</v>
      </c>
      <c r="I11" s="106">
        <v>0</v>
      </c>
      <c r="J11" s="106">
        <v>0</v>
      </c>
      <c r="K11" s="106">
        <v>0</v>
      </c>
      <c r="L11" s="106">
        <v>0</v>
      </c>
      <c r="M11" s="106">
        <v>0</v>
      </c>
      <c r="N11" s="106">
        <v>0</v>
      </c>
      <c r="O11" s="106">
        <v>0</v>
      </c>
      <c r="P11" s="106">
        <v>0</v>
      </c>
      <c r="Q11" s="106">
        <v>0</v>
      </c>
      <c r="R11" s="106">
        <v>0</v>
      </c>
      <c r="S11" s="106">
        <v>0</v>
      </c>
      <c r="T11" s="106">
        <v>0</v>
      </c>
      <c r="U11" s="106">
        <v>0</v>
      </c>
      <c r="V11" s="106">
        <v>0</v>
      </c>
      <c r="W11" s="106">
        <v>0</v>
      </c>
      <c r="X11" s="106">
        <v>0</v>
      </c>
      <c r="Y11" s="106">
        <v>0</v>
      </c>
      <c r="Z11" s="106">
        <v>0</v>
      </c>
      <c r="AA11" s="106">
        <v>0</v>
      </c>
      <c r="AB11" s="106">
        <v>0</v>
      </c>
      <c r="AC11" s="106">
        <v>0</v>
      </c>
      <c r="AD11" s="106">
        <v>0</v>
      </c>
      <c r="AE11" s="106">
        <v>0</v>
      </c>
      <c r="AF11" s="106">
        <v>0</v>
      </c>
      <c r="AG11" s="106">
        <v>0</v>
      </c>
      <c r="AH11" s="106">
        <v>0</v>
      </c>
      <c r="AI11" s="106">
        <v>0</v>
      </c>
      <c r="AJ11" s="106">
        <v>0</v>
      </c>
      <c r="AK11" s="106">
        <v>0</v>
      </c>
      <c r="AL11" s="106">
        <v>0</v>
      </c>
      <c r="AM11" s="106">
        <v>0</v>
      </c>
      <c r="AN11" s="106">
        <v>0</v>
      </c>
    </row>
    <row r="12" spans="1:40" hidden="1" outlineLevel="1" x14ac:dyDescent="0.25">
      <c r="B12" s="39" t="str">
        <v>Initial Consultation Expert</v>
      </c>
      <c r="C12" s="3"/>
      <c r="D12" s="3"/>
      <c r="E12" s="106">
        <v>0</v>
      </c>
      <c r="F12" s="106">
        <v>0</v>
      </c>
      <c r="G12" s="106">
        <v>0</v>
      </c>
      <c r="H12" s="106">
        <v>0</v>
      </c>
      <c r="I12" s="106">
        <v>0</v>
      </c>
      <c r="J12" s="106">
        <v>0</v>
      </c>
      <c r="K12" s="106">
        <v>0</v>
      </c>
      <c r="L12" s="106">
        <v>0</v>
      </c>
      <c r="M12" s="106">
        <v>0</v>
      </c>
      <c r="N12" s="106">
        <v>0</v>
      </c>
      <c r="O12" s="106">
        <v>0</v>
      </c>
      <c r="P12" s="106">
        <v>0</v>
      </c>
      <c r="Q12" s="106">
        <v>0</v>
      </c>
      <c r="R12" s="106">
        <v>0</v>
      </c>
      <c r="S12" s="106">
        <v>0.15000000000000002</v>
      </c>
      <c r="T12" s="106">
        <v>0.16</v>
      </c>
      <c r="U12" s="106">
        <v>0.18000000000000002</v>
      </c>
      <c r="V12" s="106">
        <v>0.19</v>
      </c>
      <c r="W12" s="106">
        <v>0.2</v>
      </c>
      <c r="X12" s="106">
        <v>0.21000000000000002</v>
      </c>
      <c r="Y12" s="106">
        <v>0.23</v>
      </c>
      <c r="Z12" s="106">
        <v>0.24000000000000002</v>
      </c>
      <c r="AA12" s="106">
        <v>0.25</v>
      </c>
      <c r="AB12" s="106">
        <v>0.27</v>
      </c>
      <c r="AC12" s="106">
        <v>0.28000000000000003</v>
      </c>
      <c r="AD12" s="106">
        <v>0.29000000000000004</v>
      </c>
      <c r="AE12" s="106">
        <v>0.16</v>
      </c>
      <c r="AF12" s="106">
        <v>0.16</v>
      </c>
      <c r="AG12" s="106">
        <v>0.16</v>
      </c>
      <c r="AH12" s="106">
        <v>0.16</v>
      </c>
      <c r="AI12" s="106">
        <v>0.16</v>
      </c>
      <c r="AJ12" s="106">
        <v>0.16</v>
      </c>
      <c r="AK12" s="106">
        <v>0.16</v>
      </c>
      <c r="AL12" s="106">
        <v>0.16</v>
      </c>
      <c r="AM12" s="106">
        <v>0.16</v>
      </c>
      <c r="AN12" s="106">
        <v>0.16</v>
      </c>
    </row>
    <row r="13" spans="1:40" hidden="1" outlineLevel="1" x14ac:dyDescent="0.25">
      <c r="B13" s="39" t="str">
        <v>Trainer</v>
      </c>
      <c r="C13" s="3"/>
      <c r="D13" s="3"/>
      <c r="E13" s="106">
        <v>0</v>
      </c>
      <c r="F13" s="106">
        <v>0</v>
      </c>
      <c r="G13" s="106">
        <v>0</v>
      </c>
      <c r="H13" s="106">
        <v>0</v>
      </c>
      <c r="I13" s="106">
        <v>0</v>
      </c>
      <c r="J13" s="106">
        <v>0</v>
      </c>
      <c r="K13" s="106">
        <v>0</v>
      </c>
      <c r="L13" s="106">
        <v>0</v>
      </c>
      <c r="M13" s="106">
        <v>0</v>
      </c>
      <c r="N13" s="106">
        <v>0</v>
      </c>
      <c r="O13" s="106">
        <v>0</v>
      </c>
      <c r="P13" s="106">
        <v>0</v>
      </c>
      <c r="Q13" s="106">
        <v>0</v>
      </c>
      <c r="R13" s="106">
        <v>0.01</v>
      </c>
      <c r="S13" s="106">
        <v>0.21000000000000002</v>
      </c>
      <c r="T13" s="106">
        <v>0.24000000000000002</v>
      </c>
      <c r="U13" s="106">
        <v>0.26</v>
      </c>
      <c r="V13" s="106">
        <v>0.29000000000000004</v>
      </c>
      <c r="W13" s="106">
        <v>0.31</v>
      </c>
      <c r="X13" s="106">
        <v>0.34</v>
      </c>
      <c r="Y13" s="106">
        <v>0.36</v>
      </c>
      <c r="Z13" s="106">
        <v>0.39</v>
      </c>
      <c r="AA13" s="106">
        <v>0.42</v>
      </c>
      <c r="AB13" s="106">
        <v>0.44</v>
      </c>
      <c r="AC13" s="106">
        <v>0.47000000000000003</v>
      </c>
      <c r="AD13" s="106">
        <v>0.5</v>
      </c>
      <c r="AE13" s="106">
        <v>0.34</v>
      </c>
      <c r="AF13" s="106">
        <v>0.34</v>
      </c>
      <c r="AG13" s="106">
        <v>0.34</v>
      </c>
      <c r="AH13" s="106">
        <v>0.34</v>
      </c>
      <c r="AI13" s="106">
        <v>0.34</v>
      </c>
      <c r="AJ13" s="106">
        <v>0.34</v>
      </c>
      <c r="AK13" s="106">
        <v>0.34</v>
      </c>
      <c r="AL13" s="106">
        <v>0.34</v>
      </c>
      <c r="AM13" s="106">
        <v>0.34</v>
      </c>
      <c r="AN13" s="106">
        <v>0.34</v>
      </c>
    </row>
    <row r="14" spans="1:40" hidden="1" outlineLevel="1" x14ac:dyDescent="0.25">
      <c r="B14" s="39" t="str">
        <v>Recruiter</v>
      </c>
      <c r="C14" s="3"/>
      <c r="D14" s="3"/>
      <c r="E14" s="106">
        <v>0</v>
      </c>
      <c r="F14" s="106">
        <v>0</v>
      </c>
      <c r="G14" s="106">
        <v>0</v>
      </c>
      <c r="H14" s="106">
        <v>0</v>
      </c>
      <c r="I14" s="106">
        <v>0</v>
      </c>
      <c r="J14" s="106">
        <v>0</v>
      </c>
      <c r="K14" s="106">
        <v>0</v>
      </c>
      <c r="L14" s="106">
        <v>0</v>
      </c>
      <c r="M14" s="106">
        <v>0</v>
      </c>
      <c r="N14" s="106">
        <v>0</v>
      </c>
      <c r="O14" s="106">
        <v>0</v>
      </c>
      <c r="P14" s="106">
        <v>0</v>
      </c>
      <c r="Q14" s="106">
        <v>0</v>
      </c>
      <c r="R14" s="106">
        <v>0.01</v>
      </c>
      <c r="S14" s="106">
        <v>0.12</v>
      </c>
      <c r="T14" s="106">
        <v>0.13</v>
      </c>
      <c r="U14" s="106">
        <v>0.15000000000000002</v>
      </c>
      <c r="V14" s="106">
        <v>0.17</v>
      </c>
      <c r="W14" s="106">
        <v>0.19</v>
      </c>
      <c r="X14" s="106">
        <v>0.21000000000000002</v>
      </c>
      <c r="Y14" s="106">
        <v>0.22</v>
      </c>
      <c r="Z14" s="106">
        <v>0.24000000000000002</v>
      </c>
      <c r="AA14" s="106">
        <v>0.26</v>
      </c>
      <c r="AB14" s="106">
        <v>0.27</v>
      </c>
      <c r="AC14" s="106">
        <v>0.29000000000000004</v>
      </c>
      <c r="AD14" s="106">
        <v>0.31</v>
      </c>
      <c r="AE14" s="106">
        <v>0.24000000000000002</v>
      </c>
      <c r="AF14" s="106">
        <v>0.24000000000000002</v>
      </c>
      <c r="AG14" s="106">
        <v>0.24000000000000002</v>
      </c>
      <c r="AH14" s="106">
        <v>0.24000000000000002</v>
      </c>
      <c r="AI14" s="106">
        <v>0.24000000000000002</v>
      </c>
      <c r="AJ14" s="106">
        <v>0.24000000000000002</v>
      </c>
      <c r="AK14" s="106">
        <v>0.24000000000000002</v>
      </c>
      <c r="AL14" s="106">
        <v>0.24000000000000002</v>
      </c>
      <c r="AM14" s="106">
        <v>0.24000000000000002</v>
      </c>
      <c r="AN14" s="106">
        <v>0.24000000000000002</v>
      </c>
    </row>
    <row r="15" spans="1:40" hidden="1" outlineLevel="1" x14ac:dyDescent="0.25">
      <c r="B15" s="39" t="str">
        <v>Center Director / Remote Site Director</v>
      </c>
      <c r="C15" s="3"/>
      <c r="D15" s="3"/>
      <c r="E15" s="106">
        <v>0</v>
      </c>
      <c r="F15" s="106">
        <v>0</v>
      </c>
      <c r="G15" s="106">
        <v>0</v>
      </c>
      <c r="H15" s="106">
        <v>0</v>
      </c>
      <c r="I15" s="106">
        <v>0</v>
      </c>
      <c r="J15" s="106">
        <v>0</v>
      </c>
      <c r="K15" s="106">
        <v>0</v>
      </c>
      <c r="L15" s="106">
        <v>0</v>
      </c>
      <c r="M15" s="106">
        <v>0</v>
      </c>
      <c r="N15" s="106">
        <v>0</v>
      </c>
      <c r="O15" s="106">
        <v>0</v>
      </c>
      <c r="P15" s="106">
        <v>0</v>
      </c>
      <c r="Q15" s="106">
        <v>0</v>
      </c>
      <c r="R15" s="106">
        <v>0.01</v>
      </c>
      <c r="S15" s="106">
        <v>0.02</v>
      </c>
      <c r="T15" s="106">
        <v>0.02</v>
      </c>
      <c r="U15" s="106">
        <v>0.03</v>
      </c>
      <c r="V15" s="106">
        <v>0.04</v>
      </c>
      <c r="W15" s="106">
        <v>0.04</v>
      </c>
      <c r="X15" s="106">
        <v>0.05</v>
      </c>
      <c r="Y15" s="106">
        <v>6.0000000000000005E-2</v>
      </c>
      <c r="Z15" s="106">
        <v>0.06</v>
      </c>
      <c r="AA15" s="106">
        <v>6.9999999999999993E-2</v>
      </c>
      <c r="AB15" s="106">
        <v>0.08</v>
      </c>
      <c r="AC15" s="106">
        <v>0.08</v>
      </c>
      <c r="AD15" s="106">
        <v>0.09</v>
      </c>
      <c r="AE15" s="106">
        <v>9.9999999999999992E-2</v>
      </c>
      <c r="AF15" s="106">
        <v>9.9999999999999992E-2</v>
      </c>
      <c r="AG15" s="106">
        <v>9.9999999999999992E-2</v>
      </c>
      <c r="AH15" s="106">
        <v>9.9999999999999992E-2</v>
      </c>
      <c r="AI15" s="106">
        <v>9.9999999999999992E-2</v>
      </c>
      <c r="AJ15" s="106">
        <v>9.9999999999999992E-2</v>
      </c>
      <c r="AK15" s="106">
        <v>9.9999999999999992E-2</v>
      </c>
      <c r="AL15" s="106">
        <v>9.9999999999999992E-2</v>
      </c>
      <c r="AM15" s="106">
        <v>9.9999999999999992E-2</v>
      </c>
      <c r="AN15" s="106">
        <v>9.9999999999999992E-2</v>
      </c>
    </row>
    <row r="16" spans="1:40" hidden="1" outlineLevel="1" x14ac:dyDescent="0.25">
      <c r="B16" s="39" t="str">
        <v>Center Marketing Outreach</v>
      </c>
      <c r="C16" s="3"/>
      <c r="D16" s="3"/>
      <c r="E16" s="106">
        <v>0</v>
      </c>
      <c r="F16" s="106">
        <v>0</v>
      </c>
      <c r="G16" s="106">
        <v>0</v>
      </c>
      <c r="H16" s="106">
        <v>0</v>
      </c>
      <c r="I16" s="106">
        <v>0</v>
      </c>
      <c r="J16" s="106">
        <v>0</v>
      </c>
      <c r="K16" s="106">
        <v>0</v>
      </c>
      <c r="L16" s="106">
        <v>0</v>
      </c>
      <c r="M16" s="106">
        <v>0</v>
      </c>
      <c r="N16" s="106">
        <v>0</v>
      </c>
      <c r="O16" s="106">
        <v>0</v>
      </c>
      <c r="P16" s="106">
        <v>0</v>
      </c>
      <c r="Q16" s="106">
        <v>0</v>
      </c>
      <c r="R16" s="106">
        <v>0.01</v>
      </c>
      <c r="S16" s="106">
        <v>0.02</v>
      </c>
      <c r="T16" s="106">
        <v>0.02</v>
      </c>
      <c r="U16" s="106">
        <v>0.03</v>
      </c>
      <c r="V16" s="106">
        <v>0.04</v>
      </c>
      <c r="W16" s="106">
        <v>0.04</v>
      </c>
      <c r="X16" s="106">
        <v>0.05</v>
      </c>
      <c r="Y16" s="106">
        <v>6.0000000000000005E-2</v>
      </c>
      <c r="Z16" s="106">
        <v>0.06</v>
      </c>
      <c r="AA16" s="106">
        <v>6.9999999999999993E-2</v>
      </c>
      <c r="AB16" s="106">
        <v>0.08</v>
      </c>
      <c r="AC16" s="106">
        <v>0.08</v>
      </c>
      <c r="AD16" s="106">
        <v>0.09</v>
      </c>
      <c r="AE16" s="106">
        <v>9.9999999999999992E-2</v>
      </c>
      <c r="AF16" s="106">
        <v>9.9999999999999992E-2</v>
      </c>
      <c r="AG16" s="106">
        <v>9.9999999999999992E-2</v>
      </c>
      <c r="AH16" s="106">
        <v>9.9999999999999992E-2</v>
      </c>
      <c r="AI16" s="106">
        <v>9.9999999999999992E-2</v>
      </c>
      <c r="AJ16" s="106">
        <v>9.9999999999999992E-2</v>
      </c>
      <c r="AK16" s="106">
        <v>9.9999999999999992E-2</v>
      </c>
      <c r="AL16" s="106">
        <v>9.9999999999999992E-2</v>
      </c>
      <c r="AM16" s="106">
        <v>9.9999999999999992E-2</v>
      </c>
      <c r="AN16" s="106">
        <v>9.9999999999999992E-2</v>
      </c>
    </row>
    <row r="17" spans="2:50" hidden="1" outlineLevel="1" x14ac:dyDescent="0.25">
      <c r="B17" s="39" t="str">
        <v>Primary Direct Staff Lead</v>
      </c>
      <c r="C17" s="3"/>
      <c r="D17" s="3"/>
      <c r="E17" s="106">
        <v>0</v>
      </c>
      <c r="F17" s="106">
        <v>0</v>
      </c>
      <c r="G17" s="106">
        <v>0</v>
      </c>
      <c r="H17" s="106">
        <v>0</v>
      </c>
      <c r="I17" s="106">
        <v>0</v>
      </c>
      <c r="J17" s="106">
        <v>0</v>
      </c>
      <c r="K17" s="106">
        <v>0</v>
      </c>
      <c r="L17" s="106">
        <v>0</v>
      </c>
      <c r="M17" s="106">
        <v>0</v>
      </c>
      <c r="N17" s="106">
        <v>0</v>
      </c>
      <c r="O17" s="106">
        <v>0</v>
      </c>
      <c r="P17" s="106">
        <v>0</v>
      </c>
      <c r="Q17" s="106">
        <v>0</v>
      </c>
      <c r="R17" s="106">
        <v>0</v>
      </c>
      <c r="S17" s="106">
        <v>0</v>
      </c>
      <c r="T17" s="106">
        <v>0</v>
      </c>
      <c r="U17" s="106">
        <v>0</v>
      </c>
      <c r="V17" s="106">
        <v>0</v>
      </c>
      <c r="W17" s="106">
        <v>0</v>
      </c>
      <c r="X17" s="106">
        <v>0</v>
      </c>
      <c r="Y17" s="106">
        <v>0</v>
      </c>
      <c r="Z17" s="106">
        <v>0</v>
      </c>
      <c r="AA17" s="106">
        <v>0</v>
      </c>
      <c r="AB17" s="106">
        <v>0</v>
      </c>
      <c r="AC17" s="106">
        <v>0</v>
      </c>
      <c r="AD17" s="106">
        <v>0</v>
      </c>
      <c r="AE17" s="106">
        <v>0</v>
      </c>
      <c r="AF17" s="106">
        <v>0</v>
      </c>
      <c r="AG17" s="106">
        <v>0</v>
      </c>
      <c r="AH17" s="106">
        <v>0</v>
      </c>
      <c r="AI17" s="106">
        <v>0</v>
      </c>
      <c r="AJ17" s="106">
        <v>0</v>
      </c>
      <c r="AK17" s="106">
        <v>0</v>
      </c>
      <c r="AL17" s="106">
        <v>0</v>
      </c>
      <c r="AM17" s="106">
        <v>0</v>
      </c>
      <c r="AN17" s="106">
        <v>0</v>
      </c>
    </row>
    <row r="18" spans="2:50" hidden="1" outlineLevel="1" x14ac:dyDescent="0.25">
      <c r="B18" s="39" t="str">
        <v>Tertiary Direct Staff</v>
      </c>
      <c r="C18" s="3"/>
      <c r="D18" s="3"/>
      <c r="E18" s="106">
        <v>0</v>
      </c>
      <c r="F18" s="106">
        <v>0</v>
      </c>
      <c r="G18" s="106">
        <v>0</v>
      </c>
      <c r="H18" s="106">
        <v>0</v>
      </c>
      <c r="I18" s="106">
        <v>0</v>
      </c>
      <c r="J18" s="106">
        <v>0</v>
      </c>
      <c r="K18" s="106">
        <v>0</v>
      </c>
      <c r="L18" s="106">
        <v>0</v>
      </c>
      <c r="M18" s="106">
        <v>0</v>
      </c>
      <c r="N18" s="106">
        <v>0</v>
      </c>
      <c r="O18" s="106">
        <v>0</v>
      </c>
      <c r="P18" s="106">
        <v>0</v>
      </c>
      <c r="Q18" s="106">
        <v>0</v>
      </c>
      <c r="R18" s="106">
        <v>0</v>
      </c>
      <c r="S18" s="106">
        <v>0</v>
      </c>
      <c r="T18" s="106">
        <v>0</v>
      </c>
      <c r="U18" s="106">
        <v>0</v>
      </c>
      <c r="V18" s="106">
        <v>0</v>
      </c>
      <c r="W18" s="106">
        <v>0</v>
      </c>
      <c r="X18" s="106">
        <v>0</v>
      </c>
      <c r="Y18" s="106">
        <v>0</v>
      </c>
      <c r="Z18" s="106">
        <v>0</v>
      </c>
      <c r="AA18" s="106">
        <v>0</v>
      </c>
      <c r="AB18" s="106">
        <v>0</v>
      </c>
      <c r="AC18" s="106">
        <v>0</v>
      </c>
      <c r="AD18" s="106">
        <v>0</v>
      </c>
      <c r="AE18" s="106">
        <v>0</v>
      </c>
      <c r="AF18" s="106">
        <v>0</v>
      </c>
      <c r="AG18" s="106">
        <v>0</v>
      </c>
      <c r="AH18" s="106">
        <v>0</v>
      </c>
      <c r="AI18" s="106">
        <v>0</v>
      </c>
      <c r="AJ18" s="106">
        <v>0</v>
      </c>
      <c r="AK18" s="106">
        <v>0</v>
      </c>
      <c r="AL18" s="106">
        <v>0</v>
      </c>
      <c r="AM18" s="106">
        <v>0</v>
      </c>
      <c r="AN18" s="106">
        <v>0</v>
      </c>
    </row>
    <row r="19" spans="2:50" hidden="1" outlineLevel="1" x14ac:dyDescent="0.25">
      <c r="B19" s="39" t="str">
        <v>Quinary Direct Staff</v>
      </c>
      <c r="C19" s="3"/>
      <c r="D19" s="3"/>
      <c r="E19" s="106">
        <v>0</v>
      </c>
      <c r="F19" s="106">
        <v>0</v>
      </c>
      <c r="G19" s="106">
        <v>0</v>
      </c>
      <c r="H19" s="106">
        <v>0</v>
      </c>
      <c r="I19" s="106">
        <v>0</v>
      </c>
      <c r="J19" s="106">
        <v>0</v>
      </c>
      <c r="K19" s="106">
        <v>0</v>
      </c>
      <c r="L19" s="106">
        <v>0</v>
      </c>
      <c r="M19" s="106">
        <v>0</v>
      </c>
      <c r="N19" s="106">
        <v>0</v>
      </c>
      <c r="O19" s="106">
        <v>0</v>
      </c>
      <c r="P19" s="106">
        <v>0</v>
      </c>
      <c r="Q19" s="106">
        <v>0</v>
      </c>
      <c r="R19" s="106">
        <v>0</v>
      </c>
      <c r="S19" s="106">
        <v>0</v>
      </c>
      <c r="T19" s="106">
        <v>0</v>
      </c>
      <c r="U19" s="106">
        <v>0</v>
      </c>
      <c r="V19" s="106">
        <v>0</v>
      </c>
      <c r="W19" s="106">
        <v>0</v>
      </c>
      <c r="X19" s="106">
        <v>0</v>
      </c>
      <c r="Y19" s="106">
        <v>0</v>
      </c>
      <c r="Z19" s="106">
        <v>0</v>
      </c>
      <c r="AA19" s="106">
        <v>0</v>
      </c>
      <c r="AB19" s="106">
        <v>0</v>
      </c>
      <c r="AC19" s="106">
        <v>0</v>
      </c>
      <c r="AD19" s="106">
        <v>0</v>
      </c>
      <c r="AE19" s="106">
        <v>0</v>
      </c>
      <c r="AF19" s="106">
        <v>0</v>
      </c>
      <c r="AG19" s="106">
        <v>0</v>
      </c>
      <c r="AH19" s="106">
        <v>0</v>
      </c>
      <c r="AI19" s="106">
        <v>0</v>
      </c>
      <c r="AJ19" s="106">
        <v>0</v>
      </c>
      <c r="AK19" s="106">
        <v>0</v>
      </c>
      <c r="AL19" s="106">
        <v>0</v>
      </c>
      <c r="AM19" s="106">
        <v>0</v>
      </c>
      <c r="AN19" s="106">
        <v>0</v>
      </c>
    </row>
    <row r="20" spans="2:50" hidden="1" outlineLevel="1" x14ac:dyDescent="0.25">
      <c r="B20" s="39" t="str">
        <v>Quaternary Direct Staff</v>
      </c>
      <c r="C20" s="3"/>
      <c r="D20" s="3"/>
      <c r="E20" s="106">
        <v>0</v>
      </c>
      <c r="F20" s="106">
        <v>0</v>
      </c>
      <c r="G20" s="106">
        <v>0</v>
      </c>
      <c r="H20" s="106">
        <v>0</v>
      </c>
      <c r="I20" s="106">
        <v>0</v>
      </c>
      <c r="J20" s="106">
        <v>0</v>
      </c>
      <c r="K20" s="106">
        <v>0</v>
      </c>
      <c r="L20" s="106">
        <v>0</v>
      </c>
      <c r="M20" s="106">
        <v>0</v>
      </c>
      <c r="N20" s="106">
        <v>0</v>
      </c>
      <c r="O20" s="106">
        <v>0</v>
      </c>
      <c r="P20" s="106">
        <v>0</v>
      </c>
      <c r="Q20" s="106">
        <v>0</v>
      </c>
      <c r="R20" s="106">
        <v>0</v>
      </c>
      <c r="S20" s="106">
        <v>0</v>
      </c>
      <c r="T20" s="106">
        <v>0</v>
      </c>
      <c r="U20" s="106">
        <v>0</v>
      </c>
      <c r="V20" s="106">
        <v>0</v>
      </c>
      <c r="W20" s="106">
        <v>0</v>
      </c>
      <c r="X20" s="106">
        <v>0</v>
      </c>
      <c r="Y20" s="106">
        <v>0</v>
      </c>
      <c r="Z20" s="106">
        <v>0</v>
      </c>
      <c r="AA20" s="106">
        <v>0</v>
      </c>
      <c r="AB20" s="106">
        <v>0</v>
      </c>
      <c r="AC20" s="106">
        <v>0</v>
      </c>
      <c r="AD20" s="106">
        <v>0</v>
      </c>
      <c r="AE20" s="106">
        <v>0</v>
      </c>
      <c r="AF20" s="106">
        <v>0</v>
      </c>
      <c r="AG20" s="106">
        <v>0</v>
      </c>
      <c r="AH20" s="106">
        <v>0</v>
      </c>
      <c r="AI20" s="106">
        <v>0</v>
      </c>
      <c r="AJ20" s="106">
        <v>0</v>
      </c>
      <c r="AK20" s="106">
        <v>0</v>
      </c>
      <c r="AL20" s="106">
        <v>0</v>
      </c>
      <c r="AM20" s="106">
        <v>0</v>
      </c>
      <c r="AN20" s="106">
        <v>0</v>
      </c>
    </row>
    <row r="21" spans="2:50" collapsed="1" x14ac:dyDescent="0.25">
      <c r="B21" s="39" t="s">
        <v>389</v>
      </c>
      <c r="C21" s="3"/>
      <c r="D21" s="5"/>
      <c r="E21" s="117" cm="1">
        <f t="array" ref="E21:AN21">ROUND(_xlfn.BYCOL(_xlfn.CHOOSEROWS(_xlfn.ANCHORARRAY(E7),1,2),_xlfn.LAMBDA(_xlpm.col,SUM(_xlpm.col))),0)</f>
        <v>0</v>
      </c>
      <c r="F21" s="117">
        <v>0</v>
      </c>
      <c r="G21" s="117">
        <v>0</v>
      </c>
      <c r="H21" s="117">
        <v>0</v>
      </c>
      <c r="I21" s="117">
        <v>0</v>
      </c>
      <c r="J21" s="117">
        <v>0</v>
      </c>
      <c r="K21" s="117">
        <v>0</v>
      </c>
      <c r="L21" s="117">
        <v>0</v>
      </c>
      <c r="M21" s="117">
        <v>0</v>
      </c>
      <c r="N21" s="117">
        <v>0</v>
      </c>
      <c r="O21" s="117">
        <v>0</v>
      </c>
      <c r="P21" s="117">
        <v>0</v>
      </c>
      <c r="Q21" s="117">
        <v>0</v>
      </c>
      <c r="R21" s="117">
        <v>1</v>
      </c>
      <c r="S21" s="117">
        <v>2</v>
      </c>
      <c r="T21" s="117">
        <v>3</v>
      </c>
      <c r="U21" s="117">
        <v>3</v>
      </c>
      <c r="V21" s="117">
        <v>4</v>
      </c>
      <c r="W21" s="117">
        <v>5</v>
      </c>
      <c r="X21" s="117">
        <v>7</v>
      </c>
      <c r="Y21" s="117">
        <v>7</v>
      </c>
      <c r="Z21" s="117">
        <v>8</v>
      </c>
      <c r="AA21" s="117">
        <v>9</v>
      </c>
      <c r="AB21" s="117">
        <v>10</v>
      </c>
      <c r="AC21" s="117">
        <v>11</v>
      </c>
      <c r="AD21" s="117">
        <v>12</v>
      </c>
      <c r="AE21" s="117">
        <v>13</v>
      </c>
      <c r="AF21" s="117">
        <v>13</v>
      </c>
      <c r="AG21" s="117">
        <v>13</v>
      </c>
      <c r="AH21" s="117">
        <v>13</v>
      </c>
      <c r="AI21" s="117">
        <v>13</v>
      </c>
      <c r="AJ21" s="117">
        <v>13</v>
      </c>
      <c r="AK21" s="117">
        <v>13</v>
      </c>
      <c r="AL21" s="117">
        <v>13</v>
      </c>
      <c r="AM21" s="117">
        <v>13</v>
      </c>
      <c r="AN21" s="117">
        <v>13</v>
      </c>
    </row>
    <row r="22" spans="2:50" x14ac:dyDescent="0.25">
      <c r="B22" s="2" t="s">
        <v>394</v>
      </c>
      <c r="C22" s="3"/>
      <c r="D22" s="77">
        <f>MAX(_xlfn.ANCHORARRAY(E22))</f>
        <v>174.55720170454555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0</v>
      </c>
      <c r="F22" s="78">
        <v>0</v>
      </c>
      <c r="G22" s="78">
        <v>0</v>
      </c>
      <c r="H22" s="78">
        <v>0</v>
      </c>
      <c r="I22" s="78">
        <v>0</v>
      </c>
      <c r="J22" s="78">
        <v>0</v>
      </c>
      <c r="K22" s="78">
        <v>0</v>
      </c>
      <c r="L22" s="78">
        <v>0</v>
      </c>
      <c r="M22" s="78">
        <v>0</v>
      </c>
      <c r="N22" s="78">
        <v>0</v>
      </c>
      <c r="O22" s="78">
        <v>0</v>
      </c>
      <c r="P22" s="78">
        <v>0</v>
      </c>
      <c r="Q22" s="78">
        <v>0</v>
      </c>
      <c r="R22" s="78">
        <v>174.55720170454555</v>
      </c>
      <c r="S22" s="78">
        <v>174.55720170454543</v>
      </c>
      <c r="T22" s="78">
        <v>174.55720170454541</v>
      </c>
      <c r="U22" s="78">
        <v>174.55720170454543</v>
      </c>
      <c r="V22" s="78">
        <v>174.55720170454555</v>
      </c>
      <c r="W22" s="78">
        <v>174.55720170454541</v>
      </c>
      <c r="X22" s="78">
        <v>174.55720170454543</v>
      </c>
      <c r="Y22" s="78">
        <v>174.55720170454546</v>
      </c>
      <c r="Z22" s="78">
        <v>174.55720170454546</v>
      </c>
      <c r="AA22" s="78">
        <v>174.55720170454549</v>
      </c>
      <c r="AB22" s="78">
        <v>174.55720170454549</v>
      </c>
      <c r="AC22" s="78">
        <v>174.55720170454541</v>
      </c>
      <c r="AD22" s="78">
        <v>174.55720170454541</v>
      </c>
      <c r="AE22" s="78">
        <v>174.55720170454543</v>
      </c>
      <c r="AF22" s="78">
        <v>174.55720170454543</v>
      </c>
      <c r="AG22" s="78">
        <v>174.55720170454543</v>
      </c>
      <c r="AH22" s="78">
        <v>174.55720170454543</v>
      </c>
      <c r="AI22" s="78">
        <v>174.55720170454543</v>
      </c>
      <c r="AJ22" s="78">
        <v>174.55720170454543</v>
      </c>
      <c r="AK22" s="78">
        <v>174.55720170454543</v>
      </c>
      <c r="AL22" s="78">
        <v>174.55720170454543</v>
      </c>
      <c r="AM22" s="78">
        <v>174.55720170454543</v>
      </c>
      <c r="AN22" s="78">
        <v>174.55720170454543</v>
      </c>
    </row>
    <row r="23" spans="2:50" x14ac:dyDescent="0.25">
      <c r="B23" s="2" t="s">
        <v>53</v>
      </c>
      <c r="C23" s="3"/>
      <c r="D23" s="72"/>
      <c r="E23" s="52" cm="1">
        <f t="array" ref="E23:AN23">_xlfn.LET(_xlpm.site,$B$1&amp;"-"&amp;$C$1,_xlpm.locations,Base!$D$4:$BD$4,_xlpm.Customer,_xlfn.ANCHORARRAY(E1),_xlpm.hours,SUM(_xlfn.XLOOKUP(_xlpm.site,_xlpm.locations,Base!$D$74:$BD$78,0,0)),
_xlpm.collection,1-_xlfn.XLOOKUP(_xlpm.site,_xlpm.locations,Base!$D$26:$BD$26,0,0),
_xlpm.Customer*_xlpm.hours*_xlpm.collection*(52/12))</f>
        <v>0</v>
      </c>
      <c r="F23" s="52">
        <v>0</v>
      </c>
      <c r="G23" s="52">
        <v>0</v>
      </c>
      <c r="H23" s="52">
        <v>0</v>
      </c>
      <c r="I23" s="52">
        <v>0</v>
      </c>
      <c r="J23" s="52">
        <v>0</v>
      </c>
      <c r="K23" s="52">
        <v>0</v>
      </c>
      <c r="L23" s="52">
        <v>0</v>
      </c>
      <c r="M23" s="52">
        <v>0</v>
      </c>
      <c r="N23" s="52">
        <v>0</v>
      </c>
      <c r="O23" s="52">
        <v>0</v>
      </c>
      <c r="P23" s="52">
        <v>0</v>
      </c>
      <c r="Q23" s="52">
        <v>0</v>
      </c>
      <c r="R23" s="52">
        <v>51.626666666666658</v>
      </c>
      <c r="S23" s="52">
        <v>154.88</v>
      </c>
      <c r="T23" s="52">
        <v>258.13333333333333</v>
      </c>
      <c r="U23" s="52">
        <v>309.76</v>
      </c>
      <c r="V23" s="52">
        <v>413.01333333333326</v>
      </c>
      <c r="W23" s="52">
        <v>516.26666666666665</v>
      </c>
      <c r="X23" s="52">
        <v>619.52</v>
      </c>
      <c r="Y23" s="52">
        <v>671.14666666666665</v>
      </c>
      <c r="Z23" s="52">
        <v>774.39999999999986</v>
      </c>
      <c r="AA23" s="52">
        <v>877.65333333333331</v>
      </c>
      <c r="AB23" s="52">
        <v>929.27999999999986</v>
      </c>
      <c r="AC23" s="52">
        <v>1032.5333333333333</v>
      </c>
      <c r="AD23" s="52">
        <v>1135.7866666666666</v>
      </c>
      <c r="AE23" s="52">
        <v>1239.04</v>
      </c>
      <c r="AF23" s="52">
        <v>1239.04</v>
      </c>
      <c r="AG23" s="52">
        <v>1239.04</v>
      </c>
      <c r="AH23" s="52">
        <v>1239.04</v>
      </c>
      <c r="AI23" s="52">
        <v>1239.04</v>
      </c>
      <c r="AJ23" s="52">
        <v>1239.04</v>
      </c>
      <c r="AK23" s="52">
        <v>1239.04</v>
      </c>
      <c r="AL23" s="52">
        <v>1239.04</v>
      </c>
      <c r="AM23" s="52">
        <v>1239.04</v>
      </c>
      <c r="AN23" s="52">
        <v>1239.04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21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_xlfn.LET(_xlpm.site,$B$1&amp;"-"&amp;$C$1,_xlpm.locations,Base!$D$4:$BD$4,_xlpm.rates,Base!$D31:$BD31,_xlpm.hours,Base!$D74:$BD74,_xlpm.comp,_xlpm.rates*_xlpm.hours,_xlpm.Customer,_xlfn.ANCHORARRAY($E$1),
_xlpm.Customer_comp,_xlfn.XLOOKUP(_xlpm.site,_xlpm.locations,_xlpm.comp,0,0),_xlpm.ann_incr,_xlfn.XLOOKUP(YEAR(_xlfn.ANCHORARRAY($E$25)),Base!$BJ$4:$BL$4,Base!$BJ74:$BL74,0,0),
_xlpm.bad_debt,_xlfn.XLOOKUP(_xlpm.site,_xlpm.locations,Base!$D$28:$BD$28,0,0),_xlpm.Customer_comp*_xlpm.Customer*_xlpm.bad_debt*_xlpm.ann_incr*(52/12))</f>
        <v>0</v>
      </c>
      <c r="F26" s="12">
        <v>0</v>
      </c>
      <c r="G26" s="12">
        <v>0</v>
      </c>
      <c r="H26" s="12">
        <v>0</v>
      </c>
      <c r="I26" s="12">
        <v>0</v>
      </c>
      <c r="J26" s="12">
        <v>0</v>
      </c>
      <c r="K26" s="12">
        <v>0</v>
      </c>
      <c r="L26" s="12">
        <v>0</v>
      </c>
      <c r="M26" s="12">
        <v>0</v>
      </c>
      <c r="N26" s="12">
        <v>0</v>
      </c>
      <c r="O26" s="12">
        <v>0</v>
      </c>
      <c r="P26" s="12">
        <v>0</v>
      </c>
      <c r="Q26" s="12">
        <v>0</v>
      </c>
      <c r="R26" s="12">
        <v>8154.019033333333</v>
      </c>
      <c r="S26" s="12">
        <v>24462.057099999998</v>
      </c>
      <c r="T26" s="12">
        <v>40770.095166666659</v>
      </c>
      <c r="U26" s="12">
        <v>48924.114199999996</v>
      </c>
      <c r="V26" s="12">
        <v>65232.152266666664</v>
      </c>
      <c r="W26" s="12">
        <v>81540.190333333318</v>
      </c>
      <c r="X26" s="12">
        <v>97848.228399999993</v>
      </c>
      <c r="Y26" s="12">
        <v>106002.24743333334</v>
      </c>
      <c r="Z26" s="12">
        <v>122310.28549999998</v>
      </c>
      <c r="AA26" s="12">
        <v>138618.32356666666</v>
      </c>
      <c r="AB26" s="12">
        <v>146772.3426</v>
      </c>
      <c r="AC26" s="12">
        <v>163080.38066666664</v>
      </c>
      <c r="AD26" s="12">
        <v>179388.4187333333</v>
      </c>
      <c r="AE26" s="12">
        <v>195696.45679999999</v>
      </c>
      <c r="AF26" s="12">
        <v>195696.45679999999</v>
      </c>
      <c r="AG26" s="12">
        <v>195696.45679999999</v>
      </c>
      <c r="AH26" s="12">
        <v>195696.45679999999</v>
      </c>
      <c r="AI26" s="12">
        <v>195696.45679999999</v>
      </c>
      <c r="AJ26" s="12">
        <v>195696.45679999999</v>
      </c>
      <c r="AK26" s="12">
        <v>195696.45679999999</v>
      </c>
      <c r="AL26" s="12">
        <v>195696.45679999999</v>
      </c>
      <c r="AM26" s="12">
        <v>195696.45679999999</v>
      </c>
      <c r="AN26" s="12">
        <v>195696.45679999999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_xlfn.LET(_xlpm.site,$B$1&amp;"-"&amp;$C$1,_xlpm.locations,Base!$D$4:$BD$4,_xlpm.rates,Base!$D32:$BD32,_xlpm.hours,Base!$D75:$BD75,_xlpm.comp,_xlpm.rates*_xlpm.hours,_xlpm.Customer,_xlfn.ANCHORARRAY($E$1),
_xlpm.Customer_comp,_xlfn.XLOOKUP(_xlpm.site,_xlpm.locations,_xlpm.comp,0,0),_xlpm.ann_incr,_xlfn.XLOOKUP(YEAR(_xlfn.ANCHORARRAY($E$25)),Base!$BJ$4:$BL$4,Base!$BJ75:$BL75,0,0),
_xlpm.bad_debt,_xlfn.XLOOKUP(_xlpm.site,_xlpm.locations,Base!$D$28:$BD$28,0,0),_xlpm.Customer_comp*_xlpm.Customer*_xlpm.bad_debt*_xlpm.ann_incr*(52/12))</f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12">
        <v>0</v>
      </c>
      <c r="AA27" s="12">
        <v>0</v>
      </c>
      <c r="AB27" s="12">
        <v>0</v>
      </c>
      <c r="AC27" s="12">
        <v>0</v>
      </c>
      <c r="AD27" s="12">
        <v>0</v>
      </c>
      <c r="AE27" s="12">
        <v>0</v>
      </c>
      <c r="AF27" s="12">
        <v>0</v>
      </c>
      <c r="AG27" s="12">
        <v>0</v>
      </c>
      <c r="AH27" s="12">
        <v>0</v>
      </c>
      <c r="AI27" s="12">
        <v>0</v>
      </c>
      <c r="AJ27" s="12">
        <v>0</v>
      </c>
      <c r="AK27" s="12">
        <v>0</v>
      </c>
      <c r="AL27" s="12">
        <v>0</v>
      </c>
      <c r="AM27" s="12">
        <v>0</v>
      </c>
      <c r="AN27" s="12">
        <v>0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_xlfn.LET(_xlpm.site,$B$1&amp;"-"&amp;$C$1,_xlpm.locations,Base!$D$4:$BD$4,_xlpm.rates,Base!$D33:$BD33,_xlpm.hours,Base!$D76:$BD76,_xlpm.comp,_xlpm.rates*_xlpm.hours,_xlpm.Customer,_xlfn.ANCHORARRAY($E$1),
_xlpm.Customer_comp,_xlfn.XLOOKUP(_xlpm.site,_xlpm.locations,_xlpm.comp,0,0),_xlpm.ann_incr,_xlfn.XLOOKUP(YEAR(_xlfn.ANCHORARRAY($E$25)),Base!$BJ$4:$BL$4,Base!$BJ76:$BL76,0,0),
_xlpm.bad_debt,_xlfn.XLOOKUP(_xlpm.site,_xlpm.locations,Base!$D$28:$BD$28,0,0),_xlpm.Customer_comp*_xlpm.Customer*_xlpm.bad_debt*_xlpm.ann_incr*(52/12))</f>
        <v>0</v>
      </c>
      <c r="F28" s="12">
        <v>0</v>
      </c>
      <c r="G28" s="12">
        <v>0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0</v>
      </c>
      <c r="N28" s="12">
        <v>0</v>
      </c>
      <c r="O28" s="12">
        <v>0</v>
      </c>
      <c r="P28" s="12">
        <v>0</v>
      </c>
      <c r="Q28" s="12">
        <v>0</v>
      </c>
      <c r="R28" s="12">
        <v>1086.8529099999998</v>
      </c>
      <c r="S28" s="12">
        <v>3260.5587299999988</v>
      </c>
      <c r="T28" s="12">
        <v>5434.2645499999981</v>
      </c>
      <c r="U28" s="12">
        <v>6521.1174599999977</v>
      </c>
      <c r="V28" s="12">
        <v>8694.8232799999987</v>
      </c>
      <c r="W28" s="12">
        <v>10868.529099999996</v>
      </c>
      <c r="X28" s="12">
        <v>13042.234919999995</v>
      </c>
      <c r="Y28" s="12">
        <v>14129.087829999997</v>
      </c>
      <c r="Z28" s="12">
        <v>16302.793649999996</v>
      </c>
      <c r="AA28" s="12">
        <v>18476.499469999999</v>
      </c>
      <c r="AB28" s="12">
        <v>19563.352379999993</v>
      </c>
      <c r="AC28" s="12">
        <v>21737.058199999992</v>
      </c>
      <c r="AD28" s="12">
        <v>23910.764019999991</v>
      </c>
      <c r="AE28" s="12">
        <v>26084.469839999991</v>
      </c>
      <c r="AF28" s="12">
        <v>26084.469839999991</v>
      </c>
      <c r="AG28" s="12">
        <v>26084.469839999991</v>
      </c>
      <c r="AH28" s="12">
        <v>26084.469839999991</v>
      </c>
      <c r="AI28" s="12">
        <v>26084.469839999991</v>
      </c>
      <c r="AJ28" s="12">
        <v>26084.469839999991</v>
      </c>
      <c r="AK28" s="12">
        <v>26084.469839999991</v>
      </c>
      <c r="AL28" s="12">
        <v>26084.469839999991</v>
      </c>
      <c r="AM28" s="12">
        <v>26084.469839999991</v>
      </c>
      <c r="AN28" s="12">
        <v>26084.469839999991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_xlfn.LET(_xlpm.site,$B$1&amp;"-"&amp;$C$1,_xlpm.locations,Base!$D$4:$BD$4,_xlpm.rates,Base!$D34:$BD34,_xlpm.hours,Base!$D77:$BD77,_xlpm.comp,_xlpm.rates*_xlpm.hours,_xlpm.Customer,_xlfn.ANCHORARRAY($E$1),
_xlpm.Customer_comp,_xlfn.XLOOKUP(_xlpm.site,_xlpm.locations,_xlpm.comp,0,0),_xlpm.ann_incr,_xlfn.XLOOKUP(YEAR(_xlfn.ANCHORARRAY($E$25)),Base!$BJ$4:$BL$4,Base!$BJ77:$BL77,0,0),
_xlpm.bad_debt,_xlfn.XLOOKUP(_xlpm.site,_xlpm.locations,Base!$D$28:$BD$28,0,0),_xlpm.Customer_comp*_xlpm.Customer*_xlpm.bad_debt*_xlpm.ann_incr*(52/12))</f>
        <v>0</v>
      </c>
      <c r="F29" s="12">
        <v>0</v>
      </c>
      <c r="G29" s="12">
        <v>0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0</v>
      </c>
      <c r="N29" s="12">
        <v>0</v>
      </c>
      <c r="O29" s="12">
        <v>0</v>
      </c>
      <c r="P29" s="12">
        <v>0</v>
      </c>
      <c r="Q29" s="12">
        <v>0</v>
      </c>
      <c r="R29" s="12">
        <v>167.20813999999999</v>
      </c>
      <c r="S29" s="12">
        <v>501.62441999999999</v>
      </c>
      <c r="T29" s="12">
        <v>836.04070000000002</v>
      </c>
      <c r="U29" s="12">
        <v>1003.24884</v>
      </c>
      <c r="V29" s="12">
        <v>1337.6651199999999</v>
      </c>
      <c r="W29" s="12">
        <v>1672.0814</v>
      </c>
      <c r="X29" s="12">
        <v>2006.4976799999999</v>
      </c>
      <c r="Y29" s="12">
        <v>2173.7058200000001</v>
      </c>
      <c r="Z29" s="12">
        <v>2508.1221</v>
      </c>
      <c r="AA29" s="12">
        <v>2842.5383799999995</v>
      </c>
      <c r="AB29" s="12">
        <v>3009.7465200000001</v>
      </c>
      <c r="AC29" s="12">
        <v>3344.1628000000001</v>
      </c>
      <c r="AD29" s="12">
        <v>3678.5790799999995</v>
      </c>
      <c r="AE29" s="12">
        <v>4012.9953599999999</v>
      </c>
      <c r="AF29" s="12">
        <v>4012.9953599999999</v>
      </c>
      <c r="AG29" s="12">
        <v>4012.9953599999999</v>
      </c>
      <c r="AH29" s="12">
        <v>4012.9953599999999</v>
      </c>
      <c r="AI29" s="12">
        <v>4012.9953599999999</v>
      </c>
      <c r="AJ29" s="12">
        <v>4012.9953599999999</v>
      </c>
      <c r="AK29" s="12">
        <v>4012.9953599999999</v>
      </c>
      <c r="AL29" s="12">
        <v>4012.9953599999999</v>
      </c>
      <c r="AM29" s="12">
        <v>4012.9953599999999</v>
      </c>
      <c r="AN29" s="12">
        <v>4012.9953599999999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_xlfn.LET(_xlpm.site,$B$1&amp;"-"&amp;$C$1,_xlpm.locations,Base!$D$4:$BD$4,_xlpm.rates,Base!$D35:$BD35,_xlpm.hours,Base!$D78:$BD78,_xlpm.comp,_xlpm.rates*_xlpm.hours,_xlpm.Customer,_xlfn.ANCHORARRAY($E$1),
_xlpm.Customer_comp,_xlfn.XLOOKUP(_xlpm.site,_xlpm.locations,_xlpm.comp,0,0),_xlpm.ann_incr,_xlfn.XLOOKUP(YEAR(_xlfn.ANCHORARRAY($E$25)),Base!$BJ$4:$BL$4,Base!$BJ78:$BL78,0,0),
_xlpm.bad_debt,_xlfn.XLOOKUP(_xlpm.site,_xlpm.locations,Base!$D$28:$BD$28,0,0),_xlpm.Customer_comp*_xlpm.Customer*_xlpm.bad_debt*_xlpm.ann_incr*(52/12))</f>
        <v>0</v>
      </c>
      <c r="F30" s="12">
        <v>0</v>
      </c>
      <c r="G30" s="12">
        <v>0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0</v>
      </c>
      <c r="N30" s="12">
        <v>0</v>
      </c>
      <c r="O30" s="12">
        <v>0</v>
      </c>
      <c r="P30" s="12">
        <v>0</v>
      </c>
      <c r="Q30" s="12">
        <v>0</v>
      </c>
      <c r="R30" s="12">
        <v>218.1677333333333</v>
      </c>
      <c r="S30" s="12">
        <v>654.50319999999988</v>
      </c>
      <c r="T30" s="12">
        <v>1090.8386666666665</v>
      </c>
      <c r="U30" s="12">
        <v>1309.0063999999998</v>
      </c>
      <c r="V30" s="12">
        <v>1745.3418666666664</v>
      </c>
      <c r="W30" s="12">
        <v>2181.6773333333331</v>
      </c>
      <c r="X30" s="12">
        <v>2618.0127999999995</v>
      </c>
      <c r="Y30" s="12">
        <v>2836.1805333333332</v>
      </c>
      <c r="Z30" s="12">
        <v>3272.5159999999996</v>
      </c>
      <c r="AA30" s="12">
        <v>3708.8514666666661</v>
      </c>
      <c r="AB30" s="12">
        <v>3927.0191999999997</v>
      </c>
      <c r="AC30" s="12">
        <v>4363.3546666666662</v>
      </c>
      <c r="AD30" s="12">
        <v>4799.6901333333326</v>
      </c>
      <c r="AE30" s="12">
        <v>5236.025599999999</v>
      </c>
      <c r="AF30" s="12">
        <v>5236.025599999999</v>
      </c>
      <c r="AG30" s="12">
        <v>5236.025599999999</v>
      </c>
      <c r="AH30" s="12">
        <v>5236.025599999999</v>
      </c>
      <c r="AI30" s="12">
        <v>5236.025599999999</v>
      </c>
      <c r="AJ30" s="12">
        <v>5236.025599999999</v>
      </c>
      <c r="AK30" s="12">
        <v>5236.025599999999</v>
      </c>
      <c r="AL30" s="12">
        <v>5236.025599999999</v>
      </c>
      <c r="AM30" s="12">
        <v>5236.025599999999</v>
      </c>
      <c r="AN30" s="12">
        <v>5236.025599999999</v>
      </c>
    </row>
    <row r="31" spans="2:50" x14ac:dyDescent="0.25">
      <c r="B31" s="39" t="str">
        <f>Base!B36</f>
        <v>Tertiary Direct Staff - Service A</v>
      </c>
      <c r="C31" s="4"/>
      <c r="E31" s="183" cm="1">
        <f t="array" ref="E31:AN31">_xlfn.LET(_xlpm.site,$B$1&amp;"-"&amp;$C$1,_xlpm.locations,Base!$D$4:$BD$4,_xlpm.rates,Base!$D36:$BD36,_xlpm.hours,Base!$D79:$BD79,_xlpm.comp,_xlpm.rates*_xlpm.hours,_xlpm.Customer,_xlfn.ANCHORARRAY($E$1)*0,
_xlpm.Customer_comp,_xlfn.XLOOKUP(_xlpm.site,_xlpm.locations,_xlpm.comp,0,0),_xlpm.ann_incr,_xlfn.XLOOKUP(YEAR(_xlfn.ANCHORARRAY($E$25)),Base!$BJ$4:$BL$4,Base!$BJ79:$BL79,0,0),
_xlpm.bad_debt,_xlfn.XLOOKUP(_xlpm.site,_xlpm.locations,Base!$D$28:$BD$28,0,0),_xlpm.Customer_comp*_xlpm.Customer*_xlpm.bad_debt*_xlpm.ann_incr*(52/12))</f>
        <v>0</v>
      </c>
      <c r="F31" s="183">
        <v>0</v>
      </c>
      <c r="G31" s="183">
        <v>0</v>
      </c>
      <c r="H31" s="183">
        <v>0</v>
      </c>
      <c r="I31" s="183">
        <v>0</v>
      </c>
      <c r="J31" s="183">
        <v>0</v>
      </c>
      <c r="K31" s="183">
        <v>0</v>
      </c>
      <c r="L31" s="183">
        <v>0</v>
      </c>
      <c r="M31" s="183">
        <v>0</v>
      </c>
      <c r="N31" s="183">
        <v>0</v>
      </c>
      <c r="O31" s="183">
        <v>0</v>
      </c>
      <c r="P31" s="183">
        <v>0</v>
      </c>
      <c r="Q31" s="183">
        <v>0</v>
      </c>
      <c r="R31" s="183">
        <v>0</v>
      </c>
      <c r="S31" s="183">
        <v>0</v>
      </c>
      <c r="T31" s="183">
        <v>0</v>
      </c>
      <c r="U31" s="183">
        <v>0</v>
      </c>
      <c r="V31" s="183">
        <v>0</v>
      </c>
      <c r="W31" s="183">
        <v>0</v>
      </c>
      <c r="X31" s="183">
        <v>0</v>
      </c>
      <c r="Y31" s="183">
        <v>0</v>
      </c>
      <c r="Z31" s="183">
        <v>0</v>
      </c>
      <c r="AA31" s="183">
        <v>0</v>
      </c>
      <c r="AB31" s="183">
        <v>0</v>
      </c>
      <c r="AC31" s="183">
        <v>0</v>
      </c>
      <c r="AD31" s="183">
        <v>0</v>
      </c>
      <c r="AE31" s="183">
        <v>0</v>
      </c>
      <c r="AF31" s="183">
        <v>0</v>
      </c>
      <c r="AG31" s="183">
        <v>0</v>
      </c>
      <c r="AH31" s="183">
        <v>0</v>
      </c>
      <c r="AI31" s="183">
        <v>0</v>
      </c>
      <c r="AJ31" s="183">
        <v>0</v>
      </c>
      <c r="AK31" s="183">
        <v>0</v>
      </c>
      <c r="AL31" s="183">
        <v>0</v>
      </c>
      <c r="AM31" s="183">
        <v>0</v>
      </c>
      <c r="AN31" s="183">
        <v>0</v>
      </c>
    </row>
    <row r="32" spans="2:50" x14ac:dyDescent="0.25">
      <c r="B32" s="39" t="str">
        <f>Base!B37</f>
        <v>Tertiary Direct Staff - Service B</v>
      </c>
      <c r="C32" s="4"/>
      <c r="E32" s="183" cm="1">
        <f t="array" ref="E32:AN32">_xlfn.LET(_xlpm.site,$B$1&amp;"-"&amp;$C$1,_xlpm.locations,Base!$D$4:$BD$4,_xlpm.rates,Base!$D37:$BD37,_xlpm.hours,Base!$D80:$BD80,_xlpm.comp,_xlpm.rates*_xlpm.hours,_xlpm.Customer,_xlfn.ANCHORARRAY($E$1)*0,
_xlpm.Customer_comp,_xlfn.XLOOKUP(_xlpm.site,_xlpm.locations,_xlpm.comp,0,0),_xlpm.ann_incr,_xlfn.XLOOKUP(YEAR(_xlfn.ANCHORARRAY($E$25)),Base!$BJ$4:$BL$4,Base!$BJ80:$BL80,0,0),
_xlpm.bad_debt,_xlfn.XLOOKUP(_xlpm.site,_xlpm.locations,Base!$D$28:$BD$28,0,0),_xlpm.Customer_comp*_xlpm.Customer*_xlpm.bad_debt*_xlpm.ann_incr*(52/12))</f>
        <v>0</v>
      </c>
      <c r="F32" s="183">
        <v>0</v>
      </c>
      <c r="G32" s="183">
        <v>0</v>
      </c>
      <c r="H32" s="183">
        <v>0</v>
      </c>
      <c r="I32" s="183">
        <v>0</v>
      </c>
      <c r="J32" s="183">
        <v>0</v>
      </c>
      <c r="K32" s="183">
        <v>0</v>
      </c>
      <c r="L32" s="183">
        <v>0</v>
      </c>
      <c r="M32" s="183">
        <v>0</v>
      </c>
      <c r="N32" s="183">
        <v>0</v>
      </c>
      <c r="O32" s="183">
        <v>0</v>
      </c>
      <c r="P32" s="183">
        <v>0</v>
      </c>
      <c r="Q32" s="183">
        <v>0</v>
      </c>
      <c r="R32" s="183">
        <v>0</v>
      </c>
      <c r="S32" s="183">
        <v>0</v>
      </c>
      <c r="T32" s="183">
        <v>0</v>
      </c>
      <c r="U32" s="183">
        <v>0</v>
      </c>
      <c r="V32" s="183">
        <v>0</v>
      </c>
      <c r="W32" s="183">
        <v>0</v>
      </c>
      <c r="X32" s="183">
        <v>0</v>
      </c>
      <c r="Y32" s="183">
        <v>0</v>
      </c>
      <c r="Z32" s="183">
        <v>0</v>
      </c>
      <c r="AA32" s="183">
        <v>0</v>
      </c>
      <c r="AB32" s="183">
        <v>0</v>
      </c>
      <c r="AC32" s="183">
        <v>0</v>
      </c>
      <c r="AD32" s="183">
        <v>0</v>
      </c>
      <c r="AE32" s="183">
        <v>0</v>
      </c>
      <c r="AF32" s="183">
        <v>0</v>
      </c>
      <c r="AG32" s="183">
        <v>0</v>
      </c>
      <c r="AH32" s="183">
        <v>0</v>
      </c>
      <c r="AI32" s="183">
        <v>0</v>
      </c>
      <c r="AJ32" s="183">
        <v>0</v>
      </c>
      <c r="AK32" s="183">
        <v>0</v>
      </c>
      <c r="AL32" s="183">
        <v>0</v>
      </c>
      <c r="AM32" s="183">
        <v>0</v>
      </c>
      <c r="AN32" s="183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_xlpm.Customer,_xlfn.ANCHORARRAY($E$2),_xlpm.ann_incr,_xlfn.XLOOKUP(YEAR(_xlfn.ANCHORARRAY($E$25)),Base!$BJ$4:$BL$4,Base!$BJ$81:$BL$81,0,0),
_xlpm.bad_debt,_xlfn.XLOOKUP(_xlpm.site,_xlpm.locations,Base!$D$28:$BD$28,0,0),
_xlpm.comp*_xlpm.bad_debt*_xlpm.ann_incr*(52/12))</f>
        <v>0</v>
      </c>
      <c r="F33" s="12">
        <v>0</v>
      </c>
      <c r="G33" s="12">
        <v>0</v>
      </c>
      <c r="H33" s="12">
        <v>0</v>
      </c>
      <c r="I33" s="12">
        <v>0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2">
        <v>0</v>
      </c>
      <c r="Y33" s="12">
        <v>0</v>
      </c>
      <c r="Z33" s="12">
        <v>0</v>
      </c>
      <c r="AA33" s="12">
        <v>0</v>
      </c>
      <c r="AB33" s="12">
        <v>0</v>
      </c>
      <c r="AC33" s="12">
        <v>0</v>
      </c>
      <c r="AD33" s="12">
        <v>0</v>
      </c>
      <c r="AE33" s="12">
        <v>0</v>
      </c>
      <c r="AF33" s="12">
        <v>0</v>
      </c>
      <c r="AG33" s="12">
        <v>0</v>
      </c>
      <c r="AH33" s="12">
        <v>0</v>
      </c>
      <c r="AI33" s="12">
        <v>0</v>
      </c>
      <c r="AJ33" s="12">
        <v>0</v>
      </c>
      <c r="AK33" s="12">
        <v>0</v>
      </c>
      <c r="AL33" s="12">
        <v>0</v>
      </c>
      <c r="AM33" s="12">
        <v>0</v>
      </c>
      <c r="AN33" s="12">
        <v>0</v>
      </c>
    </row>
    <row r="34" spans="2:40" x14ac:dyDescent="0.25">
      <c r="B34" s="39" t="str">
        <f>Base!B39</f>
        <v>Quinary Direct Staff - Service A</v>
      </c>
      <c r="C34" s="4"/>
      <c r="E34" s="183" cm="1">
        <f t="array" ref="E34:AN34">_xlfn.LET(_xlpm.site,$B$1&amp;"-"&amp;$C$1,_xlpm.locations,Base!$D$4:$BD$4,_xlpm.rates,Base!$D39:$BD39,_xlpm.hours,Base!$D82:$BD82,_xlpm.comp,_xlpm.rates*_xlpm.hours,_xlpm.Customer,_xlfn.ANCHORARRAY($E$1)*0,
_xlpm.Customer_comp,_xlfn.XLOOKUP(_xlpm.site,_xlpm.locations,_xlpm.comp,0,0),_xlpm.ann_incr,_xlfn.XLOOKUP(YEAR(_xlfn.ANCHORARRAY($E$25)),Base!$BJ$4:$BL$4,Base!$BJ82:$BL82,0,0),
_xlpm.bad_debt,_xlfn.XLOOKUP(_xlpm.site,_xlpm.locations,Base!$D$28:$BD$28,0,0),_xlpm.Customer_comp*_xlpm.Customer*_xlpm.bad_debt*_xlpm.ann_incr*(52/12))</f>
        <v>0</v>
      </c>
      <c r="F34" s="183">
        <v>0</v>
      </c>
      <c r="G34" s="183">
        <v>0</v>
      </c>
      <c r="H34" s="183">
        <v>0</v>
      </c>
      <c r="I34" s="183">
        <v>0</v>
      </c>
      <c r="J34" s="183">
        <v>0</v>
      </c>
      <c r="K34" s="183">
        <v>0</v>
      </c>
      <c r="L34" s="183">
        <v>0</v>
      </c>
      <c r="M34" s="183">
        <v>0</v>
      </c>
      <c r="N34" s="183">
        <v>0</v>
      </c>
      <c r="O34" s="183">
        <v>0</v>
      </c>
      <c r="P34" s="183">
        <v>0</v>
      </c>
      <c r="Q34" s="183">
        <v>0</v>
      </c>
      <c r="R34" s="183">
        <v>0</v>
      </c>
      <c r="S34" s="183">
        <v>0</v>
      </c>
      <c r="T34" s="183">
        <v>0</v>
      </c>
      <c r="U34" s="183">
        <v>0</v>
      </c>
      <c r="V34" s="183">
        <v>0</v>
      </c>
      <c r="W34" s="183">
        <v>0</v>
      </c>
      <c r="X34" s="183">
        <v>0</v>
      </c>
      <c r="Y34" s="183">
        <v>0</v>
      </c>
      <c r="Z34" s="183">
        <v>0</v>
      </c>
      <c r="AA34" s="183">
        <v>0</v>
      </c>
      <c r="AB34" s="183">
        <v>0</v>
      </c>
      <c r="AC34" s="183">
        <v>0</v>
      </c>
      <c r="AD34" s="183">
        <v>0</v>
      </c>
      <c r="AE34" s="183">
        <v>0</v>
      </c>
      <c r="AF34" s="183">
        <v>0</v>
      </c>
      <c r="AG34" s="183">
        <v>0</v>
      </c>
      <c r="AH34" s="183">
        <v>0</v>
      </c>
      <c r="AI34" s="183">
        <v>0</v>
      </c>
      <c r="AJ34" s="183">
        <v>0</v>
      </c>
      <c r="AK34" s="183">
        <v>0</v>
      </c>
      <c r="AL34" s="183">
        <v>0</v>
      </c>
      <c r="AM34" s="183">
        <v>0</v>
      </c>
      <c r="AN34" s="183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0</v>
      </c>
      <c r="F35" s="12">
        <v>0</v>
      </c>
      <c r="G35" s="12">
        <v>0</v>
      </c>
      <c r="H35" s="12">
        <v>0</v>
      </c>
      <c r="I35" s="12">
        <v>0</v>
      </c>
      <c r="J35" s="12">
        <v>0</v>
      </c>
      <c r="K35" s="12">
        <v>0</v>
      </c>
      <c r="L35" s="12">
        <v>0</v>
      </c>
      <c r="M35" s="12">
        <v>0</v>
      </c>
      <c r="N35" s="12">
        <v>0</v>
      </c>
      <c r="O35" s="12">
        <v>0</v>
      </c>
      <c r="P35" s="12">
        <v>0</v>
      </c>
      <c r="Q35" s="12">
        <v>0</v>
      </c>
      <c r="R35" s="12">
        <v>-1155.1497380000001</v>
      </c>
      <c r="S35" s="12">
        <v>-3465.4492139999993</v>
      </c>
      <c r="T35" s="12">
        <v>-5775.7486899999985</v>
      </c>
      <c r="U35" s="12">
        <v>-6930.8984279999986</v>
      </c>
      <c r="V35" s="12">
        <v>-9241.1979040000006</v>
      </c>
      <c r="W35" s="12">
        <v>-11551.497379999997</v>
      </c>
      <c r="X35" s="12">
        <v>-13861.796855999997</v>
      </c>
      <c r="Y35" s="12">
        <v>-15016.946594000001</v>
      </c>
      <c r="Z35" s="12">
        <v>-17327.246069999997</v>
      </c>
      <c r="AA35" s="12">
        <v>-19637.545546000001</v>
      </c>
      <c r="AB35" s="12">
        <v>-20792.695283999998</v>
      </c>
      <c r="AC35" s="12">
        <v>-23102.994759999994</v>
      </c>
      <c r="AD35" s="12">
        <v>-25413.294235999994</v>
      </c>
      <c r="AE35" s="12">
        <v>-27723.593711999994</v>
      </c>
      <c r="AF35" s="12">
        <v>-27723.593711999994</v>
      </c>
      <c r="AG35" s="12">
        <v>-27723.593711999994</v>
      </c>
      <c r="AH35" s="12">
        <v>-27723.593711999994</v>
      </c>
      <c r="AI35" s="12">
        <v>-27723.593711999994</v>
      </c>
      <c r="AJ35" s="12">
        <v>-27723.593711999994</v>
      </c>
      <c r="AK35" s="12">
        <v>-27723.593711999994</v>
      </c>
      <c r="AL35" s="12">
        <v>-27723.593711999994</v>
      </c>
      <c r="AM35" s="12">
        <v>-27723.593711999994</v>
      </c>
      <c r="AN35" s="12">
        <v>-27723.593711999994</v>
      </c>
    </row>
    <row r="36" spans="2:40" x14ac:dyDescent="0.25">
      <c r="B36" s="39" t="s">
        <v>261</v>
      </c>
      <c r="C36" s="15"/>
      <c r="E36" s="183" cm="1">
        <f t="array" ref="E36:AN36">_xlfn.BYCOL(_xlfn.ANCHORARRAY($E$25),_xlfn.LAMBDA(_xlpm.a,0))</f>
        <v>0</v>
      </c>
      <c r="F36" s="183">
        <v>0</v>
      </c>
      <c r="G36" s="183">
        <v>0</v>
      </c>
      <c r="H36" s="183">
        <v>0</v>
      </c>
      <c r="I36" s="183">
        <v>0</v>
      </c>
      <c r="J36" s="183">
        <v>0</v>
      </c>
      <c r="K36" s="183">
        <v>0</v>
      </c>
      <c r="L36" s="183">
        <v>0</v>
      </c>
      <c r="M36" s="183">
        <v>0</v>
      </c>
      <c r="N36" s="183">
        <v>0</v>
      </c>
      <c r="O36" s="183">
        <v>0</v>
      </c>
      <c r="P36" s="183">
        <v>0</v>
      </c>
      <c r="Q36" s="183">
        <v>0</v>
      </c>
      <c r="R36" s="183">
        <v>0</v>
      </c>
      <c r="S36" s="183">
        <v>0</v>
      </c>
      <c r="T36" s="183">
        <v>0</v>
      </c>
      <c r="U36" s="183">
        <v>0</v>
      </c>
      <c r="V36" s="183">
        <v>0</v>
      </c>
      <c r="W36" s="183">
        <v>0</v>
      </c>
      <c r="X36" s="183">
        <v>0</v>
      </c>
      <c r="Y36" s="183">
        <v>0</v>
      </c>
      <c r="Z36" s="183">
        <v>0</v>
      </c>
      <c r="AA36" s="183">
        <v>0</v>
      </c>
      <c r="AB36" s="183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271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8471.0980786666678</v>
      </c>
      <c r="S37" s="13">
        <v>25413.294235999994</v>
      </c>
      <c r="T37" s="13">
        <v>42355.490393333319</v>
      </c>
      <c r="U37" s="13">
        <v>50826.588471999989</v>
      </c>
      <c r="V37" s="13">
        <v>67768.784629333342</v>
      </c>
      <c r="W37" s="13">
        <v>84710.980786666638</v>
      </c>
      <c r="X37" s="13">
        <v>101653.17694399998</v>
      </c>
      <c r="Y37" s="13">
        <v>110124.27502266667</v>
      </c>
      <c r="Z37" s="13">
        <v>127066.47117999999</v>
      </c>
      <c r="AA37" s="13">
        <v>144008.66733733335</v>
      </c>
      <c r="AB37" s="13">
        <v>152479.76541600001</v>
      </c>
      <c r="AC37" s="13">
        <v>169421.96157333328</v>
      </c>
      <c r="AD37" s="13">
        <v>186364.15773066663</v>
      </c>
      <c r="AE37" s="13">
        <v>203306.35388799995</v>
      </c>
      <c r="AF37" s="13">
        <v>203306.35388799995</v>
      </c>
      <c r="AG37" s="13">
        <v>203306.35388799995</v>
      </c>
      <c r="AH37" s="13">
        <v>203306.35388799995</v>
      </c>
      <c r="AI37" s="13">
        <v>203306.35388799995</v>
      </c>
      <c r="AJ37" s="13">
        <v>203306.35388799995</v>
      </c>
      <c r="AK37" s="13">
        <v>203306.35388799995</v>
      </c>
      <c r="AL37" s="13">
        <v>203306.35388799995</v>
      </c>
      <c r="AM37" s="13">
        <v>203306.35388799995</v>
      </c>
      <c r="AN37" s="13">
        <v>203306.35388799995</v>
      </c>
    </row>
    <row r="38" spans="2:40" x14ac:dyDescent="0.25">
      <c r="E38" s="67"/>
      <c r="F38" s="67"/>
    </row>
    <row r="39" spans="2:40" x14ac:dyDescent="0.25">
      <c r="B39" s="1" t="s">
        <v>118</v>
      </c>
    </row>
    <row r="40" spans="2:40" x14ac:dyDescent="0.25">
      <c r="B40" s="39" t="s">
        <v>23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0</v>
      </c>
      <c r="F40" s="12">
        <v>0</v>
      </c>
      <c r="G40" s="12">
        <v>0</v>
      </c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0</v>
      </c>
      <c r="N40" s="12">
        <v>0</v>
      </c>
      <c r="O40" s="12">
        <v>0</v>
      </c>
      <c r="P40" s="12">
        <v>0</v>
      </c>
      <c r="Q40" s="12">
        <v>0</v>
      </c>
      <c r="R40" s="12">
        <v>13213.632268173884</v>
      </c>
      <c r="S40" s="12">
        <v>28234.584292299427</v>
      </c>
      <c r="T40" s="12">
        <v>32791.272983091636</v>
      </c>
      <c r="U40" s="12">
        <v>35591.182328487739</v>
      </c>
      <c r="V40" s="12">
        <v>40441.351019279944</v>
      </c>
      <c r="W40" s="12">
        <v>45001.229710072163</v>
      </c>
      <c r="X40" s="12">
        <v>49981.624656975473</v>
      </c>
      <c r="Y40" s="12">
        <v>52711.354002371576</v>
      </c>
      <c r="Z40" s="12">
        <v>57338.222693163792</v>
      </c>
      <c r="AA40" s="12">
        <v>62188.391383956012</v>
      </c>
      <c r="AB40" s="12">
        <v>64918.120729352093</v>
      </c>
      <c r="AC40" s="12">
        <v>76499.488362158751</v>
      </c>
      <c r="AD40" s="12">
        <v>81862.710637085751</v>
      </c>
      <c r="AE40" s="12">
        <v>83580.702030290515</v>
      </c>
      <c r="AF40" s="12">
        <v>83580.702030290515</v>
      </c>
      <c r="AG40" s="12">
        <v>83580.702030290515</v>
      </c>
      <c r="AH40" s="12">
        <v>83580.702030290515</v>
      </c>
      <c r="AI40" s="12">
        <v>83580.702030290515</v>
      </c>
      <c r="AJ40" s="12">
        <v>83580.702030290515</v>
      </c>
      <c r="AK40" s="12">
        <v>83580.702030290515</v>
      </c>
      <c r="AL40" s="12">
        <v>83580.702030290515</v>
      </c>
      <c r="AM40" s="12">
        <v>83580.702030290515</v>
      </c>
      <c r="AN40" s="12">
        <v>83580.702030290515</v>
      </c>
    </row>
    <row r="41" spans="2:40" x14ac:dyDescent="0.25">
      <c r="B41" s="39" t="s">
        <v>388</v>
      </c>
      <c r="C41" s="142">
        <f>_xlfn.XLOOKUP($B$1&amp;"-"&amp;$C$1,Base!$D$4:$BD$4,Base!$D$12:$BD$12,0,0)</f>
        <v>0</v>
      </c>
      <c r="E41" s="183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28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0</v>
      </c>
      <c r="AJ42" s="12">
        <v>0</v>
      </c>
      <c r="AK42" s="12">
        <v>0</v>
      </c>
      <c r="AL42" s="12">
        <v>0</v>
      </c>
      <c r="AM42" s="12">
        <v>0</v>
      </c>
      <c r="AN42" s="12">
        <v>0</v>
      </c>
    </row>
    <row r="43" spans="2:40" x14ac:dyDescent="0.25">
      <c r="B43" s="39" t="s">
        <v>31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0</v>
      </c>
      <c r="X43" s="12">
        <v>0</v>
      </c>
      <c r="Y43" s="12">
        <v>0</v>
      </c>
      <c r="Z43" s="12">
        <v>0</v>
      </c>
      <c r="AA43" s="12">
        <v>0</v>
      </c>
      <c r="AB43" s="12">
        <v>0</v>
      </c>
      <c r="AC43" s="12">
        <v>0</v>
      </c>
      <c r="AD43" s="12">
        <v>0</v>
      </c>
      <c r="AE43" s="12">
        <v>0</v>
      </c>
      <c r="AF43" s="12">
        <v>0</v>
      </c>
      <c r="AG43" s="12">
        <v>0</v>
      </c>
      <c r="AH43" s="12">
        <v>0</v>
      </c>
      <c r="AI43" s="12">
        <v>0</v>
      </c>
      <c r="AJ43" s="12">
        <v>0</v>
      </c>
      <c r="AK43" s="12">
        <v>0</v>
      </c>
      <c r="AL43" s="12">
        <v>0</v>
      </c>
      <c r="AM43" s="12">
        <v>0</v>
      </c>
      <c r="AN43" s="12">
        <v>0</v>
      </c>
    </row>
    <row r="44" spans="2:40" x14ac:dyDescent="0.25">
      <c r="B44" s="39" t="s">
        <v>34</v>
      </c>
      <c r="C44" s="96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  <c r="O44" s="12">
        <v>0</v>
      </c>
      <c r="P44" s="12">
        <v>0</v>
      </c>
      <c r="Q44" s="12">
        <v>0</v>
      </c>
      <c r="R44" s="12">
        <v>364.434304</v>
      </c>
      <c r="S44" s="12">
        <v>883.05235200000004</v>
      </c>
      <c r="T44" s="12">
        <v>900.57323200000008</v>
      </c>
      <c r="U44" s="12">
        <v>928.60663999999997</v>
      </c>
      <c r="V44" s="12">
        <v>956.64004799999998</v>
      </c>
      <c r="W44" s="12">
        <v>974.16092800000001</v>
      </c>
      <c r="X44" s="12">
        <v>1002.1943359999998</v>
      </c>
      <c r="Y44" s="12">
        <v>1026.7235680000001</v>
      </c>
      <c r="Z44" s="12">
        <v>1047.7486240000003</v>
      </c>
      <c r="AA44" s="12">
        <v>1075.7820319999998</v>
      </c>
      <c r="AB44" s="12">
        <v>1100.3112639999999</v>
      </c>
      <c r="AC44" s="12">
        <v>1166.1897728000004</v>
      </c>
      <c r="AD44" s="12">
        <v>1195.3445171200001</v>
      </c>
      <c r="AE44" s="12">
        <v>1071.4368537600003</v>
      </c>
      <c r="AF44" s="12">
        <v>1071.4368537600003</v>
      </c>
      <c r="AG44" s="12">
        <v>1071.4368537600003</v>
      </c>
      <c r="AH44" s="12">
        <v>1071.4368537600003</v>
      </c>
      <c r="AI44" s="12">
        <v>1071.4368537600003</v>
      </c>
      <c r="AJ44" s="12">
        <v>1071.4368537600003</v>
      </c>
      <c r="AK44" s="12">
        <v>1071.4368537600003</v>
      </c>
      <c r="AL44" s="12">
        <v>1071.4368537600003</v>
      </c>
      <c r="AM44" s="12">
        <v>1071.4368537600003</v>
      </c>
      <c r="AN44" s="12">
        <v>1071.4368537600003</v>
      </c>
    </row>
    <row r="45" spans="2:40" x14ac:dyDescent="0.25">
      <c r="B45" s="39" t="s">
        <v>36</v>
      </c>
      <c r="C45" s="96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0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12">
        <v>0</v>
      </c>
      <c r="R45" s="12">
        <v>0</v>
      </c>
      <c r="S45" s="12">
        <v>0</v>
      </c>
      <c r="T45" s="12">
        <v>0</v>
      </c>
      <c r="U45" s="12">
        <v>0</v>
      </c>
      <c r="V45" s="12">
        <v>0</v>
      </c>
      <c r="W45" s="12">
        <v>0</v>
      </c>
      <c r="X45" s="12">
        <v>0</v>
      </c>
      <c r="Y45" s="12">
        <v>0</v>
      </c>
      <c r="Z45" s="12">
        <v>0</v>
      </c>
      <c r="AA45" s="12">
        <v>0</v>
      </c>
      <c r="AB45" s="12">
        <v>0</v>
      </c>
      <c r="AC45" s="12">
        <v>0</v>
      </c>
      <c r="AD45" s="12">
        <v>0</v>
      </c>
      <c r="AE45" s="12">
        <v>0</v>
      </c>
      <c r="AF45" s="12">
        <v>0</v>
      </c>
      <c r="AG45" s="12">
        <v>0</v>
      </c>
      <c r="AH45" s="12">
        <v>0</v>
      </c>
      <c r="AI45" s="12">
        <v>0</v>
      </c>
      <c r="AJ45" s="12">
        <v>0</v>
      </c>
      <c r="AK45" s="12">
        <v>0</v>
      </c>
      <c r="AL45" s="12">
        <v>0</v>
      </c>
      <c r="AM45" s="12">
        <v>0</v>
      </c>
      <c r="AN45" s="12">
        <v>0</v>
      </c>
    </row>
    <row r="46" spans="2:40" x14ac:dyDescent="0.25">
      <c r="B46" s="39" t="s">
        <v>38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0</v>
      </c>
      <c r="F46" s="12">
        <v>0</v>
      </c>
      <c r="G46" s="12">
        <v>0</v>
      </c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0</v>
      </c>
      <c r="N46" s="12">
        <v>0</v>
      </c>
      <c r="O46" s="12">
        <v>0</v>
      </c>
      <c r="P46" s="12">
        <v>0</v>
      </c>
      <c r="Q46" s="12">
        <v>0</v>
      </c>
      <c r="R46" s="12">
        <v>2203.1999999999998</v>
      </c>
      <c r="S46" s="12">
        <v>3508.7999999999993</v>
      </c>
      <c r="T46" s="12">
        <v>4085.0999999999995</v>
      </c>
      <c r="U46" s="12">
        <v>4401.3</v>
      </c>
      <c r="V46" s="12">
        <v>4992.9000000000005</v>
      </c>
      <c r="W46" s="12">
        <v>5569.1999999999989</v>
      </c>
      <c r="X46" s="12">
        <v>6171.0000000000009</v>
      </c>
      <c r="Y46" s="12">
        <v>6482.1000000000013</v>
      </c>
      <c r="Z46" s="12">
        <v>7063.5000000000009</v>
      </c>
      <c r="AA46" s="12">
        <v>7655.1</v>
      </c>
      <c r="AB46" s="12">
        <v>7966.1999999999989</v>
      </c>
      <c r="AC46" s="12">
        <v>8718.5519999999997</v>
      </c>
      <c r="AD46" s="12">
        <v>9327.1859999999997</v>
      </c>
      <c r="AE46" s="12">
        <v>9717.3359999999993</v>
      </c>
      <c r="AF46" s="12">
        <v>9717.3359999999993</v>
      </c>
      <c r="AG46" s="12">
        <v>9717.3359999999993</v>
      </c>
      <c r="AH46" s="12">
        <v>9717.3359999999993</v>
      </c>
      <c r="AI46" s="12">
        <v>9717.3359999999993</v>
      </c>
      <c r="AJ46" s="12">
        <v>9717.3359999999993</v>
      </c>
      <c r="AK46" s="12">
        <v>9717.3359999999993</v>
      </c>
      <c r="AL46" s="12">
        <v>9717.3359999999993</v>
      </c>
      <c r="AM46" s="12">
        <v>9717.3359999999993</v>
      </c>
      <c r="AN46" s="12">
        <v>9717.3359999999993</v>
      </c>
    </row>
    <row r="47" spans="2:40" x14ac:dyDescent="0.25">
      <c r="B47" s="39" t="s">
        <v>40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  <c r="O47" s="12">
        <v>0</v>
      </c>
      <c r="P47" s="12">
        <v>0</v>
      </c>
      <c r="Q47" s="12">
        <v>0</v>
      </c>
      <c r="R47" s="12">
        <v>0</v>
      </c>
      <c r="S47" s="12">
        <v>0</v>
      </c>
      <c r="T47" s="12">
        <v>0</v>
      </c>
      <c r="U47" s="12">
        <v>0</v>
      </c>
      <c r="V47" s="12">
        <v>0</v>
      </c>
      <c r="W47" s="12">
        <v>0</v>
      </c>
      <c r="X47" s="12">
        <v>0</v>
      </c>
      <c r="Y47" s="12">
        <v>0</v>
      </c>
      <c r="Z47" s="12">
        <v>0</v>
      </c>
      <c r="AA47" s="12">
        <v>0</v>
      </c>
      <c r="AB47" s="12">
        <v>0</v>
      </c>
      <c r="AC47" s="12">
        <v>0</v>
      </c>
      <c r="AD47" s="12">
        <v>0</v>
      </c>
      <c r="AE47" s="12">
        <v>0</v>
      </c>
      <c r="AF47" s="12">
        <v>0</v>
      </c>
      <c r="AG47" s="12">
        <v>0</v>
      </c>
      <c r="AH47" s="12">
        <v>0</v>
      </c>
      <c r="AI47" s="12">
        <v>0</v>
      </c>
      <c r="AJ47" s="12">
        <v>0</v>
      </c>
      <c r="AK47" s="12">
        <v>0</v>
      </c>
      <c r="AL47" s="12">
        <v>0</v>
      </c>
      <c r="AM47" s="12">
        <v>0</v>
      </c>
      <c r="AN47" s="12">
        <v>0</v>
      </c>
    </row>
    <row r="48" spans="2:40" x14ac:dyDescent="0.25">
      <c r="B48" s="39" t="s">
        <v>41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42</v>
      </c>
      <c r="E49" s="12">
        <f>'Corp.'!E$50*(E$37-(E31-E32-E34)*$C$35)/(SUM('MDA1:NCA9'!E$37)-SUM('MDA1:NCA9'!E$31)-SUM('MDA1:NCA9'!E$32)-SUM('MDA1:NCA9'!E$34))</f>
        <v>0</v>
      </c>
      <c r="F49" s="12">
        <f>'Corp.'!F$50*(F$37-(F31-F32-F34)*$C$35)/(SUM('MDA1:NCA9'!F$37)-SUM('MDA1:NCA9'!F$31)-SUM('MDA1:NCA9'!F$32)-SUM('MDA1:NCA9'!F$34))</f>
        <v>0</v>
      </c>
      <c r="G49" s="12">
        <f>'Corp.'!G$50*(G$37-(G31-G32-G34)*$C$35)/(SUM('MDA1:NCA9'!G$37)-SUM('MDA1:NCA9'!G$31)-SUM('MDA1:NCA9'!G$32)-SUM('MDA1:NCA9'!G$34))</f>
        <v>0</v>
      </c>
      <c r="H49" s="12">
        <f>'Corp.'!H$50*(H$37-(H31-H32-H34)*$C$35)/(SUM('MDA1:NCA9'!H$37)-SUM('MDA1:NCA9'!H$31)-SUM('MDA1:NCA9'!H$32)-SUM('MDA1:NCA9'!H$34))</f>
        <v>0</v>
      </c>
      <c r="I49" s="12">
        <f>'Corp.'!I$50*(I$37-(I31-I32-I34)*$C$35)/(SUM('MDA1:NCA9'!I$37)-SUM('MDA1:NCA9'!I$31)-SUM('MDA1:NCA9'!I$32)-SUM('MDA1:NCA9'!I$34))</f>
        <v>0</v>
      </c>
      <c r="J49" s="12">
        <f>'Corp.'!J$50*(J$37-(J31-J32-J34)*$C$35)/(SUM('MDA1:NCA9'!J$37)-SUM('MDA1:NCA9'!J$31)-SUM('MDA1:NCA9'!J$32)-SUM('MDA1:NCA9'!J$34))</f>
        <v>0</v>
      </c>
      <c r="K49" s="12">
        <f>'Corp.'!K$50*(K$37-(K31-K32-K34)*$C$35)/(SUM('MDA1:NCA9'!K$37)-SUM('MDA1:NCA9'!K$31)-SUM('MDA1:NCA9'!K$32)-SUM('MDA1:NCA9'!K$34))</f>
        <v>0</v>
      </c>
      <c r="L49" s="12">
        <f>'Corp.'!L$50*(L$37-(L31-L32-L34)*$C$35)/(SUM('MDA1:NCA9'!L$37)-SUM('MDA1:NCA9'!L$31)-SUM('MDA1:NCA9'!L$32)-SUM('MDA1:NCA9'!L$34))</f>
        <v>0</v>
      </c>
      <c r="M49" s="12">
        <f>'Corp.'!M$50*(M$37-(M31-M32-M34)*$C$35)/(SUM('MDA1:NCA9'!M$37)-SUM('MDA1:NCA9'!M$31)-SUM('MDA1:NCA9'!M$32)-SUM('MDA1:NCA9'!M$34))</f>
        <v>0</v>
      </c>
      <c r="N49" s="12">
        <f>'Corp.'!N$50*(N$37-(N31-N32-N34)*$C$35)/(SUM('MDA1:NCA9'!N$37)-SUM('MDA1:NCA9'!N$31)-SUM('MDA1:NCA9'!N$32)-SUM('MDA1:NCA9'!N$34))</f>
        <v>0</v>
      </c>
      <c r="O49" s="12">
        <f>'Corp.'!O$50*(O$37-(O31-O32-O34)*$C$35)/(SUM('MDA1:NCA9'!O$37)-SUM('MDA1:NCA9'!O$31)-SUM('MDA1:NCA9'!O$32)-SUM('MDA1:NCA9'!O$34))</f>
        <v>0</v>
      </c>
      <c r="P49" s="12">
        <f>'Corp.'!P$50*(P$37-(P31-P32-P34)*$C$35)/(SUM('MDA1:NCA9'!P$37)-SUM('MDA1:NCA9'!P$31)-SUM('MDA1:NCA9'!P$32)-SUM('MDA1:NCA9'!P$34))</f>
        <v>0</v>
      </c>
      <c r="Q49" s="12">
        <f>'Corp.'!Q$50*(Q$37-(Q31-Q32-Q34)*$C$35)/(SUM('MDA1:NCA9'!Q$37)-SUM('MDA1:NCA9'!Q$31)-SUM('MDA1:NCA9'!Q$32)-SUM('MDA1:NCA9'!Q$34))</f>
        <v>0</v>
      </c>
      <c r="R49" s="12">
        <f>'Corp.'!R$50*(R$37-(R31-R32-R34)*$C$35)/(SUM('MDA1:NCA9'!R$37)-SUM('MDA1:NCA9'!R$31)-SUM('MDA1:NCA9'!R$32)-SUM('MDA1:NCA9'!R$34))</f>
        <v>1260.8603146689218</v>
      </c>
      <c r="S49" s="12">
        <f>'Corp.'!S$50*(S$37-(S31-S32-S34)*$C$35)/(SUM('MDA1:NCA9'!S$37)-SUM('MDA1:NCA9'!S$31)-SUM('MDA1:NCA9'!S$32)-SUM('MDA1:NCA9'!S$34))</f>
        <v>3618.8964512100924</v>
      </c>
      <c r="T49" s="12">
        <f>'Corp.'!T$50*(T$37-(T31-T32-T34)*$C$35)/(SUM('MDA1:NCA9'!T$37)-SUM('MDA1:NCA9'!T$31)-SUM('MDA1:NCA9'!T$32)-SUM('MDA1:NCA9'!T$34))</f>
        <v>5800.5734174284626</v>
      </c>
      <c r="U49" s="12">
        <f>'Corp.'!U$50*(U$37-(U31-U32-U34)*$C$35)/(SUM('MDA1:NCA9'!U$37)-SUM('MDA1:NCA9'!U$31)-SUM('MDA1:NCA9'!U$32)-SUM('MDA1:NCA9'!U$34))</f>
        <v>6770.701353186766</v>
      </c>
      <c r="V49" s="12">
        <f>'Corp.'!V$50*(V$37-(V31-V32-V34)*$C$35)/(SUM('MDA1:NCA9'!V$37)-SUM('MDA1:NCA9'!V$31)-SUM('MDA1:NCA9'!V$32)-SUM('MDA1:NCA9'!V$34))</f>
        <v>8821.0741416190685</v>
      </c>
      <c r="W49" s="12">
        <f>'Corp.'!W$50*(W$37-(W31-W32-W34)*$C$35)/(SUM('MDA1:NCA9'!W$37)-SUM('MDA1:NCA9'!W$31)-SUM('MDA1:NCA9'!W$32)-SUM('MDA1:NCA9'!W$34))</f>
        <v>10691.224490385674</v>
      </c>
      <c r="X49" s="12">
        <f>'Corp.'!X$50*(X$37-(X31-X32-X34)*$C$35)/(SUM('MDA1:NCA9'!X$37)-SUM('MDA1:NCA9'!X$31)-SUM('MDA1:NCA9'!X$32)-SUM('MDA1:NCA9'!X$34))</f>
        <v>12427.603478064975</v>
      </c>
      <c r="Y49" s="12">
        <f>'Corp.'!Y$50*(Y$37-(Y31-Y32-Y34)*$C$35)/(SUM('MDA1:NCA9'!Y$37)-SUM('MDA1:NCA9'!Y$31)-SUM('MDA1:NCA9'!Y$32)-SUM('MDA1:NCA9'!Y$34))</f>
        <v>13177.999330940604</v>
      </c>
      <c r="Z49" s="12">
        <f>'Corp.'!Z$50*(Z$37-(Z31-Z32-Z34)*$C$35)/(SUM('MDA1:NCA9'!Z$37)-SUM('MDA1:NCA9'!Z$31)-SUM('MDA1:NCA9'!Z$32)-SUM('MDA1:NCA9'!Z$34))</f>
        <v>14875.159398066386</v>
      </c>
      <c r="AA49" s="12">
        <f>'Corp.'!AA$50*(AA$37-(AA31-AA32-AA34)*$C$35)/(SUM('MDA1:NCA9'!AA$37)-SUM('MDA1:NCA9'!AA$31)-SUM('MDA1:NCA9'!AA$32)-SUM('MDA1:NCA9'!AA$34))</f>
        <v>16473.072103580995</v>
      </c>
      <c r="AB49" s="12">
        <f>'Corp.'!AB$50*(AB$37-(AB31-AB32-AB34)*$C$35)/(SUM('MDA1:NCA9'!AB$37)-SUM('MDA1:NCA9'!AB$31)-SUM('MDA1:NCA9'!AB$32)-SUM('MDA1:NCA9'!AB$34))</f>
        <v>17046.246038312907</v>
      </c>
      <c r="AC49" s="12">
        <f>'Corp.'!AC$50*(AC$37-(AC31-AC32-AC34)*$C$35)/(SUM('MDA1:NCA9'!AC$37)-SUM('MDA1:NCA9'!AC$31)-SUM('MDA1:NCA9'!AC$32)-SUM('MDA1:NCA9'!AC$34))</f>
        <v>20327.596885000603</v>
      </c>
      <c r="AD49" s="12">
        <f>'Corp.'!AD$50*(AD$37-(AD31-AD32-AD34)*$C$35)/(SUM('MDA1:NCA9'!AD$37)-SUM('MDA1:NCA9'!AD$31)-SUM('MDA1:NCA9'!AD$32)-SUM('MDA1:NCA9'!AD$34))</f>
        <v>21993.018893034743</v>
      </c>
      <c r="AE49" s="12">
        <f>'Corp.'!AE$50*(AE$37-(AE31-AE32-AE34)*$C$35)/(SUM('MDA1:NCA9'!AE$37)-SUM('MDA1:NCA9'!AE$31)-SUM('MDA1:NCA9'!AE$32)-SUM('MDA1:NCA9'!AE$34))</f>
        <v>23614.531887835434</v>
      </c>
      <c r="AF49" s="12">
        <f>'Corp.'!AF$50*(AF$37-(AF31-AF32-AF34)*$C$35)/(SUM('MDA1:NCA9'!AF$37)-SUM('MDA1:NCA9'!AF$31)-SUM('MDA1:NCA9'!AF$32)-SUM('MDA1:NCA9'!AF$34))</f>
        <v>23260.471839546066</v>
      </c>
      <c r="AG49" s="12">
        <f>'Corp.'!AG$50*(AG$37-(AG31-AG32-AG34)*$C$35)/(SUM('MDA1:NCA9'!AG$37)-SUM('MDA1:NCA9'!AG$31)-SUM('MDA1:NCA9'!AG$32)-SUM('MDA1:NCA9'!AG$34))</f>
        <v>22976.532152122585</v>
      </c>
      <c r="AH49" s="12">
        <f>'Corp.'!AH$50*(AH$37-(AH31-AH32-AH34)*$C$35)/(SUM('MDA1:NCA9'!AH$37)-SUM('MDA1:NCA9'!AH$31)-SUM('MDA1:NCA9'!AH$32)-SUM('MDA1:NCA9'!AH$34))</f>
        <v>22603.045450998201</v>
      </c>
      <c r="AI49" s="12">
        <f>'Corp.'!AI$50*(AI$37-(AI31-AI32-AI34)*$C$35)/(SUM('MDA1:NCA9'!AI$37)-SUM('MDA1:NCA9'!AI$31)-SUM('MDA1:NCA9'!AI$32)-SUM('MDA1:NCA9'!AI$34))</f>
        <v>22213.828616816445</v>
      </c>
      <c r="AJ49" s="12">
        <f>'Corp.'!AJ$50*(AJ$37-(AJ31-AJ32-AJ34)*$C$35)/(SUM('MDA1:NCA9'!AJ$37)-SUM('MDA1:NCA9'!AJ$31)-SUM('MDA1:NCA9'!AJ$32)-SUM('MDA1:NCA9'!AJ$34))</f>
        <v>21815.050997731094</v>
      </c>
      <c r="AK49" s="12">
        <f>'Corp.'!AK$50*(AK$37-(AK31-AK32-AK34)*$C$35)/(SUM('MDA1:NCA9'!AK$37)-SUM('MDA1:NCA9'!AK$31)-SUM('MDA1:NCA9'!AK$32)-SUM('MDA1:NCA9'!AK$34))</f>
        <v>21446.829438828536</v>
      </c>
      <c r="AL49" s="12">
        <f>'Corp.'!AL$50*(AL$37-(AL31-AL32-AL34)*$C$35)/(SUM('MDA1:NCA9'!AL$37)-SUM('MDA1:NCA9'!AL$31)-SUM('MDA1:NCA9'!AL$32)-SUM('MDA1:NCA9'!AL$34))</f>
        <v>21108.92697424068</v>
      </c>
      <c r="AM49" s="12">
        <f>'Corp.'!AM$50*(AM$37-(AM31-AM32-AM34)*$C$35)/(SUM('MDA1:NCA9'!AM$37)-SUM('MDA1:NCA9'!AM$31)-SUM('MDA1:NCA9'!AM$32)-SUM('MDA1:NCA9'!AM$34))</f>
        <v>20745.022866408221</v>
      </c>
      <c r="AN49" s="12">
        <f>'Corp.'!AN$50*(AN$37-(AN31-AN32-AN34)*$C$35)/(SUM('MDA1:NCA9'!AN$37)-SUM('MDA1:NCA9'!AN$31)-SUM('MDA1:NCA9'!AN$32)-SUM('MDA1:NCA9'!AN$34))</f>
        <v>20434.824344544046</v>
      </c>
    </row>
    <row r="50" spans="2:40" x14ac:dyDescent="0.25">
      <c r="B50" s="1" t="s">
        <v>272</v>
      </c>
      <c r="E50" s="13" cm="1">
        <f t="array" ref="E50:AN50">_xlfn.BYCOL(_xlfn.VSTACK(_xlfn.ANCHORARRAY(E40),_xlfn.ANCHORARRAY(E42),_xlfn.ANCHORARRAY(E43),_xlfn.ANCHORARRAY(E45),_xlfn.ANCHORARRAY(E46),_xlfn.ANCHORARRAY(E47),_xlfn.ANCHORARRAY(E48),_xlfn.HSTACK(E49:AN49)),_xlfn.LAMBDA(_xlpm.a,SUM(_xlpm.a)))</f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0</v>
      </c>
      <c r="Q50" s="13">
        <v>0</v>
      </c>
      <c r="R50" s="13">
        <v>16677.692582842803</v>
      </c>
      <c r="S50" s="13">
        <v>35362.280743509516</v>
      </c>
      <c r="T50" s="13">
        <v>42676.946400520101</v>
      </c>
      <c r="U50" s="13">
        <v>46763.183681674505</v>
      </c>
      <c r="V50" s="13">
        <v>54255.32516089901</v>
      </c>
      <c r="W50" s="13">
        <v>61261.654200457837</v>
      </c>
      <c r="X50" s="13">
        <v>68580.228135040452</v>
      </c>
      <c r="Y50" s="13">
        <v>72371.45333331218</v>
      </c>
      <c r="Z50" s="13">
        <v>79276.882091230174</v>
      </c>
      <c r="AA50" s="13">
        <v>86316.563487537016</v>
      </c>
      <c r="AB50" s="13">
        <v>89930.566767665005</v>
      </c>
      <c r="AC50" s="13">
        <v>105545.63724715935</v>
      </c>
      <c r="AD50" s="13">
        <v>113182.91553012049</v>
      </c>
      <c r="AE50" s="13">
        <v>116912.56991812594</v>
      </c>
      <c r="AF50" s="13">
        <v>116558.50986983658</v>
      </c>
      <c r="AG50" s="13">
        <v>116274.5701824131</v>
      </c>
      <c r="AH50" s="13">
        <v>115901.08348128872</v>
      </c>
      <c r="AI50" s="13">
        <v>115511.86664710696</v>
      </c>
      <c r="AJ50" s="13">
        <v>115113.08902802161</v>
      </c>
      <c r="AK50" s="13">
        <v>114744.86746911905</v>
      </c>
      <c r="AL50" s="13">
        <v>114406.96500453119</v>
      </c>
      <c r="AM50" s="13">
        <v>114043.06089669873</v>
      </c>
      <c r="AN50" s="13">
        <v>113732.86237483456</v>
      </c>
    </row>
    <row r="52" spans="2:40" x14ac:dyDescent="0.25">
      <c r="B52" s="1" t="s">
        <v>48</v>
      </c>
      <c r="E52" s="74">
        <f>E37-E50</f>
        <v>0</v>
      </c>
      <c r="F52" s="74">
        <f t="shared" ref="F52:AN52" si="0">F37-F50</f>
        <v>0</v>
      </c>
      <c r="G52" s="74">
        <f t="shared" si="0"/>
        <v>0</v>
      </c>
      <c r="H52" s="74">
        <f t="shared" si="0"/>
        <v>0</v>
      </c>
      <c r="I52" s="74">
        <f t="shared" si="0"/>
        <v>0</v>
      </c>
      <c r="J52" s="74">
        <f t="shared" si="0"/>
        <v>0</v>
      </c>
      <c r="K52" s="74">
        <f t="shared" si="0"/>
        <v>0</v>
      </c>
      <c r="L52" s="74">
        <f t="shared" si="0"/>
        <v>0</v>
      </c>
      <c r="M52" s="74">
        <f t="shared" si="0"/>
        <v>0</v>
      </c>
      <c r="N52" s="74">
        <f t="shared" si="0"/>
        <v>0</v>
      </c>
      <c r="O52" s="74">
        <f t="shared" si="0"/>
        <v>0</v>
      </c>
      <c r="P52" s="74">
        <f t="shared" si="0"/>
        <v>0</v>
      </c>
      <c r="Q52" s="74">
        <f t="shared" si="0"/>
        <v>0</v>
      </c>
      <c r="R52" s="74">
        <f t="shared" si="0"/>
        <v>-8206.5945041761352</v>
      </c>
      <c r="S52" s="74">
        <f t="shared" si="0"/>
        <v>-9948.9865075095222</v>
      </c>
      <c r="T52" s="74">
        <f t="shared" si="0"/>
        <v>-321.45600718678179</v>
      </c>
      <c r="U52" s="74">
        <f t="shared" si="0"/>
        <v>4063.4047903254832</v>
      </c>
      <c r="V52" s="74">
        <f t="shared" si="0"/>
        <v>13513.459468434332</v>
      </c>
      <c r="W52" s="74">
        <f t="shared" si="0"/>
        <v>23449.326586208801</v>
      </c>
      <c r="X52" s="74">
        <f t="shared" si="0"/>
        <v>33072.948808959525</v>
      </c>
      <c r="Y52" s="74">
        <f t="shared" si="0"/>
        <v>37752.821689354489</v>
      </c>
      <c r="Z52" s="74">
        <f t="shared" si="0"/>
        <v>47789.589088769819</v>
      </c>
      <c r="AA52" s="74">
        <f t="shared" si="0"/>
        <v>57692.103849796331</v>
      </c>
      <c r="AB52" s="74">
        <f t="shared" si="0"/>
        <v>62549.198648335005</v>
      </c>
      <c r="AC52" s="74">
        <f t="shared" si="0"/>
        <v>63876.324326173926</v>
      </c>
      <c r="AD52" s="74">
        <f t="shared" si="0"/>
        <v>73181.242200546141</v>
      </c>
      <c r="AE52" s="74">
        <f t="shared" si="0"/>
        <v>86393.783969874014</v>
      </c>
      <c r="AF52" s="74">
        <f t="shared" si="0"/>
        <v>86747.844018163378</v>
      </c>
      <c r="AG52" s="74">
        <f t="shared" si="0"/>
        <v>87031.783705586859</v>
      </c>
      <c r="AH52" s="74">
        <f t="shared" si="0"/>
        <v>87405.270406711235</v>
      </c>
      <c r="AI52" s="74">
        <f t="shared" si="0"/>
        <v>87794.487240892995</v>
      </c>
      <c r="AJ52" s="74">
        <f t="shared" si="0"/>
        <v>88193.264859978342</v>
      </c>
      <c r="AK52" s="74">
        <f t="shared" si="0"/>
        <v>88561.486418880901</v>
      </c>
      <c r="AL52" s="74">
        <f t="shared" si="0"/>
        <v>88899.388883468768</v>
      </c>
      <c r="AM52" s="74">
        <f t="shared" si="0"/>
        <v>89263.292991301219</v>
      </c>
      <c r="AN52" s="74">
        <f t="shared" si="0"/>
        <v>89573.491513165398</v>
      </c>
    </row>
    <row r="53" spans="2:40" x14ac:dyDescent="0.25">
      <c r="E53" s="105" t="str">
        <f>IFERROR(E52/E37,"")</f>
        <v/>
      </c>
      <c r="F53" s="105" t="str">
        <f t="shared" ref="F53:AN53" si="1">IFERROR(F52/F37,"")</f>
        <v/>
      </c>
      <c r="G53" s="105" t="str">
        <f t="shared" si="1"/>
        <v/>
      </c>
      <c r="H53" s="105" t="str">
        <f t="shared" si="1"/>
        <v/>
      </c>
      <c r="I53" s="105" t="str">
        <f t="shared" si="1"/>
        <v/>
      </c>
      <c r="J53" s="105" t="str">
        <f t="shared" si="1"/>
        <v/>
      </c>
      <c r="K53" s="105" t="str">
        <f t="shared" si="1"/>
        <v/>
      </c>
      <c r="L53" s="105" t="str">
        <f t="shared" si="1"/>
        <v/>
      </c>
      <c r="M53" s="105" t="str">
        <f t="shared" si="1"/>
        <v/>
      </c>
      <c r="N53" s="105" t="str">
        <f t="shared" si="1"/>
        <v/>
      </c>
      <c r="O53" s="105" t="str">
        <f t="shared" si="1"/>
        <v/>
      </c>
      <c r="P53" s="105" t="str">
        <f t="shared" si="1"/>
        <v/>
      </c>
      <c r="Q53" s="105" t="str">
        <f t="shared" si="1"/>
        <v/>
      </c>
      <c r="R53" s="105">
        <f t="shared" si="1"/>
        <v>-0.96877576294900303</v>
      </c>
      <c r="S53" s="105">
        <f t="shared" si="1"/>
        <v>-0.39148747954981672</v>
      </c>
      <c r="T53" s="105">
        <f t="shared" si="1"/>
        <v>-7.5894766936136903E-3</v>
      </c>
      <c r="U53" s="105">
        <f t="shared" si="1"/>
        <v>7.9946439697875543E-2</v>
      </c>
      <c r="V53" s="105">
        <f t="shared" si="1"/>
        <v>0.19940536845019802</v>
      </c>
      <c r="W53" s="105">
        <f t="shared" si="1"/>
        <v>0.2768156662624745</v>
      </c>
      <c r="X53" s="105">
        <f t="shared" si="1"/>
        <v>0.32535086264130419</v>
      </c>
      <c r="Y53" s="105">
        <f t="shared" si="1"/>
        <v>0.34282016096436413</v>
      </c>
      <c r="Z53" s="105">
        <f t="shared" si="1"/>
        <v>0.37609912862907774</v>
      </c>
      <c r="AA53" s="105">
        <f t="shared" si="1"/>
        <v>0.40061549708432037</v>
      </c>
      <c r="AB53" s="105">
        <f t="shared" si="1"/>
        <v>0.41021310911442149</v>
      </c>
      <c r="AC53" s="105">
        <f t="shared" si="1"/>
        <v>0.37702505467997099</v>
      </c>
      <c r="AD53" s="105">
        <f t="shared" si="1"/>
        <v>0.39267873764818895</v>
      </c>
      <c r="AE53" s="105">
        <f t="shared" si="1"/>
        <v>0.42494384615971098</v>
      </c>
      <c r="AF53" s="105">
        <f t="shared" si="1"/>
        <v>0.42668535615936604</v>
      </c>
      <c r="AG53" s="105">
        <f t="shared" si="1"/>
        <v>0.42808196616192357</v>
      </c>
      <c r="AH53" s="105">
        <f t="shared" si="1"/>
        <v>0.42991902975576546</v>
      </c>
      <c r="AI53" s="105">
        <f t="shared" si="1"/>
        <v>0.43183346492583485</v>
      </c>
      <c r="AJ53" s="105">
        <f t="shared" si="1"/>
        <v>0.43379492658927615</v>
      </c>
      <c r="AK53" s="105">
        <f t="shared" si="1"/>
        <v>0.43560609260480271</v>
      </c>
      <c r="AL53" s="105">
        <f t="shared" si="1"/>
        <v>0.43726812853297647</v>
      </c>
      <c r="AM53" s="105">
        <f t="shared" si="1"/>
        <v>0.43905805836484452</v>
      </c>
      <c r="AN53" s="105">
        <f t="shared" si="1"/>
        <v>0.44058382731368451</v>
      </c>
    </row>
    <row r="55" spans="2:40" x14ac:dyDescent="0.25">
      <c r="B55" t="s">
        <v>57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0</v>
      </c>
      <c r="D55" s="12">
        <f>C55-SUM(_xlfn.ANCHORARRAY(E55))</f>
        <v>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</row>
    <row r="56" spans="2:40" x14ac:dyDescent="0.25">
      <c r="B56" t="s">
        <v>285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0</v>
      </c>
      <c r="F56" s="90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0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0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0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0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-1270.6647118000001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-3811.9941353999989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-6353.3235589999977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-7623.9882707999977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-10165.317694400001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-12706.647117999995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-15247.976541599995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-16518.641253400001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-19059.970676999998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-21601.300100600001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-22871.964812400001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-25413.294235999991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-27954.623659599994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276</v>
      </c>
      <c r="E58" s="13">
        <f>E37-E50-E55+E56</f>
        <v>0</v>
      </c>
      <c r="F58" s="13">
        <f t="shared" ref="F58:AN58" si="2">F37-F50-F55+F56</f>
        <v>0</v>
      </c>
      <c r="G58" s="13">
        <f t="shared" si="2"/>
        <v>0</v>
      </c>
      <c r="H58" s="13">
        <f t="shared" si="2"/>
        <v>0</v>
      </c>
      <c r="I58" s="13">
        <f t="shared" si="2"/>
        <v>0</v>
      </c>
      <c r="J58" s="13">
        <f t="shared" si="2"/>
        <v>0</v>
      </c>
      <c r="K58" s="13">
        <f t="shared" si="2"/>
        <v>0</v>
      </c>
      <c r="L58" s="13">
        <f t="shared" si="2"/>
        <v>0</v>
      </c>
      <c r="M58" s="13">
        <f t="shared" si="2"/>
        <v>0</v>
      </c>
      <c r="N58" s="13">
        <f t="shared" si="2"/>
        <v>0</v>
      </c>
      <c r="O58" s="13">
        <f t="shared" si="2"/>
        <v>0</v>
      </c>
      <c r="P58" s="13">
        <f t="shared" si="2"/>
        <v>0</v>
      </c>
      <c r="Q58" s="13">
        <f t="shared" si="2"/>
        <v>0</v>
      </c>
      <c r="R58" s="13">
        <f t="shared" si="2"/>
        <v>-8206.5945041761352</v>
      </c>
      <c r="S58" s="13">
        <f t="shared" si="2"/>
        <v>-9948.9865075095222</v>
      </c>
      <c r="T58" s="13">
        <f t="shared" si="2"/>
        <v>-321.45600718678179</v>
      </c>
      <c r="U58" s="13">
        <f t="shared" si="2"/>
        <v>4063.4047903254832</v>
      </c>
      <c r="V58" s="13">
        <f t="shared" si="2"/>
        <v>13513.459468434332</v>
      </c>
      <c r="W58" s="13">
        <f t="shared" si="2"/>
        <v>22178.661874408801</v>
      </c>
      <c r="X58" s="13">
        <f t="shared" si="2"/>
        <v>29260.954673559525</v>
      </c>
      <c r="Y58" s="13">
        <f t="shared" si="2"/>
        <v>31399.498130354492</v>
      </c>
      <c r="Z58" s="13">
        <f t="shared" si="2"/>
        <v>40165.600817969818</v>
      </c>
      <c r="AA58" s="13">
        <f t="shared" si="2"/>
        <v>47526.78615539633</v>
      </c>
      <c r="AB58" s="13">
        <f t="shared" si="2"/>
        <v>49842.551530335011</v>
      </c>
      <c r="AC58" s="13">
        <f t="shared" si="2"/>
        <v>48628.347784573933</v>
      </c>
      <c r="AD58" s="13">
        <f t="shared" si="2"/>
        <v>56662.600947146144</v>
      </c>
      <c r="AE58" s="13">
        <f t="shared" si="2"/>
        <v>67333.813292874023</v>
      </c>
      <c r="AF58" s="13">
        <f t="shared" si="2"/>
        <v>65146.54391756338</v>
      </c>
      <c r="AG58" s="13">
        <f t="shared" si="2"/>
        <v>64159.818893186857</v>
      </c>
      <c r="AH58" s="13">
        <f t="shared" si="2"/>
        <v>61991.976170711248</v>
      </c>
      <c r="AI58" s="13">
        <f t="shared" si="2"/>
        <v>59839.863581293001</v>
      </c>
      <c r="AJ58" s="13">
        <f t="shared" si="2"/>
        <v>57697.311776778355</v>
      </c>
      <c r="AK58" s="13">
        <f t="shared" si="2"/>
        <v>58065.533335680913</v>
      </c>
      <c r="AL58" s="13">
        <f t="shared" si="2"/>
        <v>58403.43580026878</v>
      </c>
      <c r="AM58" s="13">
        <f t="shared" si="2"/>
        <v>58767.339908101232</v>
      </c>
      <c r="AN58" s="13">
        <f t="shared" si="2"/>
        <v>59077.538429965411</v>
      </c>
    </row>
    <row r="59" spans="2:40" x14ac:dyDescent="0.25">
      <c r="B59" t="s">
        <v>277</v>
      </c>
      <c r="E59" s="12" cm="1">
        <f t="array" ref="E59:AN59">_xlfn.SCAN(-D55,E58:AN58,_xlfn.LAMBDA(_xlpm.capex,_xlpm.fcf,_xlpm.capex+_xlpm.fcf))</f>
        <v>0</v>
      </c>
      <c r="F59" s="12">
        <v>0</v>
      </c>
      <c r="G59" s="12">
        <v>0</v>
      </c>
      <c r="H59" s="12">
        <v>0</v>
      </c>
      <c r="I59" s="12">
        <v>0</v>
      </c>
      <c r="J59" s="12">
        <v>0</v>
      </c>
      <c r="K59" s="12">
        <v>0</v>
      </c>
      <c r="L59" s="12">
        <v>0</v>
      </c>
      <c r="M59" s="12">
        <v>0</v>
      </c>
      <c r="N59" s="12">
        <v>0</v>
      </c>
      <c r="O59" s="12">
        <v>0</v>
      </c>
      <c r="P59" s="12">
        <v>0</v>
      </c>
      <c r="Q59" s="12">
        <v>0</v>
      </c>
      <c r="R59" s="12">
        <v>-8206.5945041761352</v>
      </c>
      <c r="S59" s="12">
        <v>-18155.581011685659</v>
      </c>
      <c r="T59" s="12">
        <v>-18477.037018872441</v>
      </c>
      <c r="U59" s="12">
        <v>-14413.632228546958</v>
      </c>
      <c r="V59" s="12">
        <v>-900.17276011262584</v>
      </c>
      <c r="W59" s="12">
        <v>21278.489114296175</v>
      </c>
      <c r="X59" s="12">
        <v>50539.4437878557</v>
      </c>
      <c r="Y59" s="12">
        <v>81938.941918210185</v>
      </c>
      <c r="Z59" s="12">
        <v>122104.54273618001</v>
      </c>
      <c r="AA59" s="12">
        <v>169631.32889157633</v>
      </c>
      <c r="AB59" s="12">
        <v>219473.88042191134</v>
      </c>
      <c r="AC59" s="12">
        <v>268102.22820648528</v>
      </c>
      <c r="AD59" s="12">
        <v>324764.82915363141</v>
      </c>
      <c r="AE59" s="12">
        <v>392098.64244650543</v>
      </c>
      <c r="AF59" s="12">
        <v>457245.18636406882</v>
      </c>
      <c r="AG59" s="12">
        <v>521405.00525725569</v>
      </c>
      <c r="AH59" s="12">
        <v>583396.98142796697</v>
      </c>
      <c r="AI59" s="12">
        <v>643236.84500926</v>
      </c>
      <c r="AJ59" s="12">
        <v>700934.15678603831</v>
      </c>
      <c r="AK59" s="12">
        <v>758999.69012171926</v>
      </c>
      <c r="AL59" s="12">
        <v>817403.12592198804</v>
      </c>
      <c r="AM59" s="12">
        <v>876170.46583008929</v>
      </c>
      <c r="AN59" s="12">
        <v>935248.00426005467</v>
      </c>
    </row>
    <row r="61" spans="2:40" x14ac:dyDescent="0.25">
      <c r="B61" s="1" t="s">
        <v>302</v>
      </c>
    </row>
    <row r="63" spans="2:40" x14ac:dyDescent="0.25">
      <c r="B63" s="39" t="s">
        <v>103</v>
      </c>
      <c r="E63" s="12" cm="1">
        <f t="array" ref="E63:AN63">_xlfn.LET(_xlpm.site,$B$1&amp;"-"&amp;$C$1,_xlpm.locations,Base!$D$4:$BD$4,_xlpm.rates,Base!$D$36:$BD$36,_xlpm.hours,Base!$D$79:$BD$79,_xlpm.comp,_xlpm.rates*_xlpm.hours,_xlpm.Customer,_xlfn.ANCHORARRAY($E$1),
_xlpm.Customer_comp,_xlfn.XLOOKUP(_xlpm.site,_xlpm.locations,_xlpm.comp,0,0),_xlpm.ann_incr,_xlfn.XLOOKUP(YEAR(_xlfn.ANCHORARRAY($E$25)),Base!$BJ$4:$BL$4,Base!$BJ$79:$BL$79,0,0),
_xlpm.bad_debt,_xlfn.XLOOKUP(_xlpm.site,_xlpm.locations,Base!$D$28:$BD$28,0,0),_xlpm.Customer_comp*_xlpm.Customer*_xlpm.bad_debt*_xlpm.ann_incr*(52/12)*(1-$C$35))</f>
        <v>0</v>
      </c>
      <c r="F63" s="12">
        <v>0</v>
      </c>
      <c r="G63" s="12">
        <v>0</v>
      </c>
      <c r="H63" s="12">
        <v>0</v>
      </c>
      <c r="I63" s="12">
        <v>0</v>
      </c>
      <c r="J63" s="12">
        <v>0</v>
      </c>
      <c r="K63" s="12">
        <v>0</v>
      </c>
      <c r="L63" s="12">
        <v>0</v>
      </c>
      <c r="M63" s="12">
        <v>0</v>
      </c>
      <c r="N63" s="12">
        <v>0</v>
      </c>
      <c r="O63" s="12">
        <v>0</v>
      </c>
      <c r="P63" s="12">
        <v>0</v>
      </c>
      <c r="Q63" s="12">
        <v>0</v>
      </c>
      <c r="R63" s="12">
        <v>0</v>
      </c>
      <c r="S63" s="12">
        <v>0</v>
      </c>
      <c r="T63" s="12">
        <v>0</v>
      </c>
      <c r="U63" s="12">
        <v>0</v>
      </c>
      <c r="V63" s="12">
        <v>0</v>
      </c>
      <c r="W63" s="12">
        <v>0</v>
      </c>
      <c r="X63" s="12">
        <v>0</v>
      </c>
      <c r="Y63" s="12">
        <v>0</v>
      </c>
      <c r="Z63" s="12">
        <v>0</v>
      </c>
      <c r="AA63" s="12">
        <v>0</v>
      </c>
      <c r="AB63" s="12">
        <v>0</v>
      </c>
      <c r="AC63" s="12">
        <v>0</v>
      </c>
      <c r="AD63" s="12">
        <v>0</v>
      </c>
      <c r="AE63" s="12">
        <v>0</v>
      </c>
      <c r="AF63" s="12">
        <v>0</v>
      </c>
      <c r="AG63" s="12">
        <v>0</v>
      </c>
      <c r="AH63" s="12">
        <v>0</v>
      </c>
      <c r="AI63" s="12">
        <v>0</v>
      </c>
      <c r="AJ63" s="12">
        <v>0</v>
      </c>
      <c r="AK63" s="12">
        <v>0</v>
      </c>
      <c r="AL63" s="12">
        <v>0</v>
      </c>
      <c r="AM63" s="12">
        <v>0</v>
      </c>
      <c r="AN63" s="12">
        <v>0</v>
      </c>
    </row>
    <row r="64" spans="2:40" x14ac:dyDescent="0.25">
      <c r="B64" s="39" t="s">
        <v>104</v>
      </c>
      <c r="E64" s="12" cm="1">
        <f t="array" ref="E64:AN64">_xlfn.LET(_xlpm.site,$B$1&amp;"-"&amp;$C$1,_xlpm.locations,Base!$D$4:$BD$4,_xlpm.rates,Base!$D$37:$BD$37,_xlpm.hours,Base!$D$80:$BD$80,_xlpm.comp,_xlpm.rates*_xlpm.hours,_xlpm.Customer,_xlfn.ANCHORARRAY($E$1),
_xlpm.Customer_comp,_xlfn.XLOOKUP(_xlpm.site,_xlpm.locations,_xlpm.comp,0,0),_xlpm.ann_incr,_xlfn.XLOOKUP(YEAR(_xlfn.ANCHORARRAY($E$25)),Base!$BJ$4:$BL$4,Base!$BJ$80:$BL$80,0,0),
_xlpm.bad_debt,_xlfn.XLOOKUP(_xlpm.site,_xlpm.locations,Base!$D$28:$BD$28,0,0),_xlpm.Customer_comp*_xlpm.Customer*_xlpm.bad_debt*_xlpm.ann_incr*(52/12)*(1-$C$35))</f>
        <v>0</v>
      </c>
      <c r="F64" s="12">
        <v>0</v>
      </c>
      <c r="G64" s="12">
        <v>0</v>
      </c>
      <c r="H64" s="12">
        <v>0</v>
      </c>
      <c r="I64" s="12">
        <v>0</v>
      </c>
      <c r="J64" s="12">
        <v>0</v>
      </c>
      <c r="K64" s="12">
        <v>0</v>
      </c>
      <c r="L64" s="12">
        <v>0</v>
      </c>
      <c r="M64" s="12">
        <v>0</v>
      </c>
      <c r="N64" s="12">
        <v>0</v>
      </c>
      <c r="O64" s="12">
        <v>0</v>
      </c>
      <c r="P64" s="12">
        <v>0</v>
      </c>
      <c r="Q64" s="12">
        <v>0</v>
      </c>
      <c r="R64" s="12">
        <v>0</v>
      </c>
      <c r="S64" s="12">
        <v>0</v>
      </c>
      <c r="T64" s="12">
        <v>0</v>
      </c>
      <c r="U64" s="12">
        <v>0</v>
      </c>
      <c r="V64" s="12">
        <v>0</v>
      </c>
      <c r="W64" s="12">
        <v>0</v>
      </c>
      <c r="X64" s="12">
        <v>0</v>
      </c>
      <c r="Y64" s="12">
        <v>0</v>
      </c>
      <c r="Z64" s="12">
        <v>0</v>
      </c>
      <c r="AA64" s="12">
        <v>0</v>
      </c>
      <c r="AB64" s="12">
        <v>0</v>
      </c>
      <c r="AC64" s="12">
        <v>0</v>
      </c>
      <c r="AD64" s="12">
        <v>0</v>
      </c>
      <c r="AE64" s="12">
        <v>0</v>
      </c>
      <c r="AF64" s="12">
        <v>0</v>
      </c>
      <c r="AG64" s="12">
        <v>0</v>
      </c>
      <c r="AH64" s="12">
        <v>0</v>
      </c>
      <c r="AI64" s="12">
        <v>0</v>
      </c>
      <c r="AJ64" s="12">
        <v>0</v>
      </c>
      <c r="AK64" s="12">
        <v>0</v>
      </c>
      <c r="AL64" s="12">
        <v>0</v>
      </c>
      <c r="AM64" s="12">
        <v>0</v>
      </c>
      <c r="AN64" s="12">
        <v>0</v>
      </c>
    </row>
    <row r="65" spans="2:40" x14ac:dyDescent="0.25">
      <c r="B65" s="39" t="s">
        <v>56</v>
      </c>
      <c r="E65" s="12" cm="1">
        <f t="array" ref="E65:AN65">_xlfn.LET(_xlpm.site,$B$1&amp;"-"&amp;$C$1,_xlpm.locations,Base!$D$4:$BD$4,_xlpm.rates,Base!$D$39:$BD$39,_xlpm.hours,Base!$D$82:$BD$82,_xlpm.comp,_xlpm.rates*_xlpm.hours,_xlpm.Customer,_xlfn.ANCHORARRAY($E$1),
_xlpm.Customer_comp,_xlfn.XLOOKUP(_xlpm.site,_xlpm.locations,_xlpm.comp,0,0),_xlpm.ann_incr,_xlfn.XLOOKUP(YEAR(_xlfn.ANCHORARRAY($E$25)),Base!$BJ$4:$BL$4,Base!$BJ$82:$BL$82,0,0),
_xlpm.bad_debt,_xlfn.XLOOKUP(_xlpm.site,_xlpm.locations,Base!$D$28:$BD$28,0,0),_xlpm.Customer_comp*_xlpm.Customer*_xlpm.bad_debt*_xlpm.ann_incr*(52/12)*(1-$C$35))</f>
        <v>0</v>
      </c>
      <c r="F65" s="12">
        <v>0</v>
      </c>
      <c r="G65" s="12">
        <v>0</v>
      </c>
      <c r="H65" s="12">
        <v>0</v>
      </c>
      <c r="I65" s="12">
        <v>0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  <c r="O65" s="12">
        <v>0</v>
      </c>
      <c r="P65" s="12">
        <v>0</v>
      </c>
      <c r="Q65" s="12">
        <v>0</v>
      </c>
      <c r="R65" s="12">
        <v>0</v>
      </c>
      <c r="S65" s="12">
        <v>0</v>
      </c>
      <c r="T65" s="12">
        <v>0</v>
      </c>
      <c r="U65" s="12">
        <v>0</v>
      </c>
      <c r="V65" s="12">
        <v>0</v>
      </c>
      <c r="W65" s="12">
        <v>0</v>
      </c>
      <c r="X65" s="12">
        <v>0</v>
      </c>
      <c r="Y65" s="12">
        <v>0</v>
      </c>
      <c r="Z65" s="12">
        <v>0</v>
      </c>
      <c r="AA65" s="12">
        <v>0</v>
      </c>
      <c r="AB65" s="12">
        <v>0</v>
      </c>
      <c r="AC65" s="12">
        <v>0</v>
      </c>
      <c r="AD65" s="12">
        <v>0</v>
      </c>
      <c r="AE65" s="12">
        <v>0</v>
      </c>
      <c r="AF65" s="12">
        <v>0</v>
      </c>
      <c r="AG65" s="12">
        <v>0</v>
      </c>
      <c r="AH65" s="12">
        <v>0</v>
      </c>
      <c r="AI65" s="12">
        <v>0</v>
      </c>
      <c r="AJ65" s="12">
        <v>0</v>
      </c>
      <c r="AK65" s="12">
        <v>0</v>
      </c>
      <c r="AL65" s="12">
        <v>0</v>
      </c>
      <c r="AM65" s="12">
        <v>0</v>
      </c>
      <c r="AN65" s="12">
        <v>0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303</v>
      </c>
      <c r="C67" s="12"/>
      <c r="E67" s="13" cm="1">
        <f t="array" ref="E67:AN67">_xlfn.BYCOL(_xlfn.VSTACK(_xlfn.ANCHORARRAY($E$63),_xlfn.ANCHORARRAY($E$64),_xlfn.ANCHORARRAY($E$65)),_xlfn.LAMBDA(_xlpm.a,SUM(_xlpm.a)))</f>
        <v>0</v>
      </c>
      <c r="F67" s="13">
        <v>0</v>
      </c>
      <c r="G67" s="13">
        <v>0</v>
      </c>
      <c r="H67" s="13">
        <v>0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  <c r="W67" s="13">
        <v>0</v>
      </c>
      <c r="X67" s="13">
        <v>0</v>
      </c>
      <c r="Y67" s="13">
        <v>0</v>
      </c>
      <c r="Z67" s="13">
        <v>0</v>
      </c>
      <c r="AA67" s="13">
        <v>0</v>
      </c>
      <c r="AB67" s="13">
        <v>0</v>
      </c>
      <c r="AC67" s="13">
        <v>0</v>
      </c>
      <c r="AD67" s="13">
        <v>0</v>
      </c>
      <c r="AE67" s="13">
        <v>0</v>
      </c>
      <c r="AF67" s="13">
        <v>0</v>
      </c>
      <c r="AG67" s="13">
        <v>0</v>
      </c>
      <c r="AH67" s="13">
        <v>0</v>
      </c>
      <c r="AI67" s="13">
        <v>0</v>
      </c>
      <c r="AJ67" s="13">
        <v>0</v>
      </c>
      <c r="AK67" s="13">
        <v>0</v>
      </c>
      <c r="AL67" s="13">
        <v>0</v>
      </c>
      <c r="AM67" s="13">
        <v>0</v>
      </c>
      <c r="AN67" s="13">
        <v>0</v>
      </c>
    </row>
    <row r="68" spans="2:40" x14ac:dyDescent="0.25">
      <c r="B68" s="39"/>
      <c r="C68" s="12"/>
    </row>
    <row r="69" spans="2:40" x14ac:dyDescent="0.25">
      <c r="B69" s="39" t="s">
        <v>304</v>
      </c>
      <c r="C69" s="12"/>
      <c r="E69" s="106" cm="1">
        <f t="array" ref="E69:AN70">_xlfn.LET(_xlpm.Customer_staff,_xlfn._xlws.FILTER(Base!$D$96:$BD$97,ISNUMBER(SEARCH($B$1&amp;"-"&amp;$C$1,Base!$D$4:$BD$4))),_xlpm.Customer,_xlfn.ANCHORARRAY($E$1),_xlpm.headcount,_xlpm.Customer/_xlpm.Customer_staff,
_xlpm.rounding,_xlfn.VSTACK(0,0),IFERROR(ROUND(_xlpm.headcount,_xlpm.rounding),0))</f>
        <v>0</v>
      </c>
      <c r="F69" s="106">
        <v>0</v>
      </c>
      <c r="G69" s="106">
        <v>0</v>
      </c>
      <c r="H69" s="106">
        <v>0</v>
      </c>
      <c r="I69" s="106">
        <v>0</v>
      </c>
      <c r="J69" s="106">
        <v>0</v>
      </c>
      <c r="K69" s="106">
        <v>0</v>
      </c>
      <c r="L69" s="106">
        <v>0</v>
      </c>
      <c r="M69" s="106">
        <v>0</v>
      </c>
      <c r="N69" s="106">
        <v>0</v>
      </c>
      <c r="O69" s="106">
        <v>0</v>
      </c>
      <c r="P69" s="106">
        <v>0</v>
      </c>
      <c r="Q69" s="106">
        <v>0</v>
      </c>
      <c r="R69" s="106">
        <v>0</v>
      </c>
      <c r="S69" s="106">
        <v>0</v>
      </c>
      <c r="T69" s="106">
        <v>0</v>
      </c>
      <c r="U69" s="106">
        <v>0</v>
      </c>
      <c r="V69" s="106">
        <v>0</v>
      </c>
      <c r="W69" s="106">
        <v>0</v>
      </c>
      <c r="X69" s="106">
        <v>0</v>
      </c>
      <c r="Y69" s="106">
        <v>0</v>
      </c>
      <c r="Z69" s="106">
        <v>0</v>
      </c>
      <c r="AA69" s="106">
        <v>0</v>
      </c>
      <c r="AB69" s="106">
        <v>0</v>
      </c>
      <c r="AC69" s="106">
        <v>0</v>
      </c>
      <c r="AD69" s="106">
        <v>0</v>
      </c>
      <c r="AE69" s="106">
        <v>0</v>
      </c>
      <c r="AF69" s="106">
        <v>0</v>
      </c>
      <c r="AG69" s="106">
        <v>0</v>
      </c>
      <c r="AH69" s="106">
        <v>0</v>
      </c>
      <c r="AI69" s="106">
        <v>0</v>
      </c>
      <c r="AJ69" s="106">
        <v>0</v>
      </c>
      <c r="AK69" s="106">
        <v>0</v>
      </c>
      <c r="AL69" s="106">
        <v>0</v>
      </c>
      <c r="AM69" s="106">
        <v>0</v>
      </c>
      <c r="AN69" s="106">
        <v>0</v>
      </c>
    </row>
    <row r="70" spans="2:40" x14ac:dyDescent="0.25">
      <c r="B70" s="39" t="s">
        <v>305</v>
      </c>
      <c r="C70" s="12"/>
      <c r="E70" s="106">
        <v>0</v>
      </c>
      <c r="F70" s="106">
        <v>0</v>
      </c>
      <c r="G70" s="106">
        <v>0</v>
      </c>
      <c r="H70" s="106">
        <v>0</v>
      </c>
      <c r="I70" s="106">
        <v>0</v>
      </c>
      <c r="J70" s="106">
        <v>0</v>
      </c>
      <c r="K70" s="106">
        <v>0</v>
      </c>
      <c r="L70" s="106">
        <v>0</v>
      </c>
      <c r="M70" s="106">
        <v>0</v>
      </c>
      <c r="N70" s="106">
        <v>0</v>
      </c>
      <c r="O70" s="106">
        <v>0</v>
      </c>
      <c r="P70" s="106">
        <v>0</v>
      </c>
      <c r="Q70" s="106">
        <v>0</v>
      </c>
      <c r="R70" s="106">
        <v>0</v>
      </c>
      <c r="S70" s="106">
        <v>0</v>
      </c>
      <c r="T70" s="106">
        <v>0</v>
      </c>
      <c r="U70" s="106">
        <v>0</v>
      </c>
      <c r="V70" s="106">
        <v>0</v>
      </c>
      <c r="W70" s="106">
        <v>0</v>
      </c>
      <c r="X70" s="106">
        <v>0</v>
      </c>
      <c r="Y70" s="106">
        <v>0</v>
      </c>
      <c r="Z70" s="106">
        <v>0</v>
      </c>
      <c r="AA70" s="106">
        <v>0</v>
      </c>
      <c r="AB70" s="106">
        <v>0</v>
      </c>
      <c r="AC70" s="106">
        <v>0</v>
      </c>
      <c r="AD70" s="106">
        <v>0</v>
      </c>
      <c r="AE70" s="106">
        <v>0</v>
      </c>
      <c r="AF70" s="106">
        <v>0</v>
      </c>
      <c r="AG70" s="106">
        <v>0</v>
      </c>
      <c r="AH70" s="106">
        <v>0</v>
      </c>
      <c r="AI70" s="106">
        <v>0</v>
      </c>
      <c r="AJ70" s="106">
        <v>0</v>
      </c>
      <c r="AK70" s="106">
        <v>0</v>
      </c>
      <c r="AL70" s="106">
        <v>0</v>
      </c>
      <c r="AM70" s="106">
        <v>0</v>
      </c>
      <c r="AN70" s="106">
        <v>0</v>
      </c>
    </row>
    <row r="71" spans="2:40" x14ac:dyDescent="0.25">
      <c r="B71" s="39"/>
      <c r="C71" s="12"/>
    </row>
    <row r="72" spans="2:40" x14ac:dyDescent="0.25">
      <c r="B72" s="39" t="s">
        <v>23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0</v>
      </c>
      <c r="F72" s="12">
        <v>0</v>
      </c>
      <c r="G72" s="12">
        <v>0</v>
      </c>
      <c r="H72" s="12">
        <v>0</v>
      </c>
      <c r="I72" s="12">
        <v>0</v>
      </c>
      <c r="J72" s="12">
        <v>0</v>
      </c>
      <c r="K72" s="12">
        <v>0</v>
      </c>
      <c r="L72" s="12">
        <v>0</v>
      </c>
      <c r="M72" s="12">
        <v>0</v>
      </c>
      <c r="N72" s="12">
        <v>0</v>
      </c>
      <c r="O72" s="12">
        <v>0</v>
      </c>
      <c r="P72" s="12">
        <v>0</v>
      </c>
      <c r="Q72" s="12">
        <v>0</v>
      </c>
      <c r="R72" s="12">
        <v>1.1537294382039608E-3</v>
      </c>
      <c r="S72" s="12">
        <v>3.4611883146118826E-3</v>
      </c>
      <c r="T72" s="12">
        <v>5.768647191019805E-3</v>
      </c>
      <c r="U72" s="12">
        <v>6.9223766292237652E-3</v>
      </c>
      <c r="V72" s="12">
        <v>9.2298355056316863E-3</v>
      </c>
      <c r="W72" s="12">
        <v>1.153729438203961E-2</v>
      </c>
      <c r="X72" s="12">
        <v>1.384475325844753E-2</v>
      </c>
      <c r="Y72" s="12">
        <v>1.499848269665149E-2</v>
      </c>
      <c r="Z72" s="12">
        <v>1.7305941573059418E-2</v>
      </c>
      <c r="AA72" s="12">
        <v>1.9613400449467334E-2</v>
      </c>
      <c r="AB72" s="12">
        <v>2.0767129887671303E-2</v>
      </c>
      <c r="AC72" s="12">
        <v>2.5382047640487147E-2</v>
      </c>
      <c r="AD72" s="12">
        <v>2.7920252404535863E-2</v>
      </c>
      <c r="AE72" s="12">
        <v>3.0458457168584575E-2</v>
      </c>
      <c r="AF72" s="12">
        <v>3.0458457168584575E-2</v>
      </c>
      <c r="AG72" s="12">
        <v>3.0458457168584575E-2</v>
      </c>
      <c r="AH72" s="12">
        <v>3.0458457168584575E-2</v>
      </c>
      <c r="AI72" s="12">
        <v>3.0458457168584575E-2</v>
      </c>
      <c r="AJ72" s="12">
        <v>3.0458457168584575E-2</v>
      </c>
      <c r="AK72" s="12">
        <v>3.0458457168584575E-2</v>
      </c>
      <c r="AL72" s="12">
        <v>3.0458457168584575E-2</v>
      </c>
      <c r="AM72" s="12">
        <v>3.0458457168584575E-2</v>
      </c>
      <c r="AN72" s="12">
        <v>3.0458457168584575E-2</v>
      </c>
    </row>
    <row r="73" spans="2:40" x14ac:dyDescent="0.25">
      <c r="B73" s="39" t="s">
        <v>24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306</v>
      </c>
      <c r="E75" s="74" cm="1">
        <f t="array" ref="E75:AN75">_xlfn.ANCHORARRAY(E67)-_xlfn.ANCHORARRAY(E72)-_xlfn.ANCHORARRAY(E73)</f>
        <v>0</v>
      </c>
      <c r="F75" s="74">
        <v>0</v>
      </c>
      <c r="G75" s="74">
        <v>0</v>
      </c>
      <c r="H75" s="74">
        <v>0</v>
      </c>
      <c r="I75" s="74">
        <v>0</v>
      </c>
      <c r="J75" s="74">
        <v>0</v>
      </c>
      <c r="K75" s="74">
        <v>0</v>
      </c>
      <c r="L75" s="74">
        <v>0</v>
      </c>
      <c r="M75" s="74">
        <v>0</v>
      </c>
      <c r="N75" s="74">
        <v>0</v>
      </c>
      <c r="O75" s="74">
        <v>0</v>
      </c>
      <c r="P75" s="74">
        <v>0</v>
      </c>
      <c r="Q75" s="74">
        <v>0</v>
      </c>
      <c r="R75" s="74">
        <v>-1.1537294382039608E-3</v>
      </c>
      <c r="S75" s="74">
        <v>-3.4611883146118826E-3</v>
      </c>
      <c r="T75" s="74">
        <v>-5.768647191019805E-3</v>
      </c>
      <c r="U75" s="74">
        <v>-6.9223766292237652E-3</v>
      </c>
      <c r="V75" s="74">
        <v>-9.2298355056316863E-3</v>
      </c>
      <c r="W75" s="74">
        <v>-1.153729438203961E-2</v>
      </c>
      <c r="X75" s="74">
        <v>-1.384475325844753E-2</v>
      </c>
      <c r="Y75" s="74">
        <v>-1.499848269665149E-2</v>
      </c>
      <c r="Z75" s="74">
        <v>-1.7305941573059418E-2</v>
      </c>
      <c r="AA75" s="74">
        <v>-1.9613400449467334E-2</v>
      </c>
      <c r="AB75" s="74">
        <v>-2.0767129887671303E-2</v>
      </c>
      <c r="AC75" s="74">
        <v>-2.5382047640487147E-2</v>
      </c>
      <c r="AD75" s="74">
        <v>-2.7920252404535863E-2</v>
      </c>
      <c r="AE75" s="74">
        <v>-3.0458457168584575E-2</v>
      </c>
      <c r="AF75" s="74">
        <v>-3.0458457168584575E-2</v>
      </c>
      <c r="AG75" s="74">
        <v>-3.0458457168584575E-2</v>
      </c>
      <c r="AH75" s="74">
        <v>-3.0458457168584575E-2</v>
      </c>
      <c r="AI75" s="74">
        <v>-3.0458457168584575E-2</v>
      </c>
      <c r="AJ75" s="74">
        <v>-3.0458457168584575E-2</v>
      </c>
      <c r="AK75" s="74">
        <v>-3.0458457168584575E-2</v>
      </c>
      <c r="AL75" s="74">
        <v>-3.0458457168584575E-2</v>
      </c>
      <c r="AM75" s="74">
        <v>-3.0458457168584575E-2</v>
      </c>
      <c r="AN75" s="74">
        <v>-3.0458457168584575E-2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44241-A1EE-41A7-8BAF-3AC3169DA28A}">
  <dimension ref="A1:AX75"/>
  <sheetViews>
    <sheetView workbookViewId="0">
      <pane xSplit="4" ySplit="25" topLeftCell="E38" activePane="bottomRight" state="frozen"/>
      <selection activeCell="E63" sqref="E63:E65"/>
      <selection pane="topRight" activeCell="E63" sqref="E63:E65"/>
      <selection pane="bottomLeft" activeCell="E63" sqref="E63:E65"/>
      <selection pane="bottomRight" activeCell="E63" sqref="E63:E65"/>
    </sheetView>
  </sheetViews>
  <sheetFormatPr defaultRowHeight="15" outlineLevelRow="1" x14ac:dyDescent="0.25"/>
  <cols>
    <col min="2" max="2" width="24.5703125" bestFit="1" customWidth="1"/>
    <col min="3" max="3" width="11.5703125" bestFit="1" customWidth="1"/>
    <col min="4" max="4" width="10" bestFit="1" customWidth="1"/>
    <col min="5" max="5" width="11.42578125" bestFit="1" customWidth="1"/>
    <col min="6" max="6" width="11.7109375" bestFit="1" customWidth="1"/>
    <col min="7" max="13" width="12.28515625" bestFit="1" customWidth="1"/>
    <col min="14" max="18" width="11.5703125" bestFit="1" customWidth="1"/>
    <col min="19" max="40" width="12.5703125" bestFit="1" customWidth="1"/>
  </cols>
  <sheetData>
    <row r="1" spans="1:40" x14ac:dyDescent="0.25">
      <c r="A1" s="96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>2027</v>
      </c>
      <c r="B1" s="58" t="s">
        <v>67</v>
      </c>
      <c r="C1" s="16" t="s">
        <v>61</v>
      </c>
      <c r="D1" s="3" t="s">
        <v>307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IFERROR(_xlpm.kiddos,0))</f>
        <v>0</v>
      </c>
      <c r="F1" s="69">
        <v>0</v>
      </c>
      <c r="G1" s="69">
        <v>0</v>
      </c>
      <c r="H1" s="69">
        <v>0</v>
      </c>
      <c r="I1" s="69">
        <v>0</v>
      </c>
      <c r="J1" s="69">
        <v>0</v>
      </c>
      <c r="K1" s="69">
        <v>0</v>
      </c>
      <c r="L1" s="69">
        <v>0</v>
      </c>
      <c r="M1" s="69">
        <v>0</v>
      </c>
      <c r="N1" s="69">
        <v>0</v>
      </c>
      <c r="O1" s="69">
        <v>0</v>
      </c>
      <c r="P1" s="69">
        <v>0</v>
      </c>
      <c r="Q1" s="69">
        <v>0</v>
      </c>
      <c r="R1" s="69">
        <v>0</v>
      </c>
      <c r="S1" s="69">
        <v>3</v>
      </c>
      <c r="T1" s="69">
        <v>6</v>
      </c>
      <c r="U1" s="69">
        <v>9</v>
      </c>
      <c r="V1" s="69">
        <v>12</v>
      </c>
      <c r="W1" s="69">
        <v>15</v>
      </c>
      <c r="X1" s="69">
        <v>18</v>
      </c>
      <c r="Y1" s="69">
        <v>21</v>
      </c>
      <c r="Z1" s="69">
        <v>24</v>
      </c>
      <c r="AA1" s="69">
        <v>27</v>
      </c>
      <c r="AB1" s="69">
        <v>30</v>
      </c>
      <c r="AC1" s="69">
        <v>33</v>
      </c>
      <c r="AD1" s="69">
        <v>36</v>
      </c>
      <c r="AE1" s="69">
        <v>39</v>
      </c>
      <c r="AF1" s="69">
        <v>42</v>
      </c>
      <c r="AG1" s="69">
        <v>42</v>
      </c>
      <c r="AH1" s="69">
        <v>42</v>
      </c>
      <c r="AI1" s="69">
        <v>42</v>
      </c>
      <c r="AJ1" s="69">
        <v>42</v>
      </c>
      <c r="AK1" s="69">
        <v>42</v>
      </c>
      <c r="AL1" s="69">
        <v>42</v>
      </c>
      <c r="AM1" s="69">
        <v>42</v>
      </c>
      <c r="AN1" s="69">
        <v>42</v>
      </c>
    </row>
    <row r="2" spans="1:40" x14ac:dyDescent="0.25">
      <c r="A2" s="65"/>
      <c r="B2" s="3" t="str">
        <f>_xlfn.XLOOKUP($B$1&amp;"-"&amp;$C$1,Base!$D$4:$BD$4,Base!$D$2:$BD$2,"",0)</f>
        <v>New Jersey</v>
      </c>
      <c r="C2" s="55"/>
      <c r="D2" s="55" t="s">
        <v>259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0</v>
      </c>
      <c r="F2" s="69">
        <v>0</v>
      </c>
      <c r="G2" s="69">
        <v>0</v>
      </c>
      <c r="H2" s="69">
        <v>0</v>
      </c>
      <c r="I2" s="69">
        <v>0</v>
      </c>
      <c r="J2" s="69">
        <v>0</v>
      </c>
      <c r="K2" s="69">
        <v>0</v>
      </c>
      <c r="L2" s="69">
        <v>0</v>
      </c>
      <c r="M2" s="69">
        <v>0</v>
      </c>
      <c r="N2" s="69">
        <v>0</v>
      </c>
      <c r="O2" s="69">
        <v>0</v>
      </c>
      <c r="P2" s="69">
        <v>0</v>
      </c>
      <c r="Q2" s="69">
        <v>0</v>
      </c>
      <c r="R2" s="69">
        <v>0</v>
      </c>
      <c r="S2" s="69">
        <v>0</v>
      </c>
      <c r="T2" s="69">
        <v>3.1666666666666665</v>
      </c>
      <c r="U2" s="69">
        <v>3.3333333333333335</v>
      </c>
      <c r="V2" s="69">
        <v>3.5</v>
      </c>
      <c r="W2" s="69">
        <v>3.6666666666666665</v>
      </c>
      <c r="X2" s="69">
        <v>3.8333333333333335</v>
      </c>
      <c r="Y2" s="69">
        <v>4</v>
      </c>
      <c r="Z2" s="69">
        <v>4.166666666666667</v>
      </c>
      <c r="AA2" s="69">
        <v>4.333333333333333</v>
      </c>
      <c r="AB2" s="69">
        <v>4.5</v>
      </c>
      <c r="AC2" s="69">
        <v>4.666666666666667</v>
      </c>
      <c r="AD2" s="69">
        <v>4.833333333333333</v>
      </c>
      <c r="AE2" s="69">
        <v>5</v>
      </c>
      <c r="AF2" s="69">
        <v>2.1666666666666665</v>
      </c>
      <c r="AG2" s="69">
        <v>2.3333333333333335</v>
      </c>
      <c r="AH2" s="69">
        <v>2.5</v>
      </c>
      <c r="AI2" s="69">
        <v>2.6666666666666665</v>
      </c>
      <c r="AJ2" s="69">
        <v>2.8333333333333335</v>
      </c>
      <c r="AK2" s="69">
        <v>3</v>
      </c>
      <c r="AL2" s="69">
        <v>3.1666666666666665</v>
      </c>
      <c r="AM2" s="69">
        <v>3.3333333333333335</v>
      </c>
      <c r="AN2" s="69">
        <v>3.5</v>
      </c>
    </row>
    <row r="3" spans="1:40" x14ac:dyDescent="0.25">
      <c r="A3" s="65"/>
      <c r="B3" s="55"/>
      <c r="C3" s="55"/>
      <c r="D3" s="55" t="s">
        <v>62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_xlpm.months_since,DATEDIF(_xlpm.launchdate,_xlfn.ANCHORARRAY($E$25),"m"),_xlfn.BYCOL(_xlpm.months_since,_xlfn.LAMBDA(_xlpm.a,IFERROR(MIN(_xlpm.a/6,_xlpm.max_kiddos),0))))</f>
        <v>0</v>
      </c>
      <c r="F3" s="69">
        <v>0</v>
      </c>
      <c r="G3" s="69">
        <v>0</v>
      </c>
      <c r="H3" s="69">
        <v>0</v>
      </c>
      <c r="I3" s="69">
        <v>0</v>
      </c>
      <c r="J3" s="69">
        <v>0</v>
      </c>
      <c r="K3" s="69">
        <v>0</v>
      </c>
      <c r="L3" s="69">
        <v>0</v>
      </c>
      <c r="M3" s="69">
        <v>0</v>
      </c>
      <c r="N3" s="69">
        <v>0</v>
      </c>
      <c r="O3" s="69">
        <v>0</v>
      </c>
      <c r="P3" s="69">
        <v>0</v>
      </c>
      <c r="Q3" s="69">
        <v>0</v>
      </c>
      <c r="R3" s="69">
        <v>0</v>
      </c>
      <c r="S3" s="69">
        <v>0</v>
      </c>
      <c r="T3" s="69">
        <v>0.16666666666666666</v>
      </c>
      <c r="U3" s="69">
        <v>0.33333333333333331</v>
      </c>
      <c r="V3" s="69">
        <v>0.5</v>
      </c>
      <c r="W3" s="69">
        <v>0.66666666666666663</v>
      </c>
      <c r="X3" s="69">
        <v>0.83333333333333337</v>
      </c>
      <c r="Y3" s="69">
        <v>1</v>
      </c>
      <c r="Z3" s="69">
        <v>1.1666666666666667</v>
      </c>
      <c r="AA3" s="69">
        <v>1.3333333333333333</v>
      </c>
      <c r="AB3" s="69">
        <v>1.5</v>
      </c>
      <c r="AC3" s="69">
        <v>1.6666666666666667</v>
      </c>
      <c r="AD3" s="69">
        <v>1.8333333333333333</v>
      </c>
      <c r="AE3" s="69">
        <v>2</v>
      </c>
      <c r="AF3" s="69">
        <v>2.1666666666666665</v>
      </c>
      <c r="AG3" s="69">
        <v>2.3333333333333335</v>
      </c>
      <c r="AH3" s="69">
        <v>2.5</v>
      </c>
      <c r="AI3" s="69">
        <v>2.6666666666666665</v>
      </c>
      <c r="AJ3" s="69">
        <v>2.8333333333333335</v>
      </c>
      <c r="AK3" s="69">
        <v>3</v>
      </c>
      <c r="AL3" s="69">
        <v>3.1666666666666665</v>
      </c>
      <c r="AM3" s="69">
        <v>3.3333333333333335</v>
      </c>
      <c r="AN3" s="69">
        <v>3.5</v>
      </c>
    </row>
    <row r="4" spans="1:40" x14ac:dyDescent="0.25">
      <c r="A4" s="65"/>
      <c r="B4" s="55"/>
      <c r="C4" s="55"/>
      <c r="D4" s="55" t="s">
        <v>260</v>
      </c>
      <c r="E4" s="69" cm="1">
        <f t="array" ref="E4:AN4">_xlfn.BYCOL(_xlfn.VSTACK(_xlfn.ANCHORARRAY($E$1),_xlfn.ANCHORARRAY($E$2)),_xlfn.LAMBDA(_xlpm.a,SUM(_xlpm.a)))</f>
        <v>0</v>
      </c>
      <c r="F4" s="69">
        <v>0</v>
      </c>
      <c r="G4" s="69">
        <v>0</v>
      </c>
      <c r="H4" s="69">
        <v>0</v>
      </c>
      <c r="I4" s="69">
        <v>0</v>
      </c>
      <c r="J4" s="69">
        <v>0</v>
      </c>
      <c r="K4" s="69">
        <v>0</v>
      </c>
      <c r="L4" s="69">
        <v>0</v>
      </c>
      <c r="M4" s="69">
        <v>0</v>
      </c>
      <c r="N4" s="69">
        <v>0</v>
      </c>
      <c r="O4" s="69">
        <v>0</v>
      </c>
      <c r="P4" s="69">
        <v>0</v>
      </c>
      <c r="Q4" s="69">
        <v>0</v>
      </c>
      <c r="R4" s="69">
        <v>0</v>
      </c>
      <c r="S4" s="69">
        <v>3</v>
      </c>
      <c r="T4" s="69">
        <v>9.1666666666666661</v>
      </c>
      <c r="U4" s="69">
        <v>12.333333333333334</v>
      </c>
      <c r="V4" s="69">
        <v>15.5</v>
      </c>
      <c r="W4" s="69">
        <v>18.666666666666668</v>
      </c>
      <c r="X4" s="69">
        <v>21.833333333333332</v>
      </c>
      <c r="Y4" s="69">
        <v>25</v>
      </c>
      <c r="Z4" s="69">
        <v>28.166666666666668</v>
      </c>
      <c r="AA4" s="69">
        <v>31.333333333333332</v>
      </c>
      <c r="AB4" s="69">
        <v>34.5</v>
      </c>
      <c r="AC4" s="69">
        <v>37.666666666666664</v>
      </c>
      <c r="AD4" s="69">
        <v>40.833333333333336</v>
      </c>
      <c r="AE4" s="69">
        <v>44</v>
      </c>
      <c r="AF4" s="69">
        <v>44.166666666666664</v>
      </c>
      <c r="AG4" s="69">
        <v>44.333333333333336</v>
      </c>
      <c r="AH4" s="69">
        <v>44.5</v>
      </c>
      <c r="AI4" s="69">
        <v>44.666666666666664</v>
      </c>
      <c r="AJ4" s="69">
        <v>44.833333333333336</v>
      </c>
      <c r="AK4" s="69">
        <v>45</v>
      </c>
      <c r="AL4" s="69">
        <v>45.166666666666664</v>
      </c>
      <c r="AM4" s="69">
        <v>45.333333333333336</v>
      </c>
      <c r="AN4" s="69">
        <v>45.5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107</v>
      </c>
      <c r="C6" s="3"/>
      <c r="D6" s="3"/>
      <c r="E6" s="66" cm="1">
        <f t="array" ref="E6:AN6">ROUND(_xlfn.BYCOL(_xlfn.ANCHORARRAY(E7),_xlfn.LAMBDA(_xlpm.a,SUM(_xlpm.a))),0)</f>
        <v>0</v>
      </c>
      <c r="F6" s="66">
        <v>0</v>
      </c>
      <c r="G6" s="66">
        <v>0</v>
      </c>
      <c r="H6" s="66">
        <v>0</v>
      </c>
      <c r="I6" s="66">
        <v>0</v>
      </c>
      <c r="J6" s="66">
        <v>0</v>
      </c>
      <c r="K6" s="66">
        <v>0</v>
      </c>
      <c r="L6" s="66">
        <v>0</v>
      </c>
      <c r="M6" s="66">
        <v>0</v>
      </c>
      <c r="N6" s="66">
        <v>0</v>
      </c>
      <c r="O6" s="66">
        <v>0</v>
      </c>
      <c r="P6" s="66">
        <v>0</v>
      </c>
      <c r="Q6" s="66">
        <v>0</v>
      </c>
      <c r="R6" s="66">
        <v>0</v>
      </c>
      <c r="S6" s="66">
        <v>6</v>
      </c>
      <c r="T6" s="66">
        <v>11</v>
      </c>
      <c r="U6" s="66">
        <v>15</v>
      </c>
      <c r="V6" s="66">
        <v>18</v>
      </c>
      <c r="W6" s="66">
        <v>22</v>
      </c>
      <c r="X6" s="66">
        <v>26</v>
      </c>
      <c r="Y6" s="66">
        <v>29</v>
      </c>
      <c r="Z6" s="66">
        <v>33</v>
      </c>
      <c r="AA6" s="66">
        <v>37</v>
      </c>
      <c r="AB6" s="66">
        <v>40</v>
      </c>
      <c r="AC6" s="66">
        <v>44</v>
      </c>
      <c r="AD6" s="66">
        <v>47</v>
      </c>
      <c r="AE6" s="66">
        <v>51</v>
      </c>
      <c r="AF6" s="66">
        <v>54</v>
      </c>
      <c r="AG6" s="66">
        <v>54</v>
      </c>
      <c r="AH6" s="66">
        <v>54</v>
      </c>
      <c r="AI6" s="66">
        <v>54</v>
      </c>
      <c r="AJ6" s="66">
        <v>54</v>
      </c>
      <c r="AK6" s="66">
        <v>54</v>
      </c>
      <c r="AL6" s="66">
        <v>54</v>
      </c>
      <c r="AM6" s="66">
        <v>54</v>
      </c>
      <c r="AN6" s="66">
        <v>54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1"/>
      <c r="E7" s="106" cm="1">
        <f t="array" ref="E7:AN20">_xlfn.LET(_xlpm.Customer_staff,_xlfn._xlws.FILTER(Base!$D$85:$BD$98,ISNUMBER(SEARCH($B$1&amp;"-"&amp;$C$1,Base!$D$4:$BD$4))),_xlpm.Customer,_xlfn.ANCHORARRAY($E$1),_xlpm.headcount,_xlpm.Customer/_xlpm.Customer_staff,
_xlpm.patient_staff,_xlfn.ANCHORARRAY($E$2)/_xlpm.Customer_staff,_xlpm.prim_staff_tr_rec,_xlfn.ANCHORARRAY($E$2)/_xlfn.CHOOSEROWS(_xlpm.Customer_staff,{7,8})+(_xlfn.ANCHORARRAY($E$1)*0.0055),_xlpm.rounding,_xlfn.VSTACK(2,2,0,0,2,2,2,2,2,2,2,0,0,0),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prim_staff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0</v>
      </c>
      <c r="F7" s="106">
        <v>0</v>
      </c>
      <c r="G7" s="106">
        <v>0</v>
      </c>
      <c r="H7" s="106">
        <v>0</v>
      </c>
      <c r="I7" s="106">
        <v>0</v>
      </c>
      <c r="J7" s="106">
        <v>0</v>
      </c>
      <c r="K7" s="106">
        <v>0</v>
      </c>
      <c r="L7" s="106">
        <v>0</v>
      </c>
      <c r="M7" s="106">
        <v>0</v>
      </c>
      <c r="N7" s="106">
        <v>0</v>
      </c>
      <c r="O7" s="106">
        <v>0</v>
      </c>
      <c r="P7" s="106">
        <v>0</v>
      </c>
      <c r="Q7" s="106">
        <v>0</v>
      </c>
      <c r="R7" s="106">
        <v>0</v>
      </c>
      <c r="S7" s="106">
        <v>2.8299999999999996</v>
      </c>
      <c r="T7" s="106">
        <v>5.6499999999999995</v>
      </c>
      <c r="U7" s="106">
        <v>8.48</v>
      </c>
      <c r="V7" s="106">
        <v>11.299999999999999</v>
      </c>
      <c r="W7" s="106">
        <v>14.12</v>
      </c>
      <c r="X7" s="106">
        <v>16.950000000000003</v>
      </c>
      <c r="Y7" s="106">
        <v>19.770000000000003</v>
      </c>
      <c r="Z7" s="106">
        <v>22.59</v>
      </c>
      <c r="AA7" s="106">
        <v>25.42</v>
      </c>
      <c r="AB7" s="106">
        <v>28.240000000000002</v>
      </c>
      <c r="AC7" s="106">
        <v>31.060000000000002</v>
      </c>
      <c r="AD7" s="106">
        <v>33.89</v>
      </c>
      <c r="AE7" s="106">
        <v>36.71</v>
      </c>
      <c r="AF7" s="106">
        <v>39.53</v>
      </c>
      <c r="AG7" s="106">
        <v>39.53</v>
      </c>
      <c r="AH7" s="106">
        <v>39.53</v>
      </c>
      <c r="AI7" s="106">
        <v>39.53</v>
      </c>
      <c r="AJ7" s="106">
        <v>39.53</v>
      </c>
      <c r="AK7" s="106">
        <v>39.53</v>
      </c>
      <c r="AL7" s="106">
        <v>39.53</v>
      </c>
      <c r="AM7" s="106">
        <v>39.53</v>
      </c>
      <c r="AN7" s="106">
        <v>39.53</v>
      </c>
    </row>
    <row r="8" spans="1:40" hidden="1" outlineLevel="1" x14ac:dyDescent="0.25">
      <c r="B8" s="39" t="str">
        <v>Secondary Direct Staff</v>
      </c>
      <c r="C8" s="3"/>
      <c r="D8" s="3"/>
      <c r="E8" s="106">
        <v>0</v>
      </c>
      <c r="F8" s="106">
        <v>0</v>
      </c>
      <c r="G8" s="106">
        <v>0</v>
      </c>
      <c r="H8" s="106">
        <v>0</v>
      </c>
      <c r="I8" s="106">
        <v>0</v>
      </c>
      <c r="J8" s="106">
        <v>0</v>
      </c>
      <c r="K8" s="106">
        <v>0</v>
      </c>
      <c r="L8" s="106">
        <v>0</v>
      </c>
      <c r="M8" s="106">
        <v>0</v>
      </c>
      <c r="N8" s="106">
        <v>0</v>
      </c>
      <c r="O8" s="106">
        <v>0</v>
      </c>
      <c r="P8" s="106">
        <v>0</v>
      </c>
      <c r="Q8" s="106">
        <v>0</v>
      </c>
      <c r="R8" s="106">
        <v>0</v>
      </c>
      <c r="S8" s="106">
        <v>0.43</v>
      </c>
      <c r="T8" s="106">
        <v>0.86</v>
      </c>
      <c r="U8" s="106">
        <v>1.29</v>
      </c>
      <c r="V8" s="106">
        <v>1.72</v>
      </c>
      <c r="W8" s="106">
        <v>2.15</v>
      </c>
      <c r="X8" s="106">
        <v>2.5799999999999996</v>
      </c>
      <c r="Y8" s="106">
        <v>3</v>
      </c>
      <c r="Z8" s="106">
        <v>3.4299999999999997</v>
      </c>
      <c r="AA8" s="106">
        <v>3.86</v>
      </c>
      <c r="AB8" s="106">
        <v>4.29</v>
      </c>
      <c r="AC8" s="106">
        <v>4.72</v>
      </c>
      <c r="AD8" s="106">
        <v>5.1499999999999995</v>
      </c>
      <c r="AE8" s="106">
        <v>5.58</v>
      </c>
      <c r="AF8" s="106">
        <v>6</v>
      </c>
      <c r="AG8" s="106">
        <v>6</v>
      </c>
      <c r="AH8" s="106">
        <v>6</v>
      </c>
      <c r="AI8" s="106">
        <v>6</v>
      </c>
      <c r="AJ8" s="106">
        <v>6</v>
      </c>
      <c r="AK8" s="106">
        <v>6</v>
      </c>
      <c r="AL8" s="106">
        <v>6</v>
      </c>
      <c r="AM8" s="106">
        <v>6</v>
      </c>
      <c r="AN8" s="106">
        <v>6</v>
      </c>
    </row>
    <row r="9" spans="1:40" hidden="1" outlineLevel="1" x14ac:dyDescent="0.25">
      <c r="B9" s="39" t="str">
        <v>Center Manager</v>
      </c>
      <c r="C9" s="3"/>
      <c r="D9" s="3"/>
      <c r="E9" s="106">
        <v>0</v>
      </c>
      <c r="F9" s="106">
        <v>0</v>
      </c>
      <c r="G9" s="106">
        <v>0</v>
      </c>
      <c r="H9" s="106">
        <v>0</v>
      </c>
      <c r="I9" s="106">
        <v>0</v>
      </c>
      <c r="J9" s="106">
        <v>0</v>
      </c>
      <c r="K9" s="106">
        <v>0</v>
      </c>
      <c r="L9" s="106">
        <v>0</v>
      </c>
      <c r="M9" s="106">
        <v>0</v>
      </c>
      <c r="N9" s="106">
        <v>0</v>
      </c>
      <c r="O9" s="106">
        <v>0</v>
      </c>
      <c r="P9" s="106">
        <v>0</v>
      </c>
      <c r="Q9" s="106">
        <v>0</v>
      </c>
      <c r="R9" s="106">
        <v>0</v>
      </c>
      <c r="S9" s="106">
        <v>1</v>
      </c>
      <c r="T9" s="106">
        <v>1</v>
      </c>
      <c r="U9" s="106">
        <v>1</v>
      </c>
      <c r="V9" s="106">
        <v>1</v>
      </c>
      <c r="W9" s="106">
        <v>1</v>
      </c>
      <c r="X9" s="106">
        <v>1</v>
      </c>
      <c r="Y9" s="106">
        <v>1</v>
      </c>
      <c r="Z9" s="106">
        <v>1</v>
      </c>
      <c r="AA9" s="106">
        <v>1</v>
      </c>
      <c r="AB9" s="106">
        <v>1</v>
      </c>
      <c r="AC9" s="106">
        <v>1</v>
      </c>
      <c r="AD9" s="106">
        <v>1</v>
      </c>
      <c r="AE9" s="106">
        <v>1</v>
      </c>
      <c r="AF9" s="106">
        <v>1</v>
      </c>
      <c r="AG9" s="106">
        <v>1</v>
      </c>
      <c r="AH9" s="106">
        <v>1</v>
      </c>
      <c r="AI9" s="106">
        <v>1</v>
      </c>
      <c r="AJ9" s="106">
        <v>1</v>
      </c>
      <c r="AK9" s="106">
        <v>1</v>
      </c>
      <c r="AL9" s="106">
        <v>1</v>
      </c>
      <c r="AM9" s="106">
        <v>1</v>
      </c>
      <c r="AN9" s="106">
        <v>1</v>
      </c>
    </row>
    <row r="10" spans="1:40" hidden="1" outlineLevel="1" x14ac:dyDescent="0.25">
      <c r="B10" s="39" t="str">
        <v>Intake</v>
      </c>
      <c r="C10" s="3"/>
      <c r="D10" s="3"/>
      <c r="E10" s="106">
        <v>0</v>
      </c>
      <c r="F10" s="106">
        <v>0</v>
      </c>
      <c r="G10" s="106">
        <v>0</v>
      </c>
      <c r="H10" s="106">
        <v>0</v>
      </c>
      <c r="I10" s="106">
        <v>0</v>
      </c>
      <c r="J10" s="106">
        <v>0</v>
      </c>
      <c r="K10" s="106">
        <v>0</v>
      </c>
      <c r="L10" s="106">
        <v>0</v>
      </c>
      <c r="M10" s="106">
        <v>0</v>
      </c>
      <c r="N10" s="106">
        <v>0</v>
      </c>
      <c r="O10" s="106">
        <v>0</v>
      </c>
      <c r="P10" s="106">
        <v>0</v>
      </c>
      <c r="Q10" s="106">
        <v>0</v>
      </c>
      <c r="R10" s="106">
        <v>0</v>
      </c>
      <c r="S10" s="106">
        <v>0</v>
      </c>
      <c r="T10" s="106">
        <v>1</v>
      </c>
      <c r="U10" s="106">
        <v>1</v>
      </c>
      <c r="V10" s="106">
        <v>1</v>
      </c>
      <c r="W10" s="106">
        <v>1</v>
      </c>
      <c r="X10" s="106">
        <v>1</v>
      </c>
      <c r="Y10" s="106">
        <v>1</v>
      </c>
      <c r="Z10" s="106">
        <v>1</v>
      </c>
      <c r="AA10" s="106">
        <v>1</v>
      </c>
      <c r="AB10" s="106">
        <v>1</v>
      </c>
      <c r="AC10" s="106">
        <v>1</v>
      </c>
      <c r="AD10" s="106">
        <v>1</v>
      </c>
      <c r="AE10" s="106">
        <v>1</v>
      </c>
      <c r="AF10" s="106">
        <v>1</v>
      </c>
      <c r="AG10" s="106">
        <v>1</v>
      </c>
      <c r="AH10" s="106">
        <v>1</v>
      </c>
      <c r="AI10" s="106">
        <v>1</v>
      </c>
      <c r="AJ10" s="106">
        <v>1</v>
      </c>
      <c r="AK10" s="106">
        <v>1</v>
      </c>
      <c r="AL10" s="106">
        <v>1</v>
      </c>
      <c r="AM10" s="106">
        <v>1</v>
      </c>
      <c r="AN10" s="106">
        <v>1</v>
      </c>
    </row>
    <row r="11" spans="1:40" hidden="1" outlineLevel="1" x14ac:dyDescent="0.25">
      <c r="B11" s="39" t="str">
        <v>Scheduler</v>
      </c>
      <c r="C11" s="3"/>
      <c r="D11" s="3"/>
      <c r="E11" s="106">
        <v>0</v>
      </c>
      <c r="F11" s="106">
        <v>0</v>
      </c>
      <c r="G11" s="106">
        <v>0</v>
      </c>
      <c r="H11" s="106">
        <v>0</v>
      </c>
      <c r="I11" s="106">
        <v>0</v>
      </c>
      <c r="J11" s="106">
        <v>0</v>
      </c>
      <c r="K11" s="106">
        <v>0</v>
      </c>
      <c r="L11" s="106">
        <v>0</v>
      </c>
      <c r="M11" s="106">
        <v>0</v>
      </c>
      <c r="N11" s="106">
        <v>0</v>
      </c>
      <c r="O11" s="106">
        <v>0</v>
      </c>
      <c r="P11" s="106">
        <v>0</v>
      </c>
      <c r="Q11" s="106">
        <v>0</v>
      </c>
      <c r="R11" s="106">
        <v>0</v>
      </c>
      <c r="S11" s="106">
        <v>0</v>
      </c>
      <c r="T11" s="106">
        <v>0</v>
      </c>
      <c r="U11" s="106">
        <v>0</v>
      </c>
      <c r="V11" s="106">
        <v>0</v>
      </c>
      <c r="W11" s="106">
        <v>0</v>
      </c>
      <c r="X11" s="106">
        <v>0</v>
      </c>
      <c r="Y11" s="106">
        <v>0</v>
      </c>
      <c r="Z11" s="106">
        <v>0</v>
      </c>
      <c r="AA11" s="106">
        <v>0</v>
      </c>
      <c r="AB11" s="106">
        <v>0</v>
      </c>
      <c r="AC11" s="106">
        <v>0</v>
      </c>
      <c r="AD11" s="106">
        <v>0</v>
      </c>
      <c r="AE11" s="106">
        <v>0</v>
      </c>
      <c r="AF11" s="106">
        <v>0</v>
      </c>
      <c r="AG11" s="106">
        <v>0</v>
      </c>
      <c r="AH11" s="106">
        <v>0</v>
      </c>
      <c r="AI11" s="106">
        <v>0</v>
      </c>
      <c r="AJ11" s="106">
        <v>0</v>
      </c>
      <c r="AK11" s="106">
        <v>0</v>
      </c>
      <c r="AL11" s="106">
        <v>0</v>
      </c>
      <c r="AM11" s="106">
        <v>0</v>
      </c>
      <c r="AN11" s="106">
        <v>0</v>
      </c>
    </row>
    <row r="12" spans="1:40" hidden="1" outlineLevel="1" x14ac:dyDescent="0.25">
      <c r="B12" s="39" t="str">
        <v>Initial Consultation Expert</v>
      </c>
      <c r="C12" s="3"/>
      <c r="D12" s="3"/>
      <c r="E12" s="106">
        <v>0</v>
      </c>
      <c r="F12" s="106">
        <v>0</v>
      </c>
      <c r="G12" s="106">
        <v>0</v>
      </c>
      <c r="H12" s="106">
        <v>0</v>
      </c>
      <c r="I12" s="106">
        <v>0</v>
      </c>
      <c r="J12" s="106">
        <v>0</v>
      </c>
      <c r="K12" s="106">
        <v>0</v>
      </c>
      <c r="L12" s="106">
        <v>0</v>
      </c>
      <c r="M12" s="106">
        <v>0</v>
      </c>
      <c r="N12" s="106">
        <v>0</v>
      </c>
      <c r="O12" s="106">
        <v>0</v>
      </c>
      <c r="P12" s="106">
        <v>0</v>
      </c>
      <c r="Q12" s="106">
        <v>0</v>
      </c>
      <c r="R12" s="106">
        <v>0</v>
      </c>
      <c r="S12" s="106">
        <v>0</v>
      </c>
      <c r="T12" s="106">
        <v>0.25</v>
      </c>
      <c r="U12" s="106">
        <v>0.26</v>
      </c>
      <c r="V12" s="106">
        <v>0.27</v>
      </c>
      <c r="W12" s="106">
        <v>0.29000000000000004</v>
      </c>
      <c r="X12" s="106">
        <v>0.3</v>
      </c>
      <c r="Y12" s="106">
        <v>0.31</v>
      </c>
      <c r="Z12" s="106">
        <v>0.33</v>
      </c>
      <c r="AA12" s="106">
        <v>0.34</v>
      </c>
      <c r="AB12" s="106">
        <v>0.35000000000000003</v>
      </c>
      <c r="AC12" s="106">
        <v>0.36</v>
      </c>
      <c r="AD12" s="106">
        <v>0.38</v>
      </c>
      <c r="AE12" s="106">
        <v>0.39</v>
      </c>
      <c r="AF12" s="106">
        <v>0.17</v>
      </c>
      <c r="AG12" s="106">
        <v>0.18000000000000002</v>
      </c>
      <c r="AH12" s="106">
        <v>0.2</v>
      </c>
      <c r="AI12" s="106">
        <v>0.21000000000000002</v>
      </c>
      <c r="AJ12" s="106">
        <v>0.22</v>
      </c>
      <c r="AK12" s="106">
        <v>0.24000000000000002</v>
      </c>
      <c r="AL12" s="106">
        <v>0.25</v>
      </c>
      <c r="AM12" s="106">
        <v>0.26</v>
      </c>
      <c r="AN12" s="106">
        <v>0.27</v>
      </c>
    </row>
    <row r="13" spans="1:40" hidden="1" outlineLevel="1" x14ac:dyDescent="0.25">
      <c r="B13" s="39" t="str">
        <v>Trainer</v>
      </c>
      <c r="C13" s="3"/>
      <c r="D13" s="3"/>
      <c r="E13" s="106">
        <v>0</v>
      </c>
      <c r="F13" s="106">
        <v>0</v>
      </c>
      <c r="G13" s="106">
        <v>0</v>
      </c>
      <c r="H13" s="106">
        <v>0</v>
      </c>
      <c r="I13" s="106">
        <v>0</v>
      </c>
      <c r="J13" s="106">
        <v>0</v>
      </c>
      <c r="K13" s="106">
        <v>0</v>
      </c>
      <c r="L13" s="106">
        <v>0</v>
      </c>
      <c r="M13" s="106">
        <v>0</v>
      </c>
      <c r="N13" s="106">
        <v>0</v>
      </c>
      <c r="O13" s="106">
        <v>0</v>
      </c>
      <c r="P13" s="106">
        <v>0</v>
      </c>
      <c r="Q13" s="106">
        <v>0</v>
      </c>
      <c r="R13" s="106">
        <v>0</v>
      </c>
      <c r="S13" s="106">
        <v>0.02</v>
      </c>
      <c r="T13" s="106">
        <v>0.35000000000000003</v>
      </c>
      <c r="U13" s="106">
        <v>0.39</v>
      </c>
      <c r="V13" s="106">
        <v>0.42</v>
      </c>
      <c r="W13" s="106">
        <v>0.45</v>
      </c>
      <c r="X13" s="106">
        <v>0.49</v>
      </c>
      <c r="Y13" s="106">
        <v>0.52</v>
      </c>
      <c r="Z13" s="106">
        <v>0.55000000000000004</v>
      </c>
      <c r="AA13" s="106">
        <v>0.59</v>
      </c>
      <c r="AB13" s="106">
        <v>0.62</v>
      </c>
      <c r="AC13" s="106">
        <v>0.65</v>
      </c>
      <c r="AD13" s="106">
        <v>0.69000000000000006</v>
      </c>
      <c r="AE13" s="106">
        <v>0.72</v>
      </c>
      <c r="AF13" s="106">
        <v>0.45</v>
      </c>
      <c r="AG13" s="106">
        <v>0.47000000000000003</v>
      </c>
      <c r="AH13" s="106">
        <v>0.49</v>
      </c>
      <c r="AI13" s="106">
        <v>0.5</v>
      </c>
      <c r="AJ13" s="106">
        <v>0.52</v>
      </c>
      <c r="AK13" s="106">
        <v>0.54</v>
      </c>
      <c r="AL13" s="106">
        <v>0.55000000000000004</v>
      </c>
      <c r="AM13" s="106">
        <v>0.57000000000000006</v>
      </c>
      <c r="AN13" s="106">
        <v>0.59</v>
      </c>
    </row>
    <row r="14" spans="1:40" hidden="1" outlineLevel="1" x14ac:dyDescent="0.25">
      <c r="B14" s="39" t="str">
        <v>Recruiter</v>
      </c>
      <c r="C14" s="3"/>
      <c r="D14" s="3"/>
      <c r="E14" s="106">
        <v>0</v>
      </c>
      <c r="F14" s="106">
        <v>0</v>
      </c>
      <c r="G14" s="106">
        <v>0</v>
      </c>
      <c r="H14" s="106">
        <v>0</v>
      </c>
      <c r="I14" s="106">
        <v>0</v>
      </c>
      <c r="J14" s="106">
        <v>0</v>
      </c>
      <c r="K14" s="106">
        <v>0</v>
      </c>
      <c r="L14" s="106">
        <v>0</v>
      </c>
      <c r="M14" s="106">
        <v>0</v>
      </c>
      <c r="N14" s="106">
        <v>0</v>
      </c>
      <c r="O14" s="106">
        <v>0</v>
      </c>
      <c r="P14" s="106">
        <v>0</v>
      </c>
      <c r="Q14" s="106">
        <v>0</v>
      </c>
      <c r="R14" s="106">
        <v>0</v>
      </c>
      <c r="S14" s="106">
        <v>0.02</v>
      </c>
      <c r="T14" s="106">
        <v>0.2</v>
      </c>
      <c r="U14" s="106">
        <v>0.22</v>
      </c>
      <c r="V14" s="106">
        <v>0.25</v>
      </c>
      <c r="W14" s="106">
        <v>0.27</v>
      </c>
      <c r="X14" s="106">
        <v>0.3</v>
      </c>
      <c r="Y14" s="106">
        <v>0.32</v>
      </c>
      <c r="Z14" s="106">
        <v>0.35000000000000003</v>
      </c>
      <c r="AA14" s="106">
        <v>0.37</v>
      </c>
      <c r="AB14" s="106">
        <v>0.39</v>
      </c>
      <c r="AC14" s="106">
        <v>0.42</v>
      </c>
      <c r="AD14" s="106">
        <v>0.44</v>
      </c>
      <c r="AE14" s="106">
        <v>0.47000000000000003</v>
      </c>
      <c r="AF14" s="106">
        <v>0.34</v>
      </c>
      <c r="AG14" s="106">
        <v>0.35000000000000003</v>
      </c>
      <c r="AH14" s="106">
        <v>0.36</v>
      </c>
      <c r="AI14" s="106">
        <v>0.37</v>
      </c>
      <c r="AJ14" s="106">
        <v>0.38</v>
      </c>
      <c r="AK14" s="106">
        <v>0.39</v>
      </c>
      <c r="AL14" s="106">
        <v>0.39</v>
      </c>
      <c r="AM14" s="106">
        <v>0.4</v>
      </c>
      <c r="AN14" s="106">
        <v>0.41000000000000003</v>
      </c>
    </row>
    <row r="15" spans="1:40" hidden="1" outlineLevel="1" x14ac:dyDescent="0.25">
      <c r="B15" s="39" t="str">
        <v>Center Director / Remote Site Director</v>
      </c>
      <c r="C15" s="3"/>
      <c r="D15" s="3"/>
      <c r="E15" s="106">
        <v>0</v>
      </c>
      <c r="F15" s="106">
        <v>0</v>
      </c>
      <c r="G15" s="106">
        <v>0</v>
      </c>
      <c r="H15" s="106">
        <v>0</v>
      </c>
      <c r="I15" s="106">
        <v>0</v>
      </c>
      <c r="J15" s="106">
        <v>0</v>
      </c>
      <c r="K15" s="106">
        <v>0</v>
      </c>
      <c r="L15" s="106">
        <v>0</v>
      </c>
      <c r="M15" s="106">
        <v>0</v>
      </c>
      <c r="N15" s="106">
        <v>0</v>
      </c>
      <c r="O15" s="106">
        <v>0</v>
      </c>
      <c r="P15" s="106">
        <v>0</v>
      </c>
      <c r="Q15" s="106">
        <v>0</v>
      </c>
      <c r="R15" s="106">
        <v>0</v>
      </c>
      <c r="S15" s="106">
        <v>0.02</v>
      </c>
      <c r="T15" s="106">
        <v>0.03</v>
      </c>
      <c r="U15" s="106">
        <v>0.04</v>
      </c>
      <c r="V15" s="106">
        <v>0.05</v>
      </c>
      <c r="W15" s="106">
        <v>0.06</v>
      </c>
      <c r="X15" s="106">
        <v>0.08</v>
      </c>
      <c r="Y15" s="106">
        <v>0.09</v>
      </c>
      <c r="Z15" s="106">
        <v>9.9999999999999992E-2</v>
      </c>
      <c r="AA15" s="106">
        <v>0.11</v>
      </c>
      <c r="AB15" s="106">
        <v>0.12</v>
      </c>
      <c r="AC15" s="106">
        <v>0.14000000000000001</v>
      </c>
      <c r="AD15" s="106">
        <v>0.15000000000000002</v>
      </c>
      <c r="AE15" s="106">
        <v>0.16</v>
      </c>
      <c r="AF15" s="106">
        <v>0.17</v>
      </c>
      <c r="AG15" s="106">
        <v>0.17</v>
      </c>
      <c r="AH15" s="106">
        <v>0.17</v>
      </c>
      <c r="AI15" s="106">
        <v>0.17</v>
      </c>
      <c r="AJ15" s="106">
        <v>0.17</v>
      </c>
      <c r="AK15" s="106">
        <v>0.17</v>
      </c>
      <c r="AL15" s="106">
        <v>0.17</v>
      </c>
      <c r="AM15" s="106">
        <v>0.17</v>
      </c>
      <c r="AN15" s="106">
        <v>0.17</v>
      </c>
    </row>
    <row r="16" spans="1:40" hidden="1" outlineLevel="1" x14ac:dyDescent="0.25">
      <c r="B16" s="39" t="str">
        <v>Center Marketing Outreach</v>
      </c>
      <c r="C16" s="3"/>
      <c r="D16" s="3"/>
      <c r="E16" s="106">
        <v>0</v>
      </c>
      <c r="F16" s="106">
        <v>0</v>
      </c>
      <c r="G16" s="106">
        <v>0</v>
      </c>
      <c r="H16" s="106">
        <v>0</v>
      </c>
      <c r="I16" s="106">
        <v>0</v>
      </c>
      <c r="J16" s="106">
        <v>0</v>
      </c>
      <c r="K16" s="106">
        <v>0</v>
      </c>
      <c r="L16" s="106">
        <v>0</v>
      </c>
      <c r="M16" s="106">
        <v>0</v>
      </c>
      <c r="N16" s="106">
        <v>0</v>
      </c>
      <c r="O16" s="106">
        <v>0</v>
      </c>
      <c r="P16" s="106">
        <v>0</v>
      </c>
      <c r="Q16" s="106">
        <v>0</v>
      </c>
      <c r="R16" s="106">
        <v>0</v>
      </c>
      <c r="S16" s="106">
        <v>0.02</v>
      </c>
      <c r="T16" s="106">
        <v>0.03</v>
      </c>
      <c r="U16" s="106">
        <v>0.04</v>
      </c>
      <c r="V16" s="106">
        <v>0.05</v>
      </c>
      <c r="W16" s="106">
        <v>0.06</v>
      </c>
      <c r="X16" s="106">
        <v>0.08</v>
      </c>
      <c r="Y16" s="106">
        <v>0.09</v>
      </c>
      <c r="Z16" s="106">
        <v>9.9999999999999992E-2</v>
      </c>
      <c r="AA16" s="106">
        <v>0.11</v>
      </c>
      <c r="AB16" s="106">
        <v>0.12</v>
      </c>
      <c r="AC16" s="106">
        <v>0.14000000000000001</v>
      </c>
      <c r="AD16" s="106">
        <v>0.15000000000000002</v>
      </c>
      <c r="AE16" s="106">
        <v>0.16</v>
      </c>
      <c r="AF16" s="106">
        <v>0.17</v>
      </c>
      <c r="AG16" s="106">
        <v>0.17</v>
      </c>
      <c r="AH16" s="106">
        <v>0.17</v>
      </c>
      <c r="AI16" s="106">
        <v>0.17</v>
      </c>
      <c r="AJ16" s="106">
        <v>0.17</v>
      </c>
      <c r="AK16" s="106">
        <v>0.17</v>
      </c>
      <c r="AL16" s="106">
        <v>0.17</v>
      </c>
      <c r="AM16" s="106">
        <v>0.17</v>
      </c>
      <c r="AN16" s="106">
        <v>0.17</v>
      </c>
    </row>
    <row r="17" spans="2:50" hidden="1" outlineLevel="1" x14ac:dyDescent="0.25">
      <c r="B17" s="39" t="str">
        <v>Primary Direct Staff Lead</v>
      </c>
      <c r="C17" s="3"/>
      <c r="D17" s="3"/>
      <c r="E17" s="106">
        <v>0</v>
      </c>
      <c r="F17" s="106">
        <v>0</v>
      </c>
      <c r="G17" s="106">
        <v>0</v>
      </c>
      <c r="H17" s="106">
        <v>0</v>
      </c>
      <c r="I17" s="106">
        <v>0</v>
      </c>
      <c r="J17" s="106">
        <v>0</v>
      </c>
      <c r="K17" s="106">
        <v>0</v>
      </c>
      <c r="L17" s="106">
        <v>0</v>
      </c>
      <c r="M17" s="106">
        <v>0</v>
      </c>
      <c r="N17" s="106">
        <v>0</v>
      </c>
      <c r="O17" s="106">
        <v>0</v>
      </c>
      <c r="P17" s="106">
        <v>0</v>
      </c>
      <c r="Q17" s="106">
        <v>0</v>
      </c>
      <c r="R17" s="106">
        <v>0</v>
      </c>
      <c r="S17" s="106">
        <v>0.3</v>
      </c>
      <c r="T17" s="106">
        <v>0.6</v>
      </c>
      <c r="U17" s="106">
        <v>0.9</v>
      </c>
      <c r="V17" s="106">
        <v>1.2</v>
      </c>
      <c r="W17" s="106">
        <v>1.5</v>
      </c>
      <c r="X17" s="106">
        <v>1.8</v>
      </c>
      <c r="Y17" s="106">
        <v>2.1</v>
      </c>
      <c r="Z17" s="106">
        <v>2.4</v>
      </c>
      <c r="AA17" s="106">
        <v>2.7</v>
      </c>
      <c r="AB17" s="106">
        <v>3</v>
      </c>
      <c r="AC17" s="106">
        <v>3.3</v>
      </c>
      <c r="AD17" s="106">
        <v>3.6</v>
      </c>
      <c r="AE17" s="106">
        <v>3.9</v>
      </c>
      <c r="AF17" s="106">
        <v>4.2</v>
      </c>
      <c r="AG17" s="106">
        <v>4.2</v>
      </c>
      <c r="AH17" s="106">
        <v>4.2</v>
      </c>
      <c r="AI17" s="106">
        <v>4.2</v>
      </c>
      <c r="AJ17" s="106">
        <v>4.2</v>
      </c>
      <c r="AK17" s="106">
        <v>4.2</v>
      </c>
      <c r="AL17" s="106">
        <v>4.2</v>
      </c>
      <c r="AM17" s="106">
        <v>4.2</v>
      </c>
      <c r="AN17" s="106">
        <v>4.2</v>
      </c>
    </row>
    <row r="18" spans="2:50" hidden="1" outlineLevel="1" x14ac:dyDescent="0.25">
      <c r="B18" s="39" t="str">
        <v>Tertiary Direct Staff</v>
      </c>
      <c r="C18" s="3"/>
      <c r="D18" s="3"/>
      <c r="E18" s="106">
        <v>0</v>
      </c>
      <c r="F18" s="106">
        <v>0</v>
      </c>
      <c r="G18" s="106">
        <v>0</v>
      </c>
      <c r="H18" s="106">
        <v>0</v>
      </c>
      <c r="I18" s="106">
        <v>0</v>
      </c>
      <c r="J18" s="106">
        <v>0</v>
      </c>
      <c r="K18" s="106">
        <v>0</v>
      </c>
      <c r="L18" s="106">
        <v>0</v>
      </c>
      <c r="M18" s="106">
        <v>0</v>
      </c>
      <c r="N18" s="106">
        <v>0</v>
      </c>
      <c r="O18" s="106">
        <v>0</v>
      </c>
      <c r="P18" s="106">
        <v>0</v>
      </c>
      <c r="Q18" s="106">
        <v>0</v>
      </c>
      <c r="R18" s="106">
        <v>0</v>
      </c>
      <c r="S18" s="106">
        <v>0</v>
      </c>
      <c r="T18" s="106">
        <v>0</v>
      </c>
      <c r="U18" s="106">
        <v>0</v>
      </c>
      <c r="V18" s="106">
        <v>0</v>
      </c>
      <c r="W18" s="106">
        <v>0</v>
      </c>
      <c r="X18" s="106">
        <v>0</v>
      </c>
      <c r="Y18" s="106">
        <v>0</v>
      </c>
      <c r="Z18" s="106">
        <v>0</v>
      </c>
      <c r="AA18" s="106">
        <v>0</v>
      </c>
      <c r="AB18" s="106">
        <v>0</v>
      </c>
      <c r="AC18" s="106">
        <v>0</v>
      </c>
      <c r="AD18" s="106">
        <v>0</v>
      </c>
      <c r="AE18" s="106">
        <v>0</v>
      </c>
      <c r="AF18" s="106">
        <v>0</v>
      </c>
      <c r="AG18" s="106">
        <v>0</v>
      </c>
      <c r="AH18" s="106">
        <v>0</v>
      </c>
      <c r="AI18" s="106">
        <v>0</v>
      </c>
      <c r="AJ18" s="106">
        <v>0</v>
      </c>
      <c r="AK18" s="106">
        <v>0</v>
      </c>
      <c r="AL18" s="106">
        <v>0</v>
      </c>
      <c r="AM18" s="106">
        <v>0</v>
      </c>
      <c r="AN18" s="106">
        <v>0</v>
      </c>
    </row>
    <row r="19" spans="2:50" hidden="1" outlineLevel="1" x14ac:dyDescent="0.25">
      <c r="B19" s="39" t="str">
        <v>Quinary Direct Staff</v>
      </c>
      <c r="C19" s="3"/>
      <c r="D19" s="3"/>
      <c r="E19" s="106">
        <v>0</v>
      </c>
      <c r="F19" s="106">
        <v>0</v>
      </c>
      <c r="G19" s="106">
        <v>0</v>
      </c>
      <c r="H19" s="106">
        <v>0</v>
      </c>
      <c r="I19" s="106">
        <v>0</v>
      </c>
      <c r="J19" s="106">
        <v>0</v>
      </c>
      <c r="K19" s="106">
        <v>0</v>
      </c>
      <c r="L19" s="106">
        <v>0</v>
      </c>
      <c r="M19" s="106">
        <v>0</v>
      </c>
      <c r="N19" s="106">
        <v>0</v>
      </c>
      <c r="O19" s="106">
        <v>0</v>
      </c>
      <c r="P19" s="106">
        <v>0</v>
      </c>
      <c r="Q19" s="106">
        <v>0</v>
      </c>
      <c r="R19" s="106">
        <v>0</v>
      </c>
      <c r="S19" s="106">
        <v>0</v>
      </c>
      <c r="T19" s="106">
        <v>0</v>
      </c>
      <c r="U19" s="106">
        <v>0</v>
      </c>
      <c r="V19" s="106">
        <v>0</v>
      </c>
      <c r="W19" s="106">
        <v>0</v>
      </c>
      <c r="X19" s="106">
        <v>0</v>
      </c>
      <c r="Y19" s="106">
        <v>0</v>
      </c>
      <c r="Z19" s="106">
        <v>0</v>
      </c>
      <c r="AA19" s="106">
        <v>0</v>
      </c>
      <c r="AB19" s="106">
        <v>0</v>
      </c>
      <c r="AC19" s="106">
        <v>0</v>
      </c>
      <c r="AD19" s="106">
        <v>0</v>
      </c>
      <c r="AE19" s="106">
        <v>0</v>
      </c>
      <c r="AF19" s="106">
        <v>0</v>
      </c>
      <c r="AG19" s="106">
        <v>0</v>
      </c>
      <c r="AH19" s="106">
        <v>0</v>
      </c>
      <c r="AI19" s="106">
        <v>0</v>
      </c>
      <c r="AJ19" s="106">
        <v>0</v>
      </c>
      <c r="AK19" s="106">
        <v>0</v>
      </c>
      <c r="AL19" s="106">
        <v>0</v>
      </c>
      <c r="AM19" s="106">
        <v>0</v>
      </c>
      <c r="AN19" s="106">
        <v>0</v>
      </c>
    </row>
    <row r="20" spans="2:50" hidden="1" outlineLevel="1" x14ac:dyDescent="0.25">
      <c r="B20" s="39" t="str">
        <v>Quaternary Direct Staff</v>
      </c>
      <c r="C20" s="3"/>
      <c r="D20" s="3"/>
      <c r="E20" s="106">
        <v>0</v>
      </c>
      <c r="F20" s="106">
        <v>0</v>
      </c>
      <c r="G20" s="106">
        <v>0</v>
      </c>
      <c r="H20" s="106">
        <v>0</v>
      </c>
      <c r="I20" s="106">
        <v>0</v>
      </c>
      <c r="J20" s="106">
        <v>0</v>
      </c>
      <c r="K20" s="106">
        <v>0</v>
      </c>
      <c r="L20" s="106">
        <v>0</v>
      </c>
      <c r="M20" s="106">
        <v>0</v>
      </c>
      <c r="N20" s="106">
        <v>0</v>
      </c>
      <c r="O20" s="106">
        <v>0</v>
      </c>
      <c r="P20" s="106">
        <v>0</v>
      </c>
      <c r="Q20" s="106">
        <v>0</v>
      </c>
      <c r="R20" s="106">
        <v>0</v>
      </c>
      <c r="S20" s="106">
        <v>1</v>
      </c>
      <c r="T20" s="106">
        <v>1</v>
      </c>
      <c r="U20" s="106">
        <v>1</v>
      </c>
      <c r="V20" s="106">
        <v>1</v>
      </c>
      <c r="W20" s="106">
        <v>1</v>
      </c>
      <c r="X20" s="106">
        <v>1</v>
      </c>
      <c r="Y20" s="106">
        <v>1</v>
      </c>
      <c r="Z20" s="106">
        <v>1</v>
      </c>
      <c r="AA20" s="106">
        <v>1</v>
      </c>
      <c r="AB20" s="106">
        <v>1</v>
      </c>
      <c r="AC20" s="106">
        <v>1</v>
      </c>
      <c r="AD20" s="106">
        <v>1</v>
      </c>
      <c r="AE20" s="106">
        <v>1</v>
      </c>
      <c r="AF20" s="106">
        <v>1</v>
      </c>
      <c r="AG20" s="106">
        <v>1</v>
      </c>
      <c r="AH20" s="106">
        <v>1</v>
      </c>
      <c r="AI20" s="106">
        <v>1</v>
      </c>
      <c r="AJ20" s="106">
        <v>1</v>
      </c>
      <c r="AK20" s="106">
        <v>1</v>
      </c>
      <c r="AL20" s="106">
        <v>1</v>
      </c>
      <c r="AM20" s="106">
        <v>1</v>
      </c>
      <c r="AN20" s="106">
        <v>1</v>
      </c>
    </row>
    <row r="21" spans="2:50" collapsed="1" x14ac:dyDescent="0.25">
      <c r="B21" s="39" t="s">
        <v>389</v>
      </c>
      <c r="C21" s="3"/>
      <c r="D21" s="5"/>
      <c r="E21" s="117" cm="1">
        <f t="array" ref="E21:AN21">ROUND(_xlfn.BYCOL(_xlfn.CHOOSEROWS(_xlfn.ANCHORARRAY(E7),1,2),_xlfn.LAMBDA(_xlpm.col,SUM(_xlpm.col))),0)</f>
        <v>0</v>
      </c>
      <c r="F21" s="117">
        <v>0</v>
      </c>
      <c r="G21" s="117">
        <v>0</v>
      </c>
      <c r="H21" s="117">
        <v>0</v>
      </c>
      <c r="I21" s="117">
        <v>0</v>
      </c>
      <c r="J21" s="117">
        <v>0</v>
      </c>
      <c r="K21" s="117">
        <v>0</v>
      </c>
      <c r="L21" s="117">
        <v>0</v>
      </c>
      <c r="M21" s="117">
        <v>0</v>
      </c>
      <c r="N21" s="117">
        <v>0</v>
      </c>
      <c r="O21" s="117">
        <v>0</v>
      </c>
      <c r="P21" s="117">
        <v>0</v>
      </c>
      <c r="Q21" s="117">
        <v>0</v>
      </c>
      <c r="R21" s="117">
        <v>0</v>
      </c>
      <c r="S21" s="117">
        <v>3</v>
      </c>
      <c r="T21" s="117">
        <v>7</v>
      </c>
      <c r="U21" s="117">
        <v>10</v>
      </c>
      <c r="V21" s="117">
        <v>13</v>
      </c>
      <c r="W21" s="117">
        <v>16</v>
      </c>
      <c r="X21" s="117">
        <v>20</v>
      </c>
      <c r="Y21" s="117">
        <v>23</v>
      </c>
      <c r="Z21" s="117">
        <v>26</v>
      </c>
      <c r="AA21" s="117">
        <v>29</v>
      </c>
      <c r="AB21" s="117">
        <v>33</v>
      </c>
      <c r="AC21" s="117">
        <v>36</v>
      </c>
      <c r="AD21" s="117">
        <v>39</v>
      </c>
      <c r="AE21" s="117">
        <v>42</v>
      </c>
      <c r="AF21" s="117">
        <v>46</v>
      </c>
      <c r="AG21" s="117">
        <v>46</v>
      </c>
      <c r="AH21" s="117">
        <v>46</v>
      </c>
      <c r="AI21" s="117">
        <v>46</v>
      </c>
      <c r="AJ21" s="117">
        <v>46</v>
      </c>
      <c r="AK21" s="117">
        <v>46</v>
      </c>
      <c r="AL21" s="117">
        <v>46</v>
      </c>
      <c r="AM21" s="117">
        <v>46</v>
      </c>
      <c r="AN21" s="117">
        <v>46</v>
      </c>
    </row>
    <row r="22" spans="2:50" x14ac:dyDescent="0.25">
      <c r="B22" s="2" t="s">
        <v>394</v>
      </c>
      <c r="C22" s="3"/>
      <c r="D22" s="77">
        <f>MAX(_xlfn.ANCHORARRAY(E22))</f>
        <v>170.02883240223468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0</v>
      </c>
      <c r="F22" s="78">
        <v>0</v>
      </c>
      <c r="G22" s="78">
        <v>0</v>
      </c>
      <c r="H22" s="78">
        <v>0</v>
      </c>
      <c r="I22" s="78">
        <v>0</v>
      </c>
      <c r="J22" s="78">
        <v>0</v>
      </c>
      <c r="K22" s="78">
        <v>0</v>
      </c>
      <c r="L22" s="78">
        <v>0</v>
      </c>
      <c r="M22" s="78">
        <v>0</v>
      </c>
      <c r="N22" s="78">
        <v>0</v>
      </c>
      <c r="O22" s="78">
        <v>0</v>
      </c>
      <c r="P22" s="78">
        <v>0</v>
      </c>
      <c r="Q22" s="78">
        <v>0</v>
      </c>
      <c r="R22" s="78">
        <v>0</v>
      </c>
      <c r="S22" s="78">
        <v>170.02883240223466</v>
      </c>
      <c r="T22" s="78">
        <v>170.02883240223466</v>
      </c>
      <c r="U22" s="78">
        <v>170.02883240223466</v>
      </c>
      <c r="V22" s="78">
        <v>170.02883240223466</v>
      </c>
      <c r="W22" s="78">
        <v>170.02883240223466</v>
      </c>
      <c r="X22" s="78">
        <v>170.02883240223466</v>
      </c>
      <c r="Y22" s="78">
        <v>170.02883240223463</v>
      </c>
      <c r="Z22" s="78">
        <v>170.02883240223466</v>
      </c>
      <c r="AA22" s="78">
        <v>170.02883240223468</v>
      </c>
      <c r="AB22" s="78">
        <v>170.02883240223466</v>
      </c>
      <c r="AC22" s="78">
        <v>170.02883240223468</v>
      </c>
      <c r="AD22" s="78">
        <v>170.02883240223466</v>
      </c>
      <c r="AE22" s="78">
        <v>170.02883240223466</v>
      </c>
      <c r="AF22" s="78">
        <v>170.02883240223463</v>
      </c>
      <c r="AG22" s="78">
        <v>170.02883240223463</v>
      </c>
      <c r="AH22" s="78">
        <v>170.02883240223463</v>
      </c>
      <c r="AI22" s="78">
        <v>170.02883240223463</v>
      </c>
      <c r="AJ22" s="78">
        <v>170.02883240223463</v>
      </c>
      <c r="AK22" s="78">
        <v>170.02883240223463</v>
      </c>
      <c r="AL22" s="78">
        <v>170.02883240223463</v>
      </c>
      <c r="AM22" s="78">
        <v>170.02883240223463</v>
      </c>
      <c r="AN22" s="78">
        <v>170.02883240223463</v>
      </c>
    </row>
    <row r="23" spans="2:50" x14ac:dyDescent="0.25">
      <c r="B23" s="2" t="s">
        <v>53</v>
      </c>
      <c r="C23" s="3"/>
      <c r="D23" s="72"/>
      <c r="E23" s="52" cm="1">
        <f t="array" ref="E23:AN23">_xlfn.LET(_xlpm.site,$B$1&amp;"-"&amp;$C$1,_xlpm.locations,Base!$D$4:$BD$4,_xlpm.Customer,_xlfn.ANCHORARRAY(E1),_xlpm.hours,SUM(_xlfn.XLOOKUP(_xlpm.site,_xlpm.locations,Base!$D$74:$BD$78,0,0)),
_xlpm.collection,1-_xlfn.XLOOKUP(_xlpm.site,_xlpm.locations,Base!$D$26:$BD$26,0,0),
_xlpm.Customer*_xlpm.hours*_xlpm.collection*(52/12))</f>
        <v>0</v>
      </c>
      <c r="F23" s="52">
        <v>0</v>
      </c>
      <c r="G23" s="52">
        <v>0</v>
      </c>
      <c r="H23" s="52">
        <v>0</v>
      </c>
      <c r="I23" s="52">
        <v>0</v>
      </c>
      <c r="J23" s="52">
        <v>0</v>
      </c>
      <c r="K23" s="52">
        <v>0</v>
      </c>
      <c r="L23" s="52">
        <v>0</v>
      </c>
      <c r="M23" s="52">
        <v>0</v>
      </c>
      <c r="N23" s="52">
        <v>0</v>
      </c>
      <c r="O23" s="52">
        <v>0</v>
      </c>
      <c r="P23" s="52">
        <v>0</v>
      </c>
      <c r="Q23" s="52">
        <v>0</v>
      </c>
      <c r="R23" s="52">
        <v>0</v>
      </c>
      <c r="S23" s="52">
        <v>315.03999999999996</v>
      </c>
      <c r="T23" s="52">
        <v>630.07999999999993</v>
      </c>
      <c r="U23" s="52">
        <v>945.11999999999989</v>
      </c>
      <c r="V23" s="52">
        <v>1260.1599999999999</v>
      </c>
      <c r="W23" s="52">
        <v>1575.1999999999996</v>
      </c>
      <c r="X23" s="52">
        <v>1890.2399999999998</v>
      </c>
      <c r="Y23" s="52">
        <v>2205.2799999999997</v>
      </c>
      <c r="Z23" s="52">
        <v>2520.3199999999997</v>
      </c>
      <c r="AA23" s="52">
        <v>2835.3599999999992</v>
      </c>
      <c r="AB23" s="52">
        <v>3150.3999999999992</v>
      </c>
      <c r="AC23" s="52">
        <v>3465.4399999999996</v>
      </c>
      <c r="AD23" s="52">
        <v>3780.4799999999996</v>
      </c>
      <c r="AE23" s="52">
        <v>4095.5199999999995</v>
      </c>
      <c r="AF23" s="52">
        <v>4410.5599999999995</v>
      </c>
      <c r="AG23" s="52">
        <v>4410.5599999999995</v>
      </c>
      <c r="AH23" s="52">
        <v>4410.5599999999995</v>
      </c>
      <c r="AI23" s="52">
        <v>4410.5599999999995</v>
      </c>
      <c r="AJ23" s="52">
        <v>4410.5599999999995</v>
      </c>
      <c r="AK23" s="52">
        <v>4410.5599999999995</v>
      </c>
      <c r="AL23" s="52">
        <v>4410.5599999999995</v>
      </c>
      <c r="AM23" s="52">
        <v>4410.5599999999995</v>
      </c>
      <c r="AN23" s="52">
        <v>4410.5599999999995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21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_xlfn.LET(_xlpm.site,$B$1&amp;"-"&amp;$C$1,_xlpm.locations,Base!$D$4:$BD$4,_xlpm.rates,Base!$D31:$BD31,_xlpm.hours,Base!$D74:$BD74,_xlpm.comp,_xlpm.rates*_xlpm.hours,_xlpm.Customer,_xlfn.ANCHORARRAY($E$1),
_xlpm.Customer_comp,_xlfn.XLOOKUP(_xlpm.site,_xlpm.locations,_xlpm.comp,0,0),_xlpm.ann_incr,_xlfn.XLOOKUP(YEAR(_xlfn.ANCHORARRAY($E$25)),Base!$BJ$4:$BL$4,Base!$BJ74:$BL74,0,0),
_xlpm.bad_debt,_xlfn.XLOOKUP(_xlpm.site,_xlpm.locations,Base!$D$28:$BD$28,0,0),_xlpm.Customer_comp*_xlpm.Customer*_xlpm.bad_debt*_xlpm.ann_incr*(52/12))</f>
        <v>0</v>
      </c>
      <c r="F26" s="12">
        <v>0</v>
      </c>
      <c r="G26" s="12">
        <v>0</v>
      </c>
      <c r="H26" s="12">
        <v>0</v>
      </c>
      <c r="I26" s="12">
        <v>0</v>
      </c>
      <c r="J26" s="12">
        <v>0</v>
      </c>
      <c r="K26" s="12">
        <v>0</v>
      </c>
      <c r="L26" s="12">
        <v>0</v>
      </c>
      <c r="M26" s="12">
        <v>0</v>
      </c>
      <c r="N26" s="12">
        <v>0</v>
      </c>
      <c r="O26" s="12">
        <v>0</v>
      </c>
      <c r="P26" s="12">
        <v>0</v>
      </c>
      <c r="Q26" s="12">
        <v>0</v>
      </c>
      <c r="R26" s="12">
        <v>0</v>
      </c>
      <c r="S26" s="12">
        <v>46796.978800000004</v>
      </c>
      <c r="T26" s="12">
        <v>93593.957600000009</v>
      </c>
      <c r="U26" s="12">
        <v>140390.93640000001</v>
      </c>
      <c r="V26" s="12">
        <v>187187.91520000002</v>
      </c>
      <c r="W26" s="12">
        <v>233984.89399999997</v>
      </c>
      <c r="X26" s="12">
        <v>280781.87280000001</v>
      </c>
      <c r="Y26" s="12">
        <v>327578.85159999994</v>
      </c>
      <c r="Z26" s="12">
        <v>374375.83040000004</v>
      </c>
      <c r="AA26" s="12">
        <v>421172.80919999996</v>
      </c>
      <c r="AB26" s="12">
        <v>467969.78799999994</v>
      </c>
      <c r="AC26" s="12">
        <v>514766.76679999998</v>
      </c>
      <c r="AD26" s="12">
        <v>561563.74560000002</v>
      </c>
      <c r="AE26" s="12">
        <v>608360.72439999995</v>
      </c>
      <c r="AF26" s="12">
        <v>655157.70319999987</v>
      </c>
      <c r="AG26" s="12">
        <v>655157.70319999987</v>
      </c>
      <c r="AH26" s="12">
        <v>655157.70319999987</v>
      </c>
      <c r="AI26" s="12">
        <v>655157.70319999987</v>
      </c>
      <c r="AJ26" s="12">
        <v>655157.70319999987</v>
      </c>
      <c r="AK26" s="12">
        <v>655157.70319999987</v>
      </c>
      <c r="AL26" s="12">
        <v>655157.70319999987</v>
      </c>
      <c r="AM26" s="12">
        <v>655157.70319999987</v>
      </c>
      <c r="AN26" s="12">
        <v>655157.70319999987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_xlfn.LET(_xlpm.site,$B$1&amp;"-"&amp;$C$1,_xlpm.locations,Base!$D$4:$BD$4,_xlpm.rates,Base!$D32:$BD32,_xlpm.hours,Base!$D75:$BD75,_xlpm.comp,_xlpm.rates*_xlpm.hours,_xlpm.Customer,_xlfn.ANCHORARRAY($E$1),
_xlpm.Customer_comp,_xlfn.XLOOKUP(_xlpm.site,_xlpm.locations,_xlpm.comp,0,0),_xlpm.ann_incr,_xlfn.XLOOKUP(YEAR(_xlfn.ANCHORARRAY($E$25)),Base!$BJ$4:$BL$4,Base!$BJ75:$BL75,0,0),
_xlpm.bad_debt,_xlfn.XLOOKUP(_xlpm.site,_xlpm.locations,Base!$D$28:$BD$28,0,0),_xlpm.Customer_comp*_xlpm.Customer*_xlpm.bad_debt*_xlpm.ann_incr*(52/12))</f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2743.8788</v>
      </c>
      <c r="T27" s="12">
        <v>5487.7575999999999</v>
      </c>
      <c r="U27" s="12">
        <v>8231.6363999999994</v>
      </c>
      <c r="V27" s="12">
        <v>10975.5152</v>
      </c>
      <c r="W27" s="12">
        <v>13719.393999999998</v>
      </c>
      <c r="X27" s="12">
        <v>16463.272799999999</v>
      </c>
      <c r="Y27" s="12">
        <v>19207.151600000001</v>
      </c>
      <c r="Z27" s="12">
        <v>21951.0304</v>
      </c>
      <c r="AA27" s="12">
        <v>24694.909199999995</v>
      </c>
      <c r="AB27" s="12">
        <v>27438.787999999997</v>
      </c>
      <c r="AC27" s="12">
        <v>30182.666799999999</v>
      </c>
      <c r="AD27" s="12">
        <v>32926.545599999998</v>
      </c>
      <c r="AE27" s="12">
        <v>35670.424399999996</v>
      </c>
      <c r="AF27" s="12">
        <v>38414.303200000002</v>
      </c>
      <c r="AG27" s="12">
        <v>38414.303200000002</v>
      </c>
      <c r="AH27" s="12">
        <v>38414.303200000002</v>
      </c>
      <c r="AI27" s="12">
        <v>38414.303200000002</v>
      </c>
      <c r="AJ27" s="12">
        <v>38414.303200000002</v>
      </c>
      <c r="AK27" s="12">
        <v>38414.303200000002</v>
      </c>
      <c r="AL27" s="12">
        <v>38414.303200000002</v>
      </c>
      <c r="AM27" s="12">
        <v>38414.303200000002</v>
      </c>
      <c r="AN27" s="12">
        <v>38414.303200000002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_xlfn.LET(_xlpm.site,$B$1&amp;"-"&amp;$C$1,_xlpm.locations,Base!$D$4:$BD$4,_xlpm.rates,Base!$D33:$BD33,_xlpm.hours,Base!$D76:$BD76,_xlpm.comp,_xlpm.rates*_xlpm.hours,_xlpm.Customer,_xlfn.ANCHORARRAY($E$1),
_xlpm.Customer_comp,_xlfn.XLOOKUP(_xlpm.site,_xlpm.locations,_xlpm.comp,0,0),_xlpm.ann_incr,_xlfn.XLOOKUP(YEAR(_xlfn.ANCHORARRAY($E$25)),Base!$BJ$4:$BL$4,Base!$BJ76:$BL76,0,0),
_xlpm.bad_debt,_xlfn.XLOOKUP(_xlpm.site,_xlpm.locations,Base!$D$28:$BD$28,0,0),_xlpm.Customer_comp*_xlpm.Customer*_xlpm.bad_debt*_xlpm.ann_incr*(52/12))</f>
        <v>0</v>
      </c>
      <c r="F28" s="12">
        <v>0</v>
      </c>
      <c r="G28" s="12">
        <v>0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0</v>
      </c>
      <c r="N28" s="12">
        <v>0</v>
      </c>
      <c r="O28" s="12">
        <v>0</v>
      </c>
      <c r="P28" s="12">
        <v>0</v>
      </c>
      <c r="Q28" s="12">
        <v>0</v>
      </c>
      <c r="R28" s="12">
        <v>0</v>
      </c>
      <c r="S28" s="12">
        <v>6521.1174599999977</v>
      </c>
      <c r="T28" s="12">
        <v>13042.234919999995</v>
      </c>
      <c r="U28" s="12">
        <v>19563.352379999993</v>
      </c>
      <c r="V28" s="12">
        <v>26084.469839999991</v>
      </c>
      <c r="W28" s="12">
        <v>32605.587299999992</v>
      </c>
      <c r="X28" s="12">
        <v>39126.704759999986</v>
      </c>
      <c r="Y28" s="12">
        <v>45647.822219999987</v>
      </c>
      <c r="Z28" s="12">
        <v>52168.939679999981</v>
      </c>
      <c r="AA28" s="12">
        <v>58690.057139999983</v>
      </c>
      <c r="AB28" s="12">
        <v>65211.174599999984</v>
      </c>
      <c r="AC28" s="12">
        <v>71732.292059999978</v>
      </c>
      <c r="AD28" s="12">
        <v>78253.409519999972</v>
      </c>
      <c r="AE28" s="12">
        <v>84774.526979999995</v>
      </c>
      <c r="AF28" s="12">
        <v>91295.644439999975</v>
      </c>
      <c r="AG28" s="12">
        <v>91295.644439999975</v>
      </c>
      <c r="AH28" s="12">
        <v>91295.644439999975</v>
      </c>
      <c r="AI28" s="12">
        <v>91295.644439999975</v>
      </c>
      <c r="AJ28" s="12">
        <v>91295.644439999975</v>
      </c>
      <c r="AK28" s="12">
        <v>91295.644439999975</v>
      </c>
      <c r="AL28" s="12">
        <v>91295.644439999975</v>
      </c>
      <c r="AM28" s="12">
        <v>91295.644439999975</v>
      </c>
      <c r="AN28" s="12">
        <v>91295.644439999975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_xlfn.LET(_xlpm.site,$B$1&amp;"-"&amp;$C$1,_xlpm.locations,Base!$D$4:$BD$4,_xlpm.rates,Base!$D34:$BD34,_xlpm.hours,Base!$D77:$BD77,_xlpm.comp,_xlpm.rates*_xlpm.hours,_xlpm.Customer,_xlfn.ANCHORARRAY($E$1),
_xlpm.Customer_comp,_xlfn.XLOOKUP(_xlpm.site,_xlpm.locations,_xlpm.comp,0,0),_xlpm.ann_incr,_xlfn.XLOOKUP(YEAR(_xlfn.ANCHORARRAY($E$25)),Base!$BJ$4:$BL$4,Base!$BJ77:$BL77,0,0),
_xlpm.bad_debt,_xlfn.XLOOKUP(_xlpm.site,_xlpm.locations,Base!$D$28:$BD$28,0,0),_xlpm.Customer_comp*_xlpm.Customer*_xlpm.bad_debt*_xlpm.ann_incr*(52/12))</f>
        <v>0</v>
      </c>
      <c r="F29" s="12">
        <v>0</v>
      </c>
      <c r="G29" s="12">
        <v>0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0</v>
      </c>
      <c r="N29" s="12">
        <v>0</v>
      </c>
      <c r="O29" s="12">
        <v>0</v>
      </c>
      <c r="P29" s="12">
        <v>0</v>
      </c>
      <c r="Q29" s="12">
        <v>0</v>
      </c>
      <c r="R29" s="12">
        <v>0</v>
      </c>
      <c r="S29" s="12">
        <v>501.62441999999999</v>
      </c>
      <c r="T29" s="12">
        <v>1003.24884</v>
      </c>
      <c r="U29" s="12">
        <v>1504.8732600000001</v>
      </c>
      <c r="V29" s="12">
        <v>2006.4976799999999</v>
      </c>
      <c r="W29" s="12">
        <v>2508.1221</v>
      </c>
      <c r="X29" s="12">
        <v>3009.7465200000001</v>
      </c>
      <c r="Y29" s="12">
        <v>3511.3709400000002</v>
      </c>
      <c r="Z29" s="12">
        <v>4012.9953599999999</v>
      </c>
      <c r="AA29" s="12">
        <v>4514.61978</v>
      </c>
      <c r="AB29" s="12">
        <v>5016.2442000000001</v>
      </c>
      <c r="AC29" s="12">
        <v>5517.8686199999993</v>
      </c>
      <c r="AD29" s="12">
        <v>6019.4930400000003</v>
      </c>
      <c r="AE29" s="12">
        <v>6521.1174600000013</v>
      </c>
      <c r="AF29" s="12">
        <v>7022.7418800000005</v>
      </c>
      <c r="AG29" s="12">
        <v>7022.7418800000005</v>
      </c>
      <c r="AH29" s="12">
        <v>7022.7418800000005</v>
      </c>
      <c r="AI29" s="12">
        <v>7022.7418800000005</v>
      </c>
      <c r="AJ29" s="12">
        <v>7022.7418800000005</v>
      </c>
      <c r="AK29" s="12">
        <v>7022.7418800000005</v>
      </c>
      <c r="AL29" s="12">
        <v>7022.7418800000005</v>
      </c>
      <c r="AM29" s="12">
        <v>7022.7418800000005</v>
      </c>
      <c r="AN29" s="12">
        <v>7022.7418800000005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_xlfn.LET(_xlpm.site,$B$1&amp;"-"&amp;$C$1,_xlpm.locations,Base!$D$4:$BD$4,_xlpm.rates,Base!$D35:$BD35,_xlpm.hours,Base!$D78:$BD78,_xlpm.comp,_xlpm.rates*_xlpm.hours,_xlpm.Customer,_xlfn.ANCHORARRAY($E$1),
_xlpm.Customer_comp,_xlfn.XLOOKUP(_xlpm.site,_xlpm.locations,_xlpm.comp,0,0),_xlpm.ann_incr,_xlfn.XLOOKUP(YEAR(_xlfn.ANCHORARRAY($E$25)),Base!$BJ$4:$BL$4,Base!$BJ78:$BL78,0,0),
_xlpm.bad_debt,_xlfn.XLOOKUP(_xlpm.site,_xlpm.locations,Base!$D$28:$BD$28,0,0),_xlpm.Customer_comp*_xlpm.Customer*_xlpm.bad_debt*_xlpm.ann_incr*(52/12))</f>
        <v>0</v>
      </c>
      <c r="F30" s="12">
        <v>0</v>
      </c>
      <c r="G30" s="12">
        <v>0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0</v>
      </c>
      <c r="N30" s="12">
        <v>0</v>
      </c>
      <c r="O30" s="12">
        <v>0</v>
      </c>
      <c r="P30" s="12">
        <v>0</v>
      </c>
      <c r="Q30" s="12">
        <v>0</v>
      </c>
      <c r="R30" s="12">
        <v>0</v>
      </c>
      <c r="S30" s="12">
        <v>654.50319999999988</v>
      </c>
      <c r="T30" s="12">
        <v>1309.0063999999998</v>
      </c>
      <c r="U30" s="12">
        <v>1963.5095999999999</v>
      </c>
      <c r="V30" s="12">
        <v>2618.0127999999995</v>
      </c>
      <c r="W30" s="12">
        <v>3272.5159999999996</v>
      </c>
      <c r="X30" s="12">
        <v>3927.0191999999997</v>
      </c>
      <c r="Y30" s="12">
        <v>4581.5223999999998</v>
      </c>
      <c r="Z30" s="12">
        <v>5236.025599999999</v>
      </c>
      <c r="AA30" s="12">
        <v>5890.5288</v>
      </c>
      <c r="AB30" s="12">
        <v>6545.0319999999992</v>
      </c>
      <c r="AC30" s="12">
        <v>7199.5351999999993</v>
      </c>
      <c r="AD30" s="12">
        <v>7854.0383999999995</v>
      </c>
      <c r="AE30" s="12">
        <v>8508.5416000000005</v>
      </c>
      <c r="AF30" s="12">
        <v>9163.0447999999997</v>
      </c>
      <c r="AG30" s="12">
        <v>9163.0447999999997</v>
      </c>
      <c r="AH30" s="12">
        <v>9163.0447999999997</v>
      </c>
      <c r="AI30" s="12">
        <v>9163.0447999999997</v>
      </c>
      <c r="AJ30" s="12">
        <v>9163.0447999999997</v>
      </c>
      <c r="AK30" s="12">
        <v>9163.0447999999997</v>
      </c>
      <c r="AL30" s="12">
        <v>9163.0447999999997</v>
      </c>
      <c r="AM30" s="12">
        <v>9163.0447999999997</v>
      </c>
      <c r="AN30" s="12">
        <v>9163.0447999999997</v>
      </c>
    </row>
    <row r="31" spans="2:50" x14ac:dyDescent="0.25">
      <c r="B31" s="39" t="str">
        <f>Base!B36</f>
        <v>Tertiary Direct Staff - Service A</v>
      </c>
      <c r="C31" s="4"/>
      <c r="E31" s="183" cm="1">
        <f t="array" ref="E31:AN31">_xlfn.LET(_xlpm.site,$B$1&amp;"-"&amp;$C$1,_xlpm.locations,Base!$D$4:$BD$4,_xlpm.rates,Base!$D36:$BD36,_xlpm.hours,Base!$D79:$BD79,_xlpm.comp,_xlpm.rates*_xlpm.hours,_xlpm.Customer,_xlfn.ANCHORARRAY($E$1)*0,
_xlpm.Customer_comp,_xlfn.XLOOKUP(_xlpm.site,_xlpm.locations,_xlpm.comp,0,0),_xlpm.ann_incr,_xlfn.XLOOKUP(YEAR(_xlfn.ANCHORARRAY($E$25)),Base!$BJ$4:$BL$4,Base!$BJ79:$BL79,0,0),
_xlpm.bad_debt,_xlfn.XLOOKUP(_xlpm.site,_xlpm.locations,Base!$D$28:$BD$28,0,0),_xlpm.Customer_comp*_xlpm.Customer*_xlpm.bad_debt*_xlpm.ann_incr*(52/12))</f>
        <v>0</v>
      </c>
      <c r="F31" s="183">
        <v>0</v>
      </c>
      <c r="G31" s="183">
        <v>0</v>
      </c>
      <c r="H31" s="183">
        <v>0</v>
      </c>
      <c r="I31" s="183">
        <v>0</v>
      </c>
      <c r="J31" s="183">
        <v>0</v>
      </c>
      <c r="K31" s="183">
        <v>0</v>
      </c>
      <c r="L31" s="183">
        <v>0</v>
      </c>
      <c r="M31" s="183">
        <v>0</v>
      </c>
      <c r="N31" s="183">
        <v>0</v>
      </c>
      <c r="O31" s="183">
        <v>0</v>
      </c>
      <c r="P31" s="183">
        <v>0</v>
      </c>
      <c r="Q31" s="183">
        <v>0</v>
      </c>
      <c r="R31" s="183">
        <v>0</v>
      </c>
      <c r="S31" s="183">
        <v>0</v>
      </c>
      <c r="T31" s="183">
        <v>0</v>
      </c>
      <c r="U31" s="183">
        <v>0</v>
      </c>
      <c r="V31" s="183">
        <v>0</v>
      </c>
      <c r="W31" s="183">
        <v>0</v>
      </c>
      <c r="X31" s="183">
        <v>0</v>
      </c>
      <c r="Y31" s="183">
        <v>0</v>
      </c>
      <c r="Z31" s="183">
        <v>0</v>
      </c>
      <c r="AA31" s="183">
        <v>0</v>
      </c>
      <c r="AB31" s="183">
        <v>0</v>
      </c>
      <c r="AC31" s="183">
        <v>0</v>
      </c>
      <c r="AD31" s="183">
        <v>0</v>
      </c>
      <c r="AE31" s="183">
        <v>0</v>
      </c>
      <c r="AF31" s="183">
        <v>0</v>
      </c>
      <c r="AG31" s="183">
        <v>0</v>
      </c>
      <c r="AH31" s="183">
        <v>0</v>
      </c>
      <c r="AI31" s="183">
        <v>0</v>
      </c>
      <c r="AJ31" s="183">
        <v>0</v>
      </c>
      <c r="AK31" s="183">
        <v>0</v>
      </c>
      <c r="AL31" s="183">
        <v>0</v>
      </c>
      <c r="AM31" s="183">
        <v>0</v>
      </c>
      <c r="AN31" s="183">
        <v>0</v>
      </c>
    </row>
    <row r="32" spans="2:50" x14ac:dyDescent="0.25">
      <c r="B32" s="39" t="str">
        <f>Base!B37</f>
        <v>Tertiary Direct Staff - Service B</v>
      </c>
      <c r="C32" s="4"/>
      <c r="E32" s="183" cm="1">
        <f t="array" ref="E32:AN32">_xlfn.LET(_xlpm.site,$B$1&amp;"-"&amp;$C$1,_xlpm.locations,Base!$D$4:$BD$4,_xlpm.rates,Base!$D37:$BD37,_xlpm.hours,Base!$D80:$BD80,_xlpm.comp,_xlpm.rates*_xlpm.hours,_xlpm.Customer,_xlfn.ANCHORARRAY($E$1)*0,
_xlpm.Customer_comp,_xlfn.XLOOKUP(_xlpm.site,_xlpm.locations,_xlpm.comp,0,0),_xlpm.ann_incr,_xlfn.XLOOKUP(YEAR(_xlfn.ANCHORARRAY($E$25)),Base!$BJ$4:$BL$4,Base!$BJ80:$BL80,0,0),
_xlpm.bad_debt,_xlfn.XLOOKUP(_xlpm.site,_xlpm.locations,Base!$D$28:$BD$28,0,0),_xlpm.Customer_comp*_xlpm.Customer*_xlpm.bad_debt*_xlpm.ann_incr*(52/12))</f>
        <v>0</v>
      </c>
      <c r="F32" s="183">
        <v>0</v>
      </c>
      <c r="G32" s="183">
        <v>0</v>
      </c>
      <c r="H32" s="183">
        <v>0</v>
      </c>
      <c r="I32" s="183">
        <v>0</v>
      </c>
      <c r="J32" s="183">
        <v>0</v>
      </c>
      <c r="K32" s="183">
        <v>0</v>
      </c>
      <c r="L32" s="183">
        <v>0</v>
      </c>
      <c r="M32" s="183">
        <v>0</v>
      </c>
      <c r="N32" s="183">
        <v>0</v>
      </c>
      <c r="O32" s="183">
        <v>0</v>
      </c>
      <c r="P32" s="183">
        <v>0</v>
      </c>
      <c r="Q32" s="183">
        <v>0</v>
      </c>
      <c r="R32" s="183">
        <v>0</v>
      </c>
      <c r="S32" s="183">
        <v>0</v>
      </c>
      <c r="T32" s="183">
        <v>0</v>
      </c>
      <c r="U32" s="183">
        <v>0</v>
      </c>
      <c r="V32" s="183">
        <v>0</v>
      </c>
      <c r="W32" s="183">
        <v>0</v>
      </c>
      <c r="X32" s="183">
        <v>0</v>
      </c>
      <c r="Y32" s="183">
        <v>0</v>
      </c>
      <c r="Z32" s="183">
        <v>0</v>
      </c>
      <c r="AA32" s="183">
        <v>0</v>
      </c>
      <c r="AB32" s="183">
        <v>0</v>
      </c>
      <c r="AC32" s="183">
        <v>0</v>
      </c>
      <c r="AD32" s="183">
        <v>0</v>
      </c>
      <c r="AE32" s="183">
        <v>0</v>
      </c>
      <c r="AF32" s="183">
        <v>0</v>
      </c>
      <c r="AG32" s="183">
        <v>0</v>
      </c>
      <c r="AH32" s="183">
        <v>0</v>
      </c>
      <c r="AI32" s="183">
        <v>0</v>
      </c>
      <c r="AJ32" s="183">
        <v>0</v>
      </c>
      <c r="AK32" s="183">
        <v>0</v>
      </c>
      <c r="AL32" s="183">
        <v>0</v>
      </c>
      <c r="AM32" s="183">
        <v>0</v>
      </c>
      <c r="AN32" s="183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_xlpm.Customer,_xlfn.ANCHORARRAY($E$2),_xlpm.ann_incr,_xlfn.XLOOKUP(YEAR(_xlfn.ANCHORARRAY($E$25)),Base!$BJ$4:$BL$4,Base!$BJ$81:$BL$81,0,0),
_xlpm.bad_debt,_xlfn.XLOOKUP(_xlpm.site,_xlpm.locations,Base!$D$28:$BD$28,0,0),
_xlpm.comp*_xlpm.bad_debt*_xlpm.ann_incr*(52/12))</f>
        <v>0</v>
      </c>
      <c r="F33" s="12">
        <v>0</v>
      </c>
      <c r="G33" s="12">
        <v>0</v>
      </c>
      <c r="H33" s="12">
        <v>0</v>
      </c>
      <c r="I33" s="12">
        <v>0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0</v>
      </c>
      <c r="S33" s="12">
        <v>26688.836416666662</v>
      </c>
      <c r="T33" s="12">
        <v>26688.836416666662</v>
      </c>
      <c r="U33" s="12">
        <v>26688.836416666662</v>
      </c>
      <c r="V33" s="12">
        <v>26688.836416666662</v>
      </c>
      <c r="W33" s="12">
        <v>26688.836416666662</v>
      </c>
      <c r="X33" s="12">
        <v>26688.836416666662</v>
      </c>
      <c r="Y33" s="12">
        <v>26688.836416666662</v>
      </c>
      <c r="Z33" s="12">
        <v>26688.836416666662</v>
      </c>
      <c r="AA33" s="12">
        <v>26688.836416666662</v>
      </c>
      <c r="AB33" s="12">
        <v>26688.836416666662</v>
      </c>
      <c r="AC33" s="12">
        <v>26688.836416666662</v>
      </c>
      <c r="AD33" s="12">
        <v>26688.836416666662</v>
      </c>
      <c r="AE33" s="12">
        <v>26688.836416666662</v>
      </c>
      <c r="AF33" s="12">
        <v>26688.836416666662</v>
      </c>
      <c r="AG33" s="12">
        <v>26688.836416666662</v>
      </c>
      <c r="AH33" s="12">
        <v>26688.836416666662</v>
      </c>
      <c r="AI33" s="12">
        <v>26688.836416666662</v>
      </c>
      <c r="AJ33" s="12">
        <v>26688.836416666662</v>
      </c>
      <c r="AK33" s="12">
        <v>26688.836416666662</v>
      </c>
      <c r="AL33" s="12">
        <v>26688.836416666662</v>
      </c>
      <c r="AM33" s="12">
        <v>26688.836416666662</v>
      </c>
      <c r="AN33" s="12">
        <v>26688.836416666662</v>
      </c>
    </row>
    <row r="34" spans="2:40" x14ac:dyDescent="0.25">
      <c r="B34" s="39" t="str">
        <f>Base!B39</f>
        <v>Quinary Direct Staff - Service A</v>
      </c>
      <c r="C34" s="4"/>
      <c r="E34" s="183" cm="1">
        <f t="array" ref="E34:AN34">_xlfn.LET(_xlpm.site,$B$1&amp;"-"&amp;$C$1,_xlpm.locations,Base!$D$4:$BD$4,_xlpm.rates,Base!$D39:$BD39,_xlpm.hours,Base!$D82:$BD82,_xlpm.comp,_xlpm.rates*_xlpm.hours,_xlpm.Customer,_xlfn.ANCHORARRAY($E$1)*0,
_xlpm.Customer_comp,_xlfn.XLOOKUP(_xlpm.site,_xlpm.locations,_xlpm.comp,0,0),_xlpm.ann_incr,_xlfn.XLOOKUP(YEAR(_xlfn.ANCHORARRAY($E$25)),Base!$BJ$4:$BL$4,Base!$BJ82:$BL82,0,0),
_xlpm.bad_debt,_xlfn.XLOOKUP(_xlpm.site,_xlpm.locations,Base!$D$28:$BD$28,0,0),_xlpm.Customer_comp*_xlpm.Customer*_xlpm.bad_debt*_xlpm.ann_incr*(52/12))</f>
        <v>0</v>
      </c>
      <c r="F34" s="183">
        <v>0</v>
      </c>
      <c r="G34" s="183">
        <v>0</v>
      </c>
      <c r="H34" s="183">
        <v>0</v>
      </c>
      <c r="I34" s="183">
        <v>0</v>
      </c>
      <c r="J34" s="183">
        <v>0</v>
      </c>
      <c r="K34" s="183">
        <v>0</v>
      </c>
      <c r="L34" s="183">
        <v>0</v>
      </c>
      <c r="M34" s="183">
        <v>0</v>
      </c>
      <c r="N34" s="183">
        <v>0</v>
      </c>
      <c r="O34" s="183">
        <v>0</v>
      </c>
      <c r="P34" s="183">
        <v>0</v>
      </c>
      <c r="Q34" s="183">
        <v>0</v>
      </c>
      <c r="R34" s="183">
        <v>0</v>
      </c>
      <c r="S34" s="183">
        <v>0</v>
      </c>
      <c r="T34" s="183">
        <v>0</v>
      </c>
      <c r="U34" s="183">
        <v>0</v>
      </c>
      <c r="V34" s="183">
        <v>0</v>
      </c>
      <c r="W34" s="183">
        <v>0</v>
      </c>
      <c r="X34" s="183">
        <v>0</v>
      </c>
      <c r="Y34" s="183">
        <v>0</v>
      </c>
      <c r="Z34" s="183">
        <v>0</v>
      </c>
      <c r="AA34" s="183">
        <v>0</v>
      </c>
      <c r="AB34" s="183">
        <v>0</v>
      </c>
      <c r="AC34" s="183">
        <v>0</v>
      </c>
      <c r="AD34" s="183">
        <v>0</v>
      </c>
      <c r="AE34" s="183">
        <v>0</v>
      </c>
      <c r="AF34" s="183">
        <v>0</v>
      </c>
      <c r="AG34" s="183">
        <v>0</v>
      </c>
      <c r="AH34" s="183">
        <v>0</v>
      </c>
      <c r="AI34" s="183">
        <v>0</v>
      </c>
      <c r="AJ34" s="183">
        <v>0</v>
      </c>
      <c r="AK34" s="183">
        <v>0</v>
      </c>
      <c r="AL34" s="183">
        <v>0</v>
      </c>
      <c r="AM34" s="183">
        <v>0</v>
      </c>
      <c r="AN34" s="183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0</v>
      </c>
      <c r="F35" s="12">
        <v>0</v>
      </c>
      <c r="G35" s="12">
        <v>0</v>
      </c>
      <c r="H35" s="12">
        <v>0</v>
      </c>
      <c r="I35" s="12">
        <v>0</v>
      </c>
      <c r="J35" s="12">
        <v>0</v>
      </c>
      <c r="K35" s="12">
        <v>0</v>
      </c>
      <c r="L35" s="12">
        <v>0</v>
      </c>
      <c r="M35" s="12">
        <v>0</v>
      </c>
      <c r="N35" s="12">
        <v>0</v>
      </c>
      <c r="O35" s="12">
        <v>0</v>
      </c>
      <c r="P35" s="12">
        <v>0</v>
      </c>
      <c r="Q35" s="12">
        <v>0</v>
      </c>
      <c r="R35" s="12">
        <v>0</v>
      </c>
      <c r="S35" s="12">
        <v>-10068.832691599999</v>
      </c>
      <c r="T35" s="12">
        <v>-16935.005013199996</v>
      </c>
      <c r="U35" s="12">
        <v>-23801.177334799995</v>
      </c>
      <c r="V35" s="12">
        <v>-30667.349656399994</v>
      </c>
      <c r="W35" s="12">
        <v>-37533.521977999997</v>
      </c>
      <c r="X35" s="12">
        <v>-44399.694299599993</v>
      </c>
      <c r="Y35" s="12">
        <v>-51265.866621199988</v>
      </c>
      <c r="Z35" s="12">
        <v>-58132.038942799998</v>
      </c>
      <c r="AA35" s="12">
        <v>-64998.211264399994</v>
      </c>
      <c r="AB35" s="12">
        <v>-71864.383585999982</v>
      </c>
      <c r="AC35" s="12">
        <v>-78730.555907599992</v>
      </c>
      <c r="AD35" s="12">
        <v>-85596.728229199987</v>
      </c>
      <c r="AE35" s="12">
        <v>-92462.900550799983</v>
      </c>
      <c r="AF35" s="12">
        <v>-99329.072872399964</v>
      </c>
      <c r="AG35" s="12">
        <v>-99329.072872399964</v>
      </c>
      <c r="AH35" s="12">
        <v>-99329.072872399964</v>
      </c>
      <c r="AI35" s="12">
        <v>-99329.072872399964</v>
      </c>
      <c r="AJ35" s="12">
        <v>-99329.072872399964</v>
      </c>
      <c r="AK35" s="12">
        <v>-99329.072872399964</v>
      </c>
      <c r="AL35" s="12">
        <v>-99329.072872399964</v>
      </c>
      <c r="AM35" s="12">
        <v>-99329.072872399964</v>
      </c>
      <c r="AN35" s="12">
        <v>-99329.072872399964</v>
      </c>
    </row>
    <row r="36" spans="2:40" x14ac:dyDescent="0.25">
      <c r="B36" s="39" t="s">
        <v>261</v>
      </c>
      <c r="C36" s="15"/>
      <c r="E36" s="183" cm="1">
        <f t="array" ref="E36:AN36">_xlfn.BYCOL(_xlfn.ANCHORARRAY($E$25),_xlfn.LAMBDA(_xlpm.a,0))</f>
        <v>0</v>
      </c>
      <c r="F36" s="183">
        <v>0</v>
      </c>
      <c r="G36" s="183">
        <v>0</v>
      </c>
      <c r="H36" s="183">
        <v>0</v>
      </c>
      <c r="I36" s="183">
        <v>0</v>
      </c>
      <c r="J36" s="183">
        <v>0</v>
      </c>
      <c r="K36" s="183">
        <v>0</v>
      </c>
      <c r="L36" s="183">
        <v>0</v>
      </c>
      <c r="M36" s="183">
        <v>0</v>
      </c>
      <c r="N36" s="183">
        <v>0</v>
      </c>
      <c r="O36" s="183">
        <v>0</v>
      </c>
      <c r="P36" s="183">
        <v>0</v>
      </c>
      <c r="Q36" s="183">
        <v>0</v>
      </c>
      <c r="R36" s="183">
        <v>0</v>
      </c>
      <c r="S36" s="183">
        <v>0</v>
      </c>
      <c r="T36" s="183">
        <v>0</v>
      </c>
      <c r="U36" s="183">
        <v>0</v>
      </c>
      <c r="V36" s="183">
        <v>0</v>
      </c>
      <c r="W36" s="183">
        <v>0</v>
      </c>
      <c r="X36" s="183">
        <v>0</v>
      </c>
      <c r="Y36" s="183">
        <v>0</v>
      </c>
      <c r="Z36" s="183">
        <v>0</v>
      </c>
      <c r="AA36" s="183">
        <v>0</v>
      </c>
      <c r="AB36" s="183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271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0</v>
      </c>
      <c r="S37" s="13">
        <v>71094.22760506667</v>
      </c>
      <c r="T37" s="13">
        <v>118702.27916346668</v>
      </c>
      <c r="U37" s="13">
        <v>166310.33072186666</v>
      </c>
      <c r="V37" s="13">
        <v>213918.38228026667</v>
      </c>
      <c r="W37" s="13">
        <v>261526.43383866665</v>
      </c>
      <c r="X37" s="13">
        <v>309134.48539706669</v>
      </c>
      <c r="Y37" s="13">
        <v>356742.53695546661</v>
      </c>
      <c r="Z37" s="13">
        <v>404350.58851386671</v>
      </c>
      <c r="AA37" s="13">
        <v>451958.64007226669</v>
      </c>
      <c r="AB37" s="13">
        <v>499566.69163066661</v>
      </c>
      <c r="AC37" s="13">
        <v>547174.74318906665</v>
      </c>
      <c r="AD37" s="13">
        <v>594782.79474746657</v>
      </c>
      <c r="AE37" s="13">
        <v>642390.84630586649</v>
      </c>
      <c r="AF37" s="13">
        <v>689998.89786426653</v>
      </c>
      <c r="AG37" s="13">
        <v>689998.89786426653</v>
      </c>
      <c r="AH37" s="13">
        <v>689998.89786426653</v>
      </c>
      <c r="AI37" s="13">
        <v>689998.89786426653</v>
      </c>
      <c r="AJ37" s="13">
        <v>689998.89786426653</v>
      </c>
      <c r="AK37" s="13">
        <v>689998.89786426653</v>
      </c>
      <c r="AL37" s="13">
        <v>689998.89786426653</v>
      </c>
      <c r="AM37" s="13">
        <v>689998.89786426653</v>
      </c>
      <c r="AN37" s="13">
        <v>689998.89786426653</v>
      </c>
    </row>
    <row r="38" spans="2:40" x14ac:dyDescent="0.25">
      <c r="E38" s="67"/>
      <c r="F38" s="67"/>
    </row>
    <row r="39" spans="2:40" x14ac:dyDescent="0.25">
      <c r="B39" s="1" t="s">
        <v>118</v>
      </c>
    </row>
    <row r="40" spans="2:40" x14ac:dyDescent="0.25">
      <c r="B40" s="39" t="s">
        <v>23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0</v>
      </c>
      <c r="F40" s="12">
        <v>0</v>
      </c>
      <c r="G40" s="12">
        <v>0</v>
      </c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0</v>
      </c>
      <c r="N40" s="12">
        <v>0</v>
      </c>
      <c r="O40" s="12">
        <v>0</v>
      </c>
      <c r="P40" s="12">
        <v>0</v>
      </c>
      <c r="Q40" s="12">
        <v>0</v>
      </c>
      <c r="R40" s="12">
        <v>0</v>
      </c>
      <c r="S40" s="12">
        <v>48771.788597403611</v>
      </c>
      <c r="T40" s="12">
        <v>83459.072181473879</v>
      </c>
      <c r="U40" s="12">
        <v>105664.5407788775</v>
      </c>
      <c r="V40" s="12">
        <v>127825.75769628113</v>
      </c>
      <c r="W40" s="12">
        <v>150023.12794701807</v>
      </c>
      <c r="X40" s="12">
        <v>172522.07654442172</v>
      </c>
      <c r="Y40" s="12">
        <v>194508.37512849199</v>
      </c>
      <c r="Z40" s="12">
        <v>216775.92537922892</v>
      </c>
      <c r="AA40" s="12">
        <v>238981.39397663256</v>
      </c>
      <c r="AB40" s="12">
        <v>261072.43089403611</v>
      </c>
      <c r="AC40" s="12">
        <v>311802.64259258384</v>
      </c>
      <c r="AD40" s="12">
        <v>336345.62471639441</v>
      </c>
      <c r="AE40" s="12">
        <v>360722.96332553838</v>
      </c>
      <c r="AF40" s="12">
        <v>378849.01843468234</v>
      </c>
      <c r="AG40" s="12">
        <v>379190.56110134901</v>
      </c>
      <c r="AH40" s="12">
        <v>379649.07043468236</v>
      </c>
      <c r="AI40" s="12">
        <v>379916.92410134897</v>
      </c>
      <c r="AJ40" s="12">
        <v>380258.4667680157</v>
      </c>
      <c r="AK40" s="12">
        <v>380716.97610134899</v>
      </c>
      <c r="AL40" s="12">
        <v>380907.63176801568</v>
      </c>
      <c r="AM40" s="12">
        <v>381249.17443468235</v>
      </c>
      <c r="AN40" s="12">
        <v>381590.71710134903</v>
      </c>
    </row>
    <row r="41" spans="2:40" x14ac:dyDescent="0.25">
      <c r="B41" s="39" t="s">
        <v>388</v>
      </c>
      <c r="C41" s="142">
        <f>_xlfn.XLOOKUP($B$1&amp;"-"&amp;$C$1,Base!$D$4:$BD$4,Base!$D$12:$BD$12,0,0)</f>
        <v>0</v>
      </c>
      <c r="E41" s="183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28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15450</v>
      </c>
      <c r="T42" s="12">
        <v>15450</v>
      </c>
      <c r="U42" s="12">
        <v>15450</v>
      </c>
      <c r="V42" s="12">
        <v>15450</v>
      </c>
      <c r="W42" s="12">
        <v>15450</v>
      </c>
      <c r="X42" s="12">
        <v>15450</v>
      </c>
      <c r="Y42" s="12">
        <v>15450</v>
      </c>
      <c r="Z42" s="12">
        <v>15450</v>
      </c>
      <c r="AA42" s="12">
        <v>15450</v>
      </c>
      <c r="AB42" s="12">
        <v>15450</v>
      </c>
      <c r="AC42" s="12">
        <v>15913.5</v>
      </c>
      <c r="AD42" s="12">
        <v>15913.5</v>
      </c>
      <c r="AE42" s="12">
        <v>15913.5</v>
      </c>
      <c r="AF42" s="12">
        <v>15913.5</v>
      </c>
      <c r="AG42" s="12">
        <v>15913.5</v>
      </c>
      <c r="AH42" s="12">
        <v>15913.5</v>
      </c>
      <c r="AI42" s="12">
        <v>15913.5</v>
      </c>
      <c r="AJ42" s="12">
        <v>15913.5</v>
      </c>
      <c r="AK42" s="12">
        <v>15913.5</v>
      </c>
      <c r="AL42" s="12">
        <v>15913.5</v>
      </c>
      <c r="AM42" s="12">
        <v>15913.5</v>
      </c>
      <c r="AN42" s="12">
        <v>15913.5</v>
      </c>
    </row>
    <row r="43" spans="2:40" x14ac:dyDescent="0.25">
      <c r="B43" s="39" t="s">
        <v>31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12">
        <v>0</v>
      </c>
      <c r="R43" s="12">
        <v>0</v>
      </c>
      <c r="S43" s="12">
        <v>9048</v>
      </c>
      <c r="T43" s="12">
        <v>9048</v>
      </c>
      <c r="U43" s="12">
        <v>9048</v>
      </c>
      <c r="V43" s="12">
        <v>9048</v>
      </c>
      <c r="W43" s="12">
        <v>9048</v>
      </c>
      <c r="X43" s="12">
        <v>9048</v>
      </c>
      <c r="Y43" s="12">
        <v>9048</v>
      </c>
      <c r="Z43" s="12">
        <v>9048</v>
      </c>
      <c r="AA43" s="12">
        <v>9048</v>
      </c>
      <c r="AB43" s="12">
        <v>9048</v>
      </c>
      <c r="AC43" s="12">
        <v>9409.9200000000019</v>
      </c>
      <c r="AD43" s="12">
        <v>9409.9200000000019</v>
      </c>
      <c r="AE43" s="12">
        <v>9409.9200000000019</v>
      </c>
      <c r="AF43" s="12">
        <v>9409.9200000000019</v>
      </c>
      <c r="AG43" s="12">
        <v>9409.9200000000019</v>
      </c>
      <c r="AH43" s="12">
        <v>9409.9200000000019</v>
      </c>
      <c r="AI43" s="12">
        <v>9409.9200000000019</v>
      </c>
      <c r="AJ43" s="12">
        <v>9409.9200000000019</v>
      </c>
      <c r="AK43" s="12">
        <v>9409.9200000000019</v>
      </c>
      <c r="AL43" s="12">
        <v>9409.9200000000019</v>
      </c>
      <c r="AM43" s="12">
        <v>9409.9200000000019</v>
      </c>
      <c r="AN43" s="12">
        <v>9409.9200000000019</v>
      </c>
    </row>
    <row r="44" spans="2:40" x14ac:dyDescent="0.25">
      <c r="B44" s="39" t="s">
        <v>34</v>
      </c>
      <c r="C44" s="96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  <c r="O44" s="12">
        <v>0</v>
      </c>
      <c r="P44" s="12">
        <v>0</v>
      </c>
      <c r="Q44" s="12">
        <v>0</v>
      </c>
      <c r="R44" s="12">
        <v>0</v>
      </c>
      <c r="S44" s="12">
        <v>378.451008</v>
      </c>
      <c r="T44" s="12">
        <v>1002.1943359999999</v>
      </c>
      <c r="U44" s="12">
        <v>1033.7319199999999</v>
      </c>
      <c r="V44" s="12">
        <v>1065.2695039999999</v>
      </c>
      <c r="W44" s="12">
        <v>1096.807088</v>
      </c>
      <c r="X44" s="12">
        <v>1138.8571999999999</v>
      </c>
      <c r="Y44" s="12">
        <v>1166.8906079999999</v>
      </c>
      <c r="Z44" s="12">
        <v>1201.932368</v>
      </c>
      <c r="AA44" s="12">
        <v>1233.4699519999999</v>
      </c>
      <c r="AB44" s="12">
        <v>1261.5033600000002</v>
      </c>
      <c r="AC44" s="12">
        <v>1352.0512678400003</v>
      </c>
      <c r="AD44" s="12">
        <v>1388.4946982400002</v>
      </c>
      <c r="AE44" s="12">
        <v>1421.2937856000005</v>
      </c>
      <c r="AF44" s="12">
        <v>1202.6332032</v>
      </c>
      <c r="AG44" s="12">
        <v>1217.2105753600003</v>
      </c>
      <c r="AH44" s="12">
        <v>1235.4322905600002</v>
      </c>
      <c r="AI44" s="12">
        <v>1246.3653196800001</v>
      </c>
      <c r="AJ44" s="12">
        <v>1260.9426918400002</v>
      </c>
      <c r="AK44" s="12">
        <v>1279.1644070400002</v>
      </c>
      <c r="AL44" s="12">
        <v>1286.4530931200002</v>
      </c>
      <c r="AM44" s="12">
        <v>1301.03046528</v>
      </c>
      <c r="AN44" s="12">
        <v>1315.6078374400001</v>
      </c>
    </row>
    <row r="45" spans="2:40" x14ac:dyDescent="0.25">
      <c r="B45" s="39" t="s">
        <v>36</v>
      </c>
      <c r="C45" s="96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0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12">
        <v>0</v>
      </c>
      <c r="R45" s="12">
        <v>0</v>
      </c>
      <c r="S45" s="12">
        <v>7650</v>
      </c>
      <c r="T45" s="12">
        <v>7650</v>
      </c>
      <c r="U45" s="12">
        <v>7650</v>
      </c>
      <c r="V45" s="12">
        <v>7650</v>
      </c>
      <c r="W45" s="12">
        <v>7650</v>
      </c>
      <c r="X45" s="12">
        <v>7650</v>
      </c>
      <c r="Y45" s="12">
        <v>7650</v>
      </c>
      <c r="Z45" s="12">
        <v>7650</v>
      </c>
      <c r="AA45" s="12">
        <v>7650</v>
      </c>
      <c r="AB45" s="12">
        <v>7650</v>
      </c>
      <c r="AC45" s="12">
        <v>7803</v>
      </c>
      <c r="AD45" s="12">
        <v>7803</v>
      </c>
      <c r="AE45" s="12">
        <v>7803</v>
      </c>
      <c r="AF45" s="12">
        <v>7803</v>
      </c>
      <c r="AG45" s="12">
        <v>7803</v>
      </c>
      <c r="AH45" s="12">
        <v>7803</v>
      </c>
      <c r="AI45" s="12">
        <v>7803</v>
      </c>
      <c r="AJ45" s="12">
        <v>7803</v>
      </c>
      <c r="AK45" s="12">
        <v>7803</v>
      </c>
      <c r="AL45" s="12">
        <v>7803</v>
      </c>
      <c r="AM45" s="12">
        <v>7803</v>
      </c>
      <c r="AN45" s="12">
        <v>7803</v>
      </c>
    </row>
    <row r="46" spans="2:40" x14ac:dyDescent="0.25">
      <c r="B46" s="39" t="s">
        <v>38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0</v>
      </c>
      <c r="F46" s="12">
        <v>0</v>
      </c>
      <c r="G46" s="12">
        <v>0</v>
      </c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0</v>
      </c>
      <c r="N46" s="12">
        <v>0</v>
      </c>
      <c r="O46" s="12">
        <v>0</v>
      </c>
      <c r="P46" s="12">
        <v>0</v>
      </c>
      <c r="Q46" s="12">
        <v>0</v>
      </c>
      <c r="R46" s="12">
        <v>0</v>
      </c>
      <c r="S46" s="12">
        <v>3604.6799999999994</v>
      </c>
      <c r="T46" s="12">
        <v>5507.4899999999989</v>
      </c>
      <c r="U46" s="12">
        <v>6810.54</v>
      </c>
      <c r="V46" s="12">
        <v>8110.0199999999995</v>
      </c>
      <c r="W46" s="12">
        <v>9409.4999999999982</v>
      </c>
      <c r="X46" s="12">
        <v>10723.26</v>
      </c>
      <c r="Y46" s="12">
        <v>12015.600000000002</v>
      </c>
      <c r="Z46" s="12">
        <v>13318.650000000001</v>
      </c>
      <c r="AA46" s="12">
        <v>14621.7</v>
      </c>
      <c r="AB46" s="12">
        <v>15917.609999999999</v>
      </c>
      <c r="AC46" s="12">
        <v>17568.714599999999</v>
      </c>
      <c r="AD46" s="12">
        <v>18901.467000000001</v>
      </c>
      <c r="AE46" s="12">
        <v>20226.936599999997</v>
      </c>
      <c r="AF46" s="12">
        <v>21297.508200000007</v>
      </c>
      <c r="AG46" s="12">
        <v>21312.073800000002</v>
      </c>
      <c r="AH46" s="12">
        <v>21330.280800000004</v>
      </c>
      <c r="AI46" s="12">
        <v>21341.205000000002</v>
      </c>
      <c r="AJ46" s="12">
        <v>21355.770600000003</v>
      </c>
      <c r="AK46" s="12">
        <v>21373.977600000006</v>
      </c>
      <c r="AL46" s="12">
        <v>21381.260400000003</v>
      </c>
      <c r="AM46" s="12">
        <v>21395.826000000001</v>
      </c>
      <c r="AN46" s="12">
        <v>21410.391600000003</v>
      </c>
    </row>
    <row r="47" spans="2:40" x14ac:dyDescent="0.25">
      <c r="B47" s="39" t="s">
        <v>40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  <c r="O47" s="12">
        <v>0</v>
      </c>
      <c r="P47" s="12">
        <v>0</v>
      </c>
      <c r="Q47" s="12">
        <v>0</v>
      </c>
      <c r="R47" s="12">
        <v>0</v>
      </c>
      <c r="S47" s="12">
        <v>6300</v>
      </c>
      <c r="T47" s="12">
        <v>6300</v>
      </c>
      <c r="U47" s="12">
        <v>6300</v>
      </c>
      <c r="V47" s="12">
        <v>6300</v>
      </c>
      <c r="W47" s="12">
        <v>6300</v>
      </c>
      <c r="X47" s="12">
        <v>6300</v>
      </c>
      <c r="Y47" s="12">
        <v>6300</v>
      </c>
      <c r="Z47" s="12">
        <v>6300</v>
      </c>
      <c r="AA47" s="12">
        <v>6300</v>
      </c>
      <c r="AB47" s="12">
        <v>6300</v>
      </c>
      <c r="AC47" s="12">
        <v>6615</v>
      </c>
      <c r="AD47" s="12">
        <v>6615</v>
      </c>
      <c r="AE47" s="12">
        <v>6615</v>
      </c>
      <c r="AF47" s="12">
        <v>6615</v>
      </c>
      <c r="AG47" s="12">
        <v>6615</v>
      </c>
      <c r="AH47" s="12">
        <v>6615</v>
      </c>
      <c r="AI47" s="12">
        <v>6615</v>
      </c>
      <c r="AJ47" s="12">
        <v>6615</v>
      </c>
      <c r="AK47" s="12">
        <v>6615</v>
      </c>
      <c r="AL47" s="12">
        <v>6615</v>
      </c>
      <c r="AM47" s="12">
        <v>6615</v>
      </c>
      <c r="AN47" s="12">
        <v>6615</v>
      </c>
    </row>
    <row r="48" spans="2:40" x14ac:dyDescent="0.25">
      <c r="B48" s="39" t="s">
        <v>41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151234.47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42</v>
      </c>
      <c r="E49" s="12">
        <f>'Corp.'!E$50*(E$37-(E31-E32-E34)*$C$35)/(SUM('MDA1:NCA9'!E$37)-SUM('MDA1:NCA9'!E$31)-SUM('MDA1:NCA9'!E$32)-SUM('MDA1:NCA9'!E$34))</f>
        <v>0</v>
      </c>
      <c r="F49" s="12">
        <f>'Corp.'!F$50*(F$37-(F31-F32-F34)*$C$35)/(SUM('MDA1:NCA9'!F$37)-SUM('MDA1:NCA9'!F$31)-SUM('MDA1:NCA9'!F$32)-SUM('MDA1:NCA9'!F$34))</f>
        <v>0</v>
      </c>
      <c r="G49" s="12">
        <f>'Corp.'!G$50*(G$37-(G31-G32-G34)*$C$35)/(SUM('MDA1:NCA9'!G$37)-SUM('MDA1:NCA9'!G$31)-SUM('MDA1:NCA9'!G$32)-SUM('MDA1:NCA9'!G$34))</f>
        <v>0</v>
      </c>
      <c r="H49" s="12">
        <f>'Corp.'!H$50*(H$37-(H31-H32-H34)*$C$35)/(SUM('MDA1:NCA9'!H$37)-SUM('MDA1:NCA9'!H$31)-SUM('MDA1:NCA9'!H$32)-SUM('MDA1:NCA9'!H$34))</f>
        <v>0</v>
      </c>
      <c r="I49" s="12">
        <f>'Corp.'!I$50*(I$37-(I31-I32-I34)*$C$35)/(SUM('MDA1:NCA9'!I$37)-SUM('MDA1:NCA9'!I$31)-SUM('MDA1:NCA9'!I$32)-SUM('MDA1:NCA9'!I$34))</f>
        <v>0</v>
      </c>
      <c r="J49" s="12">
        <f>'Corp.'!J$50*(J$37-(J31-J32-J34)*$C$35)/(SUM('MDA1:NCA9'!J$37)-SUM('MDA1:NCA9'!J$31)-SUM('MDA1:NCA9'!J$32)-SUM('MDA1:NCA9'!J$34))</f>
        <v>0</v>
      </c>
      <c r="K49" s="12">
        <f>'Corp.'!K$50*(K$37-(K31-K32-K34)*$C$35)/(SUM('MDA1:NCA9'!K$37)-SUM('MDA1:NCA9'!K$31)-SUM('MDA1:NCA9'!K$32)-SUM('MDA1:NCA9'!K$34))</f>
        <v>0</v>
      </c>
      <c r="L49" s="12">
        <f>'Corp.'!L$50*(L$37-(L31-L32-L34)*$C$35)/(SUM('MDA1:NCA9'!L$37)-SUM('MDA1:NCA9'!L$31)-SUM('MDA1:NCA9'!L$32)-SUM('MDA1:NCA9'!L$34))</f>
        <v>0</v>
      </c>
      <c r="M49" s="12">
        <f>'Corp.'!M$50*(M$37-(M31-M32-M34)*$C$35)/(SUM('MDA1:NCA9'!M$37)-SUM('MDA1:NCA9'!M$31)-SUM('MDA1:NCA9'!M$32)-SUM('MDA1:NCA9'!M$34))</f>
        <v>0</v>
      </c>
      <c r="N49" s="12">
        <f>'Corp.'!N$50*(N$37-(N31-N32-N34)*$C$35)/(SUM('MDA1:NCA9'!N$37)-SUM('MDA1:NCA9'!N$31)-SUM('MDA1:NCA9'!N$32)-SUM('MDA1:NCA9'!N$34))</f>
        <v>0</v>
      </c>
      <c r="O49" s="12">
        <f>'Corp.'!O$50*(O$37-(O31-O32-O34)*$C$35)/(SUM('MDA1:NCA9'!O$37)-SUM('MDA1:NCA9'!O$31)-SUM('MDA1:NCA9'!O$32)-SUM('MDA1:NCA9'!O$34))</f>
        <v>0</v>
      </c>
      <c r="P49" s="12">
        <f>'Corp.'!P$50*(P$37-(P31-P32-P34)*$C$35)/(SUM('MDA1:NCA9'!P$37)-SUM('MDA1:NCA9'!P$31)-SUM('MDA1:NCA9'!P$32)-SUM('MDA1:NCA9'!P$34))</f>
        <v>0</v>
      </c>
      <c r="Q49" s="12">
        <f>'Corp.'!Q$50*(Q$37-(Q31-Q32-Q34)*$C$35)/(SUM('MDA1:NCA9'!Q$37)-SUM('MDA1:NCA9'!Q$31)-SUM('MDA1:NCA9'!Q$32)-SUM('MDA1:NCA9'!Q$34))</f>
        <v>0</v>
      </c>
      <c r="R49" s="12">
        <f>'Corp.'!R$50*(R$37-(R31-R32-R34)*$C$35)/(SUM('MDA1:NCA9'!R$37)-SUM('MDA1:NCA9'!R$31)-SUM('MDA1:NCA9'!R$32)-SUM('MDA1:NCA9'!R$34))</f>
        <v>0</v>
      </c>
      <c r="S49" s="12">
        <f>'Corp.'!S$50*(S$37-(S31-S32-S34)*$C$35)/(SUM('MDA1:NCA9'!S$37)-SUM('MDA1:NCA9'!S$31)-SUM('MDA1:NCA9'!S$32)-SUM('MDA1:NCA9'!S$34))</f>
        <v>10123.93928910785</v>
      </c>
      <c r="T49" s="12">
        <f>'Corp.'!T$50*(T$37-(T31-T32-T34)*$C$35)/(SUM('MDA1:NCA9'!T$37)-SUM('MDA1:NCA9'!T$31)-SUM('MDA1:NCA9'!T$32)-SUM('MDA1:NCA9'!T$34))</f>
        <v>16256.246326265002</v>
      </c>
      <c r="U49" s="12">
        <f>'Corp.'!U$50*(U$37-(U31-U32-U34)*$C$35)/(SUM('MDA1:NCA9'!U$37)-SUM('MDA1:NCA9'!U$31)-SUM('MDA1:NCA9'!U$32)-SUM('MDA1:NCA9'!U$34))</f>
        <v>22154.498563046531</v>
      </c>
      <c r="V49" s="12">
        <f>'Corp.'!V$50*(V$37-(V31-V32-V34)*$C$35)/(SUM('MDA1:NCA9'!V$37)-SUM('MDA1:NCA9'!V$31)-SUM('MDA1:NCA9'!V$32)-SUM('MDA1:NCA9'!V$34))</f>
        <v>27844.529316417316</v>
      </c>
      <c r="W49" s="12">
        <f>'Corp.'!W$50*(W$37-(W31-W32-W34)*$C$35)/(SUM('MDA1:NCA9'!W$37)-SUM('MDA1:NCA9'!W$31)-SUM('MDA1:NCA9'!W$32)-SUM('MDA1:NCA9'!W$34))</f>
        <v>33006.793078935436</v>
      </c>
      <c r="X49" s="12">
        <f>'Corp.'!X$50*(X$37-(X31-X32-X34)*$C$35)/(SUM('MDA1:NCA9'!X$37)-SUM('MDA1:NCA9'!X$31)-SUM('MDA1:NCA9'!X$32)-SUM('MDA1:NCA9'!X$34))</f>
        <v>37793.219271708876</v>
      </c>
      <c r="Y49" s="12">
        <f>'Corp.'!Y$50*(Y$37-(Y31-Y32-Y34)*$C$35)/(SUM('MDA1:NCA9'!Y$37)-SUM('MDA1:NCA9'!Y$31)-SUM('MDA1:NCA9'!Y$32)-SUM('MDA1:NCA9'!Y$34))</f>
        <v>42689.52428835116</v>
      </c>
      <c r="Z49" s="12">
        <f>'Corp.'!Z$50*(Z$37-(Z31-Z32-Z34)*$C$35)/(SUM('MDA1:NCA9'!Z$37)-SUM('MDA1:NCA9'!Z$31)-SUM('MDA1:NCA9'!Z$32)-SUM('MDA1:NCA9'!Z$34))</f>
        <v>47335.692893566658</v>
      </c>
      <c r="AA49" s="12">
        <f>'Corp.'!AA$50*(AA$37-(AA31-AA32-AA34)*$C$35)/(SUM('MDA1:NCA9'!AA$37)-SUM('MDA1:NCA9'!AA$31)-SUM('MDA1:NCA9'!AA$32)-SUM('MDA1:NCA9'!AA$34))</f>
        <v>51699.299794969709</v>
      </c>
      <c r="AB49" s="12">
        <f>'Corp.'!AB$50*(AB$37-(AB31-AB32-AB34)*$C$35)/(SUM('MDA1:NCA9'!AB$37)-SUM('MDA1:NCA9'!AB$31)-SUM('MDA1:NCA9'!AB$32)-SUM('MDA1:NCA9'!AB$34))</f>
        <v>55848.306920262119</v>
      </c>
      <c r="AC49" s="12">
        <f>'Corp.'!AC$50*(AC$37-(AC31-AC32-AC34)*$C$35)/(SUM('MDA1:NCA9'!AC$37)-SUM('MDA1:NCA9'!AC$31)-SUM('MDA1:NCA9'!AC$32)-SUM('MDA1:NCA9'!AC$34))</f>
        <v>65651.155859074745</v>
      </c>
      <c r="AD49" s="12">
        <f>'Corp.'!AD$50*(AD$37-(AD31-AD32-AD34)*$C$35)/(SUM('MDA1:NCA9'!AD$37)-SUM('MDA1:NCA9'!AD$31)-SUM('MDA1:NCA9'!AD$32)-SUM('MDA1:NCA9'!AD$34))</f>
        <v>70190.906885849749</v>
      </c>
      <c r="AE49" s="12">
        <f>'Corp.'!AE$50*(AE$37-(AE31-AE32-AE34)*$C$35)/(SUM('MDA1:NCA9'!AE$37)-SUM('MDA1:NCA9'!AE$31)-SUM('MDA1:NCA9'!AE$32)-SUM('MDA1:NCA9'!AE$34))</f>
        <v>74615.27313061936</v>
      </c>
      <c r="AF49" s="12">
        <f>'Corp.'!AF$50*(AF$37-(AF31-AF32-AF34)*$C$35)/(SUM('MDA1:NCA9'!AF$37)-SUM('MDA1:NCA9'!AF$31)-SUM('MDA1:NCA9'!AF$32)-SUM('MDA1:NCA9'!AF$34))</f>
        <v>78943.425161868086</v>
      </c>
      <c r="AG49" s="12">
        <f>'Corp.'!AG$50*(AG$37-(AG31-AG32-AG34)*$C$35)/(SUM('MDA1:NCA9'!AG$37)-SUM('MDA1:NCA9'!AG$31)-SUM('MDA1:NCA9'!AG$32)-SUM('MDA1:NCA9'!AG$34))</f>
        <v>77979.765799357177</v>
      </c>
      <c r="AH49" s="12">
        <f>'Corp.'!AH$50*(AH$37-(AH31-AH32-AH34)*$C$35)/(SUM('MDA1:NCA9'!AH$37)-SUM('MDA1:NCA9'!AH$31)-SUM('MDA1:NCA9'!AH$32)-SUM('MDA1:NCA9'!AH$34))</f>
        <v>76712.193944299695</v>
      </c>
      <c r="AI49" s="12">
        <f>'Corp.'!AI$50*(AI$37-(AI31-AI32-AI34)*$C$35)/(SUM('MDA1:NCA9'!AI$37)-SUM('MDA1:NCA9'!AI$31)-SUM('MDA1:NCA9'!AI$32)-SUM('MDA1:NCA9'!AI$34))</f>
        <v>75391.235786919249</v>
      </c>
      <c r="AJ49" s="12">
        <f>'Corp.'!AJ$50*(AJ$37-(AJ31-AJ32-AJ34)*$C$35)/(SUM('MDA1:NCA9'!AJ$37)-SUM('MDA1:NCA9'!AJ$31)-SUM('MDA1:NCA9'!AJ$32)-SUM('MDA1:NCA9'!AJ$34))</f>
        <v>74037.829400941715</v>
      </c>
      <c r="AK49" s="12">
        <f>'Corp.'!AK$50*(AK$37-(AK31-AK32-AK34)*$C$35)/(SUM('MDA1:NCA9'!AK$37)-SUM('MDA1:NCA9'!AK$31)-SUM('MDA1:NCA9'!AK$32)-SUM('MDA1:NCA9'!AK$34))</f>
        <v>72788.126846379178</v>
      </c>
      <c r="AL49" s="12">
        <f>'Corp.'!AL$50*(AL$37-(AL31-AL32-AL34)*$C$35)/(SUM('MDA1:NCA9'!AL$37)-SUM('MDA1:NCA9'!AL$31)-SUM('MDA1:NCA9'!AL$32)-SUM('MDA1:NCA9'!AL$34))</f>
        <v>71641.323887728504</v>
      </c>
      <c r="AM49" s="12">
        <f>'Corp.'!AM$50*(AM$37-(AM31-AM32-AM34)*$C$35)/(SUM('MDA1:NCA9'!AM$37)-SUM('MDA1:NCA9'!AM$31)-SUM('MDA1:NCA9'!AM$32)-SUM('MDA1:NCA9'!AM$34))</f>
        <v>70406.274276485157</v>
      </c>
      <c r="AN49" s="12">
        <f>'Corp.'!AN$50*(AN$37-(AN31-AN32-AN34)*$C$35)/(SUM('MDA1:NCA9'!AN$37)-SUM('MDA1:NCA9'!AN$31)-SUM('MDA1:NCA9'!AN$32)-SUM('MDA1:NCA9'!AN$34))</f>
        <v>69353.495383390065</v>
      </c>
    </row>
    <row r="50" spans="2:40" x14ac:dyDescent="0.25">
      <c r="B50" s="1" t="s">
        <v>272</v>
      </c>
      <c r="E50" s="13" cm="1">
        <f t="array" ref="E50:AN50">_xlfn.BYCOL(_xlfn.VSTACK(_xlfn.ANCHORARRAY(E40),_xlfn.ANCHORARRAY(E42),_xlfn.ANCHORARRAY(E43),_xlfn.ANCHORARRAY(E45),_xlfn.ANCHORARRAY(E46),_xlfn.ANCHORARRAY(E47),_xlfn.ANCHORARRAY(E48),_xlfn.HSTACK(E49:AN49)),_xlfn.LAMBDA(_xlpm.a,SUM(_xlpm.a)))</f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0</v>
      </c>
      <c r="Q50" s="13">
        <v>151234.47</v>
      </c>
      <c r="R50" s="13">
        <v>0</v>
      </c>
      <c r="S50" s="13">
        <v>100948.40788651146</v>
      </c>
      <c r="T50" s="13">
        <v>143670.8085077389</v>
      </c>
      <c r="U50" s="13">
        <v>173077.57934192405</v>
      </c>
      <c r="V50" s="13">
        <v>202228.30701269844</v>
      </c>
      <c r="W50" s="13">
        <v>230887.42102595352</v>
      </c>
      <c r="X50" s="13">
        <v>259486.5558161306</v>
      </c>
      <c r="Y50" s="13">
        <v>287661.49941684317</v>
      </c>
      <c r="Z50" s="13">
        <v>315878.2682727956</v>
      </c>
      <c r="AA50" s="13">
        <v>343750.39377160231</v>
      </c>
      <c r="AB50" s="13">
        <v>371286.34781429818</v>
      </c>
      <c r="AC50" s="13">
        <v>434763.93305165856</v>
      </c>
      <c r="AD50" s="13">
        <v>465179.41860224411</v>
      </c>
      <c r="AE50" s="13">
        <v>495306.59305615776</v>
      </c>
      <c r="AF50" s="13">
        <v>518831.3717965504</v>
      </c>
      <c r="AG50" s="13">
        <v>518223.82070070622</v>
      </c>
      <c r="AH50" s="13">
        <v>517432.96517898206</v>
      </c>
      <c r="AI50" s="13">
        <v>516390.78488826822</v>
      </c>
      <c r="AJ50" s="13">
        <v>515393.4867689574</v>
      </c>
      <c r="AK50" s="13">
        <v>514620.50054772815</v>
      </c>
      <c r="AL50" s="13">
        <v>513671.63605574419</v>
      </c>
      <c r="AM50" s="13">
        <v>512792.69471116748</v>
      </c>
      <c r="AN50" s="13">
        <v>512096.0240847391</v>
      </c>
    </row>
    <row r="52" spans="2:40" x14ac:dyDescent="0.25">
      <c r="B52" s="1" t="s">
        <v>48</v>
      </c>
      <c r="E52" s="74">
        <f>E37-E50</f>
        <v>0</v>
      </c>
      <c r="F52" s="74">
        <f t="shared" ref="F52:AN52" si="0">F37-F50</f>
        <v>0</v>
      </c>
      <c r="G52" s="74">
        <f t="shared" si="0"/>
        <v>0</v>
      </c>
      <c r="H52" s="74">
        <f t="shared" si="0"/>
        <v>0</v>
      </c>
      <c r="I52" s="74">
        <f t="shared" si="0"/>
        <v>0</v>
      </c>
      <c r="J52" s="74">
        <f t="shared" si="0"/>
        <v>0</v>
      </c>
      <c r="K52" s="74">
        <f t="shared" si="0"/>
        <v>0</v>
      </c>
      <c r="L52" s="74">
        <f t="shared" si="0"/>
        <v>0</v>
      </c>
      <c r="M52" s="74">
        <f t="shared" si="0"/>
        <v>0</v>
      </c>
      <c r="N52" s="74">
        <f t="shared" si="0"/>
        <v>0</v>
      </c>
      <c r="O52" s="74">
        <f t="shared" si="0"/>
        <v>0</v>
      </c>
      <c r="P52" s="74">
        <f t="shared" si="0"/>
        <v>0</v>
      </c>
      <c r="Q52" s="74">
        <f t="shared" si="0"/>
        <v>-151234.47</v>
      </c>
      <c r="R52" s="74">
        <f t="shared" si="0"/>
        <v>0</v>
      </c>
      <c r="S52" s="74">
        <f t="shared" si="0"/>
        <v>-29854.180281444787</v>
      </c>
      <c r="T52" s="74">
        <f t="shared" si="0"/>
        <v>-24968.529344272218</v>
      </c>
      <c r="U52" s="74">
        <f t="shared" si="0"/>
        <v>-6767.2486200573912</v>
      </c>
      <c r="V52" s="74">
        <f t="shared" si="0"/>
        <v>11690.075267568231</v>
      </c>
      <c r="W52" s="74">
        <f t="shared" si="0"/>
        <v>30639.012812713132</v>
      </c>
      <c r="X52" s="74">
        <f t="shared" si="0"/>
        <v>49647.929580936092</v>
      </c>
      <c r="Y52" s="74">
        <f t="shared" si="0"/>
        <v>69081.037538623437</v>
      </c>
      <c r="Z52" s="74">
        <f t="shared" si="0"/>
        <v>88472.320241071109</v>
      </c>
      <c r="AA52" s="74">
        <f t="shared" si="0"/>
        <v>108208.24630066438</v>
      </c>
      <c r="AB52" s="74">
        <f t="shared" si="0"/>
        <v>128280.34381636843</v>
      </c>
      <c r="AC52" s="74">
        <f t="shared" si="0"/>
        <v>112410.81013740809</v>
      </c>
      <c r="AD52" s="74">
        <f t="shared" si="0"/>
        <v>129603.37614522246</v>
      </c>
      <c r="AE52" s="74">
        <f t="shared" si="0"/>
        <v>147084.25324970874</v>
      </c>
      <c r="AF52" s="74">
        <f t="shared" si="0"/>
        <v>171167.52606771613</v>
      </c>
      <c r="AG52" s="74">
        <f t="shared" si="0"/>
        <v>171775.07716356032</v>
      </c>
      <c r="AH52" s="74">
        <f t="shared" si="0"/>
        <v>172565.93268528447</v>
      </c>
      <c r="AI52" s="74">
        <f t="shared" si="0"/>
        <v>173608.11297599832</v>
      </c>
      <c r="AJ52" s="74">
        <f t="shared" si="0"/>
        <v>174605.41109530913</v>
      </c>
      <c r="AK52" s="74">
        <f t="shared" si="0"/>
        <v>175378.39731653838</v>
      </c>
      <c r="AL52" s="74">
        <f t="shared" si="0"/>
        <v>176327.26180852234</v>
      </c>
      <c r="AM52" s="74">
        <f t="shared" si="0"/>
        <v>177206.20315309905</v>
      </c>
      <c r="AN52" s="74">
        <f t="shared" si="0"/>
        <v>177902.87377952744</v>
      </c>
    </row>
    <row r="53" spans="2:40" x14ac:dyDescent="0.25">
      <c r="E53" s="105" t="str">
        <f>IFERROR(E52/E37,"")</f>
        <v/>
      </c>
      <c r="F53" s="105" t="str">
        <f t="shared" ref="F53:AN53" si="1">IFERROR(F52/F37,"")</f>
        <v/>
      </c>
      <c r="G53" s="105" t="str">
        <f t="shared" si="1"/>
        <v/>
      </c>
      <c r="H53" s="105" t="str">
        <f t="shared" si="1"/>
        <v/>
      </c>
      <c r="I53" s="105" t="str">
        <f t="shared" si="1"/>
        <v/>
      </c>
      <c r="J53" s="105" t="str">
        <f t="shared" si="1"/>
        <v/>
      </c>
      <c r="K53" s="105" t="str">
        <f t="shared" si="1"/>
        <v/>
      </c>
      <c r="L53" s="105" t="str">
        <f t="shared" si="1"/>
        <v/>
      </c>
      <c r="M53" s="105" t="str">
        <f t="shared" si="1"/>
        <v/>
      </c>
      <c r="N53" s="105" t="str">
        <f t="shared" si="1"/>
        <v/>
      </c>
      <c r="O53" s="105" t="str">
        <f t="shared" si="1"/>
        <v/>
      </c>
      <c r="P53" s="105" t="str">
        <f t="shared" si="1"/>
        <v/>
      </c>
      <c r="Q53" s="105" t="str">
        <f t="shared" si="1"/>
        <v/>
      </c>
      <c r="R53" s="105" t="str">
        <f t="shared" si="1"/>
        <v/>
      </c>
      <c r="S53" s="105">
        <f t="shared" si="1"/>
        <v>-0.41992411039735622</v>
      </c>
      <c r="T53" s="105">
        <f t="shared" si="1"/>
        <v>-0.21034582924804404</v>
      </c>
      <c r="U53" s="105">
        <f t="shared" si="1"/>
        <v>-4.0690488622590573E-2</v>
      </c>
      <c r="V53" s="105">
        <f t="shared" si="1"/>
        <v>5.4647361965613581E-2</v>
      </c>
      <c r="W53" s="105">
        <f t="shared" si="1"/>
        <v>0.11715455437141038</v>
      </c>
      <c r="X53" s="105">
        <f t="shared" si="1"/>
        <v>0.16060301236585101</v>
      </c>
      <c r="Y53" s="105">
        <f t="shared" si="1"/>
        <v>0.19364395994988134</v>
      </c>
      <c r="Z53" s="105">
        <f t="shared" si="1"/>
        <v>0.21880101761750512</v>
      </c>
      <c r="AA53" s="105">
        <f t="shared" si="1"/>
        <v>0.23942068301507022</v>
      </c>
      <c r="AB53" s="105">
        <f t="shared" si="1"/>
        <v>0.2567832202696313</v>
      </c>
      <c r="AC53" s="105">
        <f t="shared" si="1"/>
        <v>0.20543859440998816</v>
      </c>
      <c r="AD53" s="105">
        <f t="shared" si="1"/>
        <v>0.21790034494903232</v>
      </c>
      <c r="AE53" s="105">
        <f t="shared" si="1"/>
        <v>0.22896380621786816</v>
      </c>
      <c r="AF53" s="105">
        <f t="shared" si="1"/>
        <v>0.24806927459960584</v>
      </c>
      <c r="AG53" s="105">
        <f t="shared" si="1"/>
        <v>0.24894978484060004</v>
      </c>
      <c r="AH53" s="105">
        <f t="shared" si="1"/>
        <v>0.25009595409416269</v>
      </c>
      <c r="AI53" s="105">
        <f t="shared" si="1"/>
        <v>0.25160636272516151</v>
      </c>
      <c r="AJ53" s="105">
        <f t="shared" si="1"/>
        <v>0.25305172462703951</v>
      </c>
      <c r="AK53" s="105">
        <f t="shared" si="1"/>
        <v>0.25417199630228687</v>
      </c>
      <c r="AL53" s="105">
        <f t="shared" si="1"/>
        <v>0.25554716442925196</v>
      </c>
      <c r="AM53" s="105">
        <f t="shared" si="1"/>
        <v>0.25682099449955681</v>
      </c>
      <c r="AN53" s="105">
        <f t="shared" si="1"/>
        <v>0.25783066368683344</v>
      </c>
    </row>
    <row r="55" spans="2:40" x14ac:dyDescent="0.25">
      <c r="B55" t="s">
        <v>57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1411000</v>
      </c>
      <c r="D55" s="12">
        <f>C55-SUM(_xlfn.ANCHORARRAY(E55))</f>
        <v>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235166.66666666666</v>
      </c>
      <c r="R55" s="12">
        <v>235166.66666666666</v>
      </c>
      <c r="S55" s="12">
        <v>235166.66666666666</v>
      </c>
      <c r="T55" s="12">
        <v>235166.66666666666</v>
      </c>
      <c r="U55" s="12">
        <v>235166.66666666666</v>
      </c>
      <c r="V55" s="12">
        <v>235166.66666666666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</row>
    <row r="56" spans="2:40" x14ac:dyDescent="0.25">
      <c r="B56" t="s">
        <v>285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0</v>
      </c>
      <c r="F56" s="90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0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0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0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0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-84424.829083026663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-92772.130592373302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-98739.029523800025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-105880.23725755996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-113021.44499132005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-120162.65272507997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-39228.965075799999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-46370.172809560005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-53511.380543319989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-60652.588277080002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-67793.79601084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-74935.003744599991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-82076.211478359997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-89217.419212119989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-96358.626945879965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276</v>
      </c>
      <c r="E58" s="13">
        <f>E37-E50-E55+E56</f>
        <v>0</v>
      </c>
      <c r="F58" s="13">
        <f t="shared" ref="F58:AN58" si="2">F37-F50-F55+F56</f>
        <v>0</v>
      </c>
      <c r="G58" s="13">
        <f t="shared" si="2"/>
        <v>0</v>
      </c>
      <c r="H58" s="13">
        <f t="shared" si="2"/>
        <v>0</v>
      </c>
      <c r="I58" s="13">
        <f t="shared" si="2"/>
        <v>0</v>
      </c>
      <c r="J58" s="13">
        <f t="shared" si="2"/>
        <v>0</v>
      </c>
      <c r="K58" s="13">
        <f t="shared" si="2"/>
        <v>0</v>
      </c>
      <c r="L58" s="13">
        <f t="shared" si="2"/>
        <v>0</v>
      </c>
      <c r="M58" s="13">
        <f t="shared" si="2"/>
        <v>0</v>
      </c>
      <c r="N58" s="13">
        <f t="shared" si="2"/>
        <v>0</v>
      </c>
      <c r="O58" s="13">
        <f t="shared" si="2"/>
        <v>0</v>
      </c>
      <c r="P58" s="13">
        <f t="shared" si="2"/>
        <v>0</v>
      </c>
      <c r="Q58" s="13">
        <f t="shared" si="2"/>
        <v>-386401.13666666666</v>
      </c>
      <c r="R58" s="13">
        <f t="shared" si="2"/>
        <v>-235166.66666666666</v>
      </c>
      <c r="S58" s="13">
        <f t="shared" si="2"/>
        <v>-265020.84694811143</v>
      </c>
      <c r="T58" s="13">
        <f t="shared" si="2"/>
        <v>-260135.19601093887</v>
      </c>
      <c r="U58" s="13">
        <f t="shared" si="2"/>
        <v>-241933.91528672405</v>
      </c>
      <c r="V58" s="13">
        <f t="shared" si="2"/>
        <v>-307901.42048212508</v>
      </c>
      <c r="W58" s="13">
        <f t="shared" si="2"/>
        <v>-62133.11777966017</v>
      </c>
      <c r="X58" s="13">
        <f t="shared" si="2"/>
        <v>-49091.099942863933</v>
      </c>
      <c r="Y58" s="13">
        <f t="shared" si="2"/>
        <v>-36799.199718936521</v>
      </c>
      <c r="Z58" s="13">
        <f t="shared" si="2"/>
        <v>-24549.124750248942</v>
      </c>
      <c r="AA58" s="13">
        <f t="shared" si="2"/>
        <v>-11954.406424415589</v>
      </c>
      <c r="AB58" s="13">
        <f t="shared" si="2"/>
        <v>89051.378740568442</v>
      </c>
      <c r="AC58" s="13">
        <f t="shared" si="2"/>
        <v>66040.63732784809</v>
      </c>
      <c r="AD58" s="13">
        <f t="shared" si="2"/>
        <v>76091.995601902468</v>
      </c>
      <c r="AE58" s="13">
        <f t="shared" si="2"/>
        <v>86431.664972628729</v>
      </c>
      <c r="AF58" s="13">
        <f t="shared" si="2"/>
        <v>103373.73005687613</v>
      </c>
      <c r="AG58" s="13">
        <f t="shared" si="2"/>
        <v>96840.073418960324</v>
      </c>
      <c r="AH58" s="13">
        <f t="shared" si="2"/>
        <v>90489.721206924471</v>
      </c>
      <c r="AI58" s="13">
        <f t="shared" si="2"/>
        <v>84390.693763878327</v>
      </c>
      <c r="AJ58" s="13">
        <f t="shared" si="2"/>
        <v>78246.784149429164</v>
      </c>
      <c r="AK58" s="13">
        <f t="shared" si="2"/>
        <v>71878.562636898409</v>
      </c>
      <c r="AL58" s="13">
        <f t="shared" si="2"/>
        <v>72827.427128882366</v>
      </c>
      <c r="AM58" s="13">
        <f t="shared" si="2"/>
        <v>73706.368473459079</v>
      </c>
      <c r="AN58" s="13">
        <f t="shared" si="2"/>
        <v>74403.039099887465</v>
      </c>
    </row>
    <row r="59" spans="2:40" x14ac:dyDescent="0.25">
      <c r="B59" t="s">
        <v>277</v>
      </c>
      <c r="E59" s="12" cm="1">
        <f t="array" ref="E59:AN59">_xlfn.SCAN(-D55,E58:AN58,_xlfn.LAMBDA(_xlpm.capex,_xlpm.fcf,_xlpm.capex+_xlpm.fcf))</f>
        <v>0</v>
      </c>
      <c r="F59" s="12">
        <v>0</v>
      </c>
      <c r="G59" s="12">
        <v>0</v>
      </c>
      <c r="H59" s="12">
        <v>0</v>
      </c>
      <c r="I59" s="12">
        <v>0</v>
      </c>
      <c r="J59" s="12">
        <v>0</v>
      </c>
      <c r="K59" s="12">
        <v>0</v>
      </c>
      <c r="L59" s="12">
        <v>0</v>
      </c>
      <c r="M59" s="12">
        <v>0</v>
      </c>
      <c r="N59" s="12">
        <v>0</v>
      </c>
      <c r="O59" s="12">
        <v>0</v>
      </c>
      <c r="P59" s="12">
        <v>0</v>
      </c>
      <c r="Q59" s="12">
        <v>-386401.13666666666</v>
      </c>
      <c r="R59" s="12">
        <v>-621567.80333333334</v>
      </c>
      <c r="S59" s="12">
        <v>-886588.65028144477</v>
      </c>
      <c r="T59" s="12">
        <v>-1146723.8462923837</v>
      </c>
      <c r="U59" s="12">
        <v>-1388657.7615791077</v>
      </c>
      <c r="V59" s="12">
        <v>-1696559.1820612329</v>
      </c>
      <c r="W59" s="12">
        <v>-1758692.2998408931</v>
      </c>
      <c r="X59" s="12">
        <v>-1807783.399783757</v>
      </c>
      <c r="Y59" s="12">
        <v>-1844582.5995026936</v>
      </c>
      <c r="Z59" s="12">
        <v>-1869131.7242529425</v>
      </c>
      <c r="AA59" s="12">
        <v>-1881086.130677358</v>
      </c>
      <c r="AB59" s="12">
        <v>-1792034.7519367896</v>
      </c>
      <c r="AC59" s="12">
        <v>-1725994.1146089416</v>
      </c>
      <c r="AD59" s="12">
        <v>-1649902.1190070391</v>
      </c>
      <c r="AE59" s="12">
        <v>-1563470.4540344104</v>
      </c>
      <c r="AF59" s="12">
        <v>-1460096.7239775343</v>
      </c>
      <c r="AG59" s="12">
        <v>-1363256.6505585741</v>
      </c>
      <c r="AH59" s="12">
        <v>-1272766.9293516497</v>
      </c>
      <c r="AI59" s="12">
        <v>-1188376.2355877713</v>
      </c>
      <c r="AJ59" s="12">
        <v>-1110129.4514383422</v>
      </c>
      <c r="AK59" s="12">
        <v>-1038250.8888014439</v>
      </c>
      <c r="AL59" s="12">
        <v>-965423.46167256148</v>
      </c>
      <c r="AM59" s="12">
        <v>-891717.09319910244</v>
      </c>
      <c r="AN59" s="12">
        <v>-817314.05409921496</v>
      </c>
    </row>
    <row r="61" spans="2:40" x14ac:dyDescent="0.25">
      <c r="B61" s="1" t="s">
        <v>302</v>
      </c>
    </row>
    <row r="63" spans="2:40" x14ac:dyDescent="0.25">
      <c r="B63" s="39" t="s">
        <v>103</v>
      </c>
      <c r="E63" s="12" cm="1">
        <f t="array" ref="E63:AN63">_xlfn.LET(_xlpm.site,$B$1&amp;"-"&amp;$C$1,_xlpm.locations,Base!$D$4:$BD$4,_xlpm.rates,Base!$D$36:$BD$36,_xlpm.hours,Base!$D$79:$BD$79,_xlpm.comp,_xlpm.rates*_xlpm.hours,_xlpm.Customer,_xlfn.ANCHORARRAY($E$1),
_xlpm.Customer_comp,_xlfn.XLOOKUP(_xlpm.site,_xlpm.locations,_xlpm.comp,0,0),_xlpm.ann_incr,_xlfn.XLOOKUP(YEAR(_xlfn.ANCHORARRAY($E$25)),Base!$BJ$4:$BL$4,Base!$BJ$79:$BL$79,0,0),
_xlpm.bad_debt,_xlfn.XLOOKUP(_xlpm.site,_xlpm.locations,Base!$D$28:$BD$28,0,0),_xlpm.Customer_comp*_xlpm.Customer*_xlpm.bad_debt*_xlpm.ann_incr*(52/12)*(1-$C$35))</f>
        <v>0</v>
      </c>
      <c r="F63" s="12">
        <v>0</v>
      </c>
      <c r="G63" s="12">
        <v>0</v>
      </c>
      <c r="H63" s="12">
        <v>0</v>
      </c>
      <c r="I63" s="12">
        <v>0</v>
      </c>
      <c r="J63" s="12">
        <v>0</v>
      </c>
      <c r="K63" s="12">
        <v>0</v>
      </c>
      <c r="L63" s="12">
        <v>0</v>
      </c>
      <c r="M63" s="12">
        <v>0</v>
      </c>
      <c r="N63" s="12">
        <v>0</v>
      </c>
      <c r="O63" s="12">
        <v>0</v>
      </c>
      <c r="P63" s="12">
        <v>0</v>
      </c>
      <c r="Q63" s="12">
        <v>0</v>
      </c>
      <c r="R63" s="12">
        <v>0</v>
      </c>
      <c r="S63" s="12">
        <v>2179.0924014745592</v>
      </c>
      <c r="T63" s="12">
        <v>4358.1848029491184</v>
      </c>
      <c r="U63" s="12">
        <v>6537.2772044236781</v>
      </c>
      <c r="V63" s="12">
        <v>8716.3696058982368</v>
      </c>
      <c r="W63" s="12">
        <v>10895.4620073728</v>
      </c>
      <c r="X63" s="12">
        <v>13074.554408847356</v>
      </c>
      <c r="Y63" s="12">
        <v>15253.646810321916</v>
      </c>
      <c r="Z63" s="12">
        <v>17432.739211796474</v>
      </c>
      <c r="AA63" s="12">
        <v>19611.831613271035</v>
      </c>
      <c r="AB63" s="12">
        <v>21790.9240147456</v>
      </c>
      <c r="AC63" s="12">
        <v>23970.016416220154</v>
      </c>
      <c r="AD63" s="12">
        <v>26149.108817694712</v>
      </c>
      <c r="AE63" s="12">
        <v>28328.201219169274</v>
      </c>
      <c r="AF63" s="12">
        <v>30507.293620643832</v>
      </c>
      <c r="AG63" s="12">
        <v>30507.293620643832</v>
      </c>
      <c r="AH63" s="12">
        <v>30507.293620643832</v>
      </c>
      <c r="AI63" s="12">
        <v>30507.293620643832</v>
      </c>
      <c r="AJ63" s="12">
        <v>30507.293620643832</v>
      </c>
      <c r="AK63" s="12">
        <v>30507.293620643832</v>
      </c>
      <c r="AL63" s="12">
        <v>30507.293620643832</v>
      </c>
      <c r="AM63" s="12">
        <v>30507.293620643832</v>
      </c>
      <c r="AN63" s="12">
        <v>30507.293620643832</v>
      </c>
    </row>
    <row r="64" spans="2:40" x14ac:dyDescent="0.25">
      <c r="B64" s="39" t="s">
        <v>104</v>
      </c>
      <c r="E64" s="12" cm="1">
        <f t="array" ref="E64:AN64">_xlfn.LET(_xlpm.site,$B$1&amp;"-"&amp;$C$1,_xlpm.locations,Base!$D$4:$BD$4,_xlpm.rates,Base!$D$37:$BD$37,_xlpm.hours,Base!$D$80:$BD$80,_xlpm.comp,_xlpm.rates*_xlpm.hours,_xlpm.Customer,_xlfn.ANCHORARRAY($E$1),
_xlpm.Customer_comp,_xlfn.XLOOKUP(_xlpm.site,_xlpm.locations,_xlpm.comp,0,0),_xlpm.ann_incr,_xlfn.XLOOKUP(YEAR(_xlfn.ANCHORARRAY($E$25)),Base!$BJ$4:$BL$4,Base!$BJ$80:$BL$80,0,0),
_xlpm.bad_debt,_xlfn.XLOOKUP(_xlpm.site,_xlpm.locations,Base!$D$28:$BD$28,0,0),_xlpm.Customer_comp*_xlpm.Customer*_xlpm.bad_debt*_xlpm.ann_incr*(52/12)*(1-$C$35))</f>
        <v>0</v>
      </c>
      <c r="F64" s="12">
        <v>0</v>
      </c>
      <c r="G64" s="12">
        <v>0</v>
      </c>
      <c r="H64" s="12">
        <v>0</v>
      </c>
      <c r="I64" s="12">
        <v>0</v>
      </c>
      <c r="J64" s="12">
        <v>0</v>
      </c>
      <c r="K64" s="12">
        <v>0</v>
      </c>
      <c r="L64" s="12">
        <v>0</v>
      </c>
      <c r="M64" s="12">
        <v>0</v>
      </c>
      <c r="N64" s="12">
        <v>0</v>
      </c>
      <c r="O64" s="12">
        <v>0</v>
      </c>
      <c r="P64" s="12">
        <v>0</v>
      </c>
      <c r="Q64" s="12">
        <v>0</v>
      </c>
      <c r="R64" s="12">
        <v>0</v>
      </c>
      <c r="S64" s="12">
        <v>291.17026532352008</v>
      </c>
      <c r="T64" s="12">
        <v>582.34053064704017</v>
      </c>
      <c r="U64" s="12">
        <v>873.51079597056014</v>
      </c>
      <c r="V64" s="12">
        <v>1164.6810612940803</v>
      </c>
      <c r="W64" s="12">
        <v>1455.8513266176003</v>
      </c>
      <c r="X64" s="12">
        <v>1747.0215919411203</v>
      </c>
      <c r="Y64" s="12">
        <v>2038.1918572646407</v>
      </c>
      <c r="Z64" s="12">
        <v>2329.3621225881607</v>
      </c>
      <c r="AA64" s="12">
        <v>2620.5323879116804</v>
      </c>
      <c r="AB64" s="12">
        <v>2911.7026532352006</v>
      </c>
      <c r="AC64" s="12">
        <v>3202.8729185587208</v>
      </c>
      <c r="AD64" s="12">
        <v>3494.0431838822406</v>
      </c>
      <c r="AE64" s="12">
        <v>3785.2134492057612</v>
      </c>
      <c r="AF64" s="12">
        <v>4076.3837145292814</v>
      </c>
      <c r="AG64" s="12">
        <v>4076.3837145292814</v>
      </c>
      <c r="AH64" s="12">
        <v>4076.3837145292814</v>
      </c>
      <c r="AI64" s="12">
        <v>4076.3837145292814</v>
      </c>
      <c r="AJ64" s="12">
        <v>4076.3837145292814</v>
      </c>
      <c r="AK64" s="12">
        <v>4076.3837145292814</v>
      </c>
      <c r="AL64" s="12">
        <v>4076.3837145292814</v>
      </c>
      <c r="AM64" s="12">
        <v>4076.3837145292814</v>
      </c>
      <c r="AN64" s="12">
        <v>4076.3837145292814</v>
      </c>
    </row>
    <row r="65" spans="2:40" x14ac:dyDescent="0.25">
      <c r="B65" s="39" t="s">
        <v>56</v>
      </c>
      <c r="E65" s="12" cm="1">
        <f t="array" ref="E65:AN65">_xlfn.LET(_xlpm.site,$B$1&amp;"-"&amp;$C$1,_xlpm.locations,Base!$D$4:$BD$4,_xlpm.rates,Base!$D$39:$BD$39,_xlpm.hours,Base!$D$82:$BD$82,_xlpm.comp,_xlpm.rates*_xlpm.hours,_xlpm.Customer,_xlfn.ANCHORARRAY($E$1),
_xlpm.Customer_comp,_xlfn.XLOOKUP(_xlpm.site,_xlpm.locations,_xlpm.comp,0,0),_xlpm.ann_incr,_xlfn.XLOOKUP(YEAR(_xlfn.ANCHORARRAY($E$25)),Base!$BJ$4:$BL$4,Base!$BJ$82:$BL$82,0,0),
_xlpm.bad_debt,_xlfn.XLOOKUP(_xlpm.site,_xlpm.locations,Base!$D$28:$BD$28,0,0),_xlpm.Customer_comp*_xlpm.Customer*_xlpm.bad_debt*_xlpm.ann_incr*(52/12)*(1-$C$35))</f>
        <v>0</v>
      </c>
      <c r="F65" s="12">
        <v>0</v>
      </c>
      <c r="G65" s="12">
        <v>0</v>
      </c>
      <c r="H65" s="12">
        <v>0</v>
      </c>
      <c r="I65" s="12">
        <v>0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  <c r="O65" s="12">
        <v>0</v>
      </c>
      <c r="P65" s="12">
        <v>0</v>
      </c>
      <c r="Q65" s="12">
        <v>0</v>
      </c>
      <c r="R65" s="12">
        <v>0</v>
      </c>
      <c r="S65" s="12">
        <v>1770.8074248550399</v>
      </c>
      <c r="T65" s="12">
        <v>3541.6148497100799</v>
      </c>
      <c r="U65" s="12">
        <v>5312.4222745651196</v>
      </c>
      <c r="V65" s="12">
        <v>7083.2296994201597</v>
      </c>
      <c r="W65" s="12">
        <v>8854.0371242752008</v>
      </c>
      <c r="X65" s="12">
        <v>10624.844549130239</v>
      </c>
      <c r="Y65" s="12">
        <v>12395.651973985277</v>
      </c>
      <c r="Z65" s="12">
        <v>14166.459398840319</v>
      </c>
      <c r="AA65" s="12">
        <v>15937.266823695358</v>
      </c>
      <c r="AB65" s="12">
        <v>17708.074248550402</v>
      </c>
      <c r="AC65" s="12">
        <v>19478.881673405438</v>
      </c>
      <c r="AD65" s="12">
        <v>21249.689098260478</v>
      </c>
      <c r="AE65" s="12">
        <v>23020.496523115518</v>
      </c>
      <c r="AF65" s="12">
        <v>24791.303947970555</v>
      </c>
      <c r="AG65" s="12">
        <v>24791.303947970555</v>
      </c>
      <c r="AH65" s="12">
        <v>24791.303947970555</v>
      </c>
      <c r="AI65" s="12">
        <v>24791.303947970555</v>
      </c>
      <c r="AJ65" s="12">
        <v>24791.303947970555</v>
      </c>
      <c r="AK65" s="12">
        <v>24791.303947970555</v>
      </c>
      <c r="AL65" s="12">
        <v>24791.303947970555</v>
      </c>
      <c r="AM65" s="12">
        <v>24791.303947970555</v>
      </c>
      <c r="AN65" s="12">
        <v>24791.303947970555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303</v>
      </c>
      <c r="C67" s="12"/>
      <c r="E67" s="13" cm="1">
        <f t="array" ref="E67:AN67">_xlfn.BYCOL(_xlfn.VSTACK(_xlfn.ANCHORARRAY($E$63),_xlfn.ANCHORARRAY($E$64),_xlfn.ANCHORARRAY($E$65)),_xlfn.LAMBDA(_xlpm.a,SUM(_xlpm.a)))</f>
        <v>0</v>
      </c>
      <c r="F67" s="13">
        <v>0</v>
      </c>
      <c r="G67" s="13">
        <v>0</v>
      </c>
      <c r="H67" s="13">
        <v>0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4241.0700916531196</v>
      </c>
      <c r="T67" s="13">
        <v>8482.1401833062391</v>
      </c>
      <c r="U67" s="13">
        <v>12723.210274959358</v>
      </c>
      <c r="V67" s="13">
        <v>16964.280366612478</v>
      </c>
      <c r="W67" s="13">
        <v>21205.350458265602</v>
      </c>
      <c r="X67" s="13">
        <v>25446.420549918716</v>
      </c>
      <c r="Y67" s="13">
        <v>29687.490641571832</v>
      </c>
      <c r="Z67" s="13">
        <v>33928.560733224956</v>
      </c>
      <c r="AA67" s="13">
        <v>38169.63082487807</v>
      </c>
      <c r="AB67" s="13">
        <v>42410.700916531205</v>
      </c>
      <c r="AC67" s="13">
        <v>46651.771008184311</v>
      </c>
      <c r="AD67" s="13">
        <v>50892.841099837431</v>
      </c>
      <c r="AE67" s="13">
        <v>55133.911191490552</v>
      </c>
      <c r="AF67" s="13">
        <v>59374.981283143665</v>
      </c>
      <c r="AG67" s="13">
        <v>59374.981283143665</v>
      </c>
      <c r="AH67" s="13">
        <v>59374.981283143665</v>
      </c>
      <c r="AI67" s="13">
        <v>59374.981283143665</v>
      </c>
      <c r="AJ67" s="13">
        <v>59374.981283143665</v>
      </c>
      <c r="AK67" s="13">
        <v>59374.981283143665</v>
      </c>
      <c r="AL67" s="13">
        <v>59374.981283143665</v>
      </c>
      <c r="AM67" s="13">
        <v>59374.981283143665</v>
      </c>
      <c r="AN67" s="13">
        <v>59374.981283143665</v>
      </c>
    </row>
    <row r="68" spans="2:40" x14ac:dyDescent="0.25">
      <c r="B68" s="39"/>
      <c r="C68" s="12"/>
    </row>
    <row r="69" spans="2:40" x14ac:dyDescent="0.25">
      <c r="B69" s="39" t="s">
        <v>304</v>
      </c>
      <c r="C69" s="12"/>
      <c r="E69" s="106" cm="1">
        <f t="array" ref="E69:AN70">_xlfn.LET(_xlpm.Customer_staff,_xlfn._xlws.FILTER(Base!$D$96:$BD$97,ISNUMBER(SEARCH($B$1&amp;"-"&amp;$C$1,Base!$D$4:$BD$4))),_xlpm.Customer,_xlfn.ANCHORARRAY($E$1),_xlpm.headcount,_xlpm.Customer/_xlpm.Customer_staff,
_xlpm.rounding,_xlfn.VSTACK(0,0),IFERROR(ROUND(_xlpm.headcount,_xlpm.rounding),0))</f>
        <v>0</v>
      </c>
      <c r="F69" s="106">
        <v>0</v>
      </c>
      <c r="G69" s="106">
        <v>0</v>
      </c>
      <c r="H69" s="106">
        <v>0</v>
      </c>
      <c r="I69" s="106">
        <v>0</v>
      </c>
      <c r="J69" s="106">
        <v>0</v>
      </c>
      <c r="K69" s="106">
        <v>0</v>
      </c>
      <c r="L69" s="106">
        <v>0</v>
      </c>
      <c r="M69" s="106">
        <v>0</v>
      </c>
      <c r="N69" s="106">
        <v>0</v>
      </c>
      <c r="O69" s="106">
        <v>0</v>
      </c>
      <c r="P69" s="106">
        <v>0</v>
      </c>
      <c r="Q69" s="106">
        <v>0</v>
      </c>
      <c r="R69" s="106">
        <v>0</v>
      </c>
      <c r="S69" s="106">
        <v>0</v>
      </c>
      <c r="T69" s="106">
        <v>0</v>
      </c>
      <c r="U69" s="106">
        <v>0</v>
      </c>
      <c r="V69" s="106">
        <v>0</v>
      </c>
      <c r="W69" s="106">
        <v>0</v>
      </c>
      <c r="X69" s="106">
        <v>0</v>
      </c>
      <c r="Y69" s="106">
        <v>1</v>
      </c>
      <c r="Z69" s="106">
        <v>1</v>
      </c>
      <c r="AA69" s="106">
        <v>1</v>
      </c>
      <c r="AB69" s="106">
        <v>1</v>
      </c>
      <c r="AC69" s="106">
        <v>1</v>
      </c>
      <c r="AD69" s="106">
        <v>1</v>
      </c>
      <c r="AE69" s="106">
        <v>1</v>
      </c>
      <c r="AF69" s="106">
        <v>1</v>
      </c>
      <c r="AG69" s="106">
        <v>1</v>
      </c>
      <c r="AH69" s="106">
        <v>1</v>
      </c>
      <c r="AI69" s="106">
        <v>1</v>
      </c>
      <c r="AJ69" s="106">
        <v>1</v>
      </c>
      <c r="AK69" s="106">
        <v>1</v>
      </c>
      <c r="AL69" s="106">
        <v>1</v>
      </c>
      <c r="AM69" s="106">
        <v>1</v>
      </c>
      <c r="AN69" s="106">
        <v>1</v>
      </c>
    </row>
    <row r="70" spans="2:40" x14ac:dyDescent="0.25">
      <c r="B70" s="39" t="s">
        <v>305</v>
      </c>
      <c r="C70" s="12"/>
      <c r="E70" s="106">
        <v>0</v>
      </c>
      <c r="F70" s="106">
        <v>0</v>
      </c>
      <c r="G70" s="106">
        <v>0</v>
      </c>
      <c r="H70" s="106">
        <v>0</v>
      </c>
      <c r="I70" s="106">
        <v>0</v>
      </c>
      <c r="J70" s="106">
        <v>0</v>
      </c>
      <c r="K70" s="106">
        <v>0</v>
      </c>
      <c r="L70" s="106">
        <v>0</v>
      </c>
      <c r="M70" s="106">
        <v>0</v>
      </c>
      <c r="N70" s="106">
        <v>0</v>
      </c>
      <c r="O70" s="106">
        <v>0</v>
      </c>
      <c r="P70" s="106">
        <v>0</v>
      </c>
      <c r="Q70" s="106">
        <v>0</v>
      </c>
      <c r="R70" s="106">
        <v>0</v>
      </c>
      <c r="S70" s="106">
        <v>0</v>
      </c>
      <c r="T70" s="106">
        <v>0</v>
      </c>
      <c r="U70" s="106">
        <v>0</v>
      </c>
      <c r="V70" s="106">
        <v>0</v>
      </c>
      <c r="W70" s="106">
        <v>0</v>
      </c>
      <c r="X70" s="106">
        <v>0</v>
      </c>
      <c r="Y70" s="106">
        <v>0</v>
      </c>
      <c r="Z70" s="106">
        <v>1</v>
      </c>
      <c r="AA70" s="106">
        <v>1</v>
      </c>
      <c r="AB70" s="106">
        <v>1</v>
      </c>
      <c r="AC70" s="106">
        <v>1</v>
      </c>
      <c r="AD70" s="106">
        <v>1</v>
      </c>
      <c r="AE70" s="106">
        <v>1</v>
      </c>
      <c r="AF70" s="106">
        <v>1</v>
      </c>
      <c r="AG70" s="106">
        <v>1</v>
      </c>
      <c r="AH70" s="106">
        <v>1</v>
      </c>
      <c r="AI70" s="106">
        <v>1</v>
      </c>
      <c r="AJ70" s="106">
        <v>1</v>
      </c>
      <c r="AK70" s="106">
        <v>1</v>
      </c>
      <c r="AL70" s="106">
        <v>1</v>
      </c>
      <c r="AM70" s="106">
        <v>1</v>
      </c>
      <c r="AN70" s="106">
        <v>1</v>
      </c>
    </row>
    <row r="71" spans="2:40" x14ac:dyDescent="0.25">
      <c r="B71" s="39"/>
      <c r="C71" s="12"/>
    </row>
    <row r="72" spans="2:40" x14ac:dyDescent="0.25">
      <c r="B72" s="39" t="s">
        <v>23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0</v>
      </c>
      <c r="F72" s="12">
        <v>0</v>
      </c>
      <c r="G72" s="12">
        <v>0</v>
      </c>
      <c r="H72" s="12">
        <v>0</v>
      </c>
      <c r="I72" s="12">
        <v>0</v>
      </c>
      <c r="J72" s="12">
        <v>0</v>
      </c>
      <c r="K72" s="12">
        <v>0</v>
      </c>
      <c r="L72" s="12">
        <v>0</v>
      </c>
      <c r="M72" s="12">
        <v>0</v>
      </c>
      <c r="N72" s="12">
        <v>0</v>
      </c>
      <c r="O72" s="12">
        <v>0</v>
      </c>
      <c r="P72" s="12">
        <v>0</v>
      </c>
      <c r="Q72" s="12">
        <v>0</v>
      </c>
      <c r="R72" s="12">
        <v>0</v>
      </c>
      <c r="S72" s="12">
        <v>1489.7914907369507</v>
      </c>
      <c r="T72" s="12">
        <v>2979.5829814739013</v>
      </c>
      <c r="U72" s="12">
        <v>4469.3744722108522</v>
      </c>
      <c r="V72" s="12">
        <v>5959.1659629478027</v>
      </c>
      <c r="W72" s="12">
        <v>7448.957453684754</v>
      </c>
      <c r="X72" s="12">
        <v>8938.7489444217044</v>
      </c>
      <c r="Y72" s="12">
        <v>25612.940435158664</v>
      </c>
      <c r="Z72" s="12">
        <v>42287.131925895606</v>
      </c>
      <c r="AA72" s="12">
        <v>43776.923416632562</v>
      </c>
      <c r="AB72" s="12">
        <v>45266.714907369511</v>
      </c>
      <c r="AC72" s="12">
        <v>51432.157037917103</v>
      </c>
      <c r="AD72" s="12">
        <v>53070.927677727756</v>
      </c>
      <c r="AE72" s="12">
        <v>54709.698317538408</v>
      </c>
      <c r="AF72" s="12">
        <v>56348.468957349047</v>
      </c>
      <c r="AG72" s="12">
        <v>56348.468957349047</v>
      </c>
      <c r="AH72" s="12">
        <v>56348.468957349047</v>
      </c>
      <c r="AI72" s="12">
        <v>56348.468957349047</v>
      </c>
      <c r="AJ72" s="12">
        <v>56348.468957349047</v>
      </c>
      <c r="AK72" s="12">
        <v>56348.468957349047</v>
      </c>
      <c r="AL72" s="12">
        <v>56348.468957349047</v>
      </c>
      <c r="AM72" s="12">
        <v>56348.468957349047</v>
      </c>
      <c r="AN72" s="12">
        <v>56348.468957349047</v>
      </c>
    </row>
    <row r="73" spans="2:40" x14ac:dyDescent="0.25">
      <c r="B73" s="39" t="s">
        <v>24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306</v>
      </c>
      <c r="E75" s="74" cm="1">
        <f t="array" ref="E75:AN75">_xlfn.ANCHORARRAY(E67)-_xlfn.ANCHORARRAY(E72)-_xlfn.ANCHORARRAY(E73)</f>
        <v>0</v>
      </c>
      <c r="F75" s="74">
        <v>0</v>
      </c>
      <c r="G75" s="74">
        <v>0</v>
      </c>
      <c r="H75" s="74">
        <v>0</v>
      </c>
      <c r="I75" s="74">
        <v>0</v>
      </c>
      <c r="J75" s="74">
        <v>0</v>
      </c>
      <c r="K75" s="74">
        <v>0</v>
      </c>
      <c r="L75" s="74">
        <v>0</v>
      </c>
      <c r="M75" s="74">
        <v>0</v>
      </c>
      <c r="N75" s="74">
        <v>0</v>
      </c>
      <c r="O75" s="74">
        <v>0</v>
      </c>
      <c r="P75" s="74">
        <v>0</v>
      </c>
      <c r="Q75" s="74">
        <v>0</v>
      </c>
      <c r="R75" s="74">
        <v>0</v>
      </c>
      <c r="S75" s="74">
        <v>2751.2786009161691</v>
      </c>
      <c r="T75" s="74">
        <v>5502.5572018323383</v>
      </c>
      <c r="U75" s="74">
        <v>8253.8358027485046</v>
      </c>
      <c r="V75" s="74">
        <v>11005.114403664677</v>
      </c>
      <c r="W75" s="74">
        <v>13756.393004580848</v>
      </c>
      <c r="X75" s="74">
        <v>16507.671605497009</v>
      </c>
      <c r="Y75" s="74">
        <v>4074.5502064131688</v>
      </c>
      <c r="Z75" s="74">
        <v>-8358.5711926706499</v>
      </c>
      <c r="AA75" s="74">
        <v>-5607.2925917544926</v>
      </c>
      <c r="AB75" s="74">
        <v>-2856.0139908383062</v>
      </c>
      <c r="AC75" s="74">
        <v>-4780.3860297327919</v>
      </c>
      <c r="AD75" s="74">
        <v>-2178.0865778903244</v>
      </c>
      <c r="AE75" s="74">
        <v>424.21287395214313</v>
      </c>
      <c r="AF75" s="74">
        <v>3026.5123257946179</v>
      </c>
      <c r="AG75" s="74">
        <v>3026.5123257946179</v>
      </c>
      <c r="AH75" s="74">
        <v>3026.5123257946179</v>
      </c>
      <c r="AI75" s="74">
        <v>3026.5123257946179</v>
      </c>
      <c r="AJ75" s="74">
        <v>3026.5123257946179</v>
      </c>
      <c r="AK75" s="74">
        <v>3026.5123257946179</v>
      </c>
      <c r="AL75" s="74">
        <v>3026.5123257946179</v>
      </c>
      <c r="AM75" s="74">
        <v>3026.5123257946179</v>
      </c>
      <c r="AN75" s="74">
        <v>3026.5123257946179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F42494-88EF-4A21-BF29-A26F4E8823EC}">
  <dimension ref="A1:AX75"/>
  <sheetViews>
    <sheetView workbookViewId="0">
      <pane xSplit="4" ySplit="25" topLeftCell="E26" activePane="bottomRight" state="frozen"/>
      <selection activeCell="E63" sqref="E63:E65"/>
      <selection pane="topRight" activeCell="E63" sqref="E63:E65"/>
      <selection pane="bottomLeft" activeCell="E63" sqref="E63:E65"/>
      <selection pane="bottomRight" activeCell="E63" sqref="E63:E65"/>
    </sheetView>
  </sheetViews>
  <sheetFormatPr defaultRowHeight="15" outlineLevelRow="1" x14ac:dyDescent="0.25"/>
  <cols>
    <col min="2" max="2" width="24.5703125" bestFit="1" customWidth="1"/>
    <col min="3" max="3" width="10.7109375" bestFit="1" customWidth="1"/>
    <col min="4" max="4" width="10" bestFit="1" customWidth="1"/>
    <col min="5" max="5" width="11.42578125" bestFit="1" customWidth="1"/>
    <col min="6" max="6" width="11.7109375" bestFit="1" customWidth="1"/>
    <col min="7" max="13" width="12.28515625" bestFit="1" customWidth="1"/>
    <col min="14" max="18" width="11.5703125" bestFit="1" customWidth="1"/>
    <col min="19" max="40" width="12.5703125" bestFit="1" customWidth="1"/>
  </cols>
  <sheetData>
    <row r="1" spans="1:40" x14ac:dyDescent="0.25">
      <c r="A1" s="96" t="str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/>
      </c>
      <c r="B1" s="58" t="s">
        <v>67</v>
      </c>
      <c r="C1" s="16" t="s">
        <v>344</v>
      </c>
      <c r="D1" s="3" t="s">
        <v>307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IFERROR(_xlpm.kiddos,0))</f>
        <v>0</v>
      </c>
      <c r="F1" s="69">
        <v>0</v>
      </c>
      <c r="G1" s="69">
        <v>0</v>
      </c>
      <c r="H1" s="69">
        <v>0</v>
      </c>
      <c r="I1" s="69">
        <v>0</v>
      </c>
      <c r="J1" s="69">
        <v>0</v>
      </c>
      <c r="K1" s="69">
        <v>0</v>
      </c>
      <c r="L1" s="69">
        <v>0</v>
      </c>
      <c r="M1" s="69">
        <v>0</v>
      </c>
      <c r="N1" s="69">
        <v>0</v>
      </c>
      <c r="O1" s="69">
        <v>0</v>
      </c>
      <c r="P1" s="69">
        <v>0</v>
      </c>
      <c r="Q1" s="69">
        <v>0</v>
      </c>
      <c r="R1" s="69">
        <v>0</v>
      </c>
      <c r="S1" s="69">
        <v>0</v>
      </c>
      <c r="T1" s="69">
        <v>0</v>
      </c>
      <c r="U1" s="69">
        <v>0</v>
      </c>
      <c r="V1" s="69">
        <v>1</v>
      </c>
      <c r="W1" s="69">
        <v>3</v>
      </c>
      <c r="X1" s="69">
        <v>5</v>
      </c>
      <c r="Y1" s="69">
        <v>6</v>
      </c>
      <c r="Z1" s="69">
        <v>8</v>
      </c>
      <c r="AA1" s="69">
        <v>10</v>
      </c>
      <c r="AB1" s="69">
        <v>12</v>
      </c>
      <c r="AC1" s="69">
        <v>13</v>
      </c>
      <c r="AD1" s="69">
        <v>15</v>
      </c>
      <c r="AE1" s="69">
        <v>17</v>
      </c>
      <c r="AF1" s="69">
        <v>18</v>
      </c>
      <c r="AG1" s="69">
        <v>20</v>
      </c>
      <c r="AH1" s="69">
        <v>22</v>
      </c>
      <c r="AI1" s="69">
        <v>24</v>
      </c>
      <c r="AJ1" s="69">
        <v>24</v>
      </c>
      <c r="AK1" s="69">
        <v>24</v>
      </c>
      <c r="AL1" s="69">
        <v>24</v>
      </c>
      <c r="AM1" s="69">
        <v>24</v>
      </c>
      <c r="AN1" s="69">
        <v>24</v>
      </c>
    </row>
    <row r="2" spans="1:40" x14ac:dyDescent="0.25">
      <c r="A2" s="65"/>
      <c r="B2" s="3" t="str">
        <f>_xlfn.XLOOKUP($B$1&amp;"-"&amp;$C$1,Base!$D$4:$BD$4,Base!$D$2:$BD$2,"",0)</f>
        <v>New Jersey</v>
      </c>
      <c r="C2" s="55"/>
      <c r="D2" s="55" t="s">
        <v>259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0</v>
      </c>
      <c r="F2" s="69">
        <v>0</v>
      </c>
      <c r="G2" s="69">
        <v>0</v>
      </c>
      <c r="H2" s="69">
        <v>0</v>
      </c>
      <c r="I2" s="69">
        <v>0</v>
      </c>
      <c r="J2" s="69">
        <v>0</v>
      </c>
      <c r="K2" s="69">
        <v>0</v>
      </c>
      <c r="L2" s="69">
        <v>0</v>
      </c>
      <c r="M2" s="69">
        <v>0</v>
      </c>
      <c r="N2" s="69">
        <v>0</v>
      </c>
      <c r="O2" s="69">
        <v>0</v>
      </c>
      <c r="P2" s="69">
        <v>0</v>
      </c>
      <c r="Q2" s="69">
        <v>0</v>
      </c>
      <c r="R2" s="69">
        <v>0</v>
      </c>
      <c r="S2" s="69">
        <v>0</v>
      </c>
      <c r="T2" s="69">
        <v>0</v>
      </c>
      <c r="U2" s="69">
        <v>0</v>
      </c>
      <c r="V2" s="69">
        <v>0</v>
      </c>
      <c r="W2" s="69">
        <v>1.8809523809523809</v>
      </c>
      <c r="X2" s="69">
        <v>2.0476190476190474</v>
      </c>
      <c r="Y2" s="69">
        <v>2.2142857142857144</v>
      </c>
      <c r="Z2" s="69">
        <v>2.3809523809523809</v>
      </c>
      <c r="AA2" s="69">
        <v>2.5476190476190474</v>
      </c>
      <c r="AB2" s="69">
        <v>2.7142857142857144</v>
      </c>
      <c r="AC2" s="69">
        <v>2.8809523809523809</v>
      </c>
      <c r="AD2" s="69">
        <v>3.0476190476190474</v>
      </c>
      <c r="AE2" s="69">
        <v>3.2142857142857144</v>
      </c>
      <c r="AF2" s="69">
        <v>3.3809523809523809</v>
      </c>
      <c r="AG2" s="69">
        <v>3.5476190476190474</v>
      </c>
      <c r="AH2" s="69">
        <v>3.7142857142857144</v>
      </c>
      <c r="AI2" s="69">
        <v>2</v>
      </c>
      <c r="AJ2" s="69">
        <v>2</v>
      </c>
      <c r="AK2" s="69">
        <v>2</v>
      </c>
      <c r="AL2" s="69">
        <v>2</v>
      </c>
      <c r="AM2" s="69">
        <v>2</v>
      </c>
      <c r="AN2" s="69">
        <v>2</v>
      </c>
    </row>
    <row r="3" spans="1:40" x14ac:dyDescent="0.25">
      <c r="A3" s="65"/>
      <c r="B3" s="55"/>
      <c r="C3" s="55"/>
      <c r="D3" s="55" t="s">
        <v>62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_xlpm.months_since,DATEDIF(_xlpm.launchdate,_xlfn.ANCHORARRAY($E$25),"m"),_xlfn.BYCOL(_xlpm.months_since,_xlfn.LAMBDA(_xlpm.a,IFERROR(MIN(_xlpm.a/6,_xlpm.max_kiddos),0))))</f>
        <v>0</v>
      </c>
      <c r="F3" s="69">
        <v>0</v>
      </c>
      <c r="G3" s="69">
        <v>0</v>
      </c>
      <c r="H3" s="69">
        <v>0</v>
      </c>
      <c r="I3" s="69">
        <v>0</v>
      </c>
      <c r="J3" s="69">
        <v>0</v>
      </c>
      <c r="K3" s="69">
        <v>0</v>
      </c>
      <c r="L3" s="69">
        <v>0</v>
      </c>
      <c r="M3" s="69">
        <v>0</v>
      </c>
      <c r="N3" s="69">
        <v>0</v>
      </c>
      <c r="O3" s="69">
        <v>0</v>
      </c>
      <c r="P3" s="69">
        <v>0</v>
      </c>
      <c r="Q3" s="69">
        <v>0</v>
      </c>
      <c r="R3" s="69">
        <v>0</v>
      </c>
      <c r="S3" s="69">
        <v>0</v>
      </c>
      <c r="T3" s="69">
        <v>0</v>
      </c>
      <c r="U3" s="69">
        <v>0</v>
      </c>
      <c r="V3" s="69">
        <v>0</v>
      </c>
      <c r="W3" s="69">
        <v>0.16666666666666666</v>
      </c>
      <c r="X3" s="69">
        <v>0.33333333333333331</v>
      </c>
      <c r="Y3" s="69">
        <v>0.5</v>
      </c>
      <c r="Z3" s="69">
        <v>0.66666666666666663</v>
      </c>
      <c r="AA3" s="69">
        <v>0.83333333333333337</v>
      </c>
      <c r="AB3" s="69">
        <v>1</v>
      </c>
      <c r="AC3" s="69">
        <v>1.1666666666666667</v>
      </c>
      <c r="AD3" s="69">
        <v>1.3333333333333333</v>
      </c>
      <c r="AE3" s="69">
        <v>1.5</v>
      </c>
      <c r="AF3" s="69">
        <v>1.6666666666666667</v>
      </c>
      <c r="AG3" s="69">
        <v>1.8333333333333333</v>
      </c>
      <c r="AH3" s="69">
        <v>2</v>
      </c>
      <c r="AI3" s="69">
        <v>2</v>
      </c>
      <c r="AJ3" s="69">
        <v>2</v>
      </c>
      <c r="AK3" s="69">
        <v>2</v>
      </c>
      <c r="AL3" s="69">
        <v>2</v>
      </c>
      <c r="AM3" s="69">
        <v>2</v>
      </c>
      <c r="AN3" s="69">
        <v>2</v>
      </c>
    </row>
    <row r="4" spans="1:40" x14ac:dyDescent="0.25">
      <c r="A4" s="65"/>
      <c r="B4" s="55"/>
      <c r="C4" s="55"/>
      <c r="D4" s="55" t="s">
        <v>260</v>
      </c>
      <c r="E4" s="69" cm="1">
        <f t="array" ref="E4:AN4">_xlfn.BYCOL(_xlfn.VSTACK(_xlfn.ANCHORARRAY($E$1),_xlfn.ANCHORARRAY($E$2)),_xlfn.LAMBDA(_xlpm.a,SUM(_xlpm.a)))</f>
        <v>0</v>
      </c>
      <c r="F4" s="69">
        <v>0</v>
      </c>
      <c r="G4" s="69">
        <v>0</v>
      </c>
      <c r="H4" s="69">
        <v>0</v>
      </c>
      <c r="I4" s="69">
        <v>0</v>
      </c>
      <c r="J4" s="69">
        <v>0</v>
      </c>
      <c r="K4" s="69">
        <v>0</v>
      </c>
      <c r="L4" s="69">
        <v>0</v>
      </c>
      <c r="M4" s="69">
        <v>0</v>
      </c>
      <c r="N4" s="69">
        <v>0</v>
      </c>
      <c r="O4" s="69">
        <v>0</v>
      </c>
      <c r="P4" s="69">
        <v>0</v>
      </c>
      <c r="Q4" s="69">
        <v>0</v>
      </c>
      <c r="R4" s="69">
        <v>0</v>
      </c>
      <c r="S4" s="69">
        <v>0</v>
      </c>
      <c r="T4" s="69">
        <v>0</v>
      </c>
      <c r="U4" s="69">
        <v>0</v>
      </c>
      <c r="V4" s="69">
        <v>1</v>
      </c>
      <c r="W4" s="69">
        <v>4.8809523809523814</v>
      </c>
      <c r="X4" s="69">
        <v>7.0476190476190474</v>
      </c>
      <c r="Y4" s="69">
        <v>8.2142857142857153</v>
      </c>
      <c r="Z4" s="69">
        <v>10.380952380952381</v>
      </c>
      <c r="AA4" s="69">
        <v>12.547619047619047</v>
      </c>
      <c r="AB4" s="69">
        <v>14.714285714285715</v>
      </c>
      <c r="AC4" s="69">
        <v>15.880952380952381</v>
      </c>
      <c r="AD4" s="69">
        <v>18.047619047619047</v>
      </c>
      <c r="AE4" s="69">
        <v>20.214285714285715</v>
      </c>
      <c r="AF4" s="69">
        <v>21.38095238095238</v>
      </c>
      <c r="AG4" s="69">
        <v>23.547619047619047</v>
      </c>
      <c r="AH4" s="69">
        <v>25.714285714285715</v>
      </c>
      <c r="AI4" s="69">
        <v>26</v>
      </c>
      <c r="AJ4" s="69">
        <v>26</v>
      </c>
      <c r="AK4" s="69">
        <v>26</v>
      </c>
      <c r="AL4" s="69">
        <v>26</v>
      </c>
      <c r="AM4" s="69">
        <v>26</v>
      </c>
      <c r="AN4" s="69">
        <v>26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107</v>
      </c>
      <c r="C6" s="3"/>
      <c r="D6" s="3"/>
      <c r="E6" s="66" cm="1">
        <f t="array" ref="E6:AN6">ROUND(_xlfn.BYCOL(_xlfn.ANCHORARRAY(E7),_xlfn.LAMBDA(_xlpm.a,SUM(_xlpm.a))),0)</f>
        <v>0</v>
      </c>
      <c r="F6" s="66">
        <v>0</v>
      </c>
      <c r="G6" s="66">
        <v>0</v>
      </c>
      <c r="H6" s="66">
        <v>0</v>
      </c>
      <c r="I6" s="66">
        <v>0</v>
      </c>
      <c r="J6" s="66">
        <v>0</v>
      </c>
      <c r="K6" s="66">
        <v>0</v>
      </c>
      <c r="L6" s="66">
        <v>0</v>
      </c>
      <c r="M6" s="66">
        <v>0</v>
      </c>
      <c r="N6" s="66">
        <v>0</v>
      </c>
      <c r="O6" s="66">
        <v>0</v>
      </c>
      <c r="P6" s="66">
        <v>0</v>
      </c>
      <c r="Q6" s="66">
        <v>0</v>
      </c>
      <c r="R6" s="66">
        <v>0</v>
      </c>
      <c r="S6" s="66">
        <v>0</v>
      </c>
      <c r="T6" s="66">
        <v>0</v>
      </c>
      <c r="U6" s="66">
        <v>0</v>
      </c>
      <c r="V6" s="66">
        <v>2</v>
      </c>
      <c r="W6" s="66">
        <v>4</v>
      </c>
      <c r="X6" s="66">
        <v>5</v>
      </c>
      <c r="Y6" s="66">
        <v>6</v>
      </c>
      <c r="Z6" s="66">
        <v>7</v>
      </c>
      <c r="AA6" s="66">
        <v>8</v>
      </c>
      <c r="AB6" s="66">
        <v>9</v>
      </c>
      <c r="AC6" s="66">
        <v>10</v>
      </c>
      <c r="AD6" s="66">
        <v>11</v>
      </c>
      <c r="AE6" s="66">
        <v>12</v>
      </c>
      <c r="AF6" s="66">
        <v>13</v>
      </c>
      <c r="AG6" s="66">
        <v>14</v>
      </c>
      <c r="AH6" s="66">
        <v>15</v>
      </c>
      <c r="AI6" s="66">
        <v>16</v>
      </c>
      <c r="AJ6" s="66">
        <v>16</v>
      </c>
      <c r="AK6" s="66">
        <v>16</v>
      </c>
      <c r="AL6" s="66">
        <v>16</v>
      </c>
      <c r="AM6" s="66">
        <v>16</v>
      </c>
      <c r="AN6" s="66">
        <v>16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1"/>
      <c r="E7" s="106" cm="1">
        <f t="array" ref="E7:AN20">_xlfn.LET(_xlpm.Customer_staff,_xlfn._xlws.FILTER(Base!$D$85:$BD$98,ISNUMBER(SEARCH($B$1&amp;"-"&amp;$C$1,Base!$D$4:$BD$4))),_xlpm.Customer,_xlfn.ANCHORARRAY($E$1),_xlpm.headcount,_xlpm.Customer/_xlpm.Customer_staff,
_xlpm.patient_staff,_xlfn.ANCHORARRAY($E$2)/_xlpm.Customer_staff,_xlpm.prim_staff_tr_rec,_xlfn.ANCHORARRAY($E$2)/_xlfn.CHOOSEROWS(_xlpm.Customer_staff,{7,8})+(_xlfn.ANCHORARRAY($E$1)*0.0055),_xlpm.rounding,_xlfn.VSTACK(2,2,0,0,2,2,2,2,2,2,2,0,0,0),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prim_staff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0</v>
      </c>
      <c r="F7" s="106">
        <v>0</v>
      </c>
      <c r="G7" s="106">
        <v>0</v>
      </c>
      <c r="H7" s="106">
        <v>0</v>
      </c>
      <c r="I7" s="106">
        <v>0</v>
      </c>
      <c r="J7" s="106">
        <v>0</v>
      </c>
      <c r="K7" s="106">
        <v>0</v>
      </c>
      <c r="L7" s="106">
        <v>0</v>
      </c>
      <c r="M7" s="106">
        <v>0</v>
      </c>
      <c r="N7" s="106">
        <v>0</v>
      </c>
      <c r="O7" s="106">
        <v>0</v>
      </c>
      <c r="P7" s="106">
        <v>0</v>
      </c>
      <c r="Q7" s="106">
        <v>0</v>
      </c>
      <c r="R7" s="106">
        <v>0</v>
      </c>
      <c r="S7" s="106">
        <v>0</v>
      </c>
      <c r="T7" s="106">
        <v>0</v>
      </c>
      <c r="U7" s="106">
        <v>0</v>
      </c>
      <c r="V7" s="106">
        <v>0.46</v>
      </c>
      <c r="W7" s="106">
        <v>1.36</v>
      </c>
      <c r="X7" s="106">
        <v>2.2599999999999998</v>
      </c>
      <c r="Y7" s="106">
        <v>2.71</v>
      </c>
      <c r="Z7" s="106">
        <v>3.61</v>
      </c>
      <c r="AA7" s="106">
        <v>4.51</v>
      </c>
      <c r="AB7" s="106">
        <v>5.42</v>
      </c>
      <c r="AC7" s="106">
        <v>5.87</v>
      </c>
      <c r="AD7" s="106">
        <v>6.77</v>
      </c>
      <c r="AE7" s="106">
        <v>7.67</v>
      </c>
      <c r="AF7" s="106">
        <v>8.1199999999999992</v>
      </c>
      <c r="AG7" s="106">
        <v>9.02</v>
      </c>
      <c r="AH7" s="106">
        <v>9.93</v>
      </c>
      <c r="AI7" s="106">
        <v>10.83</v>
      </c>
      <c r="AJ7" s="106">
        <v>10.83</v>
      </c>
      <c r="AK7" s="106">
        <v>10.83</v>
      </c>
      <c r="AL7" s="106">
        <v>10.83</v>
      </c>
      <c r="AM7" s="106">
        <v>10.83</v>
      </c>
      <c r="AN7" s="106">
        <v>10.83</v>
      </c>
    </row>
    <row r="8" spans="1:40" hidden="1" outlineLevel="1" x14ac:dyDescent="0.25">
      <c r="B8" s="39" t="str">
        <v>Secondary Direct Staff</v>
      </c>
      <c r="C8" s="3"/>
      <c r="D8" s="3"/>
      <c r="E8" s="106">
        <v>0</v>
      </c>
      <c r="F8" s="106">
        <v>0</v>
      </c>
      <c r="G8" s="106">
        <v>0</v>
      </c>
      <c r="H8" s="106">
        <v>0</v>
      </c>
      <c r="I8" s="106">
        <v>0</v>
      </c>
      <c r="J8" s="106">
        <v>0</v>
      </c>
      <c r="K8" s="106">
        <v>0</v>
      </c>
      <c r="L8" s="106">
        <v>0</v>
      </c>
      <c r="M8" s="106">
        <v>0</v>
      </c>
      <c r="N8" s="106">
        <v>0</v>
      </c>
      <c r="O8" s="106">
        <v>0</v>
      </c>
      <c r="P8" s="106">
        <v>0</v>
      </c>
      <c r="Q8" s="106">
        <v>0</v>
      </c>
      <c r="R8" s="106">
        <v>0</v>
      </c>
      <c r="S8" s="106">
        <v>0</v>
      </c>
      <c r="T8" s="106">
        <v>0</v>
      </c>
      <c r="U8" s="106">
        <v>0</v>
      </c>
      <c r="V8" s="106">
        <v>9.9999999999999992E-2</v>
      </c>
      <c r="W8" s="106">
        <v>0.28000000000000003</v>
      </c>
      <c r="X8" s="106">
        <v>0.46</v>
      </c>
      <c r="Y8" s="106">
        <v>0.55000000000000004</v>
      </c>
      <c r="Z8" s="106">
        <v>0.73</v>
      </c>
      <c r="AA8" s="106">
        <v>0.91</v>
      </c>
      <c r="AB8" s="106">
        <v>1.1000000000000001</v>
      </c>
      <c r="AC8" s="106">
        <v>1.19</v>
      </c>
      <c r="AD8" s="106">
        <v>1.37</v>
      </c>
      <c r="AE8" s="106">
        <v>1.55</v>
      </c>
      <c r="AF8" s="106">
        <v>1.64</v>
      </c>
      <c r="AG8" s="106">
        <v>1.82</v>
      </c>
      <c r="AH8" s="106">
        <v>2</v>
      </c>
      <c r="AI8" s="106">
        <v>2.19</v>
      </c>
      <c r="AJ8" s="106">
        <v>2.19</v>
      </c>
      <c r="AK8" s="106">
        <v>2.19</v>
      </c>
      <c r="AL8" s="106">
        <v>2.19</v>
      </c>
      <c r="AM8" s="106">
        <v>2.19</v>
      </c>
      <c r="AN8" s="106">
        <v>2.19</v>
      </c>
    </row>
    <row r="9" spans="1:40" hidden="1" outlineLevel="1" x14ac:dyDescent="0.25">
      <c r="B9" s="39" t="str">
        <v>Center Manager</v>
      </c>
      <c r="C9" s="3"/>
      <c r="D9" s="3"/>
      <c r="E9" s="106">
        <v>0</v>
      </c>
      <c r="F9" s="106">
        <v>0</v>
      </c>
      <c r="G9" s="106">
        <v>0</v>
      </c>
      <c r="H9" s="106">
        <v>0</v>
      </c>
      <c r="I9" s="106">
        <v>0</v>
      </c>
      <c r="J9" s="106">
        <v>0</v>
      </c>
      <c r="K9" s="106">
        <v>0</v>
      </c>
      <c r="L9" s="106">
        <v>0</v>
      </c>
      <c r="M9" s="106">
        <v>0</v>
      </c>
      <c r="N9" s="106">
        <v>0</v>
      </c>
      <c r="O9" s="106">
        <v>0</v>
      </c>
      <c r="P9" s="106">
        <v>0</v>
      </c>
      <c r="Q9" s="106">
        <v>0</v>
      </c>
      <c r="R9" s="106">
        <v>0</v>
      </c>
      <c r="S9" s="106">
        <v>0</v>
      </c>
      <c r="T9" s="106">
        <v>0</v>
      </c>
      <c r="U9" s="106">
        <v>0</v>
      </c>
      <c r="V9" s="106">
        <v>1</v>
      </c>
      <c r="W9" s="106">
        <v>1</v>
      </c>
      <c r="X9" s="106">
        <v>1</v>
      </c>
      <c r="Y9" s="106">
        <v>1</v>
      </c>
      <c r="Z9" s="106">
        <v>1</v>
      </c>
      <c r="AA9" s="106">
        <v>1</v>
      </c>
      <c r="AB9" s="106">
        <v>1</v>
      </c>
      <c r="AC9" s="106">
        <v>1</v>
      </c>
      <c r="AD9" s="106">
        <v>1</v>
      </c>
      <c r="AE9" s="106">
        <v>1</v>
      </c>
      <c r="AF9" s="106">
        <v>1</v>
      </c>
      <c r="AG9" s="106">
        <v>1</v>
      </c>
      <c r="AH9" s="106">
        <v>1</v>
      </c>
      <c r="AI9" s="106">
        <v>1</v>
      </c>
      <c r="AJ9" s="106">
        <v>1</v>
      </c>
      <c r="AK9" s="106">
        <v>1</v>
      </c>
      <c r="AL9" s="106">
        <v>1</v>
      </c>
      <c r="AM9" s="106">
        <v>1</v>
      </c>
      <c r="AN9" s="106">
        <v>1</v>
      </c>
    </row>
    <row r="10" spans="1:40" hidden="1" outlineLevel="1" x14ac:dyDescent="0.25">
      <c r="B10" s="39" t="str">
        <v>Intake</v>
      </c>
      <c r="C10" s="3"/>
      <c r="D10" s="3"/>
      <c r="E10" s="106">
        <v>0</v>
      </c>
      <c r="F10" s="106">
        <v>0</v>
      </c>
      <c r="G10" s="106">
        <v>0</v>
      </c>
      <c r="H10" s="106">
        <v>0</v>
      </c>
      <c r="I10" s="106">
        <v>0</v>
      </c>
      <c r="J10" s="106">
        <v>0</v>
      </c>
      <c r="K10" s="106">
        <v>0</v>
      </c>
      <c r="L10" s="106">
        <v>0</v>
      </c>
      <c r="M10" s="106">
        <v>0</v>
      </c>
      <c r="N10" s="106">
        <v>0</v>
      </c>
      <c r="O10" s="106">
        <v>0</v>
      </c>
      <c r="P10" s="106">
        <v>0</v>
      </c>
      <c r="Q10" s="106">
        <v>0</v>
      </c>
      <c r="R10" s="106">
        <v>0</v>
      </c>
      <c r="S10" s="106">
        <v>0</v>
      </c>
      <c r="T10" s="106">
        <v>0</v>
      </c>
      <c r="U10" s="106">
        <v>0</v>
      </c>
      <c r="V10" s="106">
        <v>0</v>
      </c>
      <c r="W10" s="106">
        <v>1</v>
      </c>
      <c r="X10" s="106">
        <v>1</v>
      </c>
      <c r="Y10" s="106">
        <v>1</v>
      </c>
      <c r="Z10" s="106">
        <v>1</v>
      </c>
      <c r="AA10" s="106">
        <v>1</v>
      </c>
      <c r="AB10" s="106">
        <v>1</v>
      </c>
      <c r="AC10" s="106">
        <v>1</v>
      </c>
      <c r="AD10" s="106">
        <v>1</v>
      </c>
      <c r="AE10" s="106">
        <v>1</v>
      </c>
      <c r="AF10" s="106">
        <v>1</v>
      </c>
      <c r="AG10" s="106">
        <v>1</v>
      </c>
      <c r="AH10" s="106">
        <v>1</v>
      </c>
      <c r="AI10" s="106">
        <v>1</v>
      </c>
      <c r="AJ10" s="106">
        <v>1</v>
      </c>
      <c r="AK10" s="106">
        <v>1</v>
      </c>
      <c r="AL10" s="106">
        <v>1</v>
      </c>
      <c r="AM10" s="106">
        <v>1</v>
      </c>
      <c r="AN10" s="106">
        <v>1</v>
      </c>
    </row>
    <row r="11" spans="1:40" hidden="1" outlineLevel="1" x14ac:dyDescent="0.25">
      <c r="B11" s="39" t="str">
        <v>Scheduler</v>
      </c>
      <c r="C11" s="3"/>
      <c r="D11" s="3"/>
      <c r="E11" s="106">
        <v>0</v>
      </c>
      <c r="F11" s="106">
        <v>0</v>
      </c>
      <c r="G11" s="106">
        <v>0</v>
      </c>
      <c r="H11" s="106">
        <v>0</v>
      </c>
      <c r="I11" s="106">
        <v>0</v>
      </c>
      <c r="J11" s="106">
        <v>0</v>
      </c>
      <c r="K11" s="106">
        <v>0</v>
      </c>
      <c r="L11" s="106">
        <v>0</v>
      </c>
      <c r="M11" s="106">
        <v>0</v>
      </c>
      <c r="N11" s="106">
        <v>0</v>
      </c>
      <c r="O11" s="106">
        <v>0</v>
      </c>
      <c r="P11" s="106">
        <v>0</v>
      </c>
      <c r="Q11" s="106">
        <v>0</v>
      </c>
      <c r="R11" s="106">
        <v>0</v>
      </c>
      <c r="S11" s="106">
        <v>0</v>
      </c>
      <c r="T11" s="106">
        <v>0</v>
      </c>
      <c r="U11" s="106">
        <v>0</v>
      </c>
      <c r="V11" s="106">
        <v>0</v>
      </c>
      <c r="W11" s="106">
        <v>0</v>
      </c>
      <c r="X11" s="106">
        <v>0</v>
      </c>
      <c r="Y11" s="106">
        <v>0</v>
      </c>
      <c r="Z11" s="106">
        <v>0</v>
      </c>
      <c r="AA11" s="106">
        <v>0</v>
      </c>
      <c r="AB11" s="106">
        <v>0</v>
      </c>
      <c r="AC11" s="106">
        <v>0</v>
      </c>
      <c r="AD11" s="106">
        <v>0</v>
      </c>
      <c r="AE11" s="106">
        <v>0</v>
      </c>
      <c r="AF11" s="106">
        <v>0</v>
      </c>
      <c r="AG11" s="106">
        <v>0</v>
      </c>
      <c r="AH11" s="106">
        <v>0</v>
      </c>
      <c r="AI11" s="106">
        <v>0</v>
      </c>
      <c r="AJ11" s="106">
        <v>0</v>
      </c>
      <c r="AK11" s="106">
        <v>0</v>
      </c>
      <c r="AL11" s="106">
        <v>0</v>
      </c>
      <c r="AM11" s="106">
        <v>0</v>
      </c>
      <c r="AN11" s="106">
        <v>0</v>
      </c>
    </row>
    <row r="12" spans="1:40" hidden="1" outlineLevel="1" x14ac:dyDescent="0.25">
      <c r="B12" s="39" t="str">
        <v>Initial Consultation Expert</v>
      </c>
      <c r="C12" s="3"/>
      <c r="D12" s="3"/>
      <c r="E12" s="106">
        <v>0</v>
      </c>
      <c r="F12" s="106">
        <v>0</v>
      </c>
      <c r="G12" s="106">
        <v>0</v>
      </c>
      <c r="H12" s="106">
        <v>0</v>
      </c>
      <c r="I12" s="106">
        <v>0</v>
      </c>
      <c r="J12" s="106">
        <v>0</v>
      </c>
      <c r="K12" s="106">
        <v>0</v>
      </c>
      <c r="L12" s="106">
        <v>0</v>
      </c>
      <c r="M12" s="106">
        <v>0</v>
      </c>
      <c r="N12" s="106">
        <v>0</v>
      </c>
      <c r="O12" s="106">
        <v>0</v>
      </c>
      <c r="P12" s="106">
        <v>0</v>
      </c>
      <c r="Q12" s="106">
        <v>0</v>
      </c>
      <c r="R12" s="106">
        <v>0</v>
      </c>
      <c r="S12" s="106">
        <v>0</v>
      </c>
      <c r="T12" s="106">
        <v>0</v>
      </c>
      <c r="U12" s="106">
        <v>0</v>
      </c>
      <c r="V12" s="106">
        <v>0</v>
      </c>
      <c r="W12" s="106">
        <v>0.15000000000000002</v>
      </c>
      <c r="X12" s="106">
        <v>0.16</v>
      </c>
      <c r="Y12" s="106">
        <v>0.18000000000000002</v>
      </c>
      <c r="Z12" s="106">
        <v>0.19</v>
      </c>
      <c r="AA12" s="106">
        <v>0.2</v>
      </c>
      <c r="AB12" s="106">
        <v>0.21000000000000002</v>
      </c>
      <c r="AC12" s="106">
        <v>0.23</v>
      </c>
      <c r="AD12" s="106">
        <v>0.24000000000000002</v>
      </c>
      <c r="AE12" s="106">
        <v>0.25</v>
      </c>
      <c r="AF12" s="106">
        <v>0.27</v>
      </c>
      <c r="AG12" s="106">
        <v>0.28000000000000003</v>
      </c>
      <c r="AH12" s="106">
        <v>0.29000000000000004</v>
      </c>
      <c r="AI12" s="106">
        <v>0.16</v>
      </c>
      <c r="AJ12" s="106">
        <v>0.16</v>
      </c>
      <c r="AK12" s="106">
        <v>0.16</v>
      </c>
      <c r="AL12" s="106">
        <v>0.16</v>
      </c>
      <c r="AM12" s="106">
        <v>0.16</v>
      </c>
      <c r="AN12" s="106">
        <v>0.16</v>
      </c>
    </row>
    <row r="13" spans="1:40" hidden="1" outlineLevel="1" x14ac:dyDescent="0.25">
      <c r="B13" s="39" t="str">
        <v>Trainer</v>
      </c>
      <c r="C13" s="3"/>
      <c r="D13" s="3"/>
      <c r="E13" s="106">
        <v>0</v>
      </c>
      <c r="F13" s="106">
        <v>0</v>
      </c>
      <c r="G13" s="106">
        <v>0</v>
      </c>
      <c r="H13" s="106">
        <v>0</v>
      </c>
      <c r="I13" s="106">
        <v>0</v>
      </c>
      <c r="J13" s="106">
        <v>0</v>
      </c>
      <c r="K13" s="106">
        <v>0</v>
      </c>
      <c r="L13" s="106">
        <v>0</v>
      </c>
      <c r="M13" s="106">
        <v>0</v>
      </c>
      <c r="N13" s="106">
        <v>0</v>
      </c>
      <c r="O13" s="106">
        <v>0</v>
      </c>
      <c r="P13" s="106">
        <v>0</v>
      </c>
      <c r="Q13" s="106">
        <v>0</v>
      </c>
      <c r="R13" s="106">
        <v>0</v>
      </c>
      <c r="S13" s="106">
        <v>0</v>
      </c>
      <c r="T13" s="106">
        <v>0</v>
      </c>
      <c r="U13" s="106">
        <v>0</v>
      </c>
      <c r="V13" s="106">
        <v>0.01</v>
      </c>
      <c r="W13" s="106">
        <v>0.21000000000000002</v>
      </c>
      <c r="X13" s="106">
        <v>0.24000000000000002</v>
      </c>
      <c r="Y13" s="106">
        <v>0.26</v>
      </c>
      <c r="Z13" s="106">
        <v>0.29000000000000004</v>
      </c>
      <c r="AA13" s="106">
        <v>0.31</v>
      </c>
      <c r="AB13" s="106">
        <v>0.34</v>
      </c>
      <c r="AC13" s="106">
        <v>0.36</v>
      </c>
      <c r="AD13" s="106">
        <v>0.39</v>
      </c>
      <c r="AE13" s="106">
        <v>0.42</v>
      </c>
      <c r="AF13" s="106">
        <v>0.44</v>
      </c>
      <c r="AG13" s="106">
        <v>0.47000000000000003</v>
      </c>
      <c r="AH13" s="106">
        <v>0.5</v>
      </c>
      <c r="AI13" s="106">
        <v>0.34</v>
      </c>
      <c r="AJ13" s="106">
        <v>0.34</v>
      </c>
      <c r="AK13" s="106">
        <v>0.34</v>
      </c>
      <c r="AL13" s="106">
        <v>0.34</v>
      </c>
      <c r="AM13" s="106">
        <v>0.34</v>
      </c>
      <c r="AN13" s="106">
        <v>0.34</v>
      </c>
    </row>
    <row r="14" spans="1:40" hidden="1" outlineLevel="1" x14ac:dyDescent="0.25">
      <c r="B14" s="39" t="str">
        <v>Recruiter</v>
      </c>
      <c r="C14" s="3"/>
      <c r="D14" s="3"/>
      <c r="E14" s="106">
        <v>0</v>
      </c>
      <c r="F14" s="106">
        <v>0</v>
      </c>
      <c r="G14" s="106">
        <v>0</v>
      </c>
      <c r="H14" s="106">
        <v>0</v>
      </c>
      <c r="I14" s="106">
        <v>0</v>
      </c>
      <c r="J14" s="106">
        <v>0</v>
      </c>
      <c r="K14" s="106">
        <v>0</v>
      </c>
      <c r="L14" s="106">
        <v>0</v>
      </c>
      <c r="M14" s="106">
        <v>0</v>
      </c>
      <c r="N14" s="106">
        <v>0</v>
      </c>
      <c r="O14" s="106">
        <v>0</v>
      </c>
      <c r="P14" s="106">
        <v>0</v>
      </c>
      <c r="Q14" s="106">
        <v>0</v>
      </c>
      <c r="R14" s="106">
        <v>0</v>
      </c>
      <c r="S14" s="106">
        <v>0</v>
      </c>
      <c r="T14" s="106">
        <v>0</v>
      </c>
      <c r="U14" s="106">
        <v>0</v>
      </c>
      <c r="V14" s="106">
        <v>0.01</v>
      </c>
      <c r="W14" s="106">
        <v>0.12</v>
      </c>
      <c r="X14" s="106">
        <v>0.13</v>
      </c>
      <c r="Y14" s="106">
        <v>0.15000000000000002</v>
      </c>
      <c r="Z14" s="106">
        <v>0.17</v>
      </c>
      <c r="AA14" s="106">
        <v>0.19</v>
      </c>
      <c r="AB14" s="106">
        <v>0.21000000000000002</v>
      </c>
      <c r="AC14" s="106">
        <v>0.22</v>
      </c>
      <c r="AD14" s="106">
        <v>0.24000000000000002</v>
      </c>
      <c r="AE14" s="106">
        <v>0.26</v>
      </c>
      <c r="AF14" s="106">
        <v>0.27</v>
      </c>
      <c r="AG14" s="106">
        <v>0.29000000000000004</v>
      </c>
      <c r="AH14" s="106">
        <v>0.31</v>
      </c>
      <c r="AI14" s="106">
        <v>0.24000000000000002</v>
      </c>
      <c r="AJ14" s="106">
        <v>0.24000000000000002</v>
      </c>
      <c r="AK14" s="106">
        <v>0.24000000000000002</v>
      </c>
      <c r="AL14" s="106">
        <v>0.24000000000000002</v>
      </c>
      <c r="AM14" s="106">
        <v>0.24000000000000002</v>
      </c>
      <c r="AN14" s="106">
        <v>0.24000000000000002</v>
      </c>
    </row>
    <row r="15" spans="1:40" hidden="1" outlineLevel="1" x14ac:dyDescent="0.25">
      <c r="B15" s="39" t="str">
        <v>Center Director / Remote Site Director</v>
      </c>
      <c r="C15" s="3"/>
      <c r="D15" s="3"/>
      <c r="E15" s="106">
        <v>0</v>
      </c>
      <c r="F15" s="106">
        <v>0</v>
      </c>
      <c r="G15" s="106">
        <v>0</v>
      </c>
      <c r="H15" s="106">
        <v>0</v>
      </c>
      <c r="I15" s="106">
        <v>0</v>
      </c>
      <c r="J15" s="106">
        <v>0</v>
      </c>
      <c r="K15" s="106">
        <v>0</v>
      </c>
      <c r="L15" s="106">
        <v>0</v>
      </c>
      <c r="M15" s="106">
        <v>0</v>
      </c>
      <c r="N15" s="106">
        <v>0</v>
      </c>
      <c r="O15" s="106">
        <v>0</v>
      </c>
      <c r="P15" s="106">
        <v>0</v>
      </c>
      <c r="Q15" s="106">
        <v>0</v>
      </c>
      <c r="R15" s="106">
        <v>0</v>
      </c>
      <c r="S15" s="106">
        <v>0</v>
      </c>
      <c r="T15" s="106">
        <v>0</v>
      </c>
      <c r="U15" s="106">
        <v>0</v>
      </c>
      <c r="V15" s="106">
        <v>0.01</v>
      </c>
      <c r="W15" s="106">
        <v>0.02</v>
      </c>
      <c r="X15" s="106">
        <v>0.02</v>
      </c>
      <c r="Y15" s="106">
        <v>0.03</v>
      </c>
      <c r="Z15" s="106">
        <v>0.04</v>
      </c>
      <c r="AA15" s="106">
        <v>0.04</v>
      </c>
      <c r="AB15" s="106">
        <v>0.05</v>
      </c>
      <c r="AC15" s="106">
        <v>6.0000000000000005E-2</v>
      </c>
      <c r="AD15" s="106">
        <v>0.06</v>
      </c>
      <c r="AE15" s="106">
        <v>6.9999999999999993E-2</v>
      </c>
      <c r="AF15" s="106">
        <v>0.08</v>
      </c>
      <c r="AG15" s="106">
        <v>0.08</v>
      </c>
      <c r="AH15" s="106">
        <v>0.09</v>
      </c>
      <c r="AI15" s="106">
        <v>9.9999999999999992E-2</v>
      </c>
      <c r="AJ15" s="106">
        <v>9.9999999999999992E-2</v>
      </c>
      <c r="AK15" s="106">
        <v>9.9999999999999992E-2</v>
      </c>
      <c r="AL15" s="106">
        <v>9.9999999999999992E-2</v>
      </c>
      <c r="AM15" s="106">
        <v>9.9999999999999992E-2</v>
      </c>
      <c r="AN15" s="106">
        <v>9.9999999999999992E-2</v>
      </c>
    </row>
    <row r="16" spans="1:40" hidden="1" outlineLevel="1" x14ac:dyDescent="0.25">
      <c r="B16" s="39" t="str">
        <v>Center Marketing Outreach</v>
      </c>
      <c r="C16" s="3"/>
      <c r="D16" s="3"/>
      <c r="E16" s="106">
        <v>0</v>
      </c>
      <c r="F16" s="106">
        <v>0</v>
      </c>
      <c r="G16" s="106">
        <v>0</v>
      </c>
      <c r="H16" s="106">
        <v>0</v>
      </c>
      <c r="I16" s="106">
        <v>0</v>
      </c>
      <c r="J16" s="106">
        <v>0</v>
      </c>
      <c r="K16" s="106">
        <v>0</v>
      </c>
      <c r="L16" s="106">
        <v>0</v>
      </c>
      <c r="M16" s="106">
        <v>0</v>
      </c>
      <c r="N16" s="106">
        <v>0</v>
      </c>
      <c r="O16" s="106">
        <v>0</v>
      </c>
      <c r="P16" s="106">
        <v>0</v>
      </c>
      <c r="Q16" s="106">
        <v>0</v>
      </c>
      <c r="R16" s="106">
        <v>0</v>
      </c>
      <c r="S16" s="106">
        <v>0</v>
      </c>
      <c r="T16" s="106">
        <v>0</v>
      </c>
      <c r="U16" s="106">
        <v>0</v>
      </c>
      <c r="V16" s="106">
        <v>0.01</v>
      </c>
      <c r="W16" s="106">
        <v>0.02</v>
      </c>
      <c r="X16" s="106">
        <v>0.02</v>
      </c>
      <c r="Y16" s="106">
        <v>0.03</v>
      </c>
      <c r="Z16" s="106">
        <v>0.04</v>
      </c>
      <c r="AA16" s="106">
        <v>0.04</v>
      </c>
      <c r="AB16" s="106">
        <v>0.05</v>
      </c>
      <c r="AC16" s="106">
        <v>6.0000000000000005E-2</v>
      </c>
      <c r="AD16" s="106">
        <v>0.06</v>
      </c>
      <c r="AE16" s="106">
        <v>6.9999999999999993E-2</v>
      </c>
      <c r="AF16" s="106">
        <v>0.08</v>
      </c>
      <c r="AG16" s="106">
        <v>0.08</v>
      </c>
      <c r="AH16" s="106">
        <v>0.09</v>
      </c>
      <c r="AI16" s="106">
        <v>9.9999999999999992E-2</v>
      </c>
      <c r="AJ16" s="106">
        <v>9.9999999999999992E-2</v>
      </c>
      <c r="AK16" s="106">
        <v>9.9999999999999992E-2</v>
      </c>
      <c r="AL16" s="106">
        <v>9.9999999999999992E-2</v>
      </c>
      <c r="AM16" s="106">
        <v>9.9999999999999992E-2</v>
      </c>
      <c r="AN16" s="106">
        <v>9.9999999999999992E-2</v>
      </c>
    </row>
    <row r="17" spans="2:50" hidden="1" outlineLevel="1" x14ac:dyDescent="0.25">
      <c r="B17" s="39" t="str">
        <v>Primary Direct Staff Lead</v>
      </c>
      <c r="C17" s="3"/>
      <c r="D17" s="3"/>
      <c r="E17" s="106">
        <v>0</v>
      </c>
      <c r="F17" s="106">
        <v>0</v>
      </c>
      <c r="G17" s="106">
        <v>0</v>
      </c>
      <c r="H17" s="106">
        <v>0</v>
      </c>
      <c r="I17" s="106">
        <v>0</v>
      </c>
      <c r="J17" s="106">
        <v>0</v>
      </c>
      <c r="K17" s="106">
        <v>0</v>
      </c>
      <c r="L17" s="106">
        <v>0</v>
      </c>
      <c r="M17" s="106">
        <v>0</v>
      </c>
      <c r="N17" s="106">
        <v>0</v>
      </c>
      <c r="O17" s="106">
        <v>0</v>
      </c>
      <c r="P17" s="106">
        <v>0</v>
      </c>
      <c r="Q17" s="106">
        <v>0</v>
      </c>
      <c r="R17" s="106">
        <v>0</v>
      </c>
      <c r="S17" s="106">
        <v>0</v>
      </c>
      <c r="T17" s="106">
        <v>0</v>
      </c>
      <c r="U17" s="106">
        <v>0</v>
      </c>
      <c r="V17" s="106">
        <v>0</v>
      </c>
      <c r="W17" s="106">
        <v>0</v>
      </c>
      <c r="X17" s="106">
        <v>0</v>
      </c>
      <c r="Y17" s="106">
        <v>0</v>
      </c>
      <c r="Z17" s="106">
        <v>0</v>
      </c>
      <c r="AA17" s="106">
        <v>0</v>
      </c>
      <c r="AB17" s="106">
        <v>0</v>
      </c>
      <c r="AC17" s="106">
        <v>0</v>
      </c>
      <c r="AD17" s="106">
        <v>0</v>
      </c>
      <c r="AE17" s="106">
        <v>0</v>
      </c>
      <c r="AF17" s="106">
        <v>0</v>
      </c>
      <c r="AG17" s="106">
        <v>0</v>
      </c>
      <c r="AH17" s="106">
        <v>0</v>
      </c>
      <c r="AI17" s="106">
        <v>0</v>
      </c>
      <c r="AJ17" s="106">
        <v>0</v>
      </c>
      <c r="AK17" s="106">
        <v>0</v>
      </c>
      <c r="AL17" s="106">
        <v>0</v>
      </c>
      <c r="AM17" s="106">
        <v>0</v>
      </c>
      <c r="AN17" s="106">
        <v>0</v>
      </c>
    </row>
    <row r="18" spans="2:50" hidden="1" outlineLevel="1" x14ac:dyDescent="0.25">
      <c r="B18" s="39" t="str">
        <v>Tertiary Direct Staff</v>
      </c>
      <c r="C18" s="3"/>
      <c r="D18" s="3"/>
      <c r="E18" s="106">
        <v>0</v>
      </c>
      <c r="F18" s="106">
        <v>0</v>
      </c>
      <c r="G18" s="106">
        <v>0</v>
      </c>
      <c r="H18" s="106">
        <v>0</v>
      </c>
      <c r="I18" s="106">
        <v>0</v>
      </c>
      <c r="J18" s="106">
        <v>0</v>
      </c>
      <c r="K18" s="106">
        <v>0</v>
      </c>
      <c r="L18" s="106">
        <v>0</v>
      </c>
      <c r="M18" s="106">
        <v>0</v>
      </c>
      <c r="N18" s="106">
        <v>0</v>
      </c>
      <c r="O18" s="106">
        <v>0</v>
      </c>
      <c r="P18" s="106">
        <v>0</v>
      </c>
      <c r="Q18" s="106">
        <v>0</v>
      </c>
      <c r="R18" s="106">
        <v>0</v>
      </c>
      <c r="S18" s="106">
        <v>0</v>
      </c>
      <c r="T18" s="106">
        <v>0</v>
      </c>
      <c r="U18" s="106">
        <v>0</v>
      </c>
      <c r="V18" s="106">
        <v>0</v>
      </c>
      <c r="W18" s="106">
        <v>0</v>
      </c>
      <c r="X18" s="106">
        <v>0</v>
      </c>
      <c r="Y18" s="106">
        <v>0</v>
      </c>
      <c r="Z18" s="106">
        <v>0</v>
      </c>
      <c r="AA18" s="106">
        <v>0</v>
      </c>
      <c r="AB18" s="106">
        <v>0</v>
      </c>
      <c r="AC18" s="106">
        <v>0</v>
      </c>
      <c r="AD18" s="106">
        <v>0</v>
      </c>
      <c r="AE18" s="106">
        <v>0</v>
      </c>
      <c r="AF18" s="106">
        <v>0</v>
      </c>
      <c r="AG18" s="106">
        <v>0</v>
      </c>
      <c r="AH18" s="106">
        <v>0</v>
      </c>
      <c r="AI18" s="106">
        <v>0</v>
      </c>
      <c r="AJ18" s="106">
        <v>0</v>
      </c>
      <c r="AK18" s="106">
        <v>0</v>
      </c>
      <c r="AL18" s="106">
        <v>0</v>
      </c>
      <c r="AM18" s="106">
        <v>0</v>
      </c>
      <c r="AN18" s="106">
        <v>0</v>
      </c>
    </row>
    <row r="19" spans="2:50" hidden="1" outlineLevel="1" x14ac:dyDescent="0.25">
      <c r="B19" s="39" t="str">
        <v>Quinary Direct Staff</v>
      </c>
      <c r="C19" s="3"/>
      <c r="D19" s="3"/>
      <c r="E19" s="106">
        <v>0</v>
      </c>
      <c r="F19" s="106">
        <v>0</v>
      </c>
      <c r="G19" s="106">
        <v>0</v>
      </c>
      <c r="H19" s="106">
        <v>0</v>
      </c>
      <c r="I19" s="106">
        <v>0</v>
      </c>
      <c r="J19" s="106">
        <v>0</v>
      </c>
      <c r="K19" s="106">
        <v>0</v>
      </c>
      <c r="L19" s="106">
        <v>0</v>
      </c>
      <c r="M19" s="106">
        <v>0</v>
      </c>
      <c r="N19" s="106">
        <v>0</v>
      </c>
      <c r="O19" s="106">
        <v>0</v>
      </c>
      <c r="P19" s="106">
        <v>0</v>
      </c>
      <c r="Q19" s="106">
        <v>0</v>
      </c>
      <c r="R19" s="106">
        <v>0</v>
      </c>
      <c r="S19" s="106">
        <v>0</v>
      </c>
      <c r="T19" s="106">
        <v>0</v>
      </c>
      <c r="U19" s="106">
        <v>0</v>
      </c>
      <c r="V19" s="106">
        <v>0</v>
      </c>
      <c r="W19" s="106">
        <v>0</v>
      </c>
      <c r="X19" s="106">
        <v>0</v>
      </c>
      <c r="Y19" s="106">
        <v>0</v>
      </c>
      <c r="Z19" s="106">
        <v>0</v>
      </c>
      <c r="AA19" s="106">
        <v>0</v>
      </c>
      <c r="AB19" s="106">
        <v>0</v>
      </c>
      <c r="AC19" s="106">
        <v>0</v>
      </c>
      <c r="AD19" s="106">
        <v>0</v>
      </c>
      <c r="AE19" s="106">
        <v>0</v>
      </c>
      <c r="AF19" s="106">
        <v>0</v>
      </c>
      <c r="AG19" s="106">
        <v>0</v>
      </c>
      <c r="AH19" s="106">
        <v>0</v>
      </c>
      <c r="AI19" s="106">
        <v>0</v>
      </c>
      <c r="AJ19" s="106">
        <v>0</v>
      </c>
      <c r="AK19" s="106">
        <v>0</v>
      </c>
      <c r="AL19" s="106">
        <v>0</v>
      </c>
      <c r="AM19" s="106">
        <v>0</v>
      </c>
      <c r="AN19" s="106">
        <v>0</v>
      </c>
    </row>
    <row r="20" spans="2:50" hidden="1" outlineLevel="1" x14ac:dyDescent="0.25">
      <c r="B20" s="39" t="str">
        <v>Quaternary Direct Staff</v>
      </c>
      <c r="C20" s="3"/>
      <c r="D20" s="3"/>
      <c r="E20" s="106">
        <v>0</v>
      </c>
      <c r="F20" s="106">
        <v>0</v>
      </c>
      <c r="G20" s="106">
        <v>0</v>
      </c>
      <c r="H20" s="106">
        <v>0</v>
      </c>
      <c r="I20" s="106">
        <v>0</v>
      </c>
      <c r="J20" s="106">
        <v>0</v>
      </c>
      <c r="K20" s="106">
        <v>0</v>
      </c>
      <c r="L20" s="106">
        <v>0</v>
      </c>
      <c r="M20" s="106">
        <v>0</v>
      </c>
      <c r="N20" s="106">
        <v>0</v>
      </c>
      <c r="O20" s="106">
        <v>0</v>
      </c>
      <c r="P20" s="106">
        <v>0</v>
      </c>
      <c r="Q20" s="106">
        <v>0</v>
      </c>
      <c r="R20" s="106">
        <v>0</v>
      </c>
      <c r="S20" s="106">
        <v>0</v>
      </c>
      <c r="T20" s="106">
        <v>0</v>
      </c>
      <c r="U20" s="106">
        <v>0</v>
      </c>
      <c r="V20" s="106">
        <v>0</v>
      </c>
      <c r="W20" s="106">
        <v>0</v>
      </c>
      <c r="X20" s="106">
        <v>0</v>
      </c>
      <c r="Y20" s="106">
        <v>0</v>
      </c>
      <c r="Z20" s="106">
        <v>0</v>
      </c>
      <c r="AA20" s="106">
        <v>0</v>
      </c>
      <c r="AB20" s="106">
        <v>0</v>
      </c>
      <c r="AC20" s="106">
        <v>0</v>
      </c>
      <c r="AD20" s="106">
        <v>0</v>
      </c>
      <c r="AE20" s="106">
        <v>0</v>
      </c>
      <c r="AF20" s="106">
        <v>0</v>
      </c>
      <c r="AG20" s="106">
        <v>0</v>
      </c>
      <c r="AH20" s="106">
        <v>0</v>
      </c>
      <c r="AI20" s="106">
        <v>0</v>
      </c>
      <c r="AJ20" s="106">
        <v>0</v>
      </c>
      <c r="AK20" s="106">
        <v>0</v>
      </c>
      <c r="AL20" s="106">
        <v>0</v>
      </c>
      <c r="AM20" s="106">
        <v>0</v>
      </c>
      <c r="AN20" s="106">
        <v>0</v>
      </c>
    </row>
    <row r="21" spans="2:50" collapsed="1" x14ac:dyDescent="0.25">
      <c r="B21" s="39" t="s">
        <v>389</v>
      </c>
      <c r="C21" s="3"/>
      <c r="D21" s="5"/>
      <c r="E21" s="117" cm="1">
        <f t="array" ref="E21:AN21">ROUND(_xlfn.BYCOL(_xlfn.CHOOSEROWS(_xlfn.ANCHORARRAY(E7),1,2),_xlfn.LAMBDA(_xlpm.col,SUM(_xlpm.col))),0)</f>
        <v>0</v>
      </c>
      <c r="F21" s="117">
        <v>0</v>
      </c>
      <c r="G21" s="117">
        <v>0</v>
      </c>
      <c r="H21" s="117">
        <v>0</v>
      </c>
      <c r="I21" s="117">
        <v>0</v>
      </c>
      <c r="J21" s="117">
        <v>0</v>
      </c>
      <c r="K21" s="117">
        <v>0</v>
      </c>
      <c r="L21" s="117">
        <v>0</v>
      </c>
      <c r="M21" s="117">
        <v>0</v>
      </c>
      <c r="N21" s="117">
        <v>0</v>
      </c>
      <c r="O21" s="117">
        <v>0</v>
      </c>
      <c r="P21" s="117">
        <v>0</v>
      </c>
      <c r="Q21" s="117">
        <v>0</v>
      </c>
      <c r="R21" s="117">
        <v>0</v>
      </c>
      <c r="S21" s="117">
        <v>0</v>
      </c>
      <c r="T21" s="117">
        <v>0</v>
      </c>
      <c r="U21" s="117">
        <v>0</v>
      </c>
      <c r="V21" s="117">
        <v>1</v>
      </c>
      <c r="W21" s="117">
        <v>2</v>
      </c>
      <c r="X21" s="117">
        <v>3</v>
      </c>
      <c r="Y21" s="117">
        <v>3</v>
      </c>
      <c r="Z21" s="117">
        <v>4</v>
      </c>
      <c r="AA21" s="117">
        <v>5</v>
      </c>
      <c r="AB21" s="117">
        <v>7</v>
      </c>
      <c r="AC21" s="117">
        <v>7</v>
      </c>
      <c r="AD21" s="117">
        <v>8</v>
      </c>
      <c r="AE21" s="117">
        <v>9</v>
      </c>
      <c r="AF21" s="117">
        <v>10</v>
      </c>
      <c r="AG21" s="117">
        <v>11</v>
      </c>
      <c r="AH21" s="117">
        <v>12</v>
      </c>
      <c r="AI21" s="117">
        <v>13</v>
      </c>
      <c r="AJ21" s="117">
        <v>13</v>
      </c>
      <c r="AK21" s="117">
        <v>13</v>
      </c>
      <c r="AL21" s="117">
        <v>13</v>
      </c>
      <c r="AM21" s="117">
        <v>13</v>
      </c>
      <c r="AN21" s="117">
        <v>13</v>
      </c>
    </row>
    <row r="22" spans="2:50" x14ac:dyDescent="0.25">
      <c r="B22" s="2" t="s">
        <v>394</v>
      </c>
      <c r="C22" s="3"/>
      <c r="D22" s="77">
        <f>MAX(_xlfn.ANCHORARRAY(E22))</f>
        <v>174.55720170454555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0</v>
      </c>
      <c r="F22" s="78">
        <v>0</v>
      </c>
      <c r="G22" s="78">
        <v>0</v>
      </c>
      <c r="H22" s="78">
        <v>0</v>
      </c>
      <c r="I22" s="78">
        <v>0</v>
      </c>
      <c r="J22" s="78">
        <v>0</v>
      </c>
      <c r="K22" s="78">
        <v>0</v>
      </c>
      <c r="L22" s="78">
        <v>0</v>
      </c>
      <c r="M22" s="78">
        <v>0</v>
      </c>
      <c r="N22" s="78">
        <v>0</v>
      </c>
      <c r="O22" s="78">
        <v>0</v>
      </c>
      <c r="P22" s="78">
        <v>0</v>
      </c>
      <c r="Q22" s="78">
        <v>0</v>
      </c>
      <c r="R22" s="78">
        <v>0</v>
      </c>
      <c r="S22" s="78">
        <v>0</v>
      </c>
      <c r="T22" s="78">
        <v>0</v>
      </c>
      <c r="U22" s="78">
        <v>0</v>
      </c>
      <c r="V22" s="78">
        <v>174.55720170454555</v>
      </c>
      <c r="W22" s="78">
        <v>174.55720170454543</v>
      </c>
      <c r="X22" s="78">
        <v>174.55720170454541</v>
      </c>
      <c r="Y22" s="78">
        <v>174.55720170454543</v>
      </c>
      <c r="Z22" s="78">
        <v>174.55720170454555</v>
      </c>
      <c r="AA22" s="78">
        <v>174.55720170454541</v>
      </c>
      <c r="AB22" s="78">
        <v>174.55720170454543</v>
      </c>
      <c r="AC22" s="78">
        <v>174.55720170454546</v>
      </c>
      <c r="AD22" s="78">
        <v>174.55720170454546</v>
      </c>
      <c r="AE22" s="78">
        <v>174.55720170454549</v>
      </c>
      <c r="AF22" s="78">
        <v>174.55720170454549</v>
      </c>
      <c r="AG22" s="78">
        <v>174.55720170454541</v>
      </c>
      <c r="AH22" s="78">
        <v>174.55720170454541</v>
      </c>
      <c r="AI22" s="78">
        <v>174.55720170454543</v>
      </c>
      <c r="AJ22" s="78">
        <v>174.55720170454543</v>
      </c>
      <c r="AK22" s="78">
        <v>174.55720170454543</v>
      </c>
      <c r="AL22" s="78">
        <v>174.55720170454543</v>
      </c>
      <c r="AM22" s="78">
        <v>174.55720170454543</v>
      </c>
      <c r="AN22" s="78">
        <v>174.55720170454543</v>
      </c>
    </row>
    <row r="23" spans="2:50" x14ac:dyDescent="0.25">
      <c r="B23" s="2" t="s">
        <v>53</v>
      </c>
      <c r="C23" s="3"/>
      <c r="D23" s="72"/>
      <c r="E23" s="52" cm="1">
        <f t="array" ref="E23:AN23">_xlfn.LET(_xlpm.site,$B$1&amp;"-"&amp;$C$1,_xlpm.locations,Base!$D$4:$BD$4,_xlpm.Customer,_xlfn.ANCHORARRAY(E1),_xlpm.hours,SUM(_xlfn.XLOOKUP(_xlpm.site,_xlpm.locations,Base!$D$74:$BD$78,0,0)),
_xlpm.collection,1-_xlfn.XLOOKUP(_xlpm.site,_xlpm.locations,Base!$D$26:$BD$26,0,0),
_xlpm.Customer*_xlpm.hours*_xlpm.collection*(52/12))</f>
        <v>0</v>
      </c>
      <c r="F23" s="52">
        <v>0</v>
      </c>
      <c r="G23" s="52">
        <v>0</v>
      </c>
      <c r="H23" s="52">
        <v>0</v>
      </c>
      <c r="I23" s="52">
        <v>0</v>
      </c>
      <c r="J23" s="52">
        <v>0</v>
      </c>
      <c r="K23" s="52">
        <v>0</v>
      </c>
      <c r="L23" s="52">
        <v>0</v>
      </c>
      <c r="M23" s="52">
        <v>0</v>
      </c>
      <c r="N23" s="52">
        <v>0</v>
      </c>
      <c r="O23" s="52">
        <v>0</v>
      </c>
      <c r="P23" s="52">
        <v>0</v>
      </c>
      <c r="Q23" s="52">
        <v>0</v>
      </c>
      <c r="R23" s="52">
        <v>0</v>
      </c>
      <c r="S23" s="52">
        <v>0</v>
      </c>
      <c r="T23" s="52">
        <v>0</v>
      </c>
      <c r="U23" s="52">
        <v>0</v>
      </c>
      <c r="V23" s="52">
        <v>51.626666666666658</v>
      </c>
      <c r="W23" s="52">
        <v>154.88</v>
      </c>
      <c r="X23" s="52">
        <v>258.13333333333333</v>
      </c>
      <c r="Y23" s="52">
        <v>309.76</v>
      </c>
      <c r="Z23" s="52">
        <v>413.01333333333326</v>
      </c>
      <c r="AA23" s="52">
        <v>516.26666666666665</v>
      </c>
      <c r="AB23" s="52">
        <v>619.52</v>
      </c>
      <c r="AC23" s="52">
        <v>671.14666666666665</v>
      </c>
      <c r="AD23" s="52">
        <v>774.39999999999986</v>
      </c>
      <c r="AE23" s="52">
        <v>877.65333333333331</v>
      </c>
      <c r="AF23" s="52">
        <v>929.27999999999986</v>
      </c>
      <c r="AG23" s="52">
        <v>1032.5333333333333</v>
      </c>
      <c r="AH23" s="52">
        <v>1135.7866666666666</v>
      </c>
      <c r="AI23" s="52">
        <v>1239.04</v>
      </c>
      <c r="AJ23" s="52">
        <v>1239.04</v>
      </c>
      <c r="AK23" s="52">
        <v>1239.04</v>
      </c>
      <c r="AL23" s="52">
        <v>1239.04</v>
      </c>
      <c r="AM23" s="52">
        <v>1239.04</v>
      </c>
      <c r="AN23" s="52">
        <v>1239.04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21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_xlfn.LET(_xlpm.site,$B$1&amp;"-"&amp;$C$1,_xlpm.locations,Base!$D$4:$BD$4,_xlpm.rates,Base!$D31:$BD31,_xlpm.hours,Base!$D74:$BD74,_xlpm.comp,_xlpm.rates*_xlpm.hours,_xlpm.Customer,_xlfn.ANCHORARRAY($E$1),
_xlpm.Customer_comp,_xlfn.XLOOKUP(_xlpm.site,_xlpm.locations,_xlpm.comp,0,0),_xlpm.ann_incr,_xlfn.XLOOKUP(YEAR(_xlfn.ANCHORARRAY($E$25)),Base!$BJ$4:$BL$4,Base!$BJ74:$BL74,0,0),
_xlpm.bad_debt,_xlfn.XLOOKUP(_xlpm.site,_xlpm.locations,Base!$D$28:$BD$28,0,0),_xlpm.Customer_comp*_xlpm.Customer*_xlpm.bad_debt*_xlpm.ann_incr*(52/12))</f>
        <v>0</v>
      </c>
      <c r="F26" s="12">
        <v>0</v>
      </c>
      <c r="G26" s="12">
        <v>0</v>
      </c>
      <c r="H26" s="12">
        <v>0</v>
      </c>
      <c r="I26" s="12">
        <v>0</v>
      </c>
      <c r="J26" s="12">
        <v>0</v>
      </c>
      <c r="K26" s="12">
        <v>0</v>
      </c>
      <c r="L26" s="12">
        <v>0</v>
      </c>
      <c r="M26" s="12">
        <v>0</v>
      </c>
      <c r="N26" s="12">
        <v>0</v>
      </c>
      <c r="O26" s="12">
        <v>0</v>
      </c>
      <c r="P26" s="12">
        <v>0</v>
      </c>
      <c r="Q26" s="12">
        <v>0</v>
      </c>
      <c r="R26" s="12">
        <v>0</v>
      </c>
      <c r="S26" s="12">
        <v>0</v>
      </c>
      <c r="T26" s="12">
        <v>0</v>
      </c>
      <c r="U26" s="12">
        <v>0</v>
      </c>
      <c r="V26" s="12">
        <v>8154.019033333333</v>
      </c>
      <c r="W26" s="12">
        <v>24462.057099999998</v>
      </c>
      <c r="X26" s="12">
        <v>40770.095166666659</v>
      </c>
      <c r="Y26" s="12">
        <v>48924.114199999996</v>
      </c>
      <c r="Z26" s="12">
        <v>65232.152266666664</v>
      </c>
      <c r="AA26" s="12">
        <v>81540.190333333318</v>
      </c>
      <c r="AB26" s="12">
        <v>97848.228399999993</v>
      </c>
      <c r="AC26" s="12">
        <v>106002.24743333334</v>
      </c>
      <c r="AD26" s="12">
        <v>122310.28549999998</v>
      </c>
      <c r="AE26" s="12">
        <v>138618.32356666666</v>
      </c>
      <c r="AF26" s="12">
        <v>146772.3426</v>
      </c>
      <c r="AG26" s="12">
        <v>163080.38066666664</v>
      </c>
      <c r="AH26" s="12">
        <v>179388.4187333333</v>
      </c>
      <c r="AI26" s="12">
        <v>195696.45679999999</v>
      </c>
      <c r="AJ26" s="12">
        <v>195696.45679999999</v>
      </c>
      <c r="AK26" s="12">
        <v>195696.45679999999</v>
      </c>
      <c r="AL26" s="12">
        <v>195696.45679999999</v>
      </c>
      <c r="AM26" s="12">
        <v>195696.45679999999</v>
      </c>
      <c r="AN26" s="12">
        <v>195696.45679999999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_xlfn.LET(_xlpm.site,$B$1&amp;"-"&amp;$C$1,_xlpm.locations,Base!$D$4:$BD$4,_xlpm.rates,Base!$D32:$BD32,_xlpm.hours,Base!$D75:$BD75,_xlpm.comp,_xlpm.rates*_xlpm.hours,_xlpm.Customer,_xlfn.ANCHORARRAY($E$1),
_xlpm.Customer_comp,_xlfn.XLOOKUP(_xlpm.site,_xlpm.locations,_xlpm.comp,0,0),_xlpm.ann_incr,_xlfn.XLOOKUP(YEAR(_xlfn.ANCHORARRAY($E$25)),Base!$BJ$4:$BL$4,Base!$BJ75:$BL75,0,0),
_xlpm.bad_debt,_xlfn.XLOOKUP(_xlpm.site,_xlpm.locations,Base!$D$28:$BD$28,0,0),_xlpm.Customer_comp*_xlpm.Customer*_xlpm.bad_debt*_xlpm.ann_incr*(52/12))</f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12">
        <v>0</v>
      </c>
      <c r="AA27" s="12">
        <v>0</v>
      </c>
      <c r="AB27" s="12">
        <v>0</v>
      </c>
      <c r="AC27" s="12">
        <v>0</v>
      </c>
      <c r="AD27" s="12">
        <v>0</v>
      </c>
      <c r="AE27" s="12">
        <v>0</v>
      </c>
      <c r="AF27" s="12">
        <v>0</v>
      </c>
      <c r="AG27" s="12">
        <v>0</v>
      </c>
      <c r="AH27" s="12">
        <v>0</v>
      </c>
      <c r="AI27" s="12">
        <v>0</v>
      </c>
      <c r="AJ27" s="12">
        <v>0</v>
      </c>
      <c r="AK27" s="12">
        <v>0</v>
      </c>
      <c r="AL27" s="12">
        <v>0</v>
      </c>
      <c r="AM27" s="12">
        <v>0</v>
      </c>
      <c r="AN27" s="12">
        <v>0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_xlfn.LET(_xlpm.site,$B$1&amp;"-"&amp;$C$1,_xlpm.locations,Base!$D$4:$BD$4,_xlpm.rates,Base!$D33:$BD33,_xlpm.hours,Base!$D76:$BD76,_xlpm.comp,_xlpm.rates*_xlpm.hours,_xlpm.Customer,_xlfn.ANCHORARRAY($E$1),
_xlpm.Customer_comp,_xlfn.XLOOKUP(_xlpm.site,_xlpm.locations,_xlpm.comp,0,0),_xlpm.ann_incr,_xlfn.XLOOKUP(YEAR(_xlfn.ANCHORARRAY($E$25)),Base!$BJ$4:$BL$4,Base!$BJ76:$BL76,0,0),
_xlpm.bad_debt,_xlfn.XLOOKUP(_xlpm.site,_xlpm.locations,Base!$D$28:$BD$28,0,0),_xlpm.Customer_comp*_xlpm.Customer*_xlpm.bad_debt*_xlpm.ann_incr*(52/12))</f>
        <v>0</v>
      </c>
      <c r="F28" s="12">
        <v>0</v>
      </c>
      <c r="G28" s="12">
        <v>0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0</v>
      </c>
      <c r="N28" s="12">
        <v>0</v>
      </c>
      <c r="O28" s="12">
        <v>0</v>
      </c>
      <c r="P28" s="12">
        <v>0</v>
      </c>
      <c r="Q28" s="12">
        <v>0</v>
      </c>
      <c r="R28" s="12">
        <v>0</v>
      </c>
      <c r="S28" s="12">
        <v>0</v>
      </c>
      <c r="T28" s="12">
        <v>0</v>
      </c>
      <c r="U28" s="12">
        <v>0</v>
      </c>
      <c r="V28" s="12">
        <v>1086.8529099999998</v>
      </c>
      <c r="W28" s="12">
        <v>3260.5587299999988</v>
      </c>
      <c r="X28" s="12">
        <v>5434.2645499999981</v>
      </c>
      <c r="Y28" s="12">
        <v>6521.1174599999977</v>
      </c>
      <c r="Z28" s="12">
        <v>8694.8232799999987</v>
      </c>
      <c r="AA28" s="12">
        <v>10868.529099999996</v>
      </c>
      <c r="AB28" s="12">
        <v>13042.234919999995</v>
      </c>
      <c r="AC28" s="12">
        <v>14129.087829999997</v>
      </c>
      <c r="AD28" s="12">
        <v>16302.793649999996</v>
      </c>
      <c r="AE28" s="12">
        <v>18476.499469999999</v>
      </c>
      <c r="AF28" s="12">
        <v>19563.352379999993</v>
      </c>
      <c r="AG28" s="12">
        <v>21737.058199999992</v>
      </c>
      <c r="AH28" s="12">
        <v>23910.764019999991</v>
      </c>
      <c r="AI28" s="12">
        <v>26084.469839999991</v>
      </c>
      <c r="AJ28" s="12">
        <v>26084.469839999991</v>
      </c>
      <c r="AK28" s="12">
        <v>26084.469839999991</v>
      </c>
      <c r="AL28" s="12">
        <v>26084.469839999991</v>
      </c>
      <c r="AM28" s="12">
        <v>26084.469839999991</v>
      </c>
      <c r="AN28" s="12">
        <v>26084.469839999991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_xlfn.LET(_xlpm.site,$B$1&amp;"-"&amp;$C$1,_xlpm.locations,Base!$D$4:$BD$4,_xlpm.rates,Base!$D34:$BD34,_xlpm.hours,Base!$D77:$BD77,_xlpm.comp,_xlpm.rates*_xlpm.hours,_xlpm.Customer,_xlfn.ANCHORARRAY($E$1),
_xlpm.Customer_comp,_xlfn.XLOOKUP(_xlpm.site,_xlpm.locations,_xlpm.comp,0,0),_xlpm.ann_incr,_xlfn.XLOOKUP(YEAR(_xlfn.ANCHORARRAY($E$25)),Base!$BJ$4:$BL$4,Base!$BJ77:$BL77,0,0),
_xlpm.bad_debt,_xlfn.XLOOKUP(_xlpm.site,_xlpm.locations,Base!$D$28:$BD$28,0,0),_xlpm.Customer_comp*_xlpm.Customer*_xlpm.bad_debt*_xlpm.ann_incr*(52/12))</f>
        <v>0</v>
      </c>
      <c r="F29" s="12">
        <v>0</v>
      </c>
      <c r="G29" s="12">
        <v>0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0</v>
      </c>
      <c r="N29" s="12">
        <v>0</v>
      </c>
      <c r="O29" s="12">
        <v>0</v>
      </c>
      <c r="P29" s="12">
        <v>0</v>
      </c>
      <c r="Q29" s="12">
        <v>0</v>
      </c>
      <c r="R29" s="12">
        <v>0</v>
      </c>
      <c r="S29" s="12">
        <v>0</v>
      </c>
      <c r="T29" s="12">
        <v>0</v>
      </c>
      <c r="U29" s="12">
        <v>0</v>
      </c>
      <c r="V29" s="12">
        <v>167.20813999999999</v>
      </c>
      <c r="W29" s="12">
        <v>501.62441999999999</v>
      </c>
      <c r="X29" s="12">
        <v>836.04070000000002</v>
      </c>
      <c r="Y29" s="12">
        <v>1003.24884</v>
      </c>
      <c r="Z29" s="12">
        <v>1337.6651199999999</v>
      </c>
      <c r="AA29" s="12">
        <v>1672.0814</v>
      </c>
      <c r="AB29" s="12">
        <v>2006.4976799999999</v>
      </c>
      <c r="AC29" s="12">
        <v>2173.7058200000001</v>
      </c>
      <c r="AD29" s="12">
        <v>2508.1221</v>
      </c>
      <c r="AE29" s="12">
        <v>2842.5383799999995</v>
      </c>
      <c r="AF29" s="12">
        <v>3009.7465200000001</v>
      </c>
      <c r="AG29" s="12">
        <v>3344.1628000000001</v>
      </c>
      <c r="AH29" s="12">
        <v>3678.5790799999995</v>
      </c>
      <c r="AI29" s="12">
        <v>4012.9953599999999</v>
      </c>
      <c r="AJ29" s="12">
        <v>4012.9953599999999</v>
      </c>
      <c r="AK29" s="12">
        <v>4012.9953599999999</v>
      </c>
      <c r="AL29" s="12">
        <v>4012.9953599999999</v>
      </c>
      <c r="AM29" s="12">
        <v>4012.9953599999999</v>
      </c>
      <c r="AN29" s="12">
        <v>4012.9953599999999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_xlfn.LET(_xlpm.site,$B$1&amp;"-"&amp;$C$1,_xlpm.locations,Base!$D$4:$BD$4,_xlpm.rates,Base!$D35:$BD35,_xlpm.hours,Base!$D78:$BD78,_xlpm.comp,_xlpm.rates*_xlpm.hours,_xlpm.Customer,_xlfn.ANCHORARRAY($E$1),
_xlpm.Customer_comp,_xlfn.XLOOKUP(_xlpm.site,_xlpm.locations,_xlpm.comp,0,0),_xlpm.ann_incr,_xlfn.XLOOKUP(YEAR(_xlfn.ANCHORARRAY($E$25)),Base!$BJ$4:$BL$4,Base!$BJ78:$BL78,0,0),
_xlpm.bad_debt,_xlfn.XLOOKUP(_xlpm.site,_xlpm.locations,Base!$D$28:$BD$28,0,0),_xlpm.Customer_comp*_xlpm.Customer*_xlpm.bad_debt*_xlpm.ann_incr*(52/12))</f>
        <v>0</v>
      </c>
      <c r="F30" s="12">
        <v>0</v>
      </c>
      <c r="G30" s="12">
        <v>0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0</v>
      </c>
      <c r="N30" s="12">
        <v>0</v>
      </c>
      <c r="O30" s="12">
        <v>0</v>
      </c>
      <c r="P30" s="12">
        <v>0</v>
      </c>
      <c r="Q30" s="12">
        <v>0</v>
      </c>
      <c r="R30" s="12">
        <v>0</v>
      </c>
      <c r="S30" s="12">
        <v>0</v>
      </c>
      <c r="T30" s="12">
        <v>0</v>
      </c>
      <c r="U30" s="12">
        <v>0</v>
      </c>
      <c r="V30" s="12">
        <v>218.1677333333333</v>
      </c>
      <c r="W30" s="12">
        <v>654.50319999999988</v>
      </c>
      <c r="X30" s="12">
        <v>1090.8386666666665</v>
      </c>
      <c r="Y30" s="12">
        <v>1309.0063999999998</v>
      </c>
      <c r="Z30" s="12">
        <v>1745.3418666666664</v>
      </c>
      <c r="AA30" s="12">
        <v>2181.6773333333331</v>
      </c>
      <c r="AB30" s="12">
        <v>2618.0127999999995</v>
      </c>
      <c r="AC30" s="12">
        <v>2836.1805333333332</v>
      </c>
      <c r="AD30" s="12">
        <v>3272.5159999999996</v>
      </c>
      <c r="AE30" s="12">
        <v>3708.8514666666661</v>
      </c>
      <c r="AF30" s="12">
        <v>3927.0191999999997</v>
      </c>
      <c r="AG30" s="12">
        <v>4363.3546666666662</v>
      </c>
      <c r="AH30" s="12">
        <v>4799.6901333333326</v>
      </c>
      <c r="AI30" s="12">
        <v>5236.025599999999</v>
      </c>
      <c r="AJ30" s="12">
        <v>5236.025599999999</v>
      </c>
      <c r="AK30" s="12">
        <v>5236.025599999999</v>
      </c>
      <c r="AL30" s="12">
        <v>5236.025599999999</v>
      </c>
      <c r="AM30" s="12">
        <v>5236.025599999999</v>
      </c>
      <c r="AN30" s="12">
        <v>5236.025599999999</v>
      </c>
    </row>
    <row r="31" spans="2:50" x14ac:dyDescent="0.25">
      <c r="B31" s="39" t="str">
        <f>Base!B36</f>
        <v>Tertiary Direct Staff - Service A</v>
      </c>
      <c r="C31" s="4"/>
      <c r="E31" s="183" cm="1">
        <f t="array" ref="E31:AN31">_xlfn.LET(_xlpm.site,$B$1&amp;"-"&amp;$C$1,_xlpm.locations,Base!$D$4:$BD$4,_xlpm.rates,Base!$D36:$BD36,_xlpm.hours,Base!$D79:$BD79,_xlpm.comp,_xlpm.rates*_xlpm.hours,_xlpm.Customer,_xlfn.ANCHORARRAY($E$1)*0,
_xlpm.Customer_comp,_xlfn.XLOOKUP(_xlpm.site,_xlpm.locations,_xlpm.comp,0,0),_xlpm.ann_incr,_xlfn.XLOOKUP(YEAR(_xlfn.ANCHORARRAY($E$25)),Base!$BJ$4:$BL$4,Base!$BJ79:$BL79,0,0),
_xlpm.bad_debt,_xlfn.XLOOKUP(_xlpm.site,_xlpm.locations,Base!$D$28:$BD$28,0,0),_xlpm.Customer_comp*_xlpm.Customer*_xlpm.bad_debt*_xlpm.ann_incr*(52/12))</f>
        <v>0</v>
      </c>
      <c r="F31" s="183">
        <v>0</v>
      </c>
      <c r="G31" s="183">
        <v>0</v>
      </c>
      <c r="H31" s="183">
        <v>0</v>
      </c>
      <c r="I31" s="183">
        <v>0</v>
      </c>
      <c r="J31" s="183">
        <v>0</v>
      </c>
      <c r="K31" s="183">
        <v>0</v>
      </c>
      <c r="L31" s="183">
        <v>0</v>
      </c>
      <c r="M31" s="183">
        <v>0</v>
      </c>
      <c r="N31" s="183">
        <v>0</v>
      </c>
      <c r="O31" s="183">
        <v>0</v>
      </c>
      <c r="P31" s="183">
        <v>0</v>
      </c>
      <c r="Q31" s="183">
        <v>0</v>
      </c>
      <c r="R31" s="183">
        <v>0</v>
      </c>
      <c r="S31" s="183">
        <v>0</v>
      </c>
      <c r="T31" s="183">
        <v>0</v>
      </c>
      <c r="U31" s="183">
        <v>0</v>
      </c>
      <c r="V31" s="183">
        <v>0</v>
      </c>
      <c r="W31" s="183">
        <v>0</v>
      </c>
      <c r="X31" s="183">
        <v>0</v>
      </c>
      <c r="Y31" s="183">
        <v>0</v>
      </c>
      <c r="Z31" s="183">
        <v>0</v>
      </c>
      <c r="AA31" s="183">
        <v>0</v>
      </c>
      <c r="AB31" s="183">
        <v>0</v>
      </c>
      <c r="AC31" s="183">
        <v>0</v>
      </c>
      <c r="AD31" s="183">
        <v>0</v>
      </c>
      <c r="AE31" s="183">
        <v>0</v>
      </c>
      <c r="AF31" s="183">
        <v>0</v>
      </c>
      <c r="AG31" s="183">
        <v>0</v>
      </c>
      <c r="AH31" s="183">
        <v>0</v>
      </c>
      <c r="AI31" s="183">
        <v>0</v>
      </c>
      <c r="AJ31" s="183">
        <v>0</v>
      </c>
      <c r="AK31" s="183">
        <v>0</v>
      </c>
      <c r="AL31" s="183">
        <v>0</v>
      </c>
      <c r="AM31" s="183">
        <v>0</v>
      </c>
      <c r="AN31" s="183">
        <v>0</v>
      </c>
    </row>
    <row r="32" spans="2:50" x14ac:dyDescent="0.25">
      <c r="B32" s="39" t="str">
        <f>Base!B37</f>
        <v>Tertiary Direct Staff - Service B</v>
      </c>
      <c r="C32" s="4"/>
      <c r="E32" s="183" cm="1">
        <f t="array" ref="E32:AN32">_xlfn.LET(_xlpm.site,$B$1&amp;"-"&amp;$C$1,_xlpm.locations,Base!$D$4:$BD$4,_xlpm.rates,Base!$D37:$BD37,_xlpm.hours,Base!$D80:$BD80,_xlpm.comp,_xlpm.rates*_xlpm.hours,_xlpm.Customer,_xlfn.ANCHORARRAY($E$1)*0,
_xlpm.Customer_comp,_xlfn.XLOOKUP(_xlpm.site,_xlpm.locations,_xlpm.comp,0,0),_xlpm.ann_incr,_xlfn.XLOOKUP(YEAR(_xlfn.ANCHORARRAY($E$25)),Base!$BJ$4:$BL$4,Base!$BJ80:$BL80,0,0),
_xlpm.bad_debt,_xlfn.XLOOKUP(_xlpm.site,_xlpm.locations,Base!$D$28:$BD$28,0,0),_xlpm.Customer_comp*_xlpm.Customer*_xlpm.bad_debt*_xlpm.ann_incr*(52/12))</f>
        <v>0</v>
      </c>
      <c r="F32" s="183">
        <v>0</v>
      </c>
      <c r="G32" s="183">
        <v>0</v>
      </c>
      <c r="H32" s="183">
        <v>0</v>
      </c>
      <c r="I32" s="183">
        <v>0</v>
      </c>
      <c r="J32" s="183">
        <v>0</v>
      </c>
      <c r="K32" s="183">
        <v>0</v>
      </c>
      <c r="L32" s="183">
        <v>0</v>
      </c>
      <c r="M32" s="183">
        <v>0</v>
      </c>
      <c r="N32" s="183">
        <v>0</v>
      </c>
      <c r="O32" s="183">
        <v>0</v>
      </c>
      <c r="P32" s="183">
        <v>0</v>
      </c>
      <c r="Q32" s="183">
        <v>0</v>
      </c>
      <c r="R32" s="183">
        <v>0</v>
      </c>
      <c r="S32" s="183">
        <v>0</v>
      </c>
      <c r="T32" s="183">
        <v>0</v>
      </c>
      <c r="U32" s="183">
        <v>0</v>
      </c>
      <c r="V32" s="183">
        <v>0</v>
      </c>
      <c r="W32" s="183">
        <v>0</v>
      </c>
      <c r="X32" s="183">
        <v>0</v>
      </c>
      <c r="Y32" s="183">
        <v>0</v>
      </c>
      <c r="Z32" s="183">
        <v>0</v>
      </c>
      <c r="AA32" s="183">
        <v>0</v>
      </c>
      <c r="AB32" s="183">
        <v>0</v>
      </c>
      <c r="AC32" s="183">
        <v>0</v>
      </c>
      <c r="AD32" s="183">
        <v>0</v>
      </c>
      <c r="AE32" s="183">
        <v>0</v>
      </c>
      <c r="AF32" s="183">
        <v>0</v>
      </c>
      <c r="AG32" s="183">
        <v>0</v>
      </c>
      <c r="AH32" s="183">
        <v>0</v>
      </c>
      <c r="AI32" s="183">
        <v>0</v>
      </c>
      <c r="AJ32" s="183">
        <v>0</v>
      </c>
      <c r="AK32" s="183">
        <v>0</v>
      </c>
      <c r="AL32" s="183">
        <v>0</v>
      </c>
      <c r="AM32" s="183">
        <v>0</v>
      </c>
      <c r="AN32" s="183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_xlpm.Customer,_xlfn.ANCHORARRAY($E$2),_xlpm.ann_incr,_xlfn.XLOOKUP(YEAR(_xlfn.ANCHORARRAY($E$25)),Base!$BJ$4:$BL$4,Base!$BJ$81:$BL$81,0,0),
_xlpm.bad_debt,_xlfn.XLOOKUP(_xlpm.site,_xlpm.locations,Base!$D$28:$BD$28,0,0),
_xlpm.comp*_xlpm.bad_debt*_xlpm.ann_incr*(52/12))</f>
        <v>0</v>
      </c>
      <c r="F33" s="12">
        <v>0</v>
      </c>
      <c r="G33" s="12">
        <v>0</v>
      </c>
      <c r="H33" s="12">
        <v>0</v>
      </c>
      <c r="I33" s="12">
        <v>0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2">
        <v>0</v>
      </c>
      <c r="Y33" s="12">
        <v>0</v>
      </c>
      <c r="Z33" s="12">
        <v>0</v>
      </c>
      <c r="AA33" s="12">
        <v>0</v>
      </c>
      <c r="AB33" s="12">
        <v>0</v>
      </c>
      <c r="AC33" s="12">
        <v>0</v>
      </c>
      <c r="AD33" s="12">
        <v>0</v>
      </c>
      <c r="AE33" s="12">
        <v>0</v>
      </c>
      <c r="AF33" s="12">
        <v>0</v>
      </c>
      <c r="AG33" s="12">
        <v>0</v>
      </c>
      <c r="AH33" s="12">
        <v>0</v>
      </c>
      <c r="AI33" s="12">
        <v>0</v>
      </c>
      <c r="AJ33" s="12">
        <v>0</v>
      </c>
      <c r="AK33" s="12">
        <v>0</v>
      </c>
      <c r="AL33" s="12">
        <v>0</v>
      </c>
      <c r="AM33" s="12">
        <v>0</v>
      </c>
      <c r="AN33" s="12">
        <v>0</v>
      </c>
    </row>
    <row r="34" spans="2:40" x14ac:dyDescent="0.25">
      <c r="B34" s="39" t="str">
        <f>Base!B39</f>
        <v>Quinary Direct Staff - Service A</v>
      </c>
      <c r="C34" s="4"/>
      <c r="E34" s="183" cm="1">
        <f t="array" ref="E34:AN34">_xlfn.LET(_xlpm.site,$B$1&amp;"-"&amp;$C$1,_xlpm.locations,Base!$D$4:$BD$4,_xlpm.rates,Base!$D39:$BD39,_xlpm.hours,Base!$D82:$BD82,_xlpm.comp,_xlpm.rates*_xlpm.hours,_xlpm.Customer,_xlfn.ANCHORARRAY($E$1)*0,
_xlpm.Customer_comp,_xlfn.XLOOKUP(_xlpm.site,_xlpm.locations,_xlpm.comp,0,0),_xlpm.ann_incr,_xlfn.XLOOKUP(YEAR(_xlfn.ANCHORARRAY($E$25)),Base!$BJ$4:$BL$4,Base!$BJ82:$BL82,0,0),
_xlpm.bad_debt,_xlfn.XLOOKUP(_xlpm.site,_xlpm.locations,Base!$D$28:$BD$28,0,0),_xlpm.Customer_comp*_xlpm.Customer*_xlpm.bad_debt*_xlpm.ann_incr*(52/12))</f>
        <v>0</v>
      </c>
      <c r="F34" s="183">
        <v>0</v>
      </c>
      <c r="G34" s="183">
        <v>0</v>
      </c>
      <c r="H34" s="183">
        <v>0</v>
      </c>
      <c r="I34" s="183">
        <v>0</v>
      </c>
      <c r="J34" s="183">
        <v>0</v>
      </c>
      <c r="K34" s="183">
        <v>0</v>
      </c>
      <c r="L34" s="183">
        <v>0</v>
      </c>
      <c r="M34" s="183">
        <v>0</v>
      </c>
      <c r="N34" s="183">
        <v>0</v>
      </c>
      <c r="O34" s="183">
        <v>0</v>
      </c>
      <c r="P34" s="183">
        <v>0</v>
      </c>
      <c r="Q34" s="183">
        <v>0</v>
      </c>
      <c r="R34" s="183">
        <v>0</v>
      </c>
      <c r="S34" s="183">
        <v>0</v>
      </c>
      <c r="T34" s="183">
        <v>0</v>
      </c>
      <c r="U34" s="183">
        <v>0</v>
      </c>
      <c r="V34" s="183">
        <v>0</v>
      </c>
      <c r="W34" s="183">
        <v>0</v>
      </c>
      <c r="X34" s="183">
        <v>0</v>
      </c>
      <c r="Y34" s="183">
        <v>0</v>
      </c>
      <c r="Z34" s="183">
        <v>0</v>
      </c>
      <c r="AA34" s="183">
        <v>0</v>
      </c>
      <c r="AB34" s="183">
        <v>0</v>
      </c>
      <c r="AC34" s="183">
        <v>0</v>
      </c>
      <c r="AD34" s="183">
        <v>0</v>
      </c>
      <c r="AE34" s="183">
        <v>0</v>
      </c>
      <c r="AF34" s="183">
        <v>0</v>
      </c>
      <c r="AG34" s="183">
        <v>0</v>
      </c>
      <c r="AH34" s="183">
        <v>0</v>
      </c>
      <c r="AI34" s="183">
        <v>0</v>
      </c>
      <c r="AJ34" s="183">
        <v>0</v>
      </c>
      <c r="AK34" s="183">
        <v>0</v>
      </c>
      <c r="AL34" s="183">
        <v>0</v>
      </c>
      <c r="AM34" s="183">
        <v>0</v>
      </c>
      <c r="AN34" s="183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0</v>
      </c>
      <c r="F35" s="12">
        <v>0</v>
      </c>
      <c r="G35" s="12">
        <v>0</v>
      </c>
      <c r="H35" s="12">
        <v>0</v>
      </c>
      <c r="I35" s="12">
        <v>0</v>
      </c>
      <c r="J35" s="12">
        <v>0</v>
      </c>
      <c r="K35" s="12">
        <v>0</v>
      </c>
      <c r="L35" s="12">
        <v>0</v>
      </c>
      <c r="M35" s="12">
        <v>0</v>
      </c>
      <c r="N35" s="12">
        <v>0</v>
      </c>
      <c r="O35" s="12">
        <v>0</v>
      </c>
      <c r="P35" s="12">
        <v>0</v>
      </c>
      <c r="Q35" s="12">
        <v>0</v>
      </c>
      <c r="R35" s="12">
        <v>0</v>
      </c>
      <c r="S35" s="12">
        <v>0</v>
      </c>
      <c r="T35" s="12">
        <v>0</v>
      </c>
      <c r="U35" s="12">
        <v>0</v>
      </c>
      <c r="V35" s="12">
        <v>-1155.1497380000001</v>
      </c>
      <c r="W35" s="12">
        <v>-3465.4492139999993</v>
      </c>
      <c r="X35" s="12">
        <v>-5775.7486899999985</v>
      </c>
      <c r="Y35" s="12">
        <v>-6930.8984279999986</v>
      </c>
      <c r="Z35" s="12">
        <v>-9241.1979040000006</v>
      </c>
      <c r="AA35" s="12">
        <v>-11551.497379999997</v>
      </c>
      <c r="AB35" s="12">
        <v>-13861.796855999997</v>
      </c>
      <c r="AC35" s="12">
        <v>-15016.946594000001</v>
      </c>
      <c r="AD35" s="12">
        <v>-17327.246069999997</v>
      </c>
      <c r="AE35" s="12">
        <v>-19637.545546000001</v>
      </c>
      <c r="AF35" s="12">
        <v>-20792.695283999998</v>
      </c>
      <c r="AG35" s="12">
        <v>-23102.994759999994</v>
      </c>
      <c r="AH35" s="12">
        <v>-25413.294235999994</v>
      </c>
      <c r="AI35" s="12">
        <v>-27723.593711999994</v>
      </c>
      <c r="AJ35" s="12">
        <v>-27723.593711999994</v>
      </c>
      <c r="AK35" s="12">
        <v>-27723.593711999994</v>
      </c>
      <c r="AL35" s="12">
        <v>-27723.593711999994</v>
      </c>
      <c r="AM35" s="12">
        <v>-27723.593711999994</v>
      </c>
      <c r="AN35" s="12">
        <v>-27723.593711999994</v>
      </c>
    </row>
    <row r="36" spans="2:40" x14ac:dyDescent="0.25">
      <c r="B36" s="39" t="s">
        <v>261</v>
      </c>
      <c r="C36" s="15"/>
      <c r="E36" s="183" cm="1">
        <f t="array" ref="E36:AN36">_xlfn.BYCOL(_xlfn.ANCHORARRAY($E$25),_xlfn.LAMBDA(_xlpm.a,0))</f>
        <v>0</v>
      </c>
      <c r="F36" s="183">
        <v>0</v>
      </c>
      <c r="G36" s="183">
        <v>0</v>
      </c>
      <c r="H36" s="183">
        <v>0</v>
      </c>
      <c r="I36" s="183">
        <v>0</v>
      </c>
      <c r="J36" s="183">
        <v>0</v>
      </c>
      <c r="K36" s="183">
        <v>0</v>
      </c>
      <c r="L36" s="183">
        <v>0</v>
      </c>
      <c r="M36" s="183">
        <v>0</v>
      </c>
      <c r="N36" s="183">
        <v>0</v>
      </c>
      <c r="O36" s="183">
        <v>0</v>
      </c>
      <c r="P36" s="183">
        <v>0</v>
      </c>
      <c r="Q36" s="183">
        <v>0</v>
      </c>
      <c r="R36" s="183">
        <v>0</v>
      </c>
      <c r="S36" s="183">
        <v>0</v>
      </c>
      <c r="T36" s="183">
        <v>0</v>
      </c>
      <c r="U36" s="183">
        <v>0</v>
      </c>
      <c r="V36" s="183">
        <v>0</v>
      </c>
      <c r="W36" s="183">
        <v>0</v>
      </c>
      <c r="X36" s="183">
        <v>0</v>
      </c>
      <c r="Y36" s="183">
        <v>0</v>
      </c>
      <c r="Z36" s="183">
        <v>0</v>
      </c>
      <c r="AA36" s="183">
        <v>0</v>
      </c>
      <c r="AB36" s="183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271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0</v>
      </c>
      <c r="S37" s="13">
        <v>0</v>
      </c>
      <c r="T37" s="13">
        <v>0</v>
      </c>
      <c r="U37" s="13">
        <v>0</v>
      </c>
      <c r="V37" s="13">
        <v>8471.0980786666678</v>
      </c>
      <c r="W37" s="13">
        <v>25413.294235999994</v>
      </c>
      <c r="X37" s="13">
        <v>42355.490393333319</v>
      </c>
      <c r="Y37" s="13">
        <v>50826.588471999989</v>
      </c>
      <c r="Z37" s="13">
        <v>67768.784629333342</v>
      </c>
      <c r="AA37" s="13">
        <v>84710.980786666638</v>
      </c>
      <c r="AB37" s="13">
        <v>101653.17694399998</v>
      </c>
      <c r="AC37" s="13">
        <v>110124.27502266667</v>
      </c>
      <c r="AD37" s="13">
        <v>127066.47117999999</v>
      </c>
      <c r="AE37" s="13">
        <v>144008.66733733335</v>
      </c>
      <c r="AF37" s="13">
        <v>152479.76541600001</v>
      </c>
      <c r="AG37" s="13">
        <v>169421.96157333328</v>
      </c>
      <c r="AH37" s="13">
        <v>186364.15773066663</v>
      </c>
      <c r="AI37" s="13">
        <v>203306.35388799995</v>
      </c>
      <c r="AJ37" s="13">
        <v>203306.35388799995</v>
      </c>
      <c r="AK37" s="13">
        <v>203306.35388799995</v>
      </c>
      <c r="AL37" s="13">
        <v>203306.35388799995</v>
      </c>
      <c r="AM37" s="13">
        <v>203306.35388799995</v>
      </c>
      <c r="AN37" s="13">
        <v>203306.35388799995</v>
      </c>
    </row>
    <row r="38" spans="2:40" x14ac:dyDescent="0.25">
      <c r="E38" s="67"/>
      <c r="F38" s="67"/>
    </row>
    <row r="39" spans="2:40" x14ac:dyDescent="0.25">
      <c r="B39" s="1" t="s">
        <v>118</v>
      </c>
    </row>
    <row r="40" spans="2:40" x14ac:dyDescent="0.25">
      <c r="B40" s="39" t="s">
        <v>23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0</v>
      </c>
      <c r="F40" s="12">
        <v>0</v>
      </c>
      <c r="G40" s="12">
        <v>0</v>
      </c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0</v>
      </c>
      <c r="N40" s="12">
        <v>0</v>
      </c>
      <c r="O40" s="12">
        <v>0</v>
      </c>
      <c r="P40" s="12">
        <v>0</v>
      </c>
      <c r="Q40" s="12">
        <v>0</v>
      </c>
      <c r="R40" s="12">
        <v>0</v>
      </c>
      <c r="S40" s="12">
        <v>0</v>
      </c>
      <c r="T40" s="12">
        <v>0</v>
      </c>
      <c r="U40" s="12">
        <v>0</v>
      </c>
      <c r="V40" s="12">
        <v>13181.944580396104</v>
      </c>
      <c r="W40" s="12">
        <v>28140.89895452165</v>
      </c>
      <c r="X40" s="12">
        <v>32635.589995313858</v>
      </c>
      <c r="Y40" s="12">
        <v>35404.500515709959</v>
      </c>
      <c r="Z40" s="12">
        <v>40192.671556502173</v>
      </c>
      <c r="AA40" s="12">
        <v>44690.552597294387</v>
      </c>
      <c r="AB40" s="12">
        <v>49608.261031419919</v>
      </c>
      <c r="AC40" s="12">
        <v>57537.69070699763</v>
      </c>
      <c r="AD40" s="12">
        <v>62559.048851869062</v>
      </c>
      <c r="AE40" s="12">
        <v>67826.036996740484</v>
      </c>
      <c r="AF40" s="12">
        <v>70794.640569176205</v>
      </c>
      <c r="AG40" s="12">
        <v>75815.998714047644</v>
      </c>
      <c r="AH40" s="12">
        <v>81110.265824919072</v>
      </c>
      <c r="AI40" s="12">
        <v>82760.059803123833</v>
      </c>
      <c r="AJ40" s="12">
        <v>82760.059803123833</v>
      </c>
      <c r="AK40" s="12">
        <v>82760.059803123833</v>
      </c>
      <c r="AL40" s="12">
        <v>82760.059803123833</v>
      </c>
      <c r="AM40" s="12">
        <v>82760.059803123833</v>
      </c>
      <c r="AN40" s="12">
        <v>82760.059803123833</v>
      </c>
    </row>
    <row r="41" spans="2:40" x14ac:dyDescent="0.25">
      <c r="B41" s="39" t="s">
        <v>388</v>
      </c>
      <c r="C41" s="142">
        <f>_xlfn.XLOOKUP($B$1&amp;"-"&amp;$C$1,Base!$D$4:$BD$4,Base!$D$12:$BD$12,0,0)</f>
        <v>0</v>
      </c>
      <c r="E41" s="183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28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0</v>
      </c>
      <c r="AJ42" s="12">
        <v>0</v>
      </c>
      <c r="AK42" s="12">
        <v>0</v>
      </c>
      <c r="AL42" s="12">
        <v>0</v>
      </c>
      <c r="AM42" s="12">
        <v>0</v>
      </c>
      <c r="AN42" s="12">
        <v>0</v>
      </c>
    </row>
    <row r="43" spans="2:40" x14ac:dyDescent="0.25">
      <c r="B43" s="39" t="s">
        <v>31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0</v>
      </c>
      <c r="X43" s="12">
        <v>0</v>
      </c>
      <c r="Y43" s="12">
        <v>0</v>
      </c>
      <c r="Z43" s="12">
        <v>0</v>
      </c>
      <c r="AA43" s="12">
        <v>0</v>
      </c>
      <c r="AB43" s="12">
        <v>0</v>
      </c>
      <c r="AC43" s="12">
        <v>0</v>
      </c>
      <c r="AD43" s="12">
        <v>0</v>
      </c>
      <c r="AE43" s="12">
        <v>0</v>
      </c>
      <c r="AF43" s="12">
        <v>0</v>
      </c>
      <c r="AG43" s="12">
        <v>0</v>
      </c>
      <c r="AH43" s="12">
        <v>0</v>
      </c>
      <c r="AI43" s="12">
        <v>0</v>
      </c>
      <c r="AJ43" s="12">
        <v>0</v>
      </c>
      <c r="AK43" s="12">
        <v>0</v>
      </c>
      <c r="AL43" s="12">
        <v>0</v>
      </c>
      <c r="AM43" s="12">
        <v>0</v>
      </c>
      <c r="AN43" s="12">
        <v>0</v>
      </c>
    </row>
    <row r="44" spans="2:40" x14ac:dyDescent="0.25">
      <c r="B44" s="39" t="s">
        <v>34</v>
      </c>
      <c r="C44" s="96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  <c r="O44" s="12">
        <v>0</v>
      </c>
      <c r="P44" s="12">
        <v>0</v>
      </c>
      <c r="Q44" s="12">
        <v>0</v>
      </c>
      <c r="R44" s="12">
        <v>0</v>
      </c>
      <c r="S44" s="12">
        <v>0</v>
      </c>
      <c r="T44" s="12">
        <v>0</v>
      </c>
      <c r="U44" s="12">
        <v>0</v>
      </c>
      <c r="V44" s="12">
        <v>364.434304</v>
      </c>
      <c r="W44" s="12">
        <v>883.05235200000004</v>
      </c>
      <c r="X44" s="12">
        <v>900.57323200000008</v>
      </c>
      <c r="Y44" s="12">
        <v>928.60663999999997</v>
      </c>
      <c r="Z44" s="12">
        <v>956.64004799999998</v>
      </c>
      <c r="AA44" s="12">
        <v>974.16092800000001</v>
      </c>
      <c r="AB44" s="12">
        <v>1002.1943359999998</v>
      </c>
      <c r="AC44" s="12">
        <v>1067.7925107200001</v>
      </c>
      <c r="AD44" s="12">
        <v>1089.6585689600004</v>
      </c>
      <c r="AE44" s="12">
        <v>1118.8133132799999</v>
      </c>
      <c r="AF44" s="12">
        <v>1144.3237145600003</v>
      </c>
      <c r="AG44" s="12">
        <v>1166.1897728000004</v>
      </c>
      <c r="AH44" s="12">
        <v>1195.3445171200001</v>
      </c>
      <c r="AI44" s="12">
        <v>1071.4368537600003</v>
      </c>
      <c r="AJ44" s="12">
        <v>1071.4368537600003</v>
      </c>
      <c r="AK44" s="12">
        <v>1071.4368537600003</v>
      </c>
      <c r="AL44" s="12">
        <v>1071.4368537600003</v>
      </c>
      <c r="AM44" s="12">
        <v>1071.4368537600003</v>
      </c>
      <c r="AN44" s="12">
        <v>1071.4368537600003</v>
      </c>
    </row>
    <row r="45" spans="2:40" x14ac:dyDescent="0.25">
      <c r="B45" s="39" t="s">
        <v>36</v>
      </c>
      <c r="C45" s="96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0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12">
        <v>0</v>
      </c>
      <c r="R45" s="12">
        <v>0</v>
      </c>
      <c r="S45" s="12">
        <v>0</v>
      </c>
      <c r="T45" s="12">
        <v>0</v>
      </c>
      <c r="U45" s="12">
        <v>0</v>
      </c>
      <c r="V45" s="12">
        <v>0</v>
      </c>
      <c r="W45" s="12">
        <v>0</v>
      </c>
      <c r="X45" s="12">
        <v>0</v>
      </c>
      <c r="Y45" s="12">
        <v>0</v>
      </c>
      <c r="Z45" s="12">
        <v>0</v>
      </c>
      <c r="AA45" s="12">
        <v>0</v>
      </c>
      <c r="AB45" s="12">
        <v>0</v>
      </c>
      <c r="AC45" s="12">
        <v>0</v>
      </c>
      <c r="AD45" s="12">
        <v>0</v>
      </c>
      <c r="AE45" s="12">
        <v>0</v>
      </c>
      <c r="AF45" s="12">
        <v>0</v>
      </c>
      <c r="AG45" s="12">
        <v>0</v>
      </c>
      <c r="AH45" s="12">
        <v>0</v>
      </c>
      <c r="AI45" s="12">
        <v>0</v>
      </c>
      <c r="AJ45" s="12">
        <v>0</v>
      </c>
      <c r="AK45" s="12">
        <v>0</v>
      </c>
      <c r="AL45" s="12">
        <v>0</v>
      </c>
      <c r="AM45" s="12">
        <v>0</v>
      </c>
      <c r="AN45" s="12">
        <v>0</v>
      </c>
    </row>
    <row r="46" spans="2:40" x14ac:dyDescent="0.25">
      <c r="B46" s="39" t="s">
        <v>38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0</v>
      </c>
      <c r="F46" s="12">
        <v>0</v>
      </c>
      <c r="G46" s="12">
        <v>0</v>
      </c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0</v>
      </c>
      <c r="N46" s="12">
        <v>0</v>
      </c>
      <c r="O46" s="12">
        <v>0</v>
      </c>
      <c r="P46" s="12">
        <v>0</v>
      </c>
      <c r="Q46" s="12">
        <v>0</v>
      </c>
      <c r="R46" s="12">
        <v>0</v>
      </c>
      <c r="S46" s="12">
        <v>0</v>
      </c>
      <c r="T46" s="12">
        <v>0</v>
      </c>
      <c r="U46" s="12">
        <v>0</v>
      </c>
      <c r="V46" s="12">
        <v>2203.1999999999998</v>
      </c>
      <c r="W46" s="12">
        <v>3508.7999999999993</v>
      </c>
      <c r="X46" s="12">
        <v>4085.0999999999995</v>
      </c>
      <c r="Y46" s="12">
        <v>4401.3</v>
      </c>
      <c r="Z46" s="12">
        <v>4992.9000000000005</v>
      </c>
      <c r="AA46" s="12">
        <v>5569.1999999999989</v>
      </c>
      <c r="AB46" s="12">
        <v>6171.0000000000009</v>
      </c>
      <c r="AC46" s="12">
        <v>6611.742000000002</v>
      </c>
      <c r="AD46" s="12">
        <v>7204.7700000000023</v>
      </c>
      <c r="AE46" s="12">
        <v>7808.2020000000011</v>
      </c>
      <c r="AF46" s="12">
        <v>8125.5239999999994</v>
      </c>
      <c r="AG46" s="12">
        <v>8718.5519999999997</v>
      </c>
      <c r="AH46" s="12">
        <v>9327.1859999999997</v>
      </c>
      <c r="AI46" s="12">
        <v>9717.3359999999993</v>
      </c>
      <c r="AJ46" s="12">
        <v>9717.3359999999993</v>
      </c>
      <c r="AK46" s="12">
        <v>9717.3359999999993</v>
      </c>
      <c r="AL46" s="12">
        <v>9717.3359999999993</v>
      </c>
      <c r="AM46" s="12">
        <v>9717.3359999999993</v>
      </c>
      <c r="AN46" s="12">
        <v>9717.3359999999993</v>
      </c>
    </row>
    <row r="47" spans="2:40" x14ac:dyDescent="0.25">
      <c r="B47" s="39" t="s">
        <v>40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  <c r="O47" s="12">
        <v>0</v>
      </c>
      <c r="P47" s="12">
        <v>0</v>
      </c>
      <c r="Q47" s="12">
        <v>0</v>
      </c>
      <c r="R47" s="12">
        <v>0</v>
      </c>
      <c r="S47" s="12">
        <v>0</v>
      </c>
      <c r="T47" s="12">
        <v>0</v>
      </c>
      <c r="U47" s="12">
        <v>0</v>
      </c>
      <c r="V47" s="12">
        <v>0</v>
      </c>
      <c r="W47" s="12">
        <v>0</v>
      </c>
      <c r="X47" s="12">
        <v>0</v>
      </c>
      <c r="Y47" s="12">
        <v>0</v>
      </c>
      <c r="Z47" s="12">
        <v>0</v>
      </c>
      <c r="AA47" s="12">
        <v>0</v>
      </c>
      <c r="AB47" s="12">
        <v>0</v>
      </c>
      <c r="AC47" s="12">
        <v>0</v>
      </c>
      <c r="AD47" s="12">
        <v>0</v>
      </c>
      <c r="AE47" s="12">
        <v>0</v>
      </c>
      <c r="AF47" s="12">
        <v>0</v>
      </c>
      <c r="AG47" s="12">
        <v>0</v>
      </c>
      <c r="AH47" s="12">
        <v>0</v>
      </c>
      <c r="AI47" s="12">
        <v>0</v>
      </c>
      <c r="AJ47" s="12">
        <v>0</v>
      </c>
      <c r="AK47" s="12">
        <v>0</v>
      </c>
      <c r="AL47" s="12">
        <v>0</v>
      </c>
      <c r="AM47" s="12">
        <v>0</v>
      </c>
      <c r="AN47" s="12">
        <v>0</v>
      </c>
    </row>
    <row r="48" spans="2:40" x14ac:dyDescent="0.25">
      <c r="B48" s="39" t="s">
        <v>41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42</v>
      </c>
      <c r="E49" s="12">
        <f>'Corp.'!E$50*(E$37-(E31-E32-E34)*$C$35)/(SUM('MDA1:NCA9'!E$37)-SUM('MDA1:NCA9'!E$31)-SUM('MDA1:NCA9'!E$32)-SUM('MDA1:NCA9'!E$34))</f>
        <v>0</v>
      </c>
      <c r="F49" s="12">
        <f>'Corp.'!F$50*(F$37-(F31-F32-F34)*$C$35)/(SUM('MDA1:NCA9'!F$37)-SUM('MDA1:NCA9'!F$31)-SUM('MDA1:NCA9'!F$32)-SUM('MDA1:NCA9'!F$34))</f>
        <v>0</v>
      </c>
      <c r="G49" s="12">
        <f>'Corp.'!G$50*(G$37-(G31-G32-G34)*$C$35)/(SUM('MDA1:NCA9'!G$37)-SUM('MDA1:NCA9'!G$31)-SUM('MDA1:NCA9'!G$32)-SUM('MDA1:NCA9'!G$34))</f>
        <v>0</v>
      </c>
      <c r="H49" s="12">
        <f>'Corp.'!H$50*(H$37-(H31-H32-H34)*$C$35)/(SUM('MDA1:NCA9'!H$37)-SUM('MDA1:NCA9'!H$31)-SUM('MDA1:NCA9'!H$32)-SUM('MDA1:NCA9'!H$34))</f>
        <v>0</v>
      </c>
      <c r="I49" s="12">
        <f>'Corp.'!I$50*(I$37-(I31-I32-I34)*$C$35)/(SUM('MDA1:NCA9'!I$37)-SUM('MDA1:NCA9'!I$31)-SUM('MDA1:NCA9'!I$32)-SUM('MDA1:NCA9'!I$34))</f>
        <v>0</v>
      </c>
      <c r="J49" s="12">
        <f>'Corp.'!J$50*(J$37-(J31-J32-J34)*$C$35)/(SUM('MDA1:NCA9'!J$37)-SUM('MDA1:NCA9'!J$31)-SUM('MDA1:NCA9'!J$32)-SUM('MDA1:NCA9'!J$34))</f>
        <v>0</v>
      </c>
      <c r="K49" s="12">
        <f>'Corp.'!K$50*(K$37-(K31-K32-K34)*$C$35)/(SUM('MDA1:NCA9'!K$37)-SUM('MDA1:NCA9'!K$31)-SUM('MDA1:NCA9'!K$32)-SUM('MDA1:NCA9'!K$34))</f>
        <v>0</v>
      </c>
      <c r="L49" s="12">
        <f>'Corp.'!L$50*(L$37-(L31-L32-L34)*$C$35)/(SUM('MDA1:NCA9'!L$37)-SUM('MDA1:NCA9'!L$31)-SUM('MDA1:NCA9'!L$32)-SUM('MDA1:NCA9'!L$34))</f>
        <v>0</v>
      </c>
      <c r="M49" s="12">
        <f>'Corp.'!M$50*(M$37-(M31-M32-M34)*$C$35)/(SUM('MDA1:NCA9'!M$37)-SUM('MDA1:NCA9'!M$31)-SUM('MDA1:NCA9'!M$32)-SUM('MDA1:NCA9'!M$34))</f>
        <v>0</v>
      </c>
      <c r="N49" s="12">
        <f>'Corp.'!N$50*(N$37-(N31-N32-N34)*$C$35)/(SUM('MDA1:NCA9'!N$37)-SUM('MDA1:NCA9'!N$31)-SUM('MDA1:NCA9'!N$32)-SUM('MDA1:NCA9'!N$34))</f>
        <v>0</v>
      </c>
      <c r="O49" s="12">
        <f>'Corp.'!O$50*(O$37-(O31-O32-O34)*$C$35)/(SUM('MDA1:NCA9'!O$37)-SUM('MDA1:NCA9'!O$31)-SUM('MDA1:NCA9'!O$32)-SUM('MDA1:NCA9'!O$34))</f>
        <v>0</v>
      </c>
      <c r="P49" s="12">
        <f>'Corp.'!P$50*(P$37-(P31-P32-P34)*$C$35)/(SUM('MDA1:NCA9'!P$37)-SUM('MDA1:NCA9'!P$31)-SUM('MDA1:NCA9'!P$32)-SUM('MDA1:NCA9'!P$34))</f>
        <v>0</v>
      </c>
      <c r="Q49" s="12">
        <f>'Corp.'!Q$50*(Q$37-(Q31-Q32-Q34)*$C$35)/(SUM('MDA1:NCA9'!Q$37)-SUM('MDA1:NCA9'!Q$31)-SUM('MDA1:NCA9'!Q$32)-SUM('MDA1:NCA9'!Q$34))</f>
        <v>0</v>
      </c>
      <c r="R49" s="12">
        <f>'Corp.'!R$50*(R$37-(R31-R32-R34)*$C$35)/(SUM('MDA1:NCA9'!R$37)-SUM('MDA1:NCA9'!R$31)-SUM('MDA1:NCA9'!R$32)-SUM('MDA1:NCA9'!R$34))</f>
        <v>0</v>
      </c>
      <c r="S49" s="12">
        <f>'Corp.'!S$50*(S$37-(S31-S32-S34)*$C$35)/(SUM('MDA1:NCA9'!S$37)-SUM('MDA1:NCA9'!S$31)-SUM('MDA1:NCA9'!S$32)-SUM('MDA1:NCA9'!S$34))</f>
        <v>0</v>
      </c>
      <c r="T49" s="12">
        <f>'Corp.'!T$50*(T$37-(T31-T32-T34)*$C$35)/(SUM('MDA1:NCA9'!T$37)-SUM('MDA1:NCA9'!T$31)-SUM('MDA1:NCA9'!T$32)-SUM('MDA1:NCA9'!T$34))</f>
        <v>0</v>
      </c>
      <c r="U49" s="12">
        <f>'Corp.'!U$50*(U$37-(U31-U32-U34)*$C$35)/(SUM('MDA1:NCA9'!U$37)-SUM('MDA1:NCA9'!U$31)-SUM('MDA1:NCA9'!U$32)-SUM('MDA1:NCA9'!U$34))</f>
        <v>0</v>
      </c>
      <c r="V49" s="12">
        <f>'Corp.'!V$50*(V$37-(V31-V32-V34)*$C$35)/(SUM('MDA1:NCA9'!V$37)-SUM('MDA1:NCA9'!V$31)-SUM('MDA1:NCA9'!V$32)-SUM('MDA1:NCA9'!V$34))</f>
        <v>1102.6342677023836</v>
      </c>
      <c r="W49" s="12">
        <f>'Corp.'!W$50*(W$37-(W31-W32-W34)*$C$35)/(SUM('MDA1:NCA9'!W$37)-SUM('MDA1:NCA9'!W$31)-SUM('MDA1:NCA9'!W$32)-SUM('MDA1:NCA9'!W$34))</f>
        <v>3207.3673471157022</v>
      </c>
      <c r="X49" s="12">
        <f>'Corp.'!X$50*(X$37-(X31-X32-X34)*$C$35)/(SUM('MDA1:NCA9'!X$37)-SUM('MDA1:NCA9'!X$31)-SUM('MDA1:NCA9'!X$32)-SUM('MDA1:NCA9'!X$34))</f>
        <v>5178.168115860406</v>
      </c>
      <c r="Y49" s="12">
        <f>'Corp.'!Y$50*(Y$37-(Y31-Y32-Y34)*$C$35)/(SUM('MDA1:NCA9'!Y$37)-SUM('MDA1:NCA9'!Y$31)-SUM('MDA1:NCA9'!Y$32)-SUM('MDA1:NCA9'!Y$34))</f>
        <v>6082.1535373571987</v>
      </c>
      <c r="Z49" s="12">
        <f>'Corp.'!Z$50*(Z$37-(Z31-Z32-Z34)*$C$35)/(SUM('MDA1:NCA9'!Z$37)-SUM('MDA1:NCA9'!Z$31)-SUM('MDA1:NCA9'!Z$32)-SUM('MDA1:NCA9'!Z$34))</f>
        <v>7933.4183456354067</v>
      </c>
      <c r="AA49" s="12">
        <f>'Corp.'!AA$50*(AA$37-(AA31-AA32-AA34)*$C$35)/(SUM('MDA1:NCA9'!AA$37)-SUM('MDA1:NCA9'!AA$31)-SUM('MDA1:NCA9'!AA$32)-SUM('MDA1:NCA9'!AA$34))</f>
        <v>9690.0424138711678</v>
      </c>
      <c r="AB49" s="12">
        <f>'Corp.'!AB$50*(AB$37-(AB31-AB32-AB34)*$C$35)/(SUM('MDA1:NCA9'!AB$37)-SUM('MDA1:NCA9'!AB$31)-SUM('MDA1:NCA9'!AB$32)-SUM('MDA1:NCA9'!AB$34))</f>
        <v>11364.164025541935</v>
      </c>
      <c r="AC49" s="12">
        <f>'Corp.'!AC$50*(AC$37-(AC31-AC32-AC34)*$C$35)/(SUM('MDA1:NCA9'!AC$37)-SUM('MDA1:NCA9'!AC$31)-SUM('MDA1:NCA9'!AC$32)-SUM('MDA1:NCA9'!AC$34))</f>
        <v>13212.937975250396</v>
      </c>
      <c r="AD49" s="12">
        <f>'Corp.'!AD$50*(AD$37-(AD31-AD32-AD34)*$C$35)/(SUM('MDA1:NCA9'!AD$37)-SUM('MDA1:NCA9'!AD$31)-SUM('MDA1:NCA9'!AD$32)-SUM('MDA1:NCA9'!AD$34))</f>
        <v>14995.240154341873</v>
      </c>
      <c r="AE49" s="12">
        <f>'Corp.'!AE$50*(AE$37-(AE31-AE32-AE34)*$C$35)/(SUM('MDA1:NCA9'!AE$37)-SUM('MDA1:NCA9'!AE$31)-SUM('MDA1:NCA9'!AE$32)-SUM('MDA1:NCA9'!AE$34))</f>
        <v>16726.960087216768</v>
      </c>
      <c r="AF49" s="12">
        <f>'Corp.'!AF$50*(AF$37-(AF31-AF32-AF34)*$C$35)/(SUM('MDA1:NCA9'!AF$37)-SUM('MDA1:NCA9'!AF$31)-SUM('MDA1:NCA9'!AF$32)-SUM('MDA1:NCA9'!AF$34))</f>
        <v>17445.353879659553</v>
      </c>
      <c r="AG49" s="12">
        <f>'Corp.'!AG$50*(AG$37-(AG31-AG32-AG34)*$C$35)/(SUM('MDA1:NCA9'!AG$37)-SUM('MDA1:NCA9'!AG$31)-SUM('MDA1:NCA9'!AG$32)-SUM('MDA1:NCA9'!AG$34))</f>
        <v>19147.110126768817</v>
      </c>
      <c r="AH49" s="12">
        <f>'Corp.'!AH$50*(AH$37-(AH31-AH32-AH34)*$C$35)/(SUM('MDA1:NCA9'!AH$37)-SUM('MDA1:NCA9'!AH$31)-SUM('MDA1:NCA9'!AH$32)-SUM('MDA1:NCA9'!AH$34))</f>
        <v>20719.458330081688</v>
      </c>
      <c r="AI49" s="12">
        <f>'Corp.'!AI$50*(AI$37-(AI31-AI32-AI34)*$C$35)/(SUM('MDA1:NCA9'!AI$37)-SUM('MDA1:NCA9'!AI$31)-SUM('MDA1:NCA9'!AI$32)-SUM('MDA1:NCA9'!AI$34))</f>
        <v>22213.828616816445</v>
      </c>
      <c r="AJ49" s="12">
        <f>'Corp.'!AJ$50*(AJ$37-(AJ31-AJ32-AJ34)*$C$35)/(SUM('MDA1:NCA9'!AJ$37)-SUM('MDA1:NCA9'!AJ$31)-SUM('MDA1:NCA9'!AJ$32)-SUM('MDA1:NCA9'!AJ$34))</f>
        <v>21815.050997731094</v>
      </c>
      <c r="AK49" s="12">
        <f>'Corp.'!AK$50*(AK$37-(AK31-AK32-AK34)*$C$35)/(SUM('MDA1:NCA9'!AK$37)-SUM('MDA1:NCA9'!AK$31)-SUM('MDA1:NCA9'!AK$32)-SUM('MDA1:NCA9'!AK$34))</f>
        <v>21446.829438828536</v>
      </c>
      <c r="AL49" s="12">
        <f>'Corp.'!AL$50*(AL$37-(AL31-AL32-AL34)*$C$35)/(SUM('MDA1:NCA9'!AL$37)-SUM('MDA1:NCA9'!AL$31)-SUM('MDA1:NCA9'!AL$32)-SUM('MDA1:NCA9'!AL$34))</f>
        <v>21108.92697424068</v>
      </c>
      <c r="AM49" s="12">
        <f>'Corp.'!AM$50*(AM$37-(AM31-AM32-AM34)*$C$35)/(SUM('MDA1:NCA9'!AM$37)-SUM('MDA1:NCA9'!AM$31)-SUM('MDA1:NCA9'!AM$32)-SUM('MDA1:NCA9'!AM$34))</f>
        <v>20745.022866408221</v>
      </c>
      <c r="AN49" s="12">
        <f>'Corp.'!AN$50*(AN$37-(AN31-AN32-AN34)*$C$35)/(SUM('MDA1:NCA9'!AN$37)-SUM('MDA1:NCA9'!AN$31)-SUM('MDA1:NCA9'!AN$32)-SUM('MDA1:NCA9'!AN$34))</f>
        <v>20434.824344544046</v>
      </c>
    </row>
    <row r="50" spans="2:40" x14ac:dyDescent="0.25">
      <c r="B50" s="1" t="s">
        <v>272</v>
      </c>
      <c r="E50" s="13" cm="1">
        <f t="array" ref="E50:AN50">_xlfn.BYCOL(_xlfn.VSTACK(_xlfn.ANCHORARRAY(E40),_xlfn.ANCHORARRAY(E42),_xlfn.ANCHORARRAY(E43),_xlfn.ANCHORARRAY(E45),_xlfn.ANCHORARRAY(E46),_xlfn.ANCHORARRAY(E47),_xlfn.ANCHORARRAY(E48),_xlfn.HSTACK(E49:AN49)),_xlfn.LAMBDA(_xlpm.a,SUM(_xlpm.a)))</f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0</v>
      </c>
      <c r="Q50" s="13">
        <v>0</v>
      </c>
      <c r="R50" s="13">
        <v>0</v>
      </c>
      <c r="S50" s="13">
        <v>0</v>
      </c>
      <c r="T50" s="13">
        <v>0</v>
      </c>
      <c r="U50" s="13">
        <v>0</v>
      </c>
      <c r="V50" s="13">
        <v>16487.778848098485</v>
      </c>
      <c r="W50" s="13">
        <v>34857.066301637351</v>
      </c>
      <c r="X50" s="13">
        <v>41898.858111174261</v>
      </c>
      <c r="Y50" s="13">
        <v>45887.954053067158</v>
      </c>
      <c r="Z50" s="13">
        <v>53118.989902137582</v>
      </c>
      <c r="AA50" s="13">
        <v>59949.795011165552</v>
      </c>
      <c r="AB50" s="13">
        <v>67143.42505696186</v>
      </c>
      <c r="AC50" s="13">
        <v>77362.370682248031</v>
      </c>
      <c r="AD50" s="13">
        <v>84759.059006210926</v>
      </c>
      <c r="AE50" s="13">
        <v>92361.199083957254</v>
      </c>
      <c r="AF50" s="13">
        <v>96365.518448835763</v>
      </c>
      <c r="AG50" s="13">
        <v>103681.66084081646</v>
      </c>
      <c r="AH50" s="13">
        <v>111156.91015500076</v>
      </c>
      <c r="AI50" s="13">
        <v>114691.22441994028</v>
      </c>
      <c r="AJ50" s="13">
        <v>114292.44680085493</v>
      </c>
      <c r="AK50" s="13">
        <v>113924.22524195237</v>
      </c>
      <c r="AL50" s="13">
        <v>113586.3227773645</v>
      </c>
      <c r="AM50" s="13">
        <v>113222.41866953205</v>
      </c>
      <c r="AN50" s="13">
        <v>112912.22014766787</v>
      </c>
    </row>
    <row r="52" spans="2:40" x14ac:dyDescent="0.25">
      <c r="B52" s="1" t="s">
        <v>48</v>
      </c>
      <c r="E52" s="74">
        <f>E37-E50</f>
        <v>0</v>
      </c>
      <c r="F52" s="74">
        <f t="shared" ref="F52:AN52" si="0">F37-F50</f>
        <v>0</v>
      </c>
      <c r="G52" s="74">
        <f t="shared" si="0"/>
        <v>0</v>
      </c>
      <c r="H52" s="74">
        <f t="shared" si="0"/>
        <v>0</v>
      </c>
      <c r="I52" s="74">
        <f t="shared" si="0"/>
        <v>0</v>
      </c>
      <c r="J52" s="74">
        <f t="shared" si="0"/>
        <v>0</v>
      </c>
      <c r="K52" s="74">
        <f t="shared" si="0"/>
        <v>0</v>
      </c>
      <c r="L52" s="74">
        <f t="shared" si="0"/>
        <v>0</v>
      </c>
      <c r="M52" s="74">
        <f t="shared" si="0"/>
        <v>0</v>
      </c>
      <c r="N52" s="74">
        <f t="shared" si="0"/>
        <v>0</v>
      </c>
      <c r="O52" s="74">
        <f t="shared" si="0"/>
        <v>0</v>
      </c>
      <c r="P52" s="74">
        <f t="shared" si="0"/>
        <v>0</v>
      </c>
      <c r="Q52" s="74">
        <f t="shared" si="0"/>
        <v>0</v>
      </c>
      <c r="R52" s="74">
        <f t="shared" si="0"/>
        <v>0</v>
      </c>
      <c r="S52" s="74">
        <f t="shared" si="0"/>
        <v>0</v>
      </c>
      <c r="T52" s="74">
        <f t="shared" si="0"/>
        <v>0</v>
      </c>
      <c r="U52" s="74">
        <f t="shared" si="0"/>
        <v>0</v>
      </c>
      <c r="V52" s="74">
        <f t="shared" si="0"/>
        <v>-8016.6807694318177</v>
      </c>
      <c r="W52" s="74">
        <f t="shared" si="0"/>
        <v>-9443.7720656373567</v>
      </c>
      <c r="X52" s="74">
        <f t="shared" si="0"/>
        <v>456.63228215905838</v>
      </c>
      <c r="Y52" s="74">
        <f t="shared" si="0"/>
        <v>4938.6344189328302</v>
      </c>
      <c r="Z52" s="74">
        <f t="shared" si="0"/>
        <v>14649.79472719576</v>
      </c>
      <c r="AA52" s="74">
        <f t="shared" si="0"/>
        <v>24761.185775501086</v>
      </c>
      <c r="AB52" s="74">
        <f t="shared" si="0"/>
        <v>34509.751887038117</v>
      </c>
      <c r="AC52" s="74">
        <f t="shared" si="0"/>
        <v>32761.904340418638</v>
      </c>
      <c r="AD52" s="74">
        <f t="shared" si="0"/>
        <v>42307.412173789067</v>
      </c>
      <c r="AE52" s="74">
        <f t="shared" si="0"/>
        <v>51647.468253376093</v>
      </c>
      <c r="AF52" s="74">
        <f t="shared" si="0"/>
        <v>56114.246967164247</v>
      </c>
      <c r="AG52" s="74">
        <f t="shared" si="0"/>
        <v>65740.300732516815</v>
      </c>
      <c r="AH52" s="74">
        <f t="shared" si="0"/>
        <v>75207.247575665868</v>
      </c>
      <c r="AI52" s="74">
        <f t="shared" si="0"/>
        <v>88615.129468059677</v>
      </c>
      <c r="AJ52" s="74">
        <f t="shared" si="0"/>
        <v>89013.907087145024</v>
      </c>
      <c r="AK52" s="74">
        <f t="shared" si="0"/>
        <v>89382.128646047582</v>
      </c>
      <c r="AL52" s="74">
        <f t="shared" si="0"/>
        <v>89720.031110635449</v>
      </c>
      <c r="AM52" s="74">
        <f t="shared" si="0"/>
        <v>90083.935218467901</v>
      </c>
      <c r="AN52" s="74">
        <f t="shared" si="0"/>
        <v>90394.133740332079</v>
      </c>
    </row>
    <row r="53" spans="2:40" x14ac:dyDescent="0.25">
      <c r="E53" s="105" t="str">
        <f>IFERROR(E52/E37,"")</f>
        <v/>
      </c>
      <c r="F53" s="105" t="str">
        <f t="shared" ref="F53:AN53" si="1">IFERROR(F52/F37,"")</f>
        <v/>
      </c>
      <c r="G53" s="105" t="str">
        <f t="shared" si="1"/>
        <v/>
      </c>
      <c r="H53" s="105" t="str">
        <f t="shared" si="1"/>
        <v/>
      </c>
      <c r="I53" s="105" t="str">
        <f t="shared" si="1"/>
        <v/>
      </c>
      <c r="J53" s="105" t="str">
        <f t="shared" si="1"/>
        <v/>
      </c>
      <c r="K53" s="105" t="str">
        <f t="shared" si="1"/>
        <v/>
      </c>
      <c r="L53" s="105" t="str">
        <f t="shared" si="1"/>
        <v/>
      </c>
      <c r="M53" s="105" t="str">
        <f t="shared" si="1"/>
        <v/>
      </c>
      <c r="N53" s="105" t="str">
        <f t="shared" si="1"/>
        <v/>
      </c>
      <c r="O53" s="105" t="str">
        <f t="shared" si="1"/>
        <v/>
      </c>
      <c r="P53" s="105" t="str">
        <f t="shared" si="1"/>
        <v/>
      </c>
      <c r="Q53" s="105" t="str">
        <f t="shared" si="1"/>
        <v/>
      </c>
      <c r="R53" s="105" t="str">
        <f t="shared" si="1"/>
        <v/>
      </c>
      <c r="S53" s="105" t="str">
        <f t="shared" si="1"/>
        <v/>
      </c>
      <c r="T53" s="105" t="str">
        <f t="shared" si="1"/>
        <v/>
      </c>
      <c r="U53" s="105" t="str">
        <f t="shared" si="1"/>
        <v/>
      </c>
      <c r="V53" s="105">
        <f t="shared" si="1"/>
        <v>-0.94635674088354149</v>
      </c>
      <c r="W53" s="105">
        <f t="shared" si="1"/>
        <v>-0.37160755224954217</v>
      </c>
      <c r="X53" s="105">
        <f t="shared" si="1"/>
        <v>1.078094664749606E-2</v>
      </c>
      <c r="Y53" s="105">
        <f t="shared" si="1"/>
        <v>9.71663565744431E-2</v>
      </c>
      <c r="Z53" s="105">
        <f t="shared" si="1"/>
        <v>0.2161731954811342</v>
      </c>
      <c r="AA53" s="105">
        <f t="shared" si="1"/>
        <v>0.292301960685107</v>
      </c>
      <c r="AB53" s="105">
        <f t="shared" si="1"/>
        <v>0.33948522736332476</v>
      </c>
      <c r="AC53" s="105">
        <f t="shared" si="1"/>
        <v>0.2974993872484093</v>
      </c>
      <c r="AD53" s="105">
        <f t="shared" si="1"/>
        <v>0.33295496271284009</v>
      </c>
      <c r="AE53" s="105">
        <f t="shared" si="1"/>
        <v>0.35864138741312279</v>
      </c>
      <c r="AF53" s="105">
        <f t="shared" si="1"/>
        <v>0.36801110504119433</v>
      </c>
      <c r="AG53" s="105">
        <f t="shared" si="1"/>
        <v>0.38802703098241204</v>
      </c>
      <c r="AH53" s="105">
        <f t="shared" si="1"/>
        <v>0.40354995558939682</v>
      </c>
      <c r="AI53" s="105">
        <f t="shared" si="1"/>
        <v>0.43586994588903566</v>
      </c>
      <c r="AJ53" s="105">
        <f t="shared" si="1"/>
        <v>0.43783140755247701</v>
      </c>
      <c r="AK53" s="105">
        <f t="shared" si="1"/>
        <v>0.43964257356800351</v>
      </c>
      <c r="AL53" s="105">
        <f t="shared" si="1"/>
        <v>0.44130460949617734</v>
      </c>
      <c r="AM53" s="105">
        <f t="shared" si="1"/>
        <v>0.44309453932804532</v>
      </c>
      <c r="AN53" s="105">
        <f t="shared" si="1"/>
        <v>0.44462030827688531</v>
      </c>
    </row>
    <row r="55" spans="2:40" x14ac:dyDescent="0.25">
      <c r="B55" t="s">
        <v>57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0</v>
      </c>
      <c r="D55" s="12">
        <f>C55-SUM(_xlfn.ANCHORARRAY(E55))</f>
        <v>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</row>
    <row r="56" spans="2:40" x14ac:dyDescent="0.25">
      <c r="B56" t="s">
        <v>285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0</v>
      </c>
      <c r="F56" s="90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0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0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0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0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-1270.6647118000001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-3811.9941353999989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-6353.3235589999977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-7623.9882707999977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-10165.317694400001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-12706.647117999995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-15247.976541599995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-16518.641253400001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-19059.970676999998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-21601.300100600001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-22871.964812400001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-25413.294235999991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-27954.623659599994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276</v>
      </c>
      <c r="E58" s="13">
        <f>E37-E50-E55+E56</f>
        <v>0</v>
      </c>
      <c r="F58" s="13">
        <f t="shared" ref="F58:AN58" si="2">F37-F50-F55+F56</f>
        <v>0</v>
      </c>
      <c r="G58" s="13">
        <f t="shared" si="2"/>
        <v>0</v>
      </c>
      <c r="H58" s="13">
        <f t="shared" si="2"/>
        <v>0</v>
      </c>
      <c r="I58" s="13">
        <f t="shared" si="2"/>
        <v>0</v>
      </c>
      <c r="J58" s="13">
        <f t="shared" si="2"/>
        <v>0</v>
      </c>
      <c r="K58" s="13">
        <f t="shared" si="2"/>
        <v>0</v>
      </c>
      <c r="L58" s="13">
        <f t="shared" si="2"/>
        <v>0</v>
      </c>
      <c r="M58" s="13">
        <f t="shared" si="2"/>
        <v>0</v>
      </c>
      <c r="N58" s="13">
        <f t="shared" si="2"/>
        <v>0</v>
      </c>
      <c r="O58" s="13">
        <f t="shared" si="2"/>
        <v>0</v>
      </c>
      <c r="P58" s="13">
        <f t="shared" si="2"/>
        <v>0</v>
      </c>
      <c r="Q58" s="13">
        <f t="shared" si="2"/>
        <v>0</v>
      </c>
      <c r="R58" s="13">
        <f t="shared" si="2"/>
        <v>0</v>
      </c>
      <c r="S58" s="13">
        <f t="shared" si="2"/>
        <v>0</v>
      </c>
      <c r="T58" s="13">
        <f t="shared" si="2"/>
        <v>0</v>
      </c>
      <c r="U58" s="13">
        <f t="shared" si="2"/>
        <v>0</v>
      </c>
      <c r="V58" s="13">
        <f t="shared" si="2"/>
        <v>-8016.6807694318177</v>
      </c>
      <c r="W58" s="13">
        <f t="shared" si="2"/>
        <v>-9443.7720656373567</v>
      </c>
      <c r="X58" s="13">
        <f t="shared" si="2"/>
        <v>456.63228215905838</v>
      </c>
      <c r="Y58" s="13">
        <f t="shared" si="2"/>
        <v>4938.6344189328302</v>
      </c>
      <c r="Z58" s="13">
        <f t="shared" si="2"/>
        <v>14649.79472719576</v>
      </c>
      <c r="AA58" s="13">
        <f t="shared" si="2"/>
        <v>23490.521063701086</v>
      </c>
      <c r="AB58" s="13">
        <f t="shared" si="2"/>
        <v>30697.757751638117</v>
      </c>
      <c r="AC58" s="13">
        <f t="shared" si="2"/>
        <v>26408.580781418641</v>
      </c>
      <c r="AD58" s="13">
        <f t="shared" si="2"/>
        <v>34683.423902989067</v>
      </c>
      <c r="AE58" s="13">
        <f t="shared" si="2"/>
        <v>41482.150558976093</v>
      </c>
      <c r="AF58" s="13">
        <f t="shared" si="2"/>
        <v>43407.599849164253</v>
      </c>
      <c r="AG58" s="13">
        <f t="shared" si="2"/>
        <v>50492.324190916821</v>
      </c>
      <c r="AH58" s="13">
        <f t="shared" si="2"/>
        <v>58688.60632226587</v>
      </c>
      <c r="AI58" s="13">
        <f t="shared" si="2"/>
        <v>69555.158791059686</v>
      </c>
      <c r="AJ58" s="13">
        <f t="shared" si="2"/>
        <v>67412.606986545026</v>
      </c>
      <c r="AK58" s="13">
        <f t="shared" si="2"/>
        <v>66510.163833647588</v>
      </c>
      <c r="AL58" s="13">
        <f t="shared" si="2"/>
        <v>64306.736874635462</v>
      </c>
      <c r="AM58" s="13">
        <f t="shared" si="2"/>
        <v>62129.311558867907</v>
      </c>
      <c r="AN58" s="13">
        <f t="shared" si="2"/>
        <v>59898.180657132092</v>
      </c>
    </row>
    <row r="59" spans="2:40" x14ac:dyDescent="0.25">
      <c r="B59" t="s">
        <v>277</v>
      </c>
      <c r="E59" s="12" cm="1">
        <f t="array" ref="E59:AN59">_xlfn.SCAN(-D55,E58:AN58,_xlfn.LAMBDA(_xlpm.capex,_xlpm.fcf,_xlpm.capex+_xlpm.fcf))</f>
        <v>0</v>
      </c>
      <c r="F59" s="12">
        <v>0</v>
      </c>
      <c r="G59" s="12">
        <v>0</v>
      </c>
      <c r="H59" s="12">
        <v>0</v>
      </c>
      <c r="I59" s="12">
        <v>0</v>
      </c>
      <c r="J59" s="12">
        <v>0</v>
      </c>
      <c r="K59" s="12">
        <v>0</v>
      </c>
      <c r="L59" s="12">
        <v>0</v>
      </c>
      <c r="M59" s="12">
        <v>0</v>
      </c>
      <c r="N59" s="12">
        <v>0</v>
      </c>
      <c r="O59" s="12">
        <v>0</v>
      </c>
      <c r="P59" s="12">
        <v>0</v>
      </c>
      <c r="Q59" s="12">
        <v>0</v>
      </c>
      <c r="R59" s="12">
        <v>0</v>
      </c>
      <c r="S59" s="12">
        <v>0</v>
      </c>
      <c r="T59" s="12">
        <v>0</v>
      </c>
      <c r="U59" s="12">
        <v>0</v>
      </c>
      <c r="V59" s="12">
        <v>-8016.6807694318177</v>
      </c>
      <c r="W59" s="12">
        <v>-17460.452835069176</v>
      </c>
      <c r="X59" s="12">
        <v>-17003.820552910118</v>
      </c>
      <c r="Y59" s="12">
        <v>-12065.186133977288</v>
      </c>
      <c r="Z59" s="12">
        <v>2584.6085932184724</v>
      </c>
      <c r="AA59" s="12">
        <v>26075.129656919558</v>
      </c>
      <c r="AB59" s="12">
        <v>56772.887408557675</v>
      </c>
      <c r="AC59" s="12">
        <v>83181.468189976324</v>
      </c>
      <c r="AD59" s="12">
        <v>117864.8920929654</v>
      </c>
      <c r="AE59" s="12">
        <v>159347.04265194148</v>
      </c>
      <c r="AF59" s="12">
        <v>202754.64250110573</v>
      </c>
      <c r="AG59" s="12">
        <v>253246.96669202254</v>
      </c>
      <c r="AH59" s="12">
        <v>311935.57301428844</v>
      </c>
      <c r="AI59" s="12">
        <v>381490.73180534813</v>
      </c>
      <c r="AJ59" s="12">
        <v>448903.33879189315</v>
      </c>
      <c r="AK59" s="12">
        <v>515413.50262554071</v>
      </c>
      <c r="AL59" s="12">
        <v>579720.23950017616</v>
      </c>
      <c r="AM59" s="12">
        <v>641849.55105904408</v>
      </c>
      <c r="AN59" s="12">
        <v>701747.73171617615</v>
      </c>
    </row>
    <row r="61" spans="2:40" x14ac:dyDescent="0.25">
      <c r="B61" s="1" t="s">
        <v>302</v>
      </c>
    </row>
    <row r="63" spans="2:40" x14ac:dyDescent="0.25">
      <c r="B63" s="39" t="s">
        <v>103</v>
      </c>
      <c r="E63" s="12" cm="1">
        <f t="array" ref="E63:AN63">_xlfn.LET(_xlpm.site,$B$1&amp;"-"&amp;$C$1,_xlpm.locations,Base!$D$4:$BD$4,_xlpm.rates,Base!$D$36:$BD$36,_xlpm.hours,Base!$D$79:$BD$79,_xlpm.comp,_xlpm.rates*_xlpm.hours,_xlpm.Customer,_xlfn.ANCHORARRAY($E$1),
_xlpm.Customer_comp,_xlfn.XLOOKUP(_xlpm.site,_xlpm.locations,_xlpm.comp,0,0),_xlpm.ann_incr,_xlfn.XLOOKUP(YEAR(_xlfn.ANCHORARRAY($E$25)),Base!$BJ$4:$BL$4,Base!$BJ$79:$BL$79,0,0),
_xlpm.bad_debt,_xlfn.XLOOKUP(_xlpm.site,_xlpm.locations,Base!$D$28:$BD$28,0,0),_xlpm.Customer_comp*_xlpm.Customer*_xlpm.bad_debt*_xlpm.ann_incr*(52/12)*(1-$C$35))</f>
        <v>0</v>
      </c>
      <c r="F63" s="12">
        <v>0</v>
      </c>
      <c r="G63" s="12">
        <v>0</v>
      </c>
      <c r="H63" s="12">
        <v>0</v>
      </c>
      <c r="I63" s="12">
        <v>0</v>
      </c>
      <c r="J63" s="12">
        <v>0</v>
      </c>
      <c r="K63" s="12">
        <v>0</v>
      </c>
      <c r="L63" s="12">
        <v>0</v>
      </c>
      <c r="M63" s="12">
        <v>0</v>
      </c>
      <c r="N63" s="12">
        <v>0</v>
      </c>
      <c r="O63" s="12">
        <v>0</v>
      </c>
      <c r="P63" s="12">
        <v>0</v>
      </c>
      <c r="Q63" s="12">
        <v>0</v>
      </c>
      <c r="R63" s="12">
        <v>0</v>
      </c>
      <c r="S63" s="12">
        <v>0</v>
      </c>
      <c r="T63" s="12">
        <v>0</v>
      </c>
      <c r="U63" s="12">
        <v>0</v>
      </c>
      <c r="V63" s="12">
        <v>0</v>
      </c>
      <c r="W63" s="12">
        <v>0</v>
      </c>
      <c r="X63" s="12">
        <v>0</v>
      </c>
      <c r="Y63" s="12">
        <v>0</v>
      </c>
      <c r="Z63" s="12">
        <v>0</v>
      </c>
      <c r="AA63" s="12">
        <v>0</v>
      </c>
      <c r="AB63" s="12">
        <v>0</v>
      </c>
      <c r="AC63" s="12">
        <v>0</v>
      </c>
      <c r="AD63" s="12">
        <v>0</v>
      </c>
      <c r="AE63" s="12">
        <v>0</v>
      </c>
      <c r="AF63" s="12">
        <v>0</v>
      </c>
      <c r="AG63" s="12">
        <v>0</v>
      </c>
      <c r="AH63" s="12">
        <v>0</v>
      </c>
      <c r="AI63" s="12">
        <v>0</v>
      </c>
      <c r="AJ63" s="12">
        <v>0</v>
      </c>
      <c r="AK63" s="12">
        <v>0</v>
      </c>
      <c r="AL63" s="12">
        <v>0</v>
      </c>
      <c r="AM63" s="12">
        <v>0</v>
      </c>
      <c r="AN63" s="12">
        <v>0</v>
      </c>
    </row>
    <row r="64" spans="2:40" x14ac:dyDescent="0.25">
      <c r="B64" s="39" t="s">
        <v>104</v>
      </c>
      <c r="E64" s="12" cm="1">
        <f t="array" ref="E64:AN64">_xlfn.LET(_xlpm.site,$B$1&amp;"-"&amp;$C$1,_xlpm.locations,Base!$D$4:$BD$4,_xlpm.rates,Base!$D$37:$BD$37,_xlpm.hours,Base!$D$80:$BD$80,_xlpm.comp,_xlpm.rates*_xlpm.hours,_xlpm.Customer,_xlfn.ANCHORARRAY($E$1),
_xlpm.Customer_comp,_xlfn.XLOOKUP(_xlpm.site,_xlpm.locations,_xlpm.comp,0,0),_xlpm.ann_incr,_xlfn.XLOOKUP(YEAR(_xlfn.ANCHORARRAY($E$25)),Base!$BJ$4:$BL$4,Base!$BJ$80:$BL$80,0,0),
_xlpm.bad_debt,_xlfn.XLOOKUP(_xlpm.site,_xlpm.locations,Base!$D$28:$BD$28,0,0),_xlpm.Customer_comp*_xlpm.Customer*_xlpm.bad_debt*_xlpm.ann_incr*(52/12)*(1-$C$35))</f>
        <v>0</v>
      </c>
      <c r="F64" s="12">
        <v>0</v>
      </c>
      <c r="G64" s="12">
        <v>0</v>
      </c>
      <c r="H64" s="12">
        <v>0</v>
      </c>
      <c r="I64" s="12">
        <v>0</v>
      </c>
      <c r="J64" s="12">
        <v>0</v>
      </c>
      <c r="K64" s="12">
        <v>0</v>
      </c>
      <c r="L64" s="12">
        <v>0</v>
      </c>
      <c r="M64" s="12">
        <v>0</v>
      </c>
      <c r="N64" s="12">
        <v>0</v>
      </c>
      <c r="O64" s="12">
        <v>0</v>
      </c>
      <c r="P64" s="12">
        <v>0</v>
      </c>
      <c r="Q64" s="12">
        <v>0</v>
      </c>
      <c r="R64" s="12">
        <v>0</v>
      </c>
      <c r="S64" s="12">
        <v>0</v>
      </c>
      <c r="T64" s="12">
        <v>0</v>
      </c>
      <c r="U64" s="12">
        <v>0</v>
      </c>
      <c r="V64" s="12">
        <v>0</v>
      </c>
      <c r="W64" s="12">
        <v>0</v>
      </c>
      <c r="X64" s="12">
        <v>0</v>
      </c>
      <c r="Y64" s="12">
        <v>0</v>
      </c>
      <c r="Z64" s="12">
        <v>0</v>
      </c>
      <c r="AA64" s="12">
        <v>0</v>
      </c>
      <c r="AB64" s="12">
        <v>0</v>
      </c>
      <c r="AC64" s="12">
        <v>0</v>
      </c>
      <c r="AD64" s="12">
        <v>0</v>
      </c>
      <c r="AE64" s="12">
        <v>0</v>
      </c>
      <c r="AF64" s="12">
        <v>0</v>
      </c>
      <c r="AG64" s="12">
        <v>0</v>
      </c>
      <c r="AH64" s="12">
        <v>0</v>
      </c>
      <c r="AI64" s="12">
        <v>0</v>
      </c>
      <c r="AJ64" s="12">
        <v>0</v>
      </c>
      <c r="AK64" s="12">
        <v>0</v>
      </c>
      <c r="AL64" s="12">
        <v>0</v>
      </c>
      <c r="AM64" s="12">
        <v>0</v>
      </c>
      <c r="AN64" s="12">
        <v>0</v>
      </c>
    </row>
    <row r="65" spans="2:40" x14ac:dyDescent="0.25">
      <c r="B65" s="39" t="s">
        <v>56</v>
      </c>
      <c r="E65" s="12" cm="1">
        <f t="array" ref="E65:AN65">_xlfn.LET(_xlpm.site,$B$1&amp;"-"&amp;$C$1,_xlpm.locations,Base!$D$4:$BD$4,_xlpm.rates,Base!$D$39:$BD$39,_xlpm.hours,Base!$D$82:$BD$82,_xlpm.comp,_xlpm.rates*_xlpm.hours,_xlpm.Customer,_xlfn.ANCHORARRAY($E$1),
_xlpm.Customer_comp,_xlfn.XLOOKUP(_xlpm.site,_xlpm.locations,_xlpm.comp,0,0),_xlpm.ann_incr,_xlfn.XLOOKUP(YEAR(_xlfn.ANCHORARRAY($E$25)),Base!$BJ$4:$BL$4,Base!$BJ$82:$BL$82,0,0),
_xlpm.bad_debt,_xlfn.XLOOKUP(_xlpm.site,_xlpm.locations,Base!$D$28:$BD$28,0,0),_xlpm.Customer_comp*_xlpm.Customer*_xlpm.bad_debt*_xlpm.ann_incr*(52/12)*(1-$C$35))</f>
        <v>0</v>
      </c>
      <c r="F65" s="12">
        <v>0</v>
      </c>
      <c r="G65" s="12">
        <v>0</v>
      </c>
      <c r="H65" s="12">
        <v>0</v>
      </c>
      <c r="I65" s="12">
        <v>0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  <c r="O65" s="12">
        <v>0</v>
      </c>
      <c r="P65" s="12">
        <v>0</v>
      </c>
      <c r="Q65" s="12">
        <v>0</v>
      </c>
      <c r="R65" s="12">
        <v>0</v>
      </c>
      <c r="S65" s="12">
        <v>0</v>
      </c>
      <c r="T65" s="12">
        <v>0</v>
      </c>
      <c r="U65" s="12">
        <v>0</v>
      </c>
      <c r="V65" s="12">
        <v>0</v>
      </c>
      <c r="W65" s="12">
        <v>0</v>
      </c>
      <c r="X65" s="12">
        <v>0</v>
      </c>
      <c r="Y65" s="12">
        <v>0</v>
      </c>
      <c r="Z65" s="12">
        <v>0</v>
      </c>
      <c r="AA65" s="12">
        <v>0</v>
      </c>
      <c r="AB65" s="12">
        <v>0</v>
      </c>
      <c r="AC65" s="12">
        <v>0</v>
      </c>
      <c r="AD65" s="12">
        <v>0</v>
      </c>
      <c r="AE65" s="12">
        <v>0</v>
      </c>
      <c r="AF65" s="12">
        <v>0</v>
      </c>
      <c r="AG65" s="12">
        <v>0</v>
      </c>
      <c r="AH65" s="12">
        <v>0</v>
      </c>
      <c r="AI65" s="12">
        <v>0</v>
      </c>
      <c r="AJ65" s="12">
        <v>0</v>
      </c>
      <c r="AK65" s="12">
        <v>0</v>
      </c>
      <c r="AL65" s="12">
        <v>0</v>
      </c>
      <c r="AM65" s="12">
        <v>0</v>
      </c>
      <c r="AN65" s="12">
        <v>0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303</v>
      </c>
      <c r="C67" s="12"/>
      <c r="E67" s="13" cm="1">
        <f t="array" ref="E67:AN67">_xlfn.BYCOL(_xlfn.VSTACK(_xlfn.ANCHORARRAY($E$63),_xlfn.ANCHORARRAY($E$64),_xlfn.ANCHORARRAY($E$65)),_xlfn.LAMBDA(_xlpm.a,SUM(_xlpm.a)))</f>
        <v>0</v>
      </c>
      <c r="F67" s="13">
        <v>0</v>
      </c>
      <c r="G67" s="13">
        <v>0</v>
      </c>
      <c r="H67" s="13">
        <v>0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  <c r="W67" s="13">
        <v>0</v>
      </c>
      <c r="X67" s="13">
        <v>0</v>
      </c>
      <c r="Y67" s="13">
        <v>0</v>
      </c>
      <c r="Z67" s="13">
        <v>0</v>
      </c>
      <c r="AA67" s="13">
        <v>0</v>
      </c>
      <c r="AB67" s="13">
        <v>0</v>
      </c>
      <c r="AC67" s="13">
        <v>0</v>
      </c>
      <c r="AD67" s="13">
        <v>0</v>
      </c>
      <c r="AE67" s="13">
        <v>0</v>
      </c>
      <c r="AF67" s="13">
        <v>0</v>
      </c>
      <c r="AG67" s="13">
        <v>0</v>
      </c>
      <c r="AH67" s="13">
        <v>0</v>
      </c>
      <c r="AI67" s="13">
        <v>0</v>
      </c>
      <c r="AJ67" s="13">
        <v>0</v>
      </c>
      <c r="AK67" s="13">
        <v>0</v>
      </c>
      <c r="AL67" s="13">
        <v>0</v>
      </c>
      <c r="AM67" s="13">
        <v>0</v>
      </c>
      <c r="AN67" s="13">
        <v>0</v>
      </c>
    </row>
    <row r="68" spans="2:40" x14ac:dyDescent="0.25">
      <c r="B68" s="39"/>
      <c r="C68" s="12"/>
    </row>
    <row r="69" spans="2:40" x14ac:dyDescent="0.25">
      <c r="B69" s="39" t="s">
        <v>304</v>
      </c>
      <c r="C69" s="12"/>
      <c r="E69" s="106" cm="1">
        <f t="array" ref="E69:AN70">_xlfn.LET(_xlpm.Customer_staff,_xlfn._xlws.FILTER(Base!$D$96:$BD$97,ISNUMBER(SEARCH($B$1&amp;"-"&amp;$C$1,Base!$D$4:$BD$4))),_xlpm.Customer,_xlfn.ANCHORARRAY($E$1),_xlpm.headcount,_xlpm.Customer/_xlpm.Customer_staff,
_xlpm.rounding,_xlfn.VSTACK(0,0),IFERROR(ROUND(_xlpm.headcount,_xlpm.rounding),0))</f>
        <v>0</v>
      </c>
      <c r="F69" s="106">
        <v>0</v>
      </c>
      <c r="G69" s="106">
        <v>0</v>
      </c>
      <c r="H69" s="106">
        <v>0</v>
      </c>
      <c r="I69" s="106">
        <v>0</v>
      </c>
      <c r="J69" s="106">
        <v>0</v>
      </c>
      <c r="K69" s="106">
        <v>0</v>
      </c>
      <c r="L69" s="106">
        <v>0</v>
      </c>
      <c r="M69" s="106">
        <v>0</v>
      </c>
      <c r="N69" s="106">
        <v>0</v>
      </c>
      <c r="O69" s="106">
        <v>0</v>
      </c>
      <c r="P69" s="106">
        <v>0</v>
      </c>
      <c r="Q69" s="106">
        <v>0</v>
      </c>
      <c r="R69" s="106">
        <v>0</v>
      </c>
      <c r="S69" s="106">
        <v>0</v>
      </c>
      <c r="T69" s="106">
        <v>0</v>
      </c>
      <c r="U69" s="106">
        <v>0</v>
      </c>
      <c r="V69" s="106">
        <v>0</v>
      </c>
      <c r="W69" s="106">
        <v>0</v>
      </c>
      <c r="X69" s="106">
        <v>0</v>
      </c>
      <c r="Y69" s="106">
        <v>0</v>
      </c>
      <c r="Z69" s="106">
        <v>0</v>
      </c>
      <c r="AA69" s="106">
        <v>0</v>
      </c>
      <c r="AB69" s="106">
        <v>0</v>
      </c>
      <c r="AC69" s="106">
        <v>0</v>
      </c>
      <c r="AD69" s="106">
        <v>0</v>
      </c>
      <c r="AE69" s="106">
        <v>0</v>
      </c>
      <c r="AF69" s="106">
        <v>0</v>
      </c>
      <c r="AG69" s="106">
        <v>0</v>
      </c>
      <c r="AH69" s="106">
        <v>0</v>
      </c>
      <c r="AI69" s="106">
        <v>0</v>
      </c>
      <c r="AJ69" s="106">
        <v>0</v>
      </c>
      <c r="AK69" s="106">
        <v>0</v>
      </c>
      <c r="AL69" s="106">
        <v>0</v>
      </c>
      <c r="AM69" s="106">
        <v>0</v>
      </c>
      <c r="AN69" s="106">
        <v>0</v>
      </c>
    </row>
    <row r="70" spans="2:40" x14ac:dyDescent="0.25">
      <c r="B70" s="39" t="s">
        <v>305</v>
      </c>
      <c r="C70" s="12"/>
      <c r="E70" s="106">
        <v>0</v>
      </c>
      <c r="F70" s="106">
        <v>0</v>
      </c>
      <c r="G70" s="106">
        <v>0</v>
      </c>
      <c r="H70" s="106">
        <v>0</v>
      </c>
      <c r="I70" s="106">
        <v>0</v>
      </c>
      <c r="J70" s="106">
        <v>0</v>
      </c>
      <c r="K70" s="106">
        <v>0</v>
      </c>
      <c r="L70" s="106">
        <v>0</v>
      </c>
      <c r="M70" s="106">
        <v>0</v>
      </c>
      <c r="N70" s="106">
        <v>0</v>
      </c>
      <c r="O70" s="106">
        <v>0</v>
      </c>
      <c r="P70" s="106">
        <v>0</v>
      </c>
      <c r="Q70" s="106">
        <v>0</v>
      </c>
      <c r="R70" s="106">
        <v>0</v>
      </c>
      <c r="S70" s="106">
        <v>0</v>
      </c>
      <c r="T70" s="106">
        <v>0</v>
      </c>
      <c r="U70" s="106">
        <v>0</v>
      </c>
      <c r="V70" s="106">
        <v>0</v>
      </c>
      <c r="W70" s="106">
        <v>0</v>
      </c>
      <c r="X70" s="106">
        <v>0</v>
      </c>
      <c r="Y70" s="106">
        <v>0</v>
      </c>
      <c r="Z70" s="106">
        <v>0</v>
      </c>
      <c r="AA70" s="106">
        <v>0</v>
      </c>
      <c r="AB70" s="106">
        <v>0</v>
      </c>
      <c r="AC70" s="106">
        <v>0</v>
      </c>
      <c r="AD70" s="106">
        <v>0</v>
      </c>
      <c r="AE70" s="106">
        <v>0</v>
      </c>
      <c r="AF70" s="106">
        <v>0</v>
      </c>
      <c r="AG70" s="106">
        <v>0</v>
      </c>
      <c r="AH70" s="106">
        <v>0</v>
      </c>
      <c r="AI70" s="106">
        <v>0</v>
      </c>
      <c r="AJ70" s="106">
        <v>0</v>
      </c>
      <c r="AK70" s="106">
        <v>0</v>
      </c>
      <c r="AL70" s="106">
        <v>0</v>
      </c>
      <c r="AM70" s="106">
        <v>0</v>
      </c>
      <c r="AN70" s="106">
        <v>0</v>
      </c>
    </row>
    <row r="71" spans="2:40" x14ac:dyDescent="0.25">
      <c r="B71" s="39"/>
      <c r="C71" s="12"/>
    </row>
    <row r="72" spans="2:40" x14ac:dyDescent="0.25">
      <c r="B72" s="39" t="s">
        <v>23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0</v>
      </c>
      <c r="F72" s="12">
        <v>0</v>
      </c>
      <c r="G72" s="12">
        <v>0</v>
      </c>
      <c r="H72" s="12">
        <v>0</v>
      </c>
      <c r="I72" s="12">
        <v>0</v>
      </c>
      <c r="J72" s="12">
        <v>0</v>
      </c>
      <c r="K72" s="12">
        <v>0</v>
      </c>
      <c r="L72" s="12">
        <v>0</v>
      </c>
      <c r="M72" s="12">
        <v>0</v>
      </c>
      <c r="N72" s="12">
        <v>0</v>
      </c>
      <c r="O72" s="12">
        <v>0</v>
      </c>
      <c r="P72" s="12">
        <v>0</v>
      </c>
      <c r="Q72" s="12">
        <v>0</v>
      </c>
      <c r="R72" s="12">
        <v>0</v>
      </c>
      <c r="S72" s="12">
        <v>0</v>
      </c>
      <c r="T72" s="12">
        <v>0</v>
      </c>
      <c r="U72" s="12">
        <v>0</v>
      </c>
      <c r="V72" s="12">
        <v>1.1537294382039608E-3</v>
      </c>
      <c r="W72" s="12">
        <v>3.4611883146118826E-3</v>
      </c>
      <c r="X72" s="12">
        <v>5.768647191019805E-3</v>
      </c>
      <c r="Y72" s="12">
        <v>6.9223766292237652E-3</v>
      </c>
      <c r="Z72" s="12">
        <v>9.2298355056316863E-3</v>
      </c>
      <c r="AA72" s="12">
        <v>1.153729438203961E-2</v>
      </c>
      <c r="AB72" s="12">
        <v>1.384475325844753E-2</v>
      </c>
      <c r="AC72" s="12">
        <v>1.6498330966316647E-2</v>
      </c>
      <c r="AD72" s="12">
        <v>1.9036535730365362E-2</v>
      </c>
      <c r="AE72" s="12">
        <v>2.1574740494414067E-2</v>
      </c>
      <c r="AF72" s="12">
        <v>2.2843842876438432E-2</v>
      </c>
      <c r="AG72" s="12">
        <v>2.5382047640487147E-2</v>
      </c>
      <c r="AH72" s="12">
        <v>2.7920252404535863E-2</v>
      </c>
      <c r="AI72" s="12">
        <v>3.0458457168584575E-2</v>
      </c>
      <c r="AJ72" s="12">
        <v>3.0458457168584575E-2</v>
      </c>
      <c r="AK72" s="12">
        <v>3.0458457168584575E-2</v>
      </c>
      <c r="AL72" s="12">
        <v>3.0458457168584575E-2</v>
      </c>
      <c r="AM72" s="12">
        <v>3.0458457168584575E-2</v>
      </c>
      <c r="AN72" s="12">
        <v>3.0458457168584575E-2</v>
      </c>
    </row>
    <row r="73" spans="2:40" x14ac:dyDescent="0.25">
      <c r="B73" s="39" t="s">
        <v>24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306</v>
      </c>
      <c r="E75" s="74" cm="1">
        <f t="array" ref="E75:AN75">_xlfn.ANCHORARRAY(E67)-_xlfn.ANCHORARRAY(E72)-_xlfn.ANCHORARRAY(E73)</f>
        <v>0</v>
      </c>
      <c r="F75" s="74">
        <v>0</v>
      </c>
      <c r="G75" s="74">
        <v>0</v>
      </c>
      <c r="H75" s="74">
        <v>0</v>
      </c>
      <c r="I75" s="74">
        <v>0</v>
      </c>
      <c r="J75" s="74">
        <v>0</v>
      </c>
      <c r="K75" s="74">
        <v>0</v>
      </c>
      <c r="L75" s="74">
        <v>0</v>
      </c>
      <c r="M75" s="74">
        <v>0</v>
      </c>
      <c r="N75" s="74">
        <v>0</v>
      </c>
      <c r="O75" s="74">
        <v>0</v>
      </c>
      <c r="P75" s="74">
        <v>0</v>
      </c>
      <c r="Q75" s="74">
        <v>0</v>
      </c>
      <c r="R75" s="74">
        <v>0</v>
      </c>
      <c r="S75" s="74">
        <v>0</v>
      </c>
      <c r="T75" s="74">
        <v>0</v>
      </c>
      <c r="U75" s="74">
        <v>0</v>
      </c>
      <c r="V75" s="74">
        <v>-1.1537294382039608E-3</v>
      </c>
      <c r="W75" s="74">
        <v>-3.4611883146118826E-3</v>
      </c>
      <c r="X75" s="74">
        <v>-5.768647191019805E-3</v>
      </c>
      <c r="Y75" s="74">
        <v>-6.9223766292237652E-3</v>
      </c>
      <c r="Z75" s="74">
        <v>-9.2298355056316863E-3</v>
      </c>
      <c r="AA75" s="74">
        <v>-1.153729438203961E-2</v>
      </c>
      <c r="AB75" s="74">
        <v>-1.384475325844753E-2</v>
      </c>
      <c r="AC75" s="74">
        <v>-1.6498330966316647E-2</v>
      </c>
      <c r="AD75" s="74">
        <v>-1.9036535730365362E-2</v>
      </c>
      <c r="AE75" s="74">
        <v>-2.1574740494414067E-2</v>
      </c>
      <c r="AF75" s="74">
        <v>-2.2843842876438432E-2</v>
      </c>
      <c r="AG75" s="74">
        <v>-2.5382047640487147E-2</v>
      </c>
      <c r="AH75" s="74">
        <v>-2.7920252404535863E-2</v>
      </c>
      <c r="AI75" s="74">
        <v>-3.0458457168584575E-2</v>
      </c>
      <c r="AJ75" s="74">
        <v>-3.0458457168584575E-2</v>
      </c>
      <c r="AK75" s="74">
        <v>-3.0458457168584575E-2</v>
      </c>
      <c r="AL75" s="74">
        <v>-3.0458457168584575E-2</v>
      </c>
      <c r="AM75" s="74">
        <v>-3.0458457168584575E-2</v>
      </c>
      <c r="AN75" s="74">
        <v>-3.0458457168584575E-2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3A8BBC-4EC9-4A3D-A4B9-199161E3CD41}">
  <dimension ref="A1:AX75"/>
  <sheetViews>
    <sheetView workbookViewId="0">
      <pane xSplit="4" ySplit="25" topLeftCell="E26" activePane="bottomRight" state="frozen"/>
      <selection activeCell="E63" sqref="E63:E65"/>
      <selection pane="topRight" activeCell="E63" sqref="E63:E65"/>
      <selection pane="bottomLeft" activeCell="E63" sqref="E63:E65"/>
      <selection pane="bottomRight" activeCell="E63" sqref="E63:E65"/>
    </sheetView>
  </sheetViews>
  <sheetFormatPr defaultRowHeight="15" outlineLevelRow="1" x14ac:dyDescent="0.25"/>
  <cols>
    <col min="2" max="2" width="24.5703125" bestFit="1" customWidth="1"/>
    <col min="3" max="3" width="11.5703125" bestFit="1" customWidth="1"/>
    <col min="4" max="4" width="10" bestFit="1" customWidth="1"/>
    <col min="5" max="5" width="11.42578125" bestFit="1" customWidth="1"/>
    <col min="6" max="6" width="11.7109375" bestFit="1" customWidth="1"/>
    <col min="7" max="13" width="12.28515625" bestFit="1" customWidth="1"/>
    <col min="14" max="18" width="11.5703125" bestFit="1" customWidth="1"/>
    <col min="19" max="40" width="12.5703125" bestFit="1" customWidth="1"/>
  </cols>
  <sheetData>
    <row r="1" spans="1:40" x14ac:dyDescent="0.25">
      <c r="A1" s="96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>2027</v>
      </c>
      <c r="B1" s="58" t="s">
        <v>68</v>
      </c>
      <c r="C1" s="16" t="s">
        <v>61</v>
      </c>
      <c r="D1" s="3" t="s">
        <v>307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IFERROR(_xlpm.kiddos,0))</f>
        <v>0</v>
      </c>
      <c r="F1" s="69">
        <v>0</v>
      </c>
      <c r="G1" s="69">
        <v>0</v>
      </c>
      <c r="H1" s="69">
        <v>0</v>
      </c>
      <c r="I1" s="69">
        <v>0</v>
      </c>
      <c r="J1" s="69">
        <v>0</v>
      </c>
      <c r="K1" s="69">
        <v>0</v>
      </c>
      <c r="L1" s="69">
        <v>0</v>
      </c>
      <c r="M1" s="69">
        <v>0</v>
      </c>
      <c r="N1" s="69">
        <v>0</v>
      </c>
      <c r="O1" s="69">
        <v>0</v>
      </c>
      <c r="P1" s="69">
        <v>0</v>
      </c>
      <c r="Q1" s="69">
        <v>0</v>
      </c>
      <c r="R1" s="69">
        <v>0</v>
      </c>
      <c r="S1" s="69">
        <v>0</v>
      </c>
      <c r="T1" s="69">
        <v>0</v>
      </c>
      <c r="U1" s="69">
        <v>0</v>
      </c>
      <c r="V1" s="69">
        <v>0</v>
      </c>
      <c r="W1" s="69">
        <v>0</v>
      </c>
      <c r="X1" s="69">
        <v>3</v>
      </c>
      <c r="Y1" s="69">
        <v>6</v>
      </c>
      <c r="Z1" s="69">
        <v>9</v>
      </c>
      <c r="AA1" s="69">
        <v>12</v>
      </c>
      <c r="AB1" s="69">
        <v>15</v>
      </c>
      <c r="AC1" s="69">
        <v>18</v>
      </c>
      <c r="AD1" s="69">
        <v>21</v>
      </c>
      <c r="AE1" s="69">
        <v>24</v>
      </c>
      <c r="AF1" s="69">
        <v>27</v>
      </c>
      <c r="AG1" s="69">
        <v>30</v>
      </c>
      <c r="AH1" s="69">
        <v>33</v>
      </c>
      <c r="AI1" s="69">
        <v>36</v>
      </c>
      <c r="AJ1" s="69">
        <v>39</v>
      </c>
      <c r="AK1" s="69">
        <v>42</v>
      </c>
      <c r="AL1" s="69">
        <v>42</v>
      </c>
      <c r="AM1" s="69">
        <v>42</v>
      </c>
      <c r="AN1" s="69">
        <v>42</v>
      </c>
    </row>
    <row r="2" spans="1:40" x14ac:dyDescent="0.25">
      <c r="A2" s="65"/>
      <c r="B2" s="3" t="str">
        <f>_xlfn.XLOOKUP($B$1&amp;"-"&amp;$C$1,Base!$D$4:$BD$4,Base!$D$2:$BD$2,"",0)</f>
        <v>New Jersey</v>
      </c>
      <c r="C2" s="55"/>
      <c r="D2" s="55" t="s">
        <v>259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0</v>
      </c>
      <c r="F2" s="69">
        <v>0</v>
      </c>
      <c r="G2" s="69">
        <v>0</v>
      </c>
      <c r="H2" s="69">
        <v>0</v>
      </c>
      <c r="I2" s="69">
        <v>0</v>
      </c>
      <c r="J2" s="69">
        <v>0</v>
      </c>
      <c r="K2" s="69">
        <v>0</v>
      </c>
      <c r="L2" s="69">
        <v>0</v>
      </c>
      <c r="M2" s="69">
        <v>0</v>
      </c>
      <c r="N2" s="69">
        <v>0</v>
      </c>
      <c r="O2" s="69">
        <v>0</v>
      </c>
      <c r="P2" s="69">
        <v>0</v>
      </c>
      <c r="Q2" s="69">
        <v>0</v>
      </c>
      <c r="R2" s="69">
        <v>0</v>
      </c>
      <c r="S2" s="69">
        <v>0</v>
      </c>
      <c r="T2" s="69">
        <v>0</v>
      </c>
      <c r="U2" s="69">
        <v>0</v>
      </c>
      <c r="V2" s="69">
        <v>0</v>
      </c>
      <c r="W2" s="69">
        <v>0</v>
      </c>
      <c r="X2" s="69">
        <v>0</v>
      </c>
      <c r="Y2" s="69">
        <v>3.1666666666666665</v>
      </c>
      <c r="Z2" s="69">
        <v>3.3333333333333335</v>
      </c>
      <c r="AA2" s="69">
        <v>3.5</v>
      </c>
      <c r="AB2" s="69">
        <v>3.6666666666666665</v>
      </c>
      <c r="AC2" s="69">
        <v>3.8333333333333335</v>
      </c>
      <c r="AD2" s="69">
        <v>4</v>
      </c>
      <c r="AE2" s="69">
        <v>4.166666666666667</v>
      </c>
      <c r="AF2" s="69">
        <v>4.333333333333333</v>
      </c>
      <c r="AG2" s="69">
        <v>4.5</v>
      </c>
      <c r="AH2" s="69">
        <v>4.666666666666667</v>
      </c>
      <c r="AI2" s="69">
        <v>4.833333333333333</v>
      </c>
      <c r="AJ2" s="69">
        <v>5</v>
      </c>
      <c r="AK2" s="69">
        <v>2.1666666666666665</v>
      </c>
      <c r="AL2" s="69">
        <v>2.3333333333333335</v>
      </c>
      <c r="AM2" s="69">
        <v>2.5</v>
      </c>
      <c r="AN2" s="69">
        <v>2.6666666666666665</v>
      </c>
    </row>
    <row r="3" spans="1:40" x14ac:dyDescent="0.25">
      <c r="A3" s="65"/>
      <c r="B3" s="55"/>
      <c r="C3" s="55"/>
      <c r="D3" s="55" t="s">
        <v>62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_xlpm.months_since,DATEDIF(_xlpm.launchdate,_xlfn.ANCHORARRAY($E$25),"m"),_xlfn.BYCOL(_xlpm.months_since,_xlfn.LAMBDA(_xlpm.a,IFERROR(MIN(_xlpm.a/6,_xlpm.max_kiddos),0))))</f>
        <v>0</v>
      </c>
      <c r="F3" s="69">
        <v>0</v>
      </c>
      <c r="G3" s="69">
        <v>0</v>
      </c>
      <c r="H3" s="69">
        <v>0</v>
      </c>
      <c r="I3" s="69">
        <v>0</v>
      </c>
      <c r="J3" s="69">
        <v>0</v>
      </c>
      <c r="K3" s="69">
        <v>0</v>
      </c>
      <c r="L3" s="69">
        <v>0</v>
      </c>
      <c r="M3" s="69">
        <v>0</v>
      </c>
      <c r="N3" s="69">
        <v>0</v>
      </c>
      <c r="O3" s="69">
        <v>0</v>
      </c>
      <c r="P3" s="69">
        <v>0</v>
      </c>
      <c r="Q3" s="69">
        <v>0</v>
      </c>
      <c r="R3" s="69">
        <v>0</v>
      </c>
      <c r="S3" s="69">
        <v>0</v>
      </c>
      <c r="T3" s="69">
        <v>0</v>
      </c>
      <c r="U3" s="69">
        <v>0</v>
      </c>
      <c r="V3" s="69">
        <v>0</v>
      </c>
      <c r="W3" s="69">
        <v>0</v>
      </c>
      <c r="X3" s="69">
        <v>0</v>
      </c>
      <c r="Y3" s="69">
        <v>0.16666666666666666</v>
      </c>
      <c r="Z3" s="69">
        <v>0.33333333333333331</v>
      </c>
      <c r="AA3" s="69">
        <v>0.5</v>
      </c>
      <c r="AB3" s="69">
        <v>0.66666666666666663</v>
      </c>
      <c r="AC3" s="69">
        <v>0.83333333333333337</v>
      </c>
      <c r="AD3" s="69">
        <v>1</v>
      </c>
      <c r="AE3" s="69">
        <v>1.1666666666666667</v>
      </c>
      <c r="AF3" s="69">
        <v>1.3333333333333333</v>
      </c>
      <c r="AG3" s="69">
        <v>1.5</v>
      </c>
      <c r="AH3" s="69">
        <v>1.6666666666666667</v>
      </c>
      <c r="AI3" s="69">
        <v>1.8333333333333333</v>
      </c>
      <c r="AJ3" s="69">
        <v>2</v>
      </c>
      <c r="AK3" s="69">
        <v>2.1666666666666665</v>
      </c>
      <c r="AL3" s="69">
        <v>2.3333333333333335</v>
      </c>
      <c r="AM3" s="69">
        <v>2.5</v>
      </c>
      <c r="AN3" s="69">
        <v>2.6666666666666665</v>
      </c>
    </row>
    <row r="4" spans="1:40" x14ac:dyDescent="0.25">
      <c r="A4" s="65"/>
      <c r="B4" s="55"/>
      <c r="C4" s="55"/>
      <c r="D4" s="55" t="s">
        <v>260</v>
      </c>
      <c r="E4" s="69" cm="1">
        <f t="array" ref="E4:AN4">_xlfn.BYCOL(_xlfn.VSTACK(_xlfn.ANCHORARRAY($E$1),_xlfn.ANCHORARRAY($E$2)),_xlfn.LAMBDA(_xlpm.a,SUM(_xlpm.a)))</f>
        <v>0</v>
      </c>
      <c r="F4" s="69">
        <v>0</v>
      </c>
      <c r="G4" s="69">
        <v>0</v>
      </c>
      <c r="H4" s="69">
        <v>0</v>
      </c>
      <c r="I4" s="69">
        <v>0</v>
      </c>
      <c r="J4" s="69">
        <v>0</v>
      </c>
      <c r="K4" s="69">
        <v>0</v>
      </c>
      <c r="L4" s="69">
        <v>0</v>
      </c>
      <c r="M4" s="69">
        <v>0</v>
      </c>
      <c r="N4" s="69">
        <v>0</v>
      </c>
      <c r="O4" s="69">
        <v>0</v>
      </c>
      <c r="P4" s="69">
        <v>0</v>
      </c>
      <c r="Q4" s="69">
        <v>0</v>
      </c>
      <c r="R4" s="69">
        <v>0</v>
      </c>
      <c r="S4" s="69">
        <v>0</v>
      </c>
      <c r="T4" s="69">
        <v>0</v>
      </c>
      <c r="U4" s="69">
        <v>0</v>
      </c>
      <c r="V4" s="69">
        <v>0</v>
      </c>
      <c r="W4" s="69">
        <v>0</v>
      </c>
      <c r="X4" s="69">
        <v>3</v>
      </c>
      <c r="Y4" s="69">
        <v>9.1666666666666661</v>
      </c>
      <c r="Z4" s="69">
        <v>12.333333333333334</v>
      </c>
      <c r="AA4" s="69">
        <v>15.5</v>
      </c>
      <c r="AB4" s="69">
        <v>18.666666666666668</v>
      </c>
      <c r="AC4" s="69">
        <v>21.833333333333332</v>
      </c>
      <c r="AD4" s="69">
        <v>25</v>
      </c>
      <c r="AE4" s="69">
        <v>28.166666666666668</v>
      </c>
      <c r="AF4" s="69">
        <v>31.333333333333332</v>
      </c>
      <c r="AG4" s="69">
        <v>34.5</v>
      </c>
      <c r="AH4" s="69">
        <v>37.666666666666664</v>
      </c>
      <c r="AI4" s="69">
        <v>40.833333333333336</v>
      </c>
      <c r="AJ4" s="69">
        <v>44</v>
      </c>
      <c r="AK4" s="69">
        <v>44.166666666666664</v>
      </c>
      <c r="AL4" s="69">
        <v>44.333333333333336</v>
      </c>
      <c r="AM4" s="69">
        <v>44.5</v>
      </c>
      <c r="AN4" s="69">
        <v>44.666666666666664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107</v>
      </c>
      <c r="C6" s="3"/>
      <c r="D6" s="3"/>
      <c r="E6" s="66" cm="1">
        <f t="array" ref="E6:AN6">ROUND(_xlfn.BYCOL(_xlfn.ANCHORARRAY(E7),_xlfn.LAMBDA(_xlpm.a,SUM(_xlpm.a))),0)</f>
        <v>0</v>
      </c>
      <c r="F6" s="66">
        <v>0</v>
      </c>
      <c r="G6" s="66">
        <v>0</v>
      </c>
      <c r="H6" s="66">
        <v>0</v>
      </c>
      <c r="I6" s="66">
        <v>0</v>
      </c>
      <c r="J6" s="66">
        <v>0</v>
      </c>
      <c r="K6" s="66">
        <v>0</v>
      </c>
      <c r="L6" s="66">
        <v>0</v>
      </c>
      <c r="M6" s="66">
        <v>0</v>
      </c>
      <c r="N6" s="66">
        <v>0</v>
      </c>
      <c r="O6" s="66">
        <v>0</v>
      </c>
      <c r="P6" s="66">
        <v>0</v>
      </c>
      <c r="Q6" s="66">
        <v>0</v>
      </c>
      <c r="R6" s="66">
        <v>0</v>
      </c>
      <c r="S6" s="66">
        <v>0</v>
      </c>
      <c r="T6" s="66">
        <v>0</v>
      </c>
      <c r="U6" s="66">
        <v>0</v>
      </c>
      <c r="V6" s="66">
        <v>0</v>
      </c>
      <c r="W6" s="66">
        <v>0</v>
      </c>
      <c r="X6" s="66">
        <v>6</v>
      </c>
      <c r="Y6" s="66">
        <v>11</v>
      </c>
      <c r="Z6" s="66">
        <v>15</v>
      </c>
      <c r="AA6" s="66">
        <v>18</v>
      </c>
      <c r="AB6" s="66">
        <v>22</v>
      </c>
      <c r="AC6" s="66">
        <v>26</v>
      </c>
      <c r="AD6" s="66">
        <v>29</v>
      </c>
      <c r="AE6" s="66">
        <v>33</v>
      </c>
      <c r="AF6" s="66">
        <v>37</v>
      </c>
      <c r="AG6" s="66">
        <v>40</v>
      </c>
      <c r="AH6" s="66">
        <v>44</v>
      </c>
      <c r="AI6" s="66">
        <v>47</v>
      </c>
      <c r="AJ6" s="66">
        <v>51</v>
      </c>
      <c r="AK6" s="66">
        <v>54</v>
      </c>
      <c r="AL6" s="66">
        <v>54</v>
      </c>
      <c r="AM6" s="66">
        <v>54</v>
      </c>
      <c r="AN6" s="66">
        <v>54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1"/>
      <c r="E7" s="106" cm="1">
        <f t="array" ref="E7:AN20">_xlfn.LET(_xlpm.Customer_staff,_xlfn._xlws.FILTER(Base!$D$85:$BD$98,ISNUMBER(SEARCH($B$1&amp;"-"&amp;$C$1,Base!$D$4:$BD$4))),_xlpm.Customer,_xlfn.ANCHORARRAY($E$1),_xlpm.headcount,_xlpm.Customer/_xlpm.Customer_staff,
_xlpm.patient_staff,_xlfn.ANCHORARRAY($E$2)/_xlpm.Customer_staff,_xlpm.prim_staff_tr_rec,_xlfn.ANCHORARRAY($E$2)/_xlfn.CHOOSEROWS(_xlpm.Customer_staff,{7,8})+(_xlfn.ANCHORARRAY($E$1)*0.0055),_xlpm.rounding,_xlfn.VSTACK(2,2,0,0,2,2,2,2,2,2,2,0,0,0),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prim_staff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0</v>
      </c>
      <c r="F7" s="106">
        <v>0</v>
      </c>
      <c r="G7" s="106">
        <v>0</v>
      </c>
      <c r="H7" s="106">
        <v>0</v>
      </c>
      <c r="I7" s="106">
        <v>0</v>
      </c>
      <c r="J7" s="106">
        <v>0</v>
      </c>
      <c r="K7" s="106">
        <v>0</v>
      </c>
      <c r="L7" s="106">
        <v>0</v>
      </c>
      <c r="M7" s="106">
        <v>0</v>
      </c>
      <c r="N7" s="106">
        <v>0</v>
      </c>
      <c r="O7" s="106">
        <v>0</v>
      </c>
      <c r="P7" s="106">
        <v>0</v>
      </c>
      <c r="Q7" s="106">
        <v>0</v>
      </c>
      <c r="R7" s="106">
        <v>0</v>
      </c>
      <c r="S7" s="106">
        <v>0</v>
      </c>
      <c r="T7" s="106">
        <v>0</v>
      </c>
      <c r="U7" s="106">
        <v>0</v>
      </c>
      <c r="V7" s="106">
        <v>0</v>
      </c>
      <c r="W7" s="106">
        <v>0</v>
      </c>
      <c r="X7" s="106">
        <v>2.8299999999999996</v>
      </c>
      <c r="Y7" s="106">
        <v>5.6499999999999995</v>
      </c>
      <c r="Z7" s="106">
        <v>8.48</v>
      </c>
      <c r="AA7" s="106">
        <v>11.299999999999999</v>
      </c>
      <c r="AB7" s="106">
        <v>14.12</v>
      </c>
      <c r="AC7" s="106">
        <v>16.950000000000003</v>
      </c>
      <c r="AD7" s="106">
        <v>19.770000000000003</v>
      </c>
      <c r="AE7" s="106">
        <v>22.59</v>
      </c>
      <c r="AF7" s="106">
        <v>25.42</v>
      </c>
      <c r="AG7" s="106">
        <v>28.240000000000002</v>
      </c>
      <c r="AH7" s="106">
        <v>31.060000000000002</v>
      </c>
      <c r="AI7" s="106">
        <v>33.89</v>
      </c>
      <c r="AJ7" s="106">
        <v>36.71</v>
      </c>
      <c r="AK7" s="106">
        <v>39.53</v>
      </c>
      <c r="AL7" s="106">
        <v>39.53</v>
      </c>
      <c r="AM7" s="106">
        <v>39.53</v>
      </c>
      <c r="AN7" s="106">
        <v>39.53</v>
      </c>
    </row>
    <row r="8" spans="1:40" hidden="1" outlineLevel="1" x14ac:dyDescent="0.25">
      <c r="B8" s="39" t="str">
        <v>Secondary Direct Staff</v>
      </c>
      <c r="C8" s="3"/>
      <c r="D8" s="3"/>
      <c r="E8" s="106">
        <v>0</v>
      </c>
      <c r="F8" s="106">
        <v>0</v>
      </c>
      <c r="G8" s="106">
        <v>0</v>
      </c>
      <c r="H8" s="106">
        <v>0</v>
      </c>
      <c r="I8" s="106">
        <v>0</v>
      </c>
      <c r="J8" s="106">
        <v>0</v>
      </c>
      <c r="K8" s="106">
        <v>0</v>
      </c>
      <c r="L8" s="106">
        <v>0</v>
      </c>
      <c r="M8" s="106">
        <v>0</v>
      </c>
      <c r="N8" s="106">
        <v>0</v>
      </c>
      <c r="O8" s="106">
        <v>0</v>
      </c>
      <c r="P8" s="106">
        <v>0</v>
      </c>
      <c r="Q8" s="106">
        <v>0</v>
      </c>
      <c r="R8" s="106">
        <v>0</v>
      </c>
      <c r="S8" s="106">
        <v>0</v>
      </c>
      <c r="T8" s="106">
        <v>0</v>
      </c>
      <c r="U8" s="106">
        <v>0</v>
      </c>
      <c r="V8" s="106">
        <v>0</v>
      </c>
      <c r="W8" s="106">
        <v>0</v>
      </c>
      <c r="X8" s="106">
        <v>0.43</v>
      </c>
      <c r="Y8" s="106">
        <v>0.86</v>
      </c>
      <c r="Z8" s="106">
        <v>1.29</v>
      </c>
      <c r="AA8" s="106">
        <v>1.72</v>
      </c>
      <c r="AB8" s="106">
        <v>2.15</v>
      </c>
      <c r="AC8" s="106">
        <v>2.5799999999999996</v>
      </c>
      <c r="AD8" s="106">
        <v>3</v>
      </c>
      <c r="AE8" s="106">
        <v>3.4299999999999997</v>
      </c>
      <c r="AF8" s="106">
        <v>3.86</v>
      </c>
      <c r="AG8" s="106">
        <v>4.29</v>
      </c>
      <c r="AH8" s="106">
        <v>4.72</v>
      </c>
      <c r="AI8" s="106">
        <v>5.1499999999999995</v>
      </c>
      <c r="AJ8" s="106">
        <v>5.58</v>
      </c>
      <c r="AK8" s="106">
        <v>6</v>
      </c>
      <c r="AL8" s="106">
        <v>6</v>
      </c>
      <c r="AM8" s="106">
        <v>6</v>
      </c>
      <c r="AN8" s="106">
        <v>6</v>
      </c>
    </row>
    <row r="9" spans="1:40" hidden="1" outlineLevel="1" x14ac:dyDescent="0.25">
      <c r="B9" s="39" t="str">
        <v>Center Manager</v>
      </c>
      <c r="C9" s="3"/>
      <c r="D9" s="3"/>
      <c r="E9" s="106">
        <v>0</v>
      </c>
      <c r="F9" s="106">
        <v>0</v>
      </c>
      <c r="G9" s="106">
        <v>0</v>
      </c>
      <c r="H9" s="106">
        <v>0</v>
      </c>
      <c r="I9" s="106">
        <v>0</v>
      </c>
      <c r="J9" s="106">
        <v>0</v>
      </c>
      <c r="K9" s="106">
        <v>0</v>
      </c>
      <c r="L9" s="106">
        <v>0</v>
      </c>
      <c r="M9" s="106">
        <v>0</v>
      </c>
      <c r="N9" s="106">
        <v>0</v>
      </c>
      <c r="O9" s="106">
        <v>0</v>
      </c>
      <c r="P9" s="106">
        <v>0</v>
      </c>
      <c r="Q9" s="106">
        <v>0</v>
      </c>
      <c r="R9" s="106">
        <v>0</v>
      </c>
      <c r="S9" s="106">
        <v>0</v>
      </c>
      <c r="T9" s="106">
        <v>0</v>
      </c>
      <c r="U9" s="106">
        <v>0</v>
      </c>
      <c r="V9" s="106">
        <v>0</v>
      </c>
      <c r="W9" s="106">
        <v>0</v>
      </c>
      <c r="X9" s="106">
        <v>1</v>
      </c>
      <c r="Y9" s="106">
        <v>1</v>
      </c>
      <c r="Z9" s="106">
        <v>1</v>
      </c>
      <c r="AA9" s="106">
        <v>1</v>
      </c>
      <c r="AB9" s="106">
        <v>1</v>
      </c>
      <c r="AC9" s="106">
        <v>1</v>
      </c>
      <c r="AD9" s="106">
        <v>1</v>
      </c>
      <c r="AE9" s="106">
        <v>1</v>
      </c>
      <c r="AF9" s="106">
        <v>1</v>
      </c>
      <c r="AG9" s="106">
        <v>1</v>
      </c>
      <c r="AH9" s="106">
        <v>1</v>
      </c>
      <c r="AI9" s="106">
        <v>1</v>
      </c>
      <c r="AJ9" s="106">
        <v>1</v>
      </c>
      <c r="AK9" s="106">
        <v>1</v>
      </c>
      <c r="AL9" s="106">
        <v>1</v>
      </c>
      <c r="AM9" s="106">
        <v>1</v>
      </c>
      <c r="AN9" s="106">
        <v>1</v>
      </c>
    </row>
    <row r="10" spans="1:40" hidden="1" outlineLevel="1" x14ac:dyDescent="0.25">
      <c r="B10" s="39" t="str">
        <v>Intake</v>
      </c>
      <c r="C10" s="3"/>
      <c r="D10" s="3"/>
      <c r="E10" s="106">
        <v>0</v>
      </c>
      <c r="F10" s="106">
        <v>0</v>
      </c>
      <c r="G10" s="106">
        <v>0</v>
      </c>
      <c r="H10" s="106">
        <v>0</v>
      </c>
      <c r="I10" s="106">
        <v>0</v>
      </c>
      <c r="J10" s="106">
        <v>0</v>
      </c>
      <c r="K10" s="106">
        <v>0</v>
      </c>
      <c r="L10" s="106">
        <v>0</v>
      </c>
      <c r="M10" s="106">
        <v>0</v>
      </c>
      <c r="N10" s="106">
        <v>0</v>
      </c>
      <c r="O10" s="106">
        <v>0</v>
      </c>
      <c r="P10" s="106">
        <v>0</v>
      </c>
      <c r="Q10" s="106">
        <v>0</v>
      </c>
      <c r="R10" s="106">
        <v>0</v>
      </c>
      <c r="S10" s="106">
        <v>0</v>
      </c>
      <c r="T10" s="106">
        <v>0</v>
      </c>
      <c r="U10" s="106">
        <v>0</v>
      </c>
      <c r="V10" s="106">
        <v>0</v>
      </c>
      <c r="W10" s="106">
        <v>0</v>
      </c>
      <c r="X10" s="106">
        <v>0</v>
      </c>
      <c r="Y10" s="106">
        <v>1</v>
      </c>
      <c r="Z10" s="106">
        <v>1</v>
      </c>
      <c r="AA10" s="106">
        <v>1</v>
      </c>
      <c r="AB10" s="106">
        <v>1</v>
      </c>
      <c r="AC10" s="106">
        <v>1</v>
      </c>
      <c r="AD10" s="106">
        <v>1</v>
      </c>
      <c r="AE10" s="106">
        <v>1</v>
      </c>
      <c r="AF10" s="106">
        <v>1</v>
      </c>
      <c r="AG10" s="106">
        <v>1</v>
      </c>
      <c r="AH10" s="106">
        <v>1</v>
      </c>
      <c r="AI10" s="106">
        <v>1</v>
      </c>
      <c r="AJ10" s="106">
        <v>1</v>
      </c>
      <c r="AK10" s="106">
        <v>1</v>
      </c>
      <c r="AL10" s="106">
        <v>1</v>
      </c>
      <c r="AM10" s="106">
        <v>1</v>
      </c>
      <c r="AN10" s="106">
        <v>1</v>
      </c>
    </row>
    <row r="11" spans="1:40" hidden="1" outlineLevel="1" x14ac:dyDescent="0.25">
      <c r="B11" s="39" t="str">
        <v>Scheduler</v>
      </c>
      <c r="C11" s="3"/>
      <c r="D11" s="3"/>
      <c r="E11" s="106">
        <v>0</v>
      </c>
      <c r="F11" s="106">
        <v>0</v>
      </c>
      <c r="G11" s="106">
        <v>0</v>
      </c>
      <c r="H11" s="106">
        <v>0</v>
      </c>
      <c r="I11" s="106">
        <v>0</v>
      </c>
      <c r="J11" s="106">
        <v>0</v>
      </c>
      <c r="K11" s="106">
        <v>0</v>
      </c>
      <c r="L11" s="106">
        <v>0</v>
      </c>
      <c r="M11" s="106">
        <v>0</v>
      </c>
      <c r="N11" s="106">
        <v>0</v>
      </c>
      <c r="O11" s="106">
        <v>0</v>
      </c>
      <c r="P11" s="106">
        <v>0</v>
      </c>
      <c r="Q11" s="106">
        <v>0</v>
      </c>
      <c r="R11" s="106">
        <v>0</v>
      </c>
      <c r="S11" s="106">
        <v>0</v>
      </c>
      <c r="T11" s="106">
        <v>0</v>
      </c>
      <c r="U11" s="106">
        <v>0</v>
      </c>
      <c r="V11" s="106">
        <v>0</v>
      </c>
      <c r="W11" s="106">
        <v>0</v>
      </c>
      <c r="X11" s="106">
        <v>0</v>
      </c>
      <c r="Y11" s="106">
        <v>0</v>
      </c>
      <c r="Z11" s="106">
        <v>0</v>
      </c>
      <c r="AA11" s="106">
        <v>0</v>
      </c>
      <c r="AB11" s="106">
        <v>0</v>
      </c>
      <c r="AC11" s="106">
        <v>0</v>
      </c>
      <c r="AD11" s="106">
        <v>0</v>
      </c>
      <c r="AE11" s="106">
        <v>0</v>
      </c>
      <c r="AF11" s="106">
        <v>0</v>
      </c>
      <c r="AG11" s="106">
        <v>0</v>
      </c>
      <c r="AH11" s="106">
        <v>0</v>
      </c>
      <c r="AI11" s="106">
        <v>0</v>
      </c>
      <c r="AJ11" s="106">
        <v>0</v>
      </c>
      <c r="AK11" s="106">
        <v>0</v>
      </c>
      <c r="AL11" s="106">
        <v>0</v>
      </c>
      <c r="AM11" s="106">
        <v>0</v>
      </c>
      <c r="AN11" s="106">
        <v>0</v>
      </c>
    </row>
    <row r="12" spans="1:40" hidden="1" outlineLevel="1" x14ac:dyDescent="0.25">
      <c r="B12" s="39" t="str">
        <v>Initial Consultation Expert</v>
      </c>
      <c r="C12" s="3"/>
      <c r="D12" s="3"/>
      <c r="E12" s="106">
        <v>0</v>
      </c>
      <c r="F12" s="106">
        <v>0</v>
      </c>
      <c r="G12" s="106">
        <v>0</v>
      </c>
      <c r="H12" s="106">
        <v>0</v>
      </c>
      <c r="I12" s="106">
        <v>0</v>
      </c>
      <c r="J12" s="106">
        <v>0</v>
      </c>
      <c r="K12" s="106">
        <v>0</v>
      </c>
      <c r="L12" s="106">
        <v>0</v>
      </c>
      <c r="M12" s="106">
        <v>0</v>
      </c>
      <c r="N12" s="106">
        <v>0</v>
      </c>
      <c r="O12" s="106">
        <v>0</v>
      </c>
      <c r="P12" s="106">
        <v>0</v>
      </c>
      <c r="Q12" s="106">
        <v>0</v>
      </c>
      <c r="R12" s="106">
        <v>0</v>
      </c>
      <c r="S12" s="106">
        <v>0</v>
      </c>
      <c r="T12" s="106">
        <v>0</v>
      </c>
      <c r="U12" s="106">
        <v>0</v>
      </c>
      <c r="V12" s="106">
        <v>0</v>
      </c>
      <c r="W12" s="106">
        <v>0</v>
      </c>
      <c r="X12" s="106">
        <v>0</v>
      </c>
      <c r="Y12" s="106">
        <v>0.25</v>
      </c>
      <c r="Z12" s="106">
        <v>0.26</v>
      </c>
      <c r="AA12" s="106">
        <v>0.27</v>
      </c>
      <c r="AB12" s="106">
        <v>0.29000000000000004</v>
      </c>
      <c r="AC12" s="106">
        <v>0.3</v>
      </c>
      <c r="AD12" s="106">
        <v>0.31</v>
      </c>
      <c r="AE12" s="106">
        <v>0.33</v>
      </c>
      <c r="AF12" s="106">
        <v>0.34</v>
      </c>
      <c r="AG12" s="106">
        <v>0.35000000000000003</v>
      </c>
      <c r="AH12" s="106">
        <v>0.36</v>
      </c>
      <c r="AI12" s="106">
        <v>0.38</v>
      </c>
      <c r="AJ12" s="106">
        <v>0.39</v>
      </c>
      <c r="AK12" s="106">
        <v>0.17</v>
      </c>
      <c r="AL12" s="106">
        <v>0.18000000000000002</v>
      </c>
      <c r="AM12" s="106">
        <v>0.2</v>
      </c>
      <c r="AN12" s="106">
        <v>0.21000000000000002</v>
      </c>
    </row>
    <row r="13" spans="1:40" hidden="1" outlineLevel="1" x14ac:dyDescent="0.25">
      <c r="B13" s="39" t="str">
        <v>Trainer</v>
      </c>
      <c r="C13" s="3"/>
      <c r="D13" s="3"/>
      <c r="E13" s="106">
        <v>0</v>
      </c>
      <c r="F13" s="106">
        <v>0</v>
      </c>
      <c r="G13" s="106">
        <v>0</v>
      </c>
      <c r="H13" s="106">
        <v>0</v>
      </c>
      <c r="I13" s="106">
        <v>0</v>
      </c>
      <c r="J13" s="106">
        <v>0</v>
      </c>
      <c r="K13" s="106">
        <v>0</v>
      </c>
      <c r="L13" s="106">
        <v>0</v>
      </c>
      <c r="M13" s="106">
        <v>0</v>
      </c>
      <c r="N13" s="106">
        <v>0</v>
      </c>
      <c r="O13" s="106">
        <v>0</v>
      </c>
      <c r="P13" s="106">
        <v>0</v>
      </c>
      <c r="Q13" s="106">
        <v>0</v>
      </c>
      <c r="R13" s="106">
        <v>0</v>
      </c>
      <c r="S13" s="106">
        <v>0</v>
      </c>
      <c r="T13" s="106">
        <v>0</v>
      </c>
      <c r="U13" s="106">
        <v>0</v>
      </c>
      <c r="V13" s="106">
        <v>0</v>
      </c>
      <c r="W13" s="106">
        <v>0</v>
      </c>
      <c r="X13" s="106">
        <v>0.02</v>
      </c>
      <c r="Y13" s="106">
        <v>0.35000000000000003</v>
      </c>
      <c r="Z13" s="106">
        <v>0.39</v>
      </c>
      <c r="AA13" s="106">
        <v>0.42</v>
      </c>
      <c r="AB13" s="106">
        <v>0.45</v>
      </c>
      <c r="AC13" s="106">
        <v>0.49</v>
      </c>
      <c r="AD13" s="106">
        <v>0.52</v>
      </c>
      <c r="AE13" s="106">
        <v>0.55000000000000004</v>
      </c>
      <c r="AF13" s="106">
        <v>0.59</v>
      </c>
      <c r="AG13" s="106">
        <v>0.62</v>
      </c>
      <c r="AH13" s="106">
        <v>0.65</v>
      </c>
      <c r="AI13" s="106">
        <v>0.69000000000000006</v>
      </c>
      <c r="AJ13" s="106">
        <v>0.72</v>
      </c>
      <c r="AK13" s="106">
        <v>0.45</v>
      </c>
      <c r="AL13" s="106">
        <v>0.47000000000000003</v>
      </c>
      <c r="AM13" s="106">
        <v>0.49</v>
      </c>
      <c r="AN13" s="106">
        <v>0.5</v>
      </c>
    </row>
    <row r="14" spans="1:40" hidden="1" outlineLevel="1" x14ac:dyDescent="0.25">
      <c r="B14" s="39" t="str">
        <v>Recruiter</v>
      </c>
      <c r="C14" s="3"/>
      <c r="D14" s="3"/>
      <c r="E14" s="106">
        <v>0</v>
      </c>
      <c r="F14" s="106">
        <v>0</v>
      </c>
      <c r="G14" s="106">
        <v>0</v>
      </c>
      <c r="H14" s="106">
        <v>0</v>
      </c>
      <c r="I14" s="106">
        <v>0</v>
      </c>
      <c r="J14" s="106">
        <v>0</v>
      </c>
      <c r="K14" s="106">
        <v>0</v>
      </c>
      <c r="L14" s="106">
        <v>0</v>
      </c>
      <c r="M14" s="106">
        <v>0</v>
      </c>
      <c r="N14" s="106">
        <v>0</v>
      </c>
      <c r="O14" s="106">
        <v>0</v>
      </c>
      <c r="P14" s="106">
        <v>0</v>
      </c>
      <c r="Q14" s="106">
        <v>0</v>
      </c>
      <c r="R14" s="106">
        <v>0</v>
      </c>
      <c r="S14" s="106">
        <v>0</v>
      </c>
      <c r="T14" s="106">
        <v>0</v>
      </c>
      <c r="U14" s="106">
        <v>0</v>
      </c>
      <c r="V14" s="106">
        <v>0</v>
      </c>
      <c r="W14" s="106">
        <v>0</v>
      </c>
      <c r="X14" s="106">
        <v>0.02</v>
      </c>
      <c r="Y14" s="106">
        <v>0.2</v>
      </c>
      <c r="Z14" s="106">
        <v>0.22</v>
      </c>
      <c r="AA14" s="106">
        <v>0.25</v>
      </c>
      <c r="AB14" s="106">
        <v>0.27</v>
      </c>
      <c r="AC14" s="106">
        <v>0.3</v>
      </c>
      <c r="AD14" s="106">
        <v>0.32</v>
      </c>
      <c r="AE14" s="106">
        <v>0.35000000000000003</v>
      </c>
      <c r="AF14" s="106">
        <v>0.37</v>
      </c>
      <c r="AG14" s="106">
        <v>0.39</v>
      </c>
      <c r="AH14" s="106">
        <v>0.42</v>
      </c>
      <c r="AI14" s="106">
        <v>0.44</v>
      </c>
      <c r="AJ14" s="106">
        <v>0.47000000000000003</v>
      </c>
      <c r="AK14" s="106">
        <v>0.34</v>
      </c>
      <c r="AL14" s="106">
        <v>0.35000000000000003</v>
      </c>
      <c r="AM14" s="106">
        <v>0.36</v>
      </c>
      <c r="AN14" s="106">
        <v>0.37</v>
      </c>
    </row>
    <row r="15" spans="1:40" hidden="1" outlineLevel="1" x14ac:dyDescent="0.25">
      <c r="B15" s="39" t="str">
        <v>Center Director / Remote Site Director</v>
      </c>
      <c r="C15" s="3"/>
      <c r="D15" s="3"/>
      <c r="E15" s="106">
        <v>0</v>
      </c>
      <c r="F15" s="106">
        <v>0</v>
      </c>
      <c r="G15" s="106">
        <v>0</v>
      </c>
      <c r="H15" s="106">
        <v>0</v>
      </c>
      <c r="I15" s="106">
        <v>0</v>
      </c>
      <c r="J15" s="106">
        <v>0</v>
      </c>
      <c r="K15" s="106">
        <v>0</v>
      </c>
      <c r="L15" s="106">
        <v>0</v>
      </c>
      <c r="M15" s="106">
        <v>0</v>
      </c>
      <c r="N15" s="106">
        <v>0</v>
      </c>
      <c r="O15" s="106">
        <v>0</v>
      </c>
      <c r="P15" s="106">
        <v>0</v>
      </c>
      <c r="Q15" s="106">
        <v>0</v>
      </c>
      <c r="R15" s="106">
        <v>0</v>
      </c>
      <c r="S15" s="106">
        <v>0</v>
      </c>
      <c r="T15" s="106">
        <v>0</v>
      </c>
      <c r="U15" s="106">
        <v>0</v>
      </c>
      <c r="V15" s="106">
        <v>0</v>
      </c>
      <c r="W15" s="106">
        <v>0</v>
      </c>
      <c r="X15" s="106">
        <v>0.02</v>
      </c>
      <c r="Y15" s="106">
        <v>0.03</v>
      </c>
      <c r="Z15" s="106">
        <v>0.04</v>
      </c>
      <c r="AA15" s="106">
        <v>0.05</v>
      </c>
      <c r="AB15" s="106">
        <v>0.06</v>
      </c>
      <c r="AC15" s="106">
        <v>0.08</v>
      </c>
      <c r="AD15" s="106">
        <v>0.09</v>
      </c>
      <c r="AE15" s="106">
        <v>9.9999999999999992E-2</v>
      </c>
      <c r="AF15" s="106">
        <v>0.11</v>
      </c>
      <c r="AG15" s="106">
        <v>0.12</v>
      </c>
      <c r="AH15" s="106">
        <v>0.14000000000000001</v>
      </c>
      <c r="AI15" s="106">
        <v>0.15000000000000002</v>
      </c>
      <c r="AJ15" s="106">
        <v>0.16</v>
      </c>
      <c r="AK15" s="106">
        <v>0.17</v>
      </c>
      <c r="AL15" s="106">
        <v>0.17</v>
      </c>
      <c r="AM15" s="106">
        <v>0.17</v>
      </c>
      <c r="AN15" s="106">
        <v>0.17</v>
      </c>
    </row>
    <row r="16" spans="1:40" hidden="1" outlineLevel="1" x14ac:dyDescent="0.25">
      <c r="B16" s="39" t="str">
        <v>Center Marketing Outreach</v>
      </c>
      <c r="C16" s="3"/>
      <c r="D16" s="3"/>
      <c r="E16" s="106">
        <v>0</v>
      </c>
      <c r="F16" s="106">
        <v>0</v>
      </c>
      <c r="G16" s="106">
        <v>0</v>
      </c>
      <c r="H16" s="106">
        <v>0</v>
      </c>
      <c r="I16" s="106">
        <v>0</v>
      </c>
      <c r="J16" s="106">
        <v>0</v>
      </c>
      <c r="K16" s="106">
        <v>0</v>
      </c>
      <c r="L16" s="106">
        <v>0</v>
      </c>
      <c r="M16" s="106">
        <v>0</v>
      </c>
      <c r="N16" s="106">
        <v>0</v>
      </c>
      <c r="O16" s="106">
        <v>0</v>
      </c>
      <c r="P16" s="106">
        <v>0</v>
      </c>
      <c r="Q16" s="106">
        <v>0</v>
      </c>
      <c r="R16" s="106">
        <v>0</v>
      </c>
      <c r="S16" s="106">
        <v>0</v>
      </c>
      <c r="T16" s="106">
        <v>0</v>
      </c>
      <c r="U16" s="106">
        <v>0</v>
      </c>
      <c r="V16" s="106">
        <v>0</v>
      </c>
      <c r="W16" s="106">
        <v>0</v>
      </c>
      <c r="X16" s="106">
        <v>0.02</v>
      </c>
      <c r="Y16" s="106">
        <v>0.03</v>
      </c>
      <c r="Z16" s="106">
        <v>0.04</v>
      </c>
      <c r="AA16" s="106">
        <v>0.05</v>
      </c>
      <c r="AB16" s="106">
        <v>0.06</v>
      </c>
      <c r="AC16" s="106">
        <v>0.08</v>
      </c>
      <c r="AD16" s="106">
        <v>0.09</v>
      </c>
      <c r="AE16" s="106">
        <v>9.9999999999999992E-2</v>
      </c>
      <c r="AF16" s="106">
        <v>0.11</v>
      </c>
      <c r="AG16" s="106">
        <v>0.12</v>
      </c>
      <c r="AH16" s="106">
        <v>0.14000000000000001</v>
      </c>
      <c r="AI16" s="106">
        <v>0.15000000000000002</v>
      </c>
      <c r="AJ16" s="106">
        <v>0.16</v>
      </c>
      <c r="AK16" s="106">
        <v>0.17</v>
      </c>
      <c r="AL16" s="106">
        <v>0.17</v>
      </c>
      <c r="AM16" s="106">
        <v>0.17</v>
      </c>
      <c r="AN16" s="106">
        <v>0.17</v>
      </c>
    </row>
    <row r="17" spans="2:50" hidden="1" outlineLevel="1" x14ac:dyDescent="0.25">
      <c r="B17" s="39" t="str">
        <v>Primary Direct Staff Lead</v>
      </c>
      <c r="C17" s="3"/>
      <c r="D17" s="3"/>
      <c r="E17" s="106">
        <v>0</v>
      </c>
      <c r="F17" s="106">
        <v>0</v>
      </c>
      <c r="G17" s="106">
        <v>0</v>
      </c>
      <c r="H17" s="106">
        <v>0</v>
      </c>
      <c r="I17" s="106">
        <v>0</v>
      </c>
      <c r="J17" s="106">
        <v>0</v>
      </c>
      <c r="K17" s="106">
        <v>0</v>
      </c>
      <c r="L17" s="106">
        <v>0</v>
      </c>
      <c r="M17" s="106">
        <v>0</v>
      </c>
      <c r="N17" s="106">
        <v>0</v>
      </c>
      <c r="O17" s="106">
        <v>0</v>
      </c>
      <c r="P17" s="106">
        <v>0</v>
      </c>
      <c r="Q17" s="106">
        <v>0</v>
      </c>
      <c r="R17" s="106">
        <v>0</v>
      </c>
      <c r="S17" s="106">
        <v>0</v>
      </c>
      <c r="T17" s="106">
        <v>0</v>
      </c>
      <c r="U17" s="106">
        <v>0</v>
      </c>
      <c r="V17" s="106">
        <v>0</v>
      </c>
      <c r="W17" s="106">
        <v>0</v>
      </c>
      <c r="X17" s="106">
        <v>0.3</v>
      </c>
      <c r="Y17" s="106">
        <v>0.6</v>
      </c>
      <c r="Z17" s="106">
        <v>0.9</v>
      </c>
      <c r="AA17" s="106">
        <v>1.2</v>
      </c>
      <c r="AB17" s="106">
        <v>1.5</v>
      </c>
      <c r="AC17" s="106">
        <v>1.8</v>
      </c>
      <c r="AD17" s="106">
        <v>2.1</v>
      </c>
      <c r="AE17" s="106">
        <v>2.4</v>
      </c>
      <c r="AF17" s="106">
        <v>2.7</v>
      </c>
      <c r="AG17" s="106">
        <v>3</v>
      </c>
      <c r="AH17" s="106">
        <v>3.3</v>
      </c>
      <c r="AI17" s="106">
        <v>3.6</v>
      </c>
      <c r="AJ17" s="106">
        <v>3.9</v>
      </c>
      <c r="AK17" s="106">
        <v>4.2</v>
      </c>
      <c r="AL17" s="106">
        <v>4.2</v>
      </c>
      <c r="AM17" s="106">
        <v>4.2</v>
      </c>
      <c r="AN17" s="106">
        <v>4.2</v>
      </c>
    </row>
    <row r="18" spans="2:50" hidden="1" outlineLevel="1" x14ac:dyDescent="0.25">
      <c r="B18" s="39" t="str">
        <v>Tertiary Direct Staff</v>
      </c>
      <c r="C18" s="3"/>
      <c r="D18" s="3"/>
      <c r="E18" s="106">
        <v>0</v>
      </c>
      <c r="F18" s="106">
        <v>0</v>
      </c>
      <c r="G18" s="106">
        <v>0</v>
      </c>
      <c r="H18" s="106">
        <v>0</v>
      </c>
      <c r="I18" s="106">
        <v>0</v>
      </c>
      <c r="J18" s="106">
        <v>0</v>
      </c>
      <c r="K18" s="106">
        <v>0</v>
      </c>
      <c r="L18" s="106">
        <v>0</v>
      </c>
      <c r="M18" s="106">
        <v>0</v>
      </c>
      <c r="N18" s="106">
        <v>0</v>
      </c>
      <c r="O18" s="106">
        <v>0</v>
      </c>
      <c r="P18" s="106">
        <v>0</v>
      </c>
      <c r="Q18" s="106">
        <v>0</v>
      </c>
      <c r="R18" s="106">
        <v>0</v>
      </c>
      <c r="S18" s="106">
        <v>0</v>
      </c>
      <c r="T18" s="106">
        <v>0</v>
      </c>
      <c r="U18" s="106">
        <v>0</v>
      </c>
      <c r="V18" s="106">
        <v>0</v>
      </c>
      <c r="W18" s="106">
        <v>0</v>
      </c>
      <c r="X18" s="106">
        <v>0</v>
      </c>
      <c r="Y18" s="106">
        <v>0</v>
      </c>
      <c r="Z18" s="106">
        <v>0</v>
      </c>
      <c r="AA18" s="106">
        <v>0</v>
      </c>
      <c r="AB18" s="106">
        <v>0</v>
      </c>
      <c r="AC18" s="106">
        <v>0</v>
      </c>
      <c r="AD18" s="106">
        <v>0</v>
      </c>
      <c r="AE18" s="106">
        <v>0</v>
      </c>
      <c r="AF18" s="106">
        <v>0</v>
      </c>
      <c r="AG18" s="106">
        <v>0</v>
      </c>
      <c r="AH18" s="106">
        <v>0</v>
      </c>
      <c r="AI18" s="106">
        <v>0</v>
      </c>
      <c r="AJ18" s="106">
        <v>0</v>
      </c>
      <c r="AK18" s="106">
        <v>0</v>
      </c>
      <c r="AL18" s="106">
        <v>0</v>
      </c>
      <c r="AM18" s="106">
        <v>0</v>
      </c>
      <c r="AN18" s="106">
        <v>0</v>
      </c>
    </row>
    <row r="19" spans="2:50" hidden="1" outlineLevel="1" x14ac:dyDescent="0.25">
      <c r="B19" s="39" t="str">
        <v>Quinary Direct Staff</v>
      </c>
      <c r="C19" s="3"/>
      <c r="D19" s="3"/>
      <c r="E19" s="106">
        <v>0</v>
      </c>
      <c r="F19" s="106">
        <v>0</v>
      </c>
      <c r="G19" s="106">
        <v>0</v>
      </c>
      <c r="H19" s="106">
        <v>0</v>
      </c>
      <c r="I19" s="106">
        <v>0</v>
      </c>
      <c r="J19" s="106">
        <v>0</v>
      </c>
      <c r="K19" s="106">
        <v>0</v>
      </c>
      <c r="L19" s="106">
        <v>0</v>
      </c>
      <c r="M19" s="106">
        <v>0</v>
      </c>
      <c r="N19" s="106">
        <v>0</v>
      </c>
      <c r="O19" s="106">
        <v>0</v>
      </c>
      <c r="P19" s="106">
        <v>0</v>
      </c>
      <c r="Q19" s="106">
        <v>0</v>
      </c>
      <c r="R19" s="106">
        <v>0</v>
      </c>
      <c r="S19" s="106">
        <v>0</v>
      </c>
      <c r="T19" s="106">
        <v>0</v>
      </c>
      <c r="U19" s="106">
        <v>0</v>
      </c>
      <c r="V19" s="106">
        <v>0</v>
      </c>
      <c r="W19" s="106">
        <v>0</v>
      </c>
      <c r="X19" s="106">
        <v>0</v>
      </c>
      <c r="Y19" s="106">
        <v>0</v>
      </c>
      <c r="Z19" s="106">
        <v>0</v>
      </c>
      <c r="AA19" s="106">
        <v>0</v>
      </c>
      <c r="AB19" s="106">
        <v>0</v>
      </c>
      <c r="AC19" s="106">
        <v>0</v>
      </c>
      <c r="AD19" s="106">
        <v>0</v>
      </c>
      <c r="AE19" s="106">
        <v>0</v>
      </c>
      <c r="AF19" s="106">
        <v>0</v>
      </c>
      <c r="AG19" s="106">
        <v>0</v>
      </c>
      <c r="AH19" s="106">
        <v>0</v>
      </c>
      <c r="AI19" s="106">
        <v>0</v>
      </c>
      <c r="AJ19" s="106">
        <v>0</v>
      </c>
      <c r="AK19" s="106">
        <v>0</v>
      </c>
      <c r="AL19" s="106">
        <v>0</v>
      </c>
      <c r="AM19" s="106">
        <v>0</v>
      </c>
      <c r="AN19" s="106">
        <v>0</v>
      </c>
    </row>
    <row r="20" spans="2:50" hidden="1" outlineLevel="1" x14ac:dyDescent="0.25">
      <c r="B20" s="39" t="str">
        <v>Quaternary Direct Staff</v>
      </c>
      <c r="C20" s="3"/>
      <c r="D20" s="3"/>
      <c r="E20" s="106">
        <v>0</v>
      </c>
      <c r="F20" s="106">
        <v>0</v>
      </c>
      <c r="G20" s="106">
        <v>0</v>
      </c>
      <c r="H20" s="106">
        <v>0</v>
      </c>
      <c r="I20" s="106">
        <v>0</v>
      </c>
      <c r="J20" s="106">
        <v>0</v>
      </c>
      <c r="K20" s="106">
        <v>0</v>
      </c>
      <c r="L20" s="106">
        <v>0</v>
      </c>
      <c r="M20" s="106">
        <v>0</v>
      </c>
      <c r="N20" s="106">
        <v>0</v>
      </c>
      <c r="O20" s="106">
        <v>0</v>
      </c>
      <c r="P20" s="106">
        <v>0</v>
      </c>
      <c r="Q20" s="106">
        <v>0</v>
      </c>
      <c r="R20" s="106">
        <v>0</v>
      </c>
      <c r="S20" s="106">
        <v>0</v>
      </c>
      <c r="T20" s="106">
        <v>0</v>
      </c>
      <c r="U20" s="106">
        <v>0</v>
      </c>
      <c r="V20" s="106">
        <v>0</v>
      </c>
      <c r="W20" s="106">
        <v>0</v>
      </c>
      <c r="X20" s="106">
        <v>1</v>
      </c>
      <c r="Y20" s="106">
        <v>1</v>
      </c>
      <c r="Z20" s="106">
        <v>1</v>
      </c>
      <c r="AA20" s="106">
        <v>1</v>
      </c>
      <c r="AB20" s="106">
        <v>1</v>
      </c>
      <c r="AC20" s="106">
        <v>1</v>
      </c>
      <c r="AD20" s="106">
        <v>1</v>
      </c>
      <c r="AE20" s="106">
        <v>1</v>
      </c>
      <c r="AF20" s="106">
        <v>1</v>
      </c>
      <c r="AG20" s="106">
        <v>1</v>
      </c>
      <c r="AH20" s="106">
        <v>1</v>
      </c>
      <c r="AI20" s="106">
        <v>1</v>
      </c>
      <c r="AJ20" s="106">
        <v>1</v>
      </c>
      <c r="AK20" s="106">
        <v>1</v>
      </c>
      <c r="AL20" s="106">
        <v>1</v>
      </c>
      <c r="AM20" s="106">
        <v>1</v>
      </c>
      <c r="AN20" s="106">
        <v>1</v>
      </c>
    </row>
    <row r="21" spans="2:50" collapsed="1" x14ac:dyDescent="0.25">
      <c r="B21" s="39" t="s">
        <v>389</v>
      </c>
      <c r="C21" s="3"/>
      <c r="D21" s="5"/>
      <c r="E21" s="117" cm="1">
        <f t="array" ref="E21:AN21">ROUND(_xlfn.BYCOL(_xlfn.CHOOSEROWS(_xlfn.ANCHORARRAY(E7),1,2),_xlfn.LAMBDA(_xlpm.col,SUM(_xlpm.col))),0)</f>
        <v>0</v>
      </c>
      <c r="F21" s="117">
        <v>0</v>
      </c>
      <c r="G21" s="117">
        <v>0</v>
      </c>
      <c r="H21" s="117">
        <v>0</v>
      </c>
      <c r="I21" s="117">
        <v>0</v>
      </c>
      <c r="J21" s="117">
        <v>0</v>
      </c>
      <c r="K21" s="117">
        <v>0</v>
      </c>
      <c r="L21" s="117">
        <v>0</v>
      </c>
      <c r="M21" s="117">
        <v>0</v>
      </c>
      <c r="N21" s="117">
        <v>0</v>
      </c>
      <c r="O21" s="117">
        <v>0</v>
      </c>
      <c r="P21" s="117">
        <v>0</v>
      </c>
      <c r="Q21" s="117">
        <v>0</v>
      </c>
      <c r="R21" s="117">
        <v>0</v>
      </c>
      <c r="S21" s="117">
        <v>0</v>
      </c>
      <c r="T21" s="117">
        <v>0</v>
      </c>
      <c r="U21" s="117">
        <v>0</v>
      </c>
      <c r="V21" s="117">
        <v>0</v>
      </c>
      <c r="W21" s="117">
        <v>0</v>
      </c>
      <c r="X21" s="117">
        <v>3</v>
      </c>
      <c r="Y21" s="117">
        <v>7</v>
      </c>
      <c r="Z21" s="117">
        <v>10</v>
      </c>
      <c r="AA21" s="117">
        <v>13</v>
      </c>
      <c r="AB21" s="117">
        <v>16</v>
      </c>
      <c r="AC21" s="117">
        <v>20</v>
      </c>
      <c r="AD21" s="117">
        <v>23</v>
      </c>
      <c r="AE21" s="117">
        <v>26</v>
      </c>
      <c r="AF21" s="117">
        <v>29</v>
      </c>
      <c r="AG21" s="117">
        <v>33</v>
      </c>
      <c r="AH21" s="117">
        <v>36</v>
      </c>
      <c r="AI21" s="117">
        <v>39</v>
      </c>
      <c r="AJ21" s="117">
        <v>42</v>
      </c>
      <c r="AK21" s="117">
        <v>46</v>
      </c>
      <c r="AL21" s="117">
        <v>46</v>
      </c>
      <c r="AM21" s="117">
        <v>46</v>
      </c>
      <c r="AN21" s="117">
        <v>46</v>
      </c>
    </row>
    <row r="22" spans="2:50" x14ac:dyDescent="0.25">
      <c r="B22" s="2" t="s">
        <v>394</v>
      </c>
      <c r="C22" s="3"/>
      <c r="D22" s="77">
        <f>MAX(_xlfn.ANCHORARRAY(E22))</f>
        <v>170.02883240223468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0</v>
      </c>
      <c r="F22" s="78">
        <v>0</v>
      </c>
      <c r="G22" s="78">
        <v>0</v>
      </c>
      <c r="H22" s="78">
        <v>0</v>
      </c>
      <c r="I22" s="78">
        <v>0</v>
      </c>
      <c r="J22" s="78">
        <v>0</v>
      </c>
      <c r="K22" s="78">
        <v>0</v>
      </c>
      <c r="L22" s="78">
        <v>0</v>
      </c>
      <c r="M22" s="78">
        <v>0</v>
      </c>
      <c r="N22" s="78">
        <v>0</v>
      </c>
      <c r="O22" s="78">
        <v>0</v>
      </c>
      <c r="P22" s="78">
        <v>0</v>
      </c>
      <c r="Q22" s="78">
        <v>0</v>
      </c>
      <c r="R22" s="78">
        <v>0</v>
      </c>
      <c r="S22" s="78">
        <v>0</v>
      </c>
      <c r="T22" s="78">
        <v>0</v>
      </c>
      <c r="U22" s="78">
        <v>0</v>
      </c>
      <c r="V22" s="78">
        <v>0</v>
      </c>
      <c r="W22" s="78">
        <v>0</v>
      </c>
      <c r="X22" s="78">
        <v>170.02883240223466</v>
      </c>
      <c r="Y22" s="78">
        <v>170.02883240223466</v>
      </c>
      <c r="Z22" s="78">
        <v>170.02883240223466</v>
      </c>
      <c r="AA22" s="78">
        <v>170.02883240223466</v>
      </c>
      <c r="AB22" s="78">
        <v>170.02883240223466</v>
      </c>
      <c r="AC22" s="78">
        <v>170.02883240223466</v>
      </c>
      <c r="AD22" s="78">
        <v>170.02883240223463</v>
      </c>
      <c r="AE22" s="78">
        <v>170.02883240223466</v>
      </c>
      <c r="AF22" s="78">
        <v>170.02883240223468</v>
      </c>
      <c r="AG22" s="78">
        <v>170.02883240223466</v>
      </c>
      <c r="AH22" s="78">
        <v>170.02883240223468</v>
      </c>
      <c r="AI22" s="78">
        <v>170.02883240223466</v>
      </c>
      <c r="AJ22" s="78">
        <v>170.02883240223466</v>
      </c>
      <c r="AK22" s="78">
        <v>170.02883240223463</v>
      </c>
      <c r="AL22" s="78">
        <v>170.02883240223463</v>
      </c>
      <c r="AM22" s="78">
        <v>170.02883240223463</v>
      </c>
      <c r="AN22" s="78">
        <v>170.02883240223463</v>
      </c>
    </row>
    <row r="23" spans="2:50" x14ac:dyDescent="0.25">
      <c r="B23" s="2" t="s">
        <v>53</v>
      </c>
      <c r="C23" s="3"/>
      <c r="D23" s="72"/>
      <c r="E23" s="52" cm="1">
        <f t="array" ref="E23:AN23">_xlfn.LET(_xlpm.site,$B$1&amp;"-"&amp;$C$1,_xlpm.locations,Base!$D$4:$BD$4,_xlpm.Customer,_xlfn.ANCHORARRAY(E1),_xlpm.hours,SUM(_xlfn.XLOOKUP(_xlpm.site,_xlpm.locations,Base!$D$74:$BD$78,0,0)),
_xlpm.collection,1-_xlfn.XLOOKUP(_xlpm.site,_xlpm.locations,Base!$D$26:$BD$26,0,0),
_xlpm.Customer*_xlpm.hours*_xlpm.collection*(52/12))</f>
        <v>0</v>
      </c>
      <c r="F23" s="52">
        <v>0</v>
      </c>
      <c r="G23" s="52">
        <v>0</v>
      </c>
      <c r="H23" s="52">
        <v>0</v>
      </c>
      <c r="I23" s="52">
        <v>0</v>
      </c>
      <c r="J23" s="52">
        <v>0</v>
      </c>
      <c r="K23" s="52">
        <v>0</v>
      </c>
      <c r="L23" s="52">
        <v>0</v>
      </c>
      <c r="M23" s="52">
        <v>0</v>
      </c>
      <c r="N23" s="52">
        <v>0</v>
      </c>
      <c r="O23" s="52">
        <v>0</v>
      </c>
      <c r="P23" s="52">
        <v>0</v>
      </c>
      <c r="Q23" s="52">
        <v>0</v>
      </c>
      <c r="R23" s="52">
        <v>0</v>
      </c>
      <c r="S23" s="52">
        <v>0</v>
      </c>
      <c r="T23" s="52">
        <v>0</v>
      </c>
      <c r="U23" s="52">
        <v>0</v>
      </c>
      <c r="V23" s="52">
        <v>0</v>
      </c>
      <c r="W23" s="52">
        <v>0</v>
      </c>
      <c r="X23" s="52">
        <v>315.03999999999996</v>
      </c>
      <c r="Y23" s="52">
        <v>630.07999999999993</v>
      </c>
      <c r="Z23" s="52">
        <v>945.11999999999989</v>
      </c>
      <c r="AA23" s="52">
        <v>1260.1599999999999</v>
      </c>
      <c r="AB23" s="52">
        <v>1575.1999999999996</v>
      </c>
      <c r="AC23" s="52">
        <v>1890.2399999999998</v>
      </c>
      <c r="AD23" s="52">
        <v>2205.2799999999997</v>
      </c>
      <c r="AE23" s="52">
        <v>2520.3199999999997</v>
      </c>
      <c r="AF23" s="52">
        <v>2835.3599999999992</v>
      </c>
      <c r="AG23" s="52">
        <v>3150.3999999999992</v>
      </c>
      <c r="AH23" s="52">
        <v>3465.4399999999996</v>
      </c>
      <c r="AI23" s="52">
        <v>3780.4799999999996</v>
      </c>
      <c r="AJ23" s="52">
        <v>4095.5199999999995</v>
      </c>
      <c r="AK23" s="52">
        <v>4410.5599999999995</v>
      </c>
      <c r="AL23" s="52">
        <v>4410.5599999999995</v>
      </c>
      <c r="AM23" s="52">
        <v>4410.5599999999995</v>
      </c>
      <c r="AN23" s="52">
        <v>4410.5599999999995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21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_xlfn.LET(_xlpm.site,$B$1&amp;"-"&amp;$C$1,_xlpm.locations,Base!$D$4:$BD$4,_xlpm.rates,Base!$D31:$BD31,_xlpm.hours,Base!$D74:$BD74,_xlpm.comp,_xlpm.rates*_xlpm.hours,_xlpm.Customer,_xlfn.ANCHORARRAY($E$1),
_xlpm.Customer_comp,_xlfn.XLOOKUP(_xlpm.site,_xlpm.locations,_xlpm.comp,0,0),_xlpm.ann_incr,_xlfn.XLOOKUP(YEAR(_xlfn.ANCHORARRAY($E$25)),Base!$BJ$4:$BL$4,Base!$BJ74:$BL74,0,0),
_xlpm.bad_debt,_xlfn.XLOOKUP(_xlpm.site,_xlpm.locations,Base!$D$28:$BD$28,0,0),_xlpm.Customer_comp*_xlpm.Customer*_xlpm.bad_debt*_xlpm.ann_incr*(52/12))</f>
        <v>0</v>
      </c>
      <c r="F26" s="12">
        <v>0</v>
      </c>
      <c r="G26" s="12">
        <v>0</v>
      </c>
      <c r="H26" s="12">
        <v>0</v>
      </c>
      <c r="I26" s="12">
        <v>0</v>
      </c>
      <c r="J26" s="12">
        <v>0</v>
      </c>
      <c r="K26" s="12">
        <v>0</v>
      </c>
      <c r="L26" s="12">
        <v>0</v>
      </c>
      <c r="M26" s="12">
        <v>0</v>
      </c>
      <c r="N26" s="12">
        <v>0</v>
      </c>
      <c r="O26" s="12">
        <v>0</v>
      </c>
      <c r="P26" s="12">
        <v>0</v>
      </c>
      <c r="Q26" s="12">
        <v>0</v>
      </c>
      <c r="R26" s="12">
        <v>0</v>
      </c>
      <c r="S26" s="12">
        <v>0</v>
      </c>
      <c r="T26" s="12">
        <v>0</v>
      </c>
      <c r="U26" s="12">
        <v>0</v>
      </c>
      <c r="V26" s="12">
        <v>0</v>
      </c>
      <c r="W26" s="12">
        <v>0</v>
      </c>
      <c r="X26" s="12">
        <v>46796.978800000004</v>
      </c>
      <c r="Y26" s="12">
        <v>93593.957600000009</v>
      </c>
      <c r="Z26" s="12">
        <v>140390.93640000001</v>
      </c>
      <c r="AA26" s="12">
        <v>187187.91520000002</v>
      </c>
      <c r="AB26" s="12">
        <v>233984.89399999997</v>
      </c>
      <c r="AC26" s="12">
        <v>280781.87280000001</v>
      </c>
      <c r="AD26" s="12">
        <v>327578.85159999994</v>
      </c>
      <c r="AE26" s="12">
        <v>374375.83040000004</v>
      </c>
      <c r="AF26" s="12">
        <v>421172.80919999996</v>
      </c>
      <c r="AG26" s="12">
        <v>467969.78799999994</v>
      </c>
      <c r="AH26" s="12">
        <v>514766.76679999998</v>
      </c>
      <c r="AI26" s="12">
        <v>561563.74560000002</v>
      </c>
      <c r="AJ26" s="12">
        <v>608360.72439999995</v>
      </c>
      <c r="AK26" s="12">
        <v>655157.70319999987</v>
      </c>
      <c r="AL26" s="12">
        <v>655157.70319999987</v>
      </c>
      <c r="AM26" s="12">
        <v>655157.70319999987</v>
      </c>
      <c r="AN26" s="12">
        <v>655157.70319999987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_xlfn.LET(_xlpm.site,$B$1&amp;"-"&amp;$C$1,_xlpm.locations,Base!$D$4:$BD$4,_xlpm.rates,Base!$D32:$BD32,_xlpm.hours,Base!$D75:$BD75,_xlpm.comp,_xlpm.rates*_xlpm.hours,_xlpm.Customer,_xlfn.ANCHORARRAY($E$1),
_xlpm.Customer_comp,_xlfn.XLOOKUP(_xlpm.site,_xlpm.locations,_xlpm.comp,0,0),_xlpm.ann_incr,_xlfn.XLOOKUP(YEAR(_xlfn.ANCHORARRAY($E$25)),Base!$BJ$4:$BL$4,Base!$BJ75:$BL75,0,0),
_xlpm.bad_debt,_xlfn.XLOOKUP(_xlpm.site,_xlpm.locations,Base!$D$28:$BD$28,0,0),_xlpm.Customer_comp*_xlpm.Customer*_xlpm.bad_debt*_xlpm.ann_incr*(52/12))</f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2743.8788</v>
      </c>
      <c r="Y27" s="12">
        <v>5487.7575999999999</v>
      </c>
      <c r="Z27" s="12">
        <v>8231.6363999999994</v>
      </c>
      <c r="AA27" s="12">
        <v>10975.5152</v>
      </c>
      <c r="AB27" s="12">
        <v>13719.393999999998</v>
      </c>
      <c r="AC27" s="12">
        <v>16463.272799999999</v>
      </c>
      <c r="AD27" s="12">
        <v>19207.151600000001</v>
      </c>
      <c r="AE27" s="12">
        <v>21951.0304</v>
      </c>
      <c r="AF27" s="12">
        <v>24694.909199999995</v>
      </c>
      <c r="AG27" s="12">
        <v>27438.787999999997</v>
      </c>
      <c r="AH27" s="12">
        <v>30182.666799999999</v>
      </c>
      <c r="AI27" s="12">
        <v>32926.545599999998</v>
      </c>
      <c r="AJ27" s="12">
        <v>35670.424399999996</v>
      </c>
      <c r="AK27" s="12">
        <v>38414.303200000002</v>
      </c>
      <c r="AL27" s="12">
        <v>38414.303200000002</v>
      </c>
      <c r="AM27" s="12">
        <v>38414.303200000002</v>
      </c>
      <c r="AN27" s="12">
        <v>38414.303200000002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_xlfn.LET(_xlpm.site,$B$1&amp;"-"&amp;$C$1,_xlpm.locations,Base!$D$4:$BD$4,_xlpm.rates,Base!$D33:$BD33,_xlpm.hours,Base!$D76:$BD76,_xlpm.comp,_xlpm.rates*_xlpm.hours,_xlpm.Customer,_xlfn.ANCHORARRAY($E$1),
_xlpm.Customer_comp,_xlfn.XLOOKUP(_xlpm.site,_xlpm.locations,_xlpm.comp,0,0),_xlpm.ann_incr,_xlfn.XLOOKUP(YEAR(_xlfn.ANCHORARRAY($E$25)),Base!$BJ$4:$BL$4,Base!$BJ76:$BL76,0,0),
_xlpm.bad_debt,_xlfn.XLOOKUP(_xlpm.site,_xlpm.locations,Base!$D$28:$BD$28,0,0),_xlpm.Customer_comp*_xlpm.Customer*_xlpm.bad_debt*_xlpm.ann_incr*(52/12))</f>
        <v>0</v>
      </c>
      <c r="F28" s="12">
        <v>0</v>
      </c>
      <c r="G28" s="12">
        <v>0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0</v>
      </c>
      <c r="N28" s="12">
        <v>0</v>
      </c>
      <c r="O28" s="12">
        <v>0</v>
      </c>
      <c r="P28" s="12">
        <v>0</v>
      </c>
      <c r="Q28" s="12">
        <v>0</v>
      </c>
      <c r="R28" s="12">
        <v>0</v>
      </c>
      <c r="S28" s="12">
        <v>0</v>
      </c>
      <c r="T28" s="12">
        <v>0</v>
      </c>
      <c r="U28" s="12">
        <v>0</v>
      </c>
      <c r="V28" s="12">
        <v>0</v>
      </c>
      <c r="W28" s="12">
        <v>0</v>
      </c>
      <c r="X28" s="12">
        <v>6521.1174599999977</v>
      </c>
      <c r="Y28" s="12">
        <v>13042.234919999995</v>
      </c>
      <c r="Z28" s="12">
        <v>19563.352379999993</v>
      </c>
      <c r="AA28" s="12">
        <v>26084.469839999991</v>
      </c>
      <c r="AB28" s="12">
        <v>32605.587299999992</v>
      </c>
      <c r="AC28" s="12">
        <v>39126.704759999986</v>
      </c>
      <c r="AD28" s="12">
        <v>45647.822219999987</v>
      </c>
      <c r="AE28" s="12">
        <v>52168.939679999981</v>
      </c>
      <c r="AF28" s="12">
        <v>58690.057139999983</v>
      </c>
      <c r="AG28" s="12">
        <v>65211.174599999984</v>
      </c>
      <c r="AH28" s="12">
        <v>71732.292059999978</v>
      </c>
      <c r="AI28" s="12">
        <v>78253.409519999972</v>
      </c>
      <c r="AJ28" s="12">
        <v>84774.526979999995</v>
      </c>
      <c r="AK28" s="12">
        <v>91295.644439999975</v>
      </c>
      <c r="AL28" s="12">
        <v>91295.644439999975</v>
      </c>
      <c r="AM28" s="12">
        <v>91295.644439999975</v>
      </c>
      <c r="AN28" s="12">
        <v>91295.644439999975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_xlfn.LET(_xlpm.site,$B$1&amp;"-"&amp;$C$1,_xlpm.locations,Base!$D$4:$BD$4,_xlpm.rates,Base!$D34:$BD34,_xlpm.hours,Base!$D77:$BD77,_xlpm.comp,_xlpm.rates*_xlpm.hours,_xlpm.Customer,_xlfn.ANCHORARRAY($E$1),
_xlpm.Customer_comp,_xlfn.XLOOKUP(_xlpm.site,_xlpm.locations,_xlpm.comp,0,0),_xlpm.ann_incr,_xlfn.XLOOKUP(YEAR(_xlfn.ANCHORARRAY($E$25)),Base!$BJ$4:$BL$4,Base!$BJ77:$BL77,0,0),
_xlpm.bad_debt,_xlfn.XLOOKUP(_xlpm.site,_xlpm.locations,Base!$D$28:$BD$28,0,0),_xlpm.Customer_comp*_xlpm.Customer*_xlpm.bad_debt*_xlpm.ann_incr*(52/12))</f>
        <v>0</v>
      </c>
      <c r="F29" s="12">
        <v>0</v>
      </c>
      <c r="G29" s="12">
        <v>0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0</v>
      </c>
      <c r="N29" s="12">
        <v>0</v>
      </c>
      <c r="O29" s="12">
        <v>0</v>
      </c>
      <c r="P29" s="12">
        <v>0</v>
      </c>
      <c r="Q29" s="12">
        <v>0</v>
      </c>
      <c r="R29" s="12">
        <v>0</v>
      </c>
      <c r="S29" s="12">
        <v>0</v>
      </c>
      <c r="T29" s="12">
        <v>0</v>
      </c>
      <c r="U29" s="12">
        <v>0</v>
      </c>
      <c r="V29" s="12">
        <v>0</v>
      </c>
      <c r="W29" s="12">
        <v>0</v>
      </c>
      <c r="X29" s="12">
        <v>501.62441999999999</v>
      </c>
      <c r="Y29" s="12">
        <v>1003.24884</v>
      </c>
      <c r="Z29" s="12">
        <v>1504.8732600000001</v>
      </c>
      <c r="AA29" s="12">
        <v>2006.4976799999999</v>
      </c>
      <c r="AB29" s="12">
        <v>2508.1221</v>
      </c>
      <c r="AC29" s="12">
        <v>3009.7465200000001</v>
      </c>
      <c r="AD29" s="12">
        <v>3511.3709400000002</v>
      </c>
      <c r="AE29" s="12">
        <v>4012.9953599999999</v>
      </c>
      <c r="AF29" s="12">
        <v>4514.61978</v>
      </c>
      <c r="AG29" s="12">
        <v>5016.2442000000001</v>
      </c>
      <c r="AH29" s="12">
        <v>5517.8686199999993</v>
      </c>
      <c r="AI29" s="12">
        <v>6019.4930400000003</v>
      </c>
      <c r="AJ29" s="12">
        <v>6521.1174600000013</v>
      </c>
      <c r="AK29" s="12">
        <v>7022.7418800000005</v>
      </c>
      <c r="AL29" s="12">
        <v>7022.7418800000005</v>
      </c>
      <c r="AM29" s="12">
        <v>7022.7418800000005</v>
      </c>
      <c r="AN29" s="12">
        <v>7022.7418800000005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_xlfn.LET(_xlpm.site,$B$1&amp;"-"&amp;$C$1,_xlpm.locations,Base!$D$4:$BD$4,_xlpm.rates,Base!$D35:$BD35,_xlpm.hours,Base!$D78:$BD78,_xlpm.comp,_xlpm.rates*_xlpm.hours,_xlpm.Customer,_xlfn.ANCHORARRAY($E$1),
_xlpm.Customer_comp,_xlfn.XLOOKUP(_xlpm.site,_xlpm.locations,_xlpm.comp,0,0),_xlpm.ann_incr,_xlfn.XLOOKUP(YEAR(_xlfn.ANCHORARRAY($E$25)),Base!$BJ$4:$BL$4,Base!$BJ78:$BL78,0,0),
_xlpm.bad_debt,_xlfn.XLOOKUP(_xlpm.site,_xlpm.locations,Base!$D$28:$BD$28,0,0),_xlpm.Customer_comp*_xlpm.Customer*_xlpm.bad_debt*_xlpm.ann_incr*(52/12))</f>
        <v>0</v>
      </c>
      <c r="F30" s="12">
        <v>0</v>
      </c>
      <c r="G30" s="12">
        <v>0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0</v>
      </c>
      <c r="N30" s="12">
        <v>0</v>
      </c>
      <c r="O30" s="12">
        <v>0</v>
      </c>
      <c r="P30" s="12">
        <v>0</v>
      </c>
      <c r="Q30" s="12">
        <v>0</v>
      </c>
      <c r="R30" s="12">
        <v>0</v>
      </c>
      <c r="S30" s="12">
        <v>0</v>
      </c>
      <c r="T30" s="12">
        <v>0</v>
      </c>
      <c r="U30" s="12">
        <v>0</v>
      </c>
      <c r="V30" s="12">
        <v>0</v>
      </c>
      <c r="W30" s="12">
        <v>0</v>
      </c>
      <c r="X30" s="12">
        <v>654.50319999999988</v>
      </c>
      <c r="Y30" s="12">
        <v>1309.0063999999998</v>
      </c>
      <c r="Z30" s="12">
        <v>1963.5095999999999</v>
      </c>
      <c r="AA30" s="12">
        <v>2618.0127999999995</v>
      </c>
      <c r="AB30" s="12">
        <v>3272.5159999999996</v>
      </c>
      <c r="AC30" s="12">
        <v>3927.0191999999997</v>
      </c>
      <c r="AD30" s="12">
        <v>4581.5223999999998</v>
      </c>
      <c r="AE30" s="12">
        <v>5236.025599999999</v>
      </c>
      <c r="AF30" s="12">
        <v>5890.5288</v>
      </c>
      <c r="AG30" s="12">
        <v>6545.0319999999992</v>
      </c>
      <c r="AH30" s="12">
        <v>7199.5351999999993</v>
      </c>
      <c r="AI30" s="12">
        <v>7854.0383999999995</v>
      </c>
      <c r="AJ30" s="12">
        <v>8508.5416000000005</v>
      </c>
      <c r="AK30" s="12">
        <v>9163.0447999999997</v>
      </c>
      <c r="AL30" s="12">
        <v>9163.0447999999997</v>
      </c>
      <c r="AM30" s="12">
        <v>9163.0447999999997</v>
      </c>
      <c r="AN30" s="12">
        <v>9163.0447999999997</v>
      </c>
    </row>
    <row r="31" spans="2:50" x14ac:dyDescent="0.25">
      <c r="B31" s="39" t="str">
        <f>Base!B36</f>
        <v>Tertiary Direct Staff - Service A</v>
      </c>
      <c r="C31" s="4"/>
      <c r="E31" s="183" cm="1">
        <f t="array" ref="E31:AN31">_xlfn.LET(_xlpm.site,$B$1&amp;"-"&amp;$C$1,_xlpm.locations,Base!$D$4:$BD$4,_xlpm.rates,Base!$D36:$BD36,_xlpm.hours,Base!$D79:$BD79,_xlpm.comp,_xlpm.rates*_xlpm.hours,_xlpm.Customer,_xlfn.ANCHORARRAY($E$1)*0,
_xlpm.Customer_comp,_xlfn.XLOOKUP(_xlpm.site,_xlpm.locations,_xlpm.comp,0,0),_xlpm.ann_incr,_xlfn.XLOOKUP(YEAR(_xlfn.ANCHORARRAY($E$25)),Base!$BJ$4:$BL$4,Base!$BJ79:$BL79,0,0),
_xlpm.bad_debt,_xlfn.XLOOKUP(_xlpm.site,_xlpm.locations,Base!$D$28:$BD$28,0,0),_xlpm.Customer_comp*_xlpm.Customer*_xlpm.bad_debt*_xlpm.ann_incr*(52/12))</f>
        <v>0</v>
      </c>
      <c r="F31" s="183">
        <v>0</v>
      </c>
      <c r="G31" s="183">
        <v>0</v>
      </c>
      <c r="H31" s="183">
        <v>0</v>
      </c>
      <c r="I31" s="183">
        <v>0</v>
      </c>
      <c r="J31" s="183">
        <v>0</v>
      </c>
      <c r="K31" s="183">
        <v>0</v>
      </c>
      <c r="L31" s="183">
        <v>0</v>
      </c>
      <c r="M31" s="183">
        <v>0</v>
      </c>
      <c r="N31" s="183">
        <v>0</v>
      </c>
      <c r="O31" s="183">
        <v>0</v>
      </c>
      <c r="P31" s="183">
        <v>0</v>
      </c>
      <c r="Q31" s="183">
        <v>0</v>
      </c>
      <c r="R31" s="183">
        <v>0</v>
      </c>
      <c r="S31" s="183">
        <v>0</v>
      </c>
      <c r="T31" s="183">
        <v>0</v>
      </c>
      <c r="U31" s="183">
        <v>0</v>
      </c>
      <c r="V31" s="183">
        <v>0</v>
      </c>
      <c r="W31" s="183">
        <v>0</v>
      </c>
      <c r="X31" s="183">
        <v>0</v>
      </c>
      <c r="Y31" s="183">
        <v>0</v>
      </c>
      <c r="Z31" s="183">
        <v>0</v>
      </c>
      <c r="AA31" s="183">
        <v>0</v>
      </c>
      <c r="AB31" s="183">
        <v>0</v>
      </c>
      <c r="AC31" s="183">
        <v>0</v>
      </c>
      <c r="AD31" s="183">
        <v>0</v>
      </c>
      <c r="AE31" s="183">
        <v>0</v>
      </c>
      <c r="AF31" s="183">
        <v>0</v>
      </c>
      <c r="AG31" s="183">
        <v>0</v>
      </c>
      <c r="AH31" s="183">
        <v>0</v>
      </c>
      <c r="AI31" s="183">
        <v>0</v>
      </c>
      <c r="AJ31" s="183">
        <v>0</v>
      </c>
      <c r="AK31" s="183">
        <v>0</v>
      </c>
      <c r="AL31" s="183">
        <v>0</v>
      </c>
      <c r="AM31" s="183">
        <v>0</v>
      </c>
      <c r="AN31" s="183">
        <v>0</v>
      </c>
    </row>
    <row r="32" spans="2:50" x14ac:dyDescent="0.25">
      <c r="B32" s="39" t="str">
        <f>Base!B37</f>
        <v>Tertiary Direct Staff - Service B</v>
      </c>
      <c r="C32" s="4"/>
      <c r="E32" s="183" cm="1">
        <f t="array" ref="E32:AN32">_xlfn.LET(_xlpm.site,$B$1&amp;"-"&amp;$C$1,_xlpm.locations,Base!$D$4:$BD$4,_xlpm.rates,Base!$D37:$BD37,_xlpm.hours,Base!$D80:$BD80,_xlpm.comp,_xlpm.rates*_xlpm.hours,_xlpm.Customer,_xlfn.ANCHORARRAY($E$1)*0,
_xlpm.Customer_comp,_xlfn.XLOOKUP(_xlpm.site,_xlpm.locations,_xlpm.comp,0,0),_xlpm.ann_incr,_xlfn.XLOOKUP(YEAR(_xlfn.ANCHORARRAY($E$25)),Base!$BJ$4:$BL$4,Base!$BJ80:$BL80,0,0),
_xlpm.bad_debt,_xlfn.XLOOKUP(_xlpm.site,_xlpm.locations,Base!$D$28:$BD$28,0,0),_xlpm.Customer_comp*_xlpm.Customer*_xlpm.bad_debt*_xlpm.ann_incr*(52/12))</f>
        <v>0</v>
      </c>
      <c r="F32" s="183">
        <v>0</v>
      </c>
      <c r="G32" s="183">
        <v>0</v>
      </c>
      <c r="H32" s="183">
        <v>0</v>
      </c>
      <c r="I32" s="183">
        <v>0</v>
      </c>
      <c r="J32" s="183">
        <v>0</v>
      </c>
      <c r="K32" s="183">
        <v>0</v>
      </c>
      <c r="L32" s="183">
        <v>0</v>
      </c>
      <c r="M32" s="183">
        <v>0</v>
      </c>
      <c r="N32" s="183">
        <v>0</v>
      </c>
      <c r="O32" s="183">
        <v>0</v>
      </c>
      <c r="P32" s="183">
        <v>0</v>
      </c>
      <c r="Q32" s="183">
        <v>0</v>
      </c>
      <c r="R32" s="183">
        <v>0</v>
      </c>
      <c r="S32" s="183">
        <v>0</v>
      </c>
      <c r="T32" s="183">
        <v>0</v>
      </c>
      <c r="U32" s="183">
        <v>0</v>
      </c>
      <c r="V32" s="183">
        <v>0</v>
      </c>
      <c r="W32" s="183">
        <v>0</v>
      </c>
      <c r="X32" s="183">
        <v>0</v>
      </c>
      <c r="Y32" s="183">
        <v>0</v>
      </c>
      <c r="Z32" s="183">
        <v>0</v>
      </c>
      <c r="AA32" s="183">
        <v>0</v>
      </c>
      <c r="AB32" s="183">
        <v>0</v>
      </c>
      <c r="AC32" s="183">
        <v>0</v>
      </c>
      <c r="AD32" s="183">
        <v>0</v>
      </c>
      <c r="AE32" s="183">
        <v>0</v>
      </c>
      <c r="AF32" s="183">
        <v>0</v>
      </c>
      <c r="AG32" s="183">
        <v>0</v>
      </c>
      <c r="AH32" s="183">
        <v>0</v>
      </c>
      <c r="AI32" s="183">
        <v>0</v>
      </c>
      <c r="AJ32" s="183">
        <v>0</v>
      </c>
      <c r="AK32" s="183">
        <v>0</v>
      </c>
      <c r="AL32" s="183">
        <v>0</v>
      </c>
      <c r="AM32" s="183">
        <v>0</v>
      </c>
      <c r="AN32" s="183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_xlpm.Customer,_xlfn.ANCHORARRAY($E$2),_xlpm.ann_incr,_xlfn.XLOOKUP(YEAR(_xlfn.ANCHORARRAY($E$25)),Base!$BJ$4:$BL$4,Base!$BJ$81:$BL$81,0,0),
_xlpm.bad_debt,_xlfn.XLOOKUP(_xlpm.site,_xlpm.locations,Base!$D$28:$BD$28,0,0),
_xlpm.comp*_xlpm.bad_debt*_xlpm.ann_incr*(52/12))</f>
        <v>0</v>
      </c>
      <c r="F33" s="12">
        <v>0</v>
      </c>
      <c r="G33" s="12">
        <v>0</v>
      </c>
      <c r="H33" s="12">
        <v>0</v>
      </c>
      <c r="I33" s="12">
        <v>0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2">
        <v>26688.836416666662</v>
      </c>
      <c r="Y33" s="12">
        <v>26688.836416666662</v>
      </c>
      <c r="Z33" s="12">
        <v>26688.836416666662</v>
      </c>
      <c r="AA33" s="12">
        <v>26688.836416666662</v>
      </c>
      <c r="AB33" s="12">
        <v>26688.836416666662</v>
      </c>
      <c r="AC33" s="12">
        <v>26688.836416666662</v>
      </c>
      <c r="AD33" s="12">
        <v>26688.836416666662</v>
      </c>
      <c r="AE33" s="12">
        <v>26688.836416666662</v>
      </c>
      <c r="AF33" s="12">
        <v>26688.836416666662</v>
      </c>
      <c r="AG33" s="12">
        <v>26688.836416666662</v>
      </c>
      <c r="AH33" s="12">
        <v>26688.836416666662</v>
      </c>
      <c r="AI33" s="12">
        <v>26688.836416666662</v>
      </c>
      <c r="AJ33" s="12">
        <v>26688.836416666662</v>
      </c>
      <c r="AK33" s="12">
        <v>26688.836416666662</v>
      </c>
      <c r="AL33" s="12">
        <v>26688.836416666662</v>
      </c>
      <c r="AM33" s="12">
        <v>26688.836416666662</v>
      </c>
      <c r="AN33" s="12">
        <v>26688.836416666662</v>
      </c>
    </row>
    <row r="34" spans="2:40" x14ac:dyDescent="0.25">
      <c r="B34" s="39" t="str">
        <f>Base!B39</f>
        <v>Quinary Direct Staff - Service A</v>
      </c>
      <c r="C34" s="4"/>
      <c r="E34" s="183" cm="1">
        <f t="array" ref="E34:AN34">_xlfn.LET(_xlpm.site,$B$1&amp;"-"&amp;$C$1,_xlpm.locations,Base!$D$4:$BD$4,_xlpm.rates,Base!$D39:$BD39,_xlpm.hours,Base!$D82:$BD82,_xlpm.comp,_xlpm.rates*_xlpm.hours,_xlpm.Customer,_xlfn.ANCHORARRAY($E$1)*0,
_xlpm.Customer_comp,_xlfn.XLOOKUP(_xlpm.site,_xlpm.locations,_xlpm.comp,0,0),_xlpm.ann_incr,_xlfn.XLOOKUP(YEAR(_xlfn.ANCHORARRAY($E$25)),Base!$BJ$4:$BL$4,Base!$BJ82:$BL82,0,0),
_xlpm.bad_debt,_xlfn.XLOOKUP(_xlpm.site,_xlpm.locations,Base!$D$28:$BD$28,0,0),_xlpm.Customer_comp*_xlpm.Customer*_xlpm.bad_debt*_xlpm.ann_incr*(52/12))</f>
        <v>0</v>
      </c>
      <c r="F34" s="183">
        <v>0</v>
      </c>
      <c r="G34" s="183">
        <v>0</v>
      </c>
      <c r="H34" s="183">
        <v>0</v>
      </c>
      <c r="I34" s="183">
        <v>0</v>
      </c>
      <c r="J34" s="183">
        <v>0</v>
      </c>
      <c r="K34" s="183">
        <v>0</v>
      </c>
      <c r="L34" s="183">
        <v>0</v>
      </c>
      <c r="M34" s="183">
        <v>0</v>
      </c>
      <c r="N34" s="183">
        <v>0</v>
      </c>
      <c r="O34" s="183">
        <v>0</v>
      </c>
      <c r="P34" s="183">
        <v>0</v>
      </c>
      <c r="Q34" s="183">
        <v>0</v>
      </c>
      <c r="R34" s="183">
        <v>0</v>
      </c>
      <c r="S34" s="183">
        <v>0</v>
      </c>
      <c r="T34" s="183">
        <v>0</v>
      </c>
      <c r="U34" s="183">
        <v>0</v>
      </c>
      <c r="V34" s="183">
        <v>0</v>
      </c>
      <c r="W34" s="183">
        <v>0</v>
      </c>
      <c r="X34" s="183">
        <v>0</v>
      </c>
      <c r="Y34" s="183">
        <v>0</v>
      </c>
      <c r="Z34" s="183">
        <v>0</v>
      </c>
      <c r="AA34" s="183">
        <v>0</v>
      </c>
      <c r="AB34" s="183">
        <v>0</v>
      </c>
      <c r="AC34" s="183">
        <v>0</v>
      </c>
      <c r="AD34" s="183">
        <v>0</v>
      </c>
      <c r="AE34" s="183">
        <v>0</v>
      </c>
      <c r="AF34" s="183">
        <v>0</v>
      </c>
      <c r="AG34" s="183">
        <v>0</v>
      </c>
      <c r="AH34" s="183">
        <v>0</v>
      </c>
      <c r="AI34" s="183">
        <v>0</v>
      </c>
      <c r="AJ34" s="183">
        <v>0</v>
      </c>
      <c r="AK34" s="183">
        <v>0</v>
      </c>
      <c r="AL34" s="183">
        <v>0</v>
      </c>
      <c r="AM34" s="183">
        <v>0</v>
      </c>
      <c r="AN34" s="183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0</v>
      </c>
      <c r="F35" s="12">
        <v>0</v>
      </c>
      <c r="G35" s="12">
        <v>0</v>
      </c>
      <c r="H35" s="12">
        <v>0</v>
      </c>
      <c r="I35" s="12">
        <v>0</v>
      </c>
      <c r="J35" s="12">
        <v>0</v>
      </c>
      <c r="K35" s="12">
        <v>0</v>
      </c>
      <c r="L35" s="12">
        <v>0</v>
      </c>
      <c r="M35" s="12">
        <v>0</v>
      </c>
      <c r="N35" s="12">
        <v>0</v>
      </c>
      <c r="O35" s="12">
        <v>0</v>
      </c>
      <c r="P35" s="12">
        <v>0</v>
      </c>
      <c r="Q35" s="12">
        <v>0</v>
      </c>
      <c r="R35" s="12">
        <v>0</v>
      </c>
      <c r="S35" s="12">
        <v>0</v>
      </c>
      <c r="T35" s="12">
        <v>0</v>
      </c>
      <c r="U35" s="12">
        <v>0</v>
      </c>
      <c r="V35" s="12">
        <v>0</v>
      </c>
      <c r="W35" s="12">
        <v>0</v>
      </c>
      <c r="X35" s="12">
        <v>-10068.832691599999</v>
      </c>
      <c r="Y35" s="12">
        <v>-16935.005013199996</v>
      </c>
      <c r="Z35" s="12">
        <v>-23801.177334799995</v>
      </c>
      <c r="AA35" s="12">
        <v>-30667.349656399994</v>
      </c>
      <c r="AB35" s="12">
        <v>-37533.521977999997</v>
      </c>
      <c r="AC35" s="12">
        <v>-44399.694299599993</v>
      </c>
      <c r="AD35" s="12">
        <v>-51265.866621199988</v>
      </c>
      <c r="AE35" s="12">
        <v>-58132.038942799998</v>
      </c>
      <c r="AF35" s="12">
        <v>-64998.211264399994</v>
      </c>
      <c r="AG35" s="12">
        <v>-71864.383585999982</v>
      </c>
      <c r="AH35" s="12">
        <v>-78730.555907599992</v>
      </c>
      <c r="AI35" s="12">
        <v>-85596.728229199987</v>
      </c>
      <c r="AJ35" s="12">
        <v>-92462.900550799983</v>
      </c>
      <c r="AK35" s="12">
        <v>-99329.072872399964</v>
      </c>
      <c r="AL35" s="12">
        <v>-99329.072872399964</v>
      </c>
      <c r="AM35" s="12">
        <v>-99329.072872399964</v>
      </c>
      <c r="AN35" s="12">
        <v>-99329.072872399964</v>
      </c>
    </row>
    <row r="36" spans="2:40" x14ac:dyDescent="0.25">
      <c r="B36" s="39" t="s">
        <v>261</v>
      </c>
      <c r="C36" s="15"/>
      <c r="E36" s="183" cm="1">
        <f t="array" ref="E36:AN36">_xlfn.BYCOL(_xlfn.ANCHORARRAY($E$25),_xlfn.LAMBDA(_xlpm.a,0))</f>
        <v>0</v>
      </c>
      <c r="F36" s="183">
        <v>0</v>
      </c>
      <c r="G36" s="183">
        <v>0</v>
      </c>
      <c r="H36" s="183">
        <v>0</v>
      </c>
      <c r="I36" s="183">
        <v>0</v>
      </c>
      <c r="J36" s="183">
        <v>0</v>
      </c>
      <c r="K36" s="183">
        <v>0</v>
      </c>
      <c r="L36" s="183">
        <v>0</v>
      </c>
      <c r="M36" s="183">
        <v>0</v>
      </c>
      <c r="N36" s="183">
        <v>0</v>
      </c>
      <c r="O36" s="183">
        <v>0</v>
      </c>
      <c r="P36" s="183">
        <v>0</v>
      </c>
      <c r="Q36" s="183">
        <v>0</v>
      </c>
      <c r="R36" s="183">
        <v>0</v>
      </c>
      <c r="S36" s="183">
        <v>0</v>
      </c>
      <c r="T36" s="183">
        <v>0</v>
      </c>
      <c r="U36" s="183">
        <v>0</v>
      </c>
      <c r="V36" s="183">
        <v>0</v>
      </c>
      <c r="W36" s="183">
        <v>0</v>
      </c>
      <c r="X36" s="183">
        <v>0</v>
      </c>
      <c r="Y36" s="183">
        <v>0</v>
      </c>
      <c r="Z36" s="183">
        <v>0</v>
      </c>
      <c r="AA36" s="183">
        <v>0</v>
      </c>
      <c r="AB36" s="183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271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0</v>
      </c>
      <c r="S37" s="13">
        <v>0</v>
      </c>
      <c r="T37" s="13">
        <v>0</v>
      </c>
      <c r="U37" s="13">
        <v>0</v>
      </c>
      <c r="V37" s="13">
        <v>0</v>
      </c>
      <c r="W37" s="13">
        <v>0</v>
      </c>
      <c r="X37" s="13">
        <v>71094.22760506667</v>
      </c>
      <c r="Y37" s="13">
        <v>118702.27916346668</v>
      </c>
      <c r="Z37" s="13">
        <v>166310.33072186666</v>
      </c>
      <c r="AA37" s="13">
        <v>213918.38228026667</v>
      </c>
      <c r="AB37" s="13">
        <v>261526.43383866665</v>
      </c>
      <c r="AC37" s="13">
        <v>309134.48539706669</v>
      </c>
      <c r="AD37" s="13">
        <v>356742.53695546661</v>
      </c>
      <c r="AE37" s="13">
        <v>404350.58851386671</v>
      </c>
      <c r="AF37" s="13">
        <v>451958.64007226669</v>
      </c>
      <c r="AG37" s="13">
        <v>499566.69163066661</v>
      </c>
      <c r="AH37" s="13">
        <v>547174.74318906665</v>
      </c>
      <c r="AI37" s="13">
        <v>594782.79474746657</v>
      </c>
      <c r="AJ37" s="13">
        <v>642390.84630586649</v>
      </c>
      <c r="AK37" s="13">
        <v>689998.89786426653</v>
      </c>
      <c r="AL37" s="13">
        <v>689998.89786426653</v>
      </c>
      <c r="AM37" s="13">
        <v>689998.89786426653</v>
      </c>
      <c r="AN37" s="13">
        <v>689998.89786426653</v>
      </c>
    </row>
    <row r="38" spans="2:40" x14ac:dyDescent="0.25">
      <c r="E38" s="67"/>
      <c r="F38" s="67"/>
    </row>
    <row r="39" spans="2:40" x14ac:dyDescent="0.25">
      <c r="B39" s="1" t="s">
        <v>118</v>
      </c>
    </row>
    <row r="40" spans="2:40" x14ac:dyDescent="0.25">
      <c r="B40" s="39" t="s">
        <v>23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0</v>
      </c>
      <c r="F40" s="12">
        <v>0</v>
      </c>
      <c r="G40" s="12">
        <v>0</v>
      </c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0</v>
      </c>
      <c r="N40" s="12">
        <v>0</v>
      </c>
      <c r="O40" s="12">
        <v>0</v>
      </c>
      <c r="P40" s="12">
        <v>0</v>
      </c>
      <c r="Q40" s="12">
        <v>0</v>
      </c>
      <c r="R40" s="12">
        <v>0</v>
      </c>
      <c r="S40" s="12">
        <v>0</v>
      </c>
      <c r="T40" s="12">
        <v>0</v>
      </c>
      <c r="U40" s="12">
        <v>0</v>
      </c>
      <c r="V40" s="12">
        <v>0</v>
      </c>
      <c r="W40" s="12">
        <v>0</v>
      </c>
      <c r="X40" s="12">
        <v>48771.788597403611</v>
      </c>
      <c r="Y40" s="12">
        <v>83459.072181473879</v>
      </c>
      <c r="Z40" s="12">
        <v>105664.5407788775</v>
      </c>
      <c r="AA40" s="12">
        <v>127825.75769628113</v>
      </c>
      <c r="AB40" s="12">
        <v>150023.12794701807</v>
      </c>
      <c r="AC40" s="12">
        <v>189774.28419886393</v>
      </c>
      <c r="AD40" s="12">
        <v>213959.21264134118</v>
      </c>
      <c r="AE40" s="12">
        <v>238453.51791715182</v>
      </c>
      <c r="AF40" s="12">
        <v>262879.5333742958</v>
      </c>
      <c r="AG40" s="12">
        <v>287179.6739834398</v>
      </c>
      <c r="AH40" s="12">
        <v>311802.64259258384</v>
      </c>
      <c r="AI40" s="12">
        <v>336345.62471639441</v>
      </c>
      <c r="AJ40" s="12">
        <v>360722.96332553838</v>
      </c>
      <c r="AK40" s="12">
        <v>378849.01843468234</v>
      </c>
      <c r="AL40" s="12">
        <v>379190.56110134901</v>
      </c>
      <c r="AM40" s="12">
        <v>379649.07043468236</v>
      </c>
      <c r="AN40" s="12">
        <v>379916.92410134897</v>
      </c>
    </row>
    <row r="41" spans="2:40" x14ac:dyDescent="0.25">
      <c r="B41" s="39" t="s">
        <v>388</v>
      </c>
      <c r="C41" s="142">
        <f>_xlfn.XLOOKUP($B$1&amp;"-"&amp;$C$1,Base!$D$4:$BD$4,Base!$D$12:$BD$12,0,0)</f>
        <v>0</v>
      </c>
      <c r="E41" s="183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28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15450</v>
      </c>
      <c r="Y42" s="12">
        <v>15450</v>
      </c>
      <c r="Z42" s="12">
        <v>15450</v>
      </c>
      <c r="AA42" s="12">
        <v>15450</v>
      </c>
      <c r="AB42" s="12">
        <v>15450</v>
      </c>
      <c r="AC42" s="12">
        <v>15913.5</v>
      </c>
      <c r="AD42" s="12">
        <v>15913.5</v>
      </c>
      <c r="AE42" s="12">
        <v>15913.5</v>
      </c>
      <c r="AF42" s="12">
        <v>15913.5</v>
      </c>
      <c r="AG42" s="12">
        <v>15913.5</v>
      </c>
      <c r="AH42" s="12">
        <v>15913.5</v>
      </c>
      <c r="AI42" s="12">
        <v>15913.5</v>
      </c>
      <c r="AJ42" s="12">
        <v>15913.5</v>
      </c>
      <c r="AK42" s="12">
        <v>15913.5</v>
      </c>
      <c r="AL42" s="12">
        <v>15913.5</v>
      </c>
      <c r="AM42" s="12">
        <v>15913.5</v>
      </c>
      <c r="AN42" s="12">
        <v>15913.5</v>
      </c>
    </row>
    <row r="43" spans="2:40" x14ac:dyDescent="0.25">
      <c r="B43" s="39" t="s">
        <v>31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0</v>
      </c>
      <c r="X43" s="12">
        <v>9048</v>
      </c>
      <c r="Y43" s="12">
        <v>9048</v>
      </c>
      <c r="Z43" s="12">
        <v>9048</v>
      </c>
      <c r="AA43" s="12">
        <v>9048</v>
      </c>
      <c r="AB43" s="12">
        <v>9048</v>
      </c>
      <c r="AC43" s="12">
        <v>9409.9200000000019</v>
      </c>
      <c r="AD43" s="12">
        <v>9409.9200000000019</v>
      </c>
      <c r="AE43" s="12">
        <v>9409.9200000000019</v>
      </c>
      <c r="AF43" s="12">
        <v>9409.9200000000019</v>
      </c>
      <c r="AG43" s="12">
        <v>9409.9200000000019</v>
      </c>
      <c r="AH43" s="12">
        <v>9409.9200000000019</v>
      </c>
      <c r="AI43" s="12">
        <v>9409.9200000000019</v>
      </c>
      <c r="AJ43" s="12">
        <v>9409.9200000000019</v>
      </c>
      <c r="AK43" s="12">
        <v>9409.9200000000019</v>
      </c>
      <c r="AL43" s="12">
        <v>9409.9200000000019</v>
      </c>
      <c r="AM43" s="12">
        <v>9409.9200000000019</v>
      </c>
      <c r="AN43" s="12">
        <v>9409.9200000000019</v>
      </c>
    </row>
    <row r="44" spans="2:40" x14ac:dyDescent="0.25">
      <c r="B44" s="39" t="s">
        <v>34</v>
      </c>
      <c r="C44" s="96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  <c r="O44" s="12">
        <v>0</v>
      </c>
      <c r="P44" s="12">
        <v>0</v>
      </c>
      <c r="Q44" s="12">
        <v>0</v>
      </c>
      <c r="R44" s="12">
        <v>0</v>
      </c>
      <c r="S44" s="12">
        <v>0</v>
      </c>
      <c r="T44" s="12">
        <v>0</v>
      </c>
      <c r="U44" s="12">
        <v>0</v>
      </c>
      <c r="V44" s="12">
        <v>0</v>
      </c>
      <c r="W44" s="12">
        <v>0</v>
      </c>
      <c r="X44" s="12">
        <v>378.451008</v>
      </c>
      <c r="Y44" s="12">
        <v>1002.1943359999999</v>
      </c>
      <c r="Z44" s="12">
        <v>1033.7319199999999</v>
      </c>
      <c r="AA44" s="12">
        <v>1065.2695039999999</v>
      </c>
      <c r="AB44" s="12">
        <v>1096.807088</v>
      </c>
      <c r="AC44" s="12">
        <v>1184.4114880000002</v>
      </c>
      <c r="AD44" s="12">
        <v>1213.5662323200002</v>
      </c>
      <c r="AE44" s="12">
        <v>1250.0096627200003</v>
      </c>
      <c r="AF44" s="12">
        <v>1282.80875008</v>
      </c>
      <c r="AG44" s="12">
        <v>1311.9634944000004</v>
      </c>
      <c r="AH44" s="12">
        <v>1352.0512678400003</v>
      </c>
      <c r="AI44" s="12">
        <v>1388.4946982400002</v>
      </c>
      <c r="AJ44" s="12">
        <v>1421.2937856000005</v>
      </c>
      <c r="AK44" s="12">
        <v>1202.6332032</v>
      </c>
      <c r="AL44" s="12">
        <v>1217.2105753600003</v>
      </c>
      <c r="AM44" s="12">
        <v>1235.4322905600002</v>
      </c>
      <c r="AN44" s="12">
        <v>1246.3653196800001</v>
      </c>
    </row>
    <row r="45" spans="2:40" x14ac:dyDescent="0.25">
      <c r="B45" s="39" t="s">
        <v>36</v>
      </c>
      <c r="C45" s="96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0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12">
        <v>0</v>
      </c>
      <c r="R45" s="12">
        <v>0</v>
      </c>
      <c r="S45" s="12">
        <v>0</v>
      </c>
      <c r="T45" s="12">
        <v>0</v>
      </c>
      <c r="U45" s="12">
        <v>0</v>
      </c>
      <c r="V45" s="12">
        <v>0</v>
      </c>
      <c r="W45" s="12">
        <v>0</v>
      </c>
      <c r="X45" s="12">
        <v>6630</v>
      </c>
      <c r="Y45" s="12">
        <v>6630</v>
      </c>
      <c r="Z45" s="12">
        <v>6630</v>
      </c>
      <c r="AA45" s="12">
        <v>6630</v>
      </c>
      <c r="AB45" s="12">
        <v>6630</v>
      </c>
      <c r="AC45" s="12">
        <v>6762.6</v>
      </c>
      <c r="AD45" s="12">
        <v>6762.6</v>
      </c>
      <c r="AE45" s="12">
        <v>6762.6</v>
      </c>
      <c r="AF45" s="12">
        <v>6762.6</v>
      </c>
      <c r="AG45" s="12">
        <v>6762.6</v>
      </c>
      <c r="AH45" s="12">
        <v>6762.6</v>
      </c>
      <c r="AI45" s="12">
        <v>6762.6</v>
      </c>
      <c r="AJ45" s="12">
        <v>6762.6</v>
      </c>
      <c r="AK45" s="12">
        <v>6762.6</v>
      </c>
      <c r="AL45" s="12">
        <v>6762.6</v>
      </c>
      <c r="AM45" s="12">
        <v>6762.6</v>
      </c>
      <c r="AN45" s="12">
        <v>6762.6</v>
      </c>
    </row>
    <row r="46" spans="2:40" x14ac:dyDescent="0.25">
      <c r="B46" s="39" t="s">
        <v>38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0</v>
      </c>
      <c r="F46" s="12">
        <v>0</v>
      </c>
      <c r="G46" s="12">
        <v>0</v>
      </c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0</v>
      </c>
      <c r="N46" s="12">
        <v>0</v>
      </c>
      <c r="O46" s="12">
        <v>0</v>
      </c>
      <c r="P46" s="12">
        <v>0</v>
      </c>
      <c r="Q46" s="12">
        <v>0</v>
      </c>
      <c r="R46" s="12">
        <v>0</v>
      </c>
      <c r="S46" s="12">
        <v>0</v>
      </c>
      <c r="T46" s="12">
        <v>0</v>
      </c>
      <c r="U46" s="12">
        <v>0</v>
      </c>
      <c r="V46" s="12">
        <v>0</v>
      </c>
      <c r="W46" s="12">
        <v>0</v>
      </c>
      <c r="X46" s="12">
        <v>3604.6799999999994</v>
      </c>
      <c r="Y46" s="12">
        <v>5507.4899999999989</v>
      </c>
      <c r="Z46" s="12">
        <v>6810.54</v>
      </c>
      <c r="AA46" s="12">
        <v>8110.0199999999995</v>
      </c>
      <c r="AB46" s="12">
        <v>9409.4999999999982</v>
      </c>
      <c r="AC46" s="12">
        <v>10937.725199999999</v>
      </c>
      <c r="AD46" s="12">
        <v>12255.912</v>
      </c>
      <c r="AE46" s="12">
        <v>13585.022999999999</v>
      </c>
      <c r="AF46" s="12">
        <v>14914.133999999998</v>
      </c>
      <c r="AG46" s="12">
        <v>16235.962199999998</v>
      </c>
      <c r="AH46" s="12">
        <v>17568.714599999999</v>
      </c>
      <c r="AI46" s="12">
        <v>18901.467000000001</v>
      </c>
      <c r="AJ46" s="12">
        <v>20226.936599999997</v>
      </c>
      <c r="AK46" s="12">
        <v>21297.508200000007</v>
      </c>
      <c r="AL46" s="12">
        <v>21312.073800000002</v>
      </c>
      <c r="AM46" s="12">
        <v>21330.280800000004</v>
      </c>
      <c r="AN46" s="12">
        <v>21341.205000000002</v>
      </c>
    </row>
    <row r="47" spans="2:40" x14ac:dyDescent="0.25">
      <c r="B47" s="39" t="s">
        <v>40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  <c r="O47" s="12">
        <v>0</v>
      </c>
      <c r="P47" s="12">
        <v>0</v>
      </c>
      <c r="Q47" s="12">
        <v>0</v>
      </c>
      <c r="R47" s="12">
        <v>0</v>
      </c>
      <c r="S47" s="12">
        <v>0</v>
      </c>
      <c r="T47" s="12">
        <v>0</v>
      </c>
      <c r="U47" s="12">
        <v>0</v>
      </c>
      <c r="V47" s="12">
        <v>0</v>
      </c>
      <c r="W47" s="12">
        <v>0</v>
      </c>
      <c r="X47" s="12">
        <v>6300</v>
      </c>
      <c r="Y47" s="12">
        <v>6300</v>
      </c>
      <c r="Z47" s="12">
        <v>6300</v>
      </c>
      <c r="AA47" s="12">
        <v>6300</v>
      </c>
      <c r="AB47" s="12">
        <v>6300</v>
      </c>
      <c r="AC47" s="12">
        <v>6615</v>
      </c>
      <c r="AD47" s="12">
        <v>6615</v>
      </c>
      <c r="AE47" s="12">
        <v>6615</v>
      </c>
      <c r="AF47" s="12">
        <v>6615</v>
      </c>
      <c r="AG47" s="12">
        <v>6615</v>
      </c>
      <c r="AH47" s="12">
        <v>6615</v>
      </c>
      <c r="AI47" s="12">
        <v>6615</v>
      </c>
      <c r="AJ47" s="12">
        <v>6615</v>
      </c>
      <c r="AK47" s="12">
        <v>6615</v>
      </c>
      <c r="AL47" s="12">
        <v>6615</v>
      </c>
      <c r="AM47" s="12">
        <v>6615</v>
      </c>
      <c r="AN47" s="12">
        <v>6615</v>
      </c>
    </row>
    <row r="48" spans="2:40" x14ac:dyDescent="0.25">
      <c r="B48" s="39" t="s">
        <v>41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151234.47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42</v>
      </c>
      <c r="E49" s="12">
        <f>'Corp.'!E$50*(E$37-(E31-E32-E34)*$C$35)/(SUM('MDA1:NCA9'!E$37)-SUM('MDA1:NCA9'!E$31)-SUM('MDA1:NCA9'!E$32)-SUM('MDA1:NCA9'!E$34))</f>
        <v>0</v>
      </c>
      <c r="F49" s="12">
        <f>'Corp.'!F$50*(F$37-(F31-F32-F34)*$C$35)/(SUM('MDA1:NCA9'!F$37)-SUM('MDA1:NCA9'!F$31)-SUM('MDA1:NCA9'!F$32)-SUM('MDA1:NCA9'!F$34))</f>
        <v>0</v>
      </c>
      <c r="G49" s="12">
        <f>'Corp.'!G$50*(G$37-(G31-G32-G34)*$C$35)/(SUM('MDA1:NCA9'!G$37)-SUM('MDA1:NCA9'!G$31)-SUM('MDA1:NCA9'!G$32)-SUM('MDA1:NCA9'!G$34))</f>
        <v>0</v>
      </c>
      <c r="H49" s="12">
        <f>'Corp.'!H$50*(H$37-(H31-H32-H34)*$C$35)/(SUM('MDA1:NCA9'!H$37)-SUM('MDA1:NCA9'!H$31)-SUM('MDA1:NCA9'!H$32)-SUM('MDA1:NCA9'!H$34))</f>
        <v>0</v>
      </c>
      <c r="I49" s="12">
        <f>'Corp.'!I$50*(I$37-(I31-I32-I34)*$C$35)/(SUM('MDA1:NCA9'!I$37)-SUM('MDA1:NCA9'!I$31)-SUM('MDA1:NCA9'!I$32)-SUM('MDA1:NCA9'!I$34))</f>
        <v>0</v>
      </c>
      <c r="J49" s="12">
        <f>'Corp.'!J$50*(J$37-(J31-J32-J34)*$C$35)/(SUM('MDA1:NCA9'!J$37)-SUM('MDA1:NCA9'!J$31)-SUM('MDA1:NCA9'!J$32)-SUM('MDA1:NCA9'!J$34))</f>
        <v>0</v>
      </c>
      <c r="K49" s="12">
        <f>'Corp.'!K$50*(K$37-(K31-K32-K34)*$C$35)/(SUM('MDA1:NCA9'!K$37)-SUM('MDA1:NCA9'!K$31)-SUM('MDA1:NCA9'!K$32)-SUM('MDA1:NCA9'!K$34))</f>
        <v>0</v>
      </c>
      <c r="L49" s="12">
        <f>'Corp.'!L$50*(L$37-(L31-L32-L34)*$C$35)/(SUM('MDA1:NCA9'!L$37)-SUM('MDA1:NCA9'!L$31)-SUM('MDA1:NCA9'!L$32)-SUM('MDA1:NCA9'!L$34))</f>
        <v>0</v>
      </c>
      <c r="M49" s="12">
        <f>'Corp.'!M$50*(M$37-(M31-M32-M34)*$C$35)/(SUM('MDA1:NCA9'!M$37)-SUM('MDA1:NCA9'!M$31)-SUM('MDA1:NCA9'!M$32)-SUM('MDA1:NCA9'!M$34))</f>
        <v>0</v>
      </c>
      <c r="N49" s="12">
        <f>'Corp.'!N$50*(N$37-(N31-N32-N34)*$C$35)/(SUM('MDA1:NCA9'!N$37)-SUM('MDA1:NCA9'!N$31)-SUM('MDA1:NCA9'!N$32)-SUM('MDA1:NCA9'!N$34))</f>
        <v>0</v>
      </c>
      <c r="O49" s="12">
        <f>'Corp.'!O$50*(O$37-(O31-O32-O34)*$C$35)/(SUM('MDA1:NCA9'!O$37)-SUM('MDA1:NCA9'!O$31)-SUM('MDA1:NCA9'!O$32)-SUM('MDA1:NCA9'!O$34))</f>
        <v>0</v>
      </c>
      <c r="P49" s="12">
        <f>'Corp.'!P$50*(P$37-(P31-P32-P34)*$C$35)/(SUM('MDA1:NCA9'!P$37)-SUM('MDA1:NCA9'!P$31)-SUM('MDA1:NCA9'!P$32)-SUM('MDA1:NCA9'!P$34))</f>
        <v>0</v>
      </c>
      <c r="Q49" s="12">
        <f>'Corp.'!Q$50*(Q$37-(Q31-Q32-Q34)*$C$35)/(SUM('MDA1:NCA9'!Q$37)-SUM('MDA1:NCA9'!Q$31)-SUM('MDA1:NCA9'!Q$32)-SUM('MDA1:NCA9'!Q$34))</f>
        <v>0</v>
      </c>
      <c r="R49" s="12">
        <f>'Corp.'!R$50*(R$37-(R31-R32-R34)*$C$35)/(SUM('MDA1:NCA9'!R$37)-SUM('MDA1:NCA9'!R$31)-SUM('MDA1:NCA9'!R$32)-SUM('MDA1:NCA9'!R$34))</f>
        <v>0</v>
      </c>
      <c r="S49" s="12">
        <f>'Corp.'!S$50*(S$37-(S31-S32-S34)*$C$35)/(SUM('MDA1:NCA9'!S$37)-SUM('MDA1:NCA9'!S$31)-SUM('MDA1:NCA9'!S$32)-SUM('MDA1:NCA9'!S$34))</f>
        <v>0</v>
      </c>
      <c r="T49" s="12">
        <f>'Corp.'!T$50*(T$37-(T31-T32-T34)*$C$35)/(SUM('MDA1:NCA9'!T$37)-SUM('MDA1:NCA9'!T$31)-SUM('MDA1:NCA9'!T$32)-SUM('MDA1:NCA9'!T$34))</f>
        <v>0</v>
      </c>
      <c r="U49" s="12">
        <f>'Corp.'!U$50*(U$37-(U31-U32-U34)*$C$35)/(SUM('MDA1:NCA9'!U$37)-SUM('MDA1:NCA9'!U$31)-SUM('MDA1:NCA9'!U$32)-SUM('MDA1:NCA9'!U$34))</f>
        <v>0</v>
      </c>
      <c r="V49" s="12">
        <f>'Corp.'!V$50*(V$37-(V31-V32-V34)*$C$35)/(SUM('MDA1:NCA9'!V$37)-SUM('MDA1:NCA9'!V$31)-SUM('MDA1:NCA9'!V$32)-SUM('MDA1:NCA9'!V$34))</f>
        <v>0</v>
      </c>
      <c r="W49" s="12">
        <f>'Corp.'!W$50*(W$37-(W31-W32-W34)*$C$35)/(SUM('MDA1:NCA9'!W$37)-SUM('MDA1:NCA9'!W$31)-SUM('MDA1:NCA9'!W$32)-SUM('MDA1:NCA9'!W$34))</f>
        <v>0</v>
      </c>
      <c r="X49" s="12">
        <f>'Corp.'!X$50*(X$37-(X31-X32-X34)*$C$35)/(SUM('MDA1:NCA9'!X$37)-SUM('MDA1:NCA9'!X$31)-SUM('MDA1:NCA9'!X$32)-SUM('MDA1:NCA9'!X$34))</f>
        <v>8691.6208309141239</v>
      </c>
      <c r="Y49" s="12">
        <f>'Corp.'!Y$50*(Y$37-(Y31-Y32-Y34)*$C$35)/(SUM('MDA1:NCA9'!Y$37)-SUM('MDA1:NCA9'!Y$31)-SUM('MDA1:NCA9'!Y$32)-SUM('MDA1:NCA9'!Y$34))</f>
        <v>14204.484479696415</v>
      </c>
      <c r="Z49" s="12">
        <f>'Corp.'!Z$50*(Z$37-(Z31-Z32-Z34)*$C$35)/(SUM('MDA1:NCA9'!Z$37)-SUM('MDA1:NCA9'!Z$31)-SUM('MDA1:NCA9'!Z$32)-SUM('MDA1:NCA9'!Z$34))</f>
        <v>19469.279787650932</v>
      </c>
      <c r="AA49" s="12">
        <f>'Corp.'!AA$50*(AA$37-(AA31-AA32-AA34)*$C$35)/(SUM('MDA1:NCA9'!AA$37)-SUM('MDA1:NCA9'!AA$31)-SUM('MDA1:NCA9'!AA$32)-SUM('MDA1:NCA9'!AA$34))</f>
        <v>24470.005873533199</v>
      </c>
      <c r="AB49" s="12">
        <f>'Corp.'!AB$50*(AB$37-(AB31-AB32-AB34)*$C$35)/(SUM('MDA1:NCA9'!AB$37)-SUM('MDA1:NCA9'!AB$31)-SUM('MDA1:NCA9'!AB$32)-SUM('MDA1:NCA9'!AB$34))</f>
        <v>29236.954323571401</v>
      </c>
      <c r="AC49" s="12">
        <f>'Corp.'!AC$50*(AC$37-(AC31-AC32-AC34)*$C$35)/(SUM('MDA1:NCA9'!AC$37)-SUM('MDA1:NCA9'!AC$31)-SUM('MDA1:NCA9'!AC$32)-SUM('MDA1:NCA9'!AC$34))</f>
        <v>37090.594064947727</v>
      </c>
      <c r="AD49" s="12">
        <f>'Corp.'!AD$50*(AD$37-(AD31-AD32-AD34)*$C$35)/(SUM('MDA1:NCA9'!AD$37)-SUM('MDA1:NCA9'!AD$31)-SUM('MDA1:NCA9'!AD$32)-SUM('MDA1:NCA9'!AD$34))</f>
        <v>42099.540226772217</v>
      </c>
      <c r="AE49" s="12">
        <f>'Corp.'!AE$50*(AE$37-(AE31-AE32-AE34)*$C$35)/(SUM('MDA1:NCA9'!AE$37)-SUM('MDA1:NCA9'!AE$31)-SUM('MDA1:NCA9'!AE$32)-SUM('MDA1:NCA9'!AE$34))</f>
        <v>46966.313072467761</v>
      </c>
      <c r="AF49" s="12">
        <f>'Corp.'!AF$50*(AF$37-(AF31-AF32-AF34)*$C$35)/(SUM('MDA1:NCA9'!AF$37)-SUM('MDA1:NCA9'!AF$31)-SUM('MDA1:NCA9'!AF$32)-SUM('MDA1:NCA9'!AF$34))</f>
        <v>51709.014592981715</v>
      </c>
      <c r="AG49" s="12">
        <f>'Corp.'!AG$50*(AG$37-(AG31-AG32-AG34)*$C$35)/(SUM('MDA1:NCA9'!AG$37)-SUM('MDA1:NCA9'!AG$31)-SUM('MDA1:NCA9'!AG$32)-SUM('MDA1:NCA9'!AG$34))</f>
        <v>56458.196868283019</v>
      </c>
      <c r="AH49" s="12">
        <f>'Corp.'!AH$50*(AH$37-(AH31-AH32-AH34)*$C$35)/(SUM('MDA1:NCA9'!AH$37)-SUM('MDA1:NCA9'!AH$31)-SUM('MDA1:NCA9'!AH$32)-SUM('MDA1:NCA9'!AH$34))</f>
        <v>60833.394300869142</v>
      </c>
      <c r="AI49" s="12">
        <f>'Corp.'!AI$50*(AI$37-(AI31-AI32-AI34)*$C$35)/(SUM('MDA1:NCA9'!AI$37)-SUM('MDA1:NCA9'!AI$31)-SUM('MDA1:NCA9'!AI$32)-SUM('MDA1:NCA9'!AI$34))</f>
        <v>64987.654414529294</v>
      </c>
      <c r="AJ49" s="12">
        <f>'Corp.'!AJ$50*(AJ$37-(AJ31-AJ32-AJ34)*$C$35)/(SUM('MDA1:NCA9'!AJ$37)-SUM('MDA1:NCA9'!AJ$31)-SUM('MDA1:NCA9'!AJ$32)-SUM('MDA1:NCA9'!AJ$34))</f>
        <v>68929.420082749668</v>
      </c>
      <c r="AK49" s="12">
        <f>'Corp.'!AK$50*(AK$37-(AK31-AK32-AK34)*$C$35)/(SUM('MDA1:NCA9'!AK$37)-SUM('MDA1:NCA9'!AK$31)-SUM('MDA1:NCA9'!AK$32)-SUM('MDA1:NCA9'!AK$34))</f>
        <v>72788.126846379178</v>
      </c>
      <c r="AL49" s="12">
        <f>'Corp.'!AL$50*(AL$37-(AL31-AL32-AL34)*$C$35)/(SUM('MDA1:NCA9'!AL$37)-SUM('MDA1:NCA9'!AL$31)-SUM('MDA1:NCA9'!AL$32)-SUM('MDA1:NCA9'!AL$34))</f>
        <v>71641.323887728504</v>
      </c>
      <c r="AM49" s="12">
        <f>'Corp.'!AM$50*(AM$37-(AM31-AM32-AM34)*$C$35)/(SUM('MDA1:NCA9'!AM$37)-SUM('MDA1:NCA9'!AM$31)-SUM('MDA1:NCA9'!AM$32)-SUM('MDA1:NCA9'!AM$34))</f>
        <v>70406.274276485157</v>
      </c>
      <c r="AN49" s="12">
        <f>'Corp.'!AN$50*(AN$37-(AN31-AN32-AN34)*$C$35)/(SUM('MDA1:NCA9'!AN$37)-SUM('MDA1:NCA9'!AN$31)-SUM('MDA1:NCA9'!AN$32)-SUM('MDA1:NCA9'!AN$34))</f>
        <v>69353.495383390065</v>
      </c>
    </row>
    <row r="50" spans="2:40" x14ac:dyDescent="0.25">
      <c r="B50" s="1" t="s">
        <v>272</v>
      </c>
      <c r="E50" s="13" cm="1">
        <f t="array" ref="E50:AN50">_xlfn.BYCOL(_xlfn.VSTACK(_xlfn.ANCHORARRAY(E40),_xlfn.ANCHORARRAY(E42),_xlfn.ANCHORARRAY(E43),_xlfn.ANCHORARRAY(E45),_xlfn.ANCHORARRAY(E46),_xlfn.ANCHORARRAY(E47),_xlfn.ANCHORARRAY(E48),_xlfn.HSTACK(E49:AN49)),_xlfn.LAMBDA(_xlpm.a,SUM(_xlpm.a)))</f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0</v>
      </c>
      <c r="Q50" s="13">
        <v>0</v>
      </c>
      <c r="R50" s="13">
        <v>0</v>
      </c>
      <c r="S50" s="13">
        <v>0</v>
      </c>
      <c r="T50" s="13">
        <v>0</v>
      </c>
      <c r="U50" s="13">
        <v>0</v>
      </c>
      <c r="V50" s="13">
        <v>151234.47</v>
      </c>
      <c r="W50" s="13">
        <v>0</v>
      </c>
      <c r="X50" s="13">
        <v>98496.089428317733</v>
      </c>
      <c r="Y50" s="13">
        <v>140599.04666117029</v>
      </c>
      <c r="Z50" s="13">
        <v>169372.36056652846</v>
      </c>
      <c r="AA50" s="13">
        <v>197833.78356981432</v>
      </c>
      <c r="AB50" s="13">
        <v>226097.58227058948</v>
      </c>
      <c r="AC50" s="13">
        <v>276503.62346381164</v>
      </c>
      <c r="AD50" s="13">
        <v>307015.68486811337</v>
      </c>
      <c r="AE50" s="13">
        <v>337705.87398961955</v>
      </c>
      <c r="AF50" s="13">
        <v>368203.70196727751</v>
      </c>
      <c r="AG50" s="13">
        <v>398574.85305172281</v>
      </c>
      <c r="AH50" s="13">
        <v>428905.77149345295</v>
      </c>
      <c r="AI50" s="13">
        <v>458935.76613092364</v>
      </c>
      <c r="AJ50" s="13">
        <v>488580.34000828804</v>
      </c>
      <c r="AK50" s="13">
        <v>511635.67348106147</v>
      </c>
      <c r="AL50" s="13">
        <v>510844.97878907749</v>
      </c>
      <c r="AM50" s="13">
        <v>510086.64551116747</v>
      </c>
      <c r="AN50" s="13">
        <v>509312.64448473899</v>
      </c>
    </row>
    <row r="52" spans="2:40" x14ac:dyDescent="0.25">
      <c r="B52" s="1" t="s">
        <v>48</v>
      </c>
      <c r="E52" s="74">
        <f>E37-E50</f>
        <v>0</v>
      </c>
      <c r="F52" s="74">
        <f t="shared" ref="F52:AN52" si="0">F37-F50</f>
        <v>0</v>
      </c>
      <c r="G52" s="74">
        <f t="shared" si="0"/>
        <v>0</v>
      </c>
      <c r="H52" s="74">
        <f t="shared" si="0"/>
        <v>0</v>
      </c>
      <c r="I52" s="74">
        <f t="shared" si="0"/>
        <v>0</v>
      </c>
      <c r="J52" s="74">
        <f t="shared" si="0"/>
        <v>0</v>
      </c>
      <c r="K52" s="74">
        <f t="shared" si="0"/>
        <v>0</v>
      </c>
      <c r="L52" s="74">
        <f t="shared" si="0"/>
        <v>0</v>
      </c>
      <c r="M52" s="74">
        <f t="shared" si="0"/>
        <v>0</v>
      </c>
      <c r="N52" s="74">
        <f t="shared" si="0"/>
        <v>0</v>
      </c>
      <c r="O52" s="74">
        <f t="shared" si="0"/>
        <v>0</v>
      </c>
      <c r="P52" s="74">
        <f t="shared" si="0"/>
        <v>0</v>
      </c>
      <c r="Q52" s="74">
        <f t="shared" si="0"/>
        <v>0</v>
      </c>
      <c r="R52" s="74">
        <f t="shared" si="0"/>
        <v>0</v>
      </c>
      <c r="S52" s="74">
        <f t="shared" si="0"/>
        <v>0</v>
      </c>
      <c r="T52" s="74">
        <f t="shared" si="0"/>
        <v>0</v>
      </c>
      <c r="U52" s="74">
        <f t="shared" si="0"/>
        <v>0</v>
      </c>
      <c r="V52" s="74">
        <f t="shared" si="0"/>
        <v>-151234.47</v>
      </c>
      <c r="W52" s="74">
        <f t="shared" si="0"/>
        <v>0</v>
      </c>
      <c r="X52" s="74">
        <f t="shared" si="0"/>
        <v>-27401.861823251063</v>
      </c>
      <c r="Y52" s="74">
        <f t="shared" si="0"/>
        <v>-21896.767497703608</v>
      </c>
      <c r="Z52" s="74">
        <f t="shared" si="0"/>
        <v>-3062.0298446617962</v>
      </c>
      <c r="AA52" s="74">
        <f t="shared" si="0"/>
        <v>16084.598710452352</v>
      </c>
      <c r="AB52" s="74">
        <f t="shared" si="0"/>
        <v>35428.851568077167</v>
      </c>
      <c r="AC52" s="74">
        <f t="shared" si="0"/>
        <v>32630.861933255044</v>
      </c>
      <c r="AD52" s="74">
        <f t="shared" si="0"/>
        <v>49726.85208735324</v>
      </c>
      <c r="AE52" s="74">
        <f t="shared" si="0"/>
        <v>66644.71452424716</v>
      </c>
      <c r="AF52" s="74">
        <f t="shared" si="0"/>
        <v>83754.938104989182</v>
      </c>
      <c r="AG52" s="74">
        <f t="shared" si="0"/>
        <v>100991.8385789438</v>
      </c>
      <c r="AH52" s="74">
        <f t="shared" si="0"/>
        <v>118268.9716956137</v>
      </c>
      <c r="AI52" s="74">
        <f t="shared" si="0"/>
        <v>135847.02861654293</v>
      </c>
      <c r="AJ52" s="74">
        <f t="shared" si="0"/>
        <v>153810.50629757845</v>
      </c>
      <c r="AK52" s="74">
        <f t="shared" si="0"/>
        <v>178363.22438320506</v>
      </c>
      <c r="AL52" s="74">
        <f t="shared" si="0"/>
        <v>179153.91907518904</v>
      </c>
      <c r="AM52" s="74">
        <f t="shared" si="0"/>
        <v>179912.25235309906</v>
      </c>
      <c r="AN52" s="74">
        <f t="shared" si="0"/>
        <v>180686.25337952754</v>
      </c>
    </row>
    <row r="53" spans="2:40" x14ac:dyDescent="0.25">
      <c r="E53" s="105" t="str">
        <f>IFERROR(E52/E37,"")</f>
        <v/>
      </c>
      <c r="F53" s="105" t="str">
        <f t="shared" ref="F53:AN53" si="1">IFERROR(F52/F37,"")</f>
        <v/>
      </c>
      <c r="G53" s="105" t="str">
        <f t="shared" si="1"/>
        <v/>
      </c>
      <c r="H53" s="105" t="str">
        <f t="shared" si="1"/>
        <v/>
      </c>
      <c r="I53" s="105" t="str">
        <f t="shared" si="1"/>
        <v/>
      </c>
      <c r="J53" s="105" t="str">
        <f t="shared" si="1"/>
        <v/>
      </c>
      <c r="K53" s="105" t="str">
        <f t="shared" si="1"/>
        <v/>
      </c>
      <c r="L53" s="105" t="str">
        <f t="shared" si="1"/>
        <v/>
      </c>
      <c r="M53" s="105" t="str">
        <f t="shared" si="1"/>
        <v/>
      </c>
      <c r="N53" s="105" t="str">
        <f t="shared" si="1"/>
        <v/>
      </c>
      <c r="O53" s="105" t="str">
        <f t="shared" si="1"/>
        <v/>
      </c>
      <c r="P53" s="105" t="str">
        <f t="shared" si="1"/>
        <v/>
      </c>
      <c r="Q53" s="105" t="str">
        <f t="shared" si="1"/>
        <v/>
      </c>
      <c r="R53" s="105" t="str">
        <f t="shared" si="1"/>
        <v/>
      </c>
      <c r="S53" s="105" t="str">
        <f t="shared" si="1"/>
        <v/>
      </c>
      <c r="T53" s="105" t="str">
        <f t="shared" si="1"/>
        <v/>
      </c>
      <c r="U53" s="105" t="str">
        <f t="shared" si="1"/>
        <v/>
      </c>
      <c r="V53" s="105" t="str">
        <f t="shared" si="1"/>
        <v/>
      </c>
      <c r="W53" s="105" t="str">
        <f t="shared" si="1"/>
        <v/>
      </c>
      <c r="X53" s="105">
        <f t="shared" si="1"/>
        <v>-0.38543019238453918</v>
      </c>
      <c r="Y53" s="105">
        <f t="shared" si="1"/>
        <v>-0.18446796179498157</v>
      </c>
      <c r="Z53" s="105">
        <f t="shared" si="1"/>
        <v>-1.8411543235895913E-2</v>
      </c>
      <c r="AA53" s="105">
        <f t="shared" si="1"/>
        <v>7.5190353157116724E-2</v>
      </c>
      <c r="AB53" s="105">
        <f t="shared" si="1"/>
        <v>0.13546948600206477</v>
      </c>
      <c r="AC53" s="105">
        <f t="shared" si="1"/>
        <v>0.10555555421564324</v>
      </c>
      <c r="AD53" s="105">
        <f t="shared" si="1"/>
        <v>0.13939142921316616</v>
      </c>
      <c r="AE53" s="105">
        <f t="shared" si="1"/>
        <v>0.16481913571386247</v>
      </c>
      <c r="AF53" s="105">
        <f t="shared" si="1"/>
        <v>0.18531549278844861</v>
      </c>
      <c r="AG53" s="105">
        <f t="shared" si="1"/>
        <v>0.20215887141972994</v>
      </c>
      <c r="AH53" s="105">
        <f t="shared" si="1"/>
        <v>0.21614479317212915</v>
      </c>
      <c r="AI53" s="105">
        <f t="shared" si="1"/>
        <v>0.22839771058646877</v>
      </c>
      <c r="AJ53" s="105">
        <f t="shared" si="1"/>
        <v>0.23943446140629387</v>
      </c>
      <c r="AK53" s="105">
        <f t="shared" si="1"/>
        <v>0.2584978395404508</v>
      </c>
      <c r="AL53" s="105">
        <f t="shared" si="1"/>
        <v>0.25964377570706121</v>
      </c>
      <c r="AM53" s="105">
        <f t="shared" si="1"/>
        <v>0.26074281119865006</v>
      </c>
      <c r="AN53" s="105">
        <f t="shared" si="1"/>
        <v>0.26186455360841943</v>
      </c>
    </row>
    <row r="55" spans="2:40" x14ac:dyDescent="0.25">
      <c r="B55" t="s">
        <v>57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1411000</v>
      </c>
      <c r="D55" s="12">
        <f>C55-SUM(_xlfn.ANCHORARRAY(E55))</f>
        <v>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235166.66666666666</v>
      </c>
      <c r="W55" s="12">
        <v>235166.66666666666</v>
      </c>
      <c r="X55" s="12">
        <v>235166.66666666666</v>
      </c>
      <c r="Y55" s="12">
        <v>235166.66666666666</v>
      </c>
      <c r="Z55" s="12">
        <v>235166.66666666666</v>
      </c>
      <c r="AA55" s="12">
        <v>235166.66666666666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</row>
    <row r="56" spans="2:40" x14ac:dyDescent="0.25">
      <c r="B56" t="s">
        <v>285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0</v>
      </c>
      <c r="F56" s="90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0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0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0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0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-84424.829083026663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-92772.130592373302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-98739.029523800025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-105880.23725755996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-113021.44499132005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-120162.65272507997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-39228.965075799999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-46370.172809560005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-53511.380543319989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-60652.588277080002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-67793.79601084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-74935.003744599991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-82076.211478359997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-89217.419212119989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276</v>
      </c>
      <c r="E58" s="13">
        <f>E37-E50-E55+E56</f>
        <v>0</v>
      </c>
      <c r="F58" s="13">
        <f t="shared" ref="F58:AN58" si="2">F37-F50-F55+F56</f>
        <v>0</v>
      </c>
      <c r="G58" s="13">
        <f t="shared" si="2"/>
        <v>0</v>
      </c>
      <c r="H58" s="13">
        <f t="shared" si="2"/>
        <v>0</v>
      </c>
      <c r="I58" s="13">
        <f t="shared" si="2"/>
        <v>0</v>
      </c>
      <c r="J58" s="13">
        <f t="shared" si="2"/>
        <v>0</v>
      </c>
      <c r="K58" s="13">
        <f t="shared" si="2"/>
        <v>0</v>
      </c>
      <c r="L58" s="13">
        <f t="shared" si="2"/>
        <v>0</v>
      </c>
      <c r="M58" s="13">
        <f t="shared" si="2"/>
        <v>0</v>
      </c>
      <c r="N58" s="13">
        <f t="shared" si="2"/>
        <v>0</v>
      </c>
      <c r="O58" s="13">
        <f t="shared" si="2"/>
        <v>0</v>
      </c>
      <c r="P58" s="13">
        <f t="shared" si="2"/>
        <v>0</v>
      </c>
      <c r="Q58" s="13">
        <f t="shared" si="2"/>
        <v>0</v>
      </c>
      <c r="R58" s="13">
        <f t="shared" si="2"/>
        <v>0</v>
      </c>
      <c r="S58" s="13">
        <f t="shared" si="2"/>
        <v>0</v>
      </c>
      <c r="T58" s="13">
        <f t="shared" si="2"/>
        <v>0</v>
      </c>
      <c r="U58" s="13">
        <f t="shared" si="2"/>
        <v>0</v>
      </c>
      <c r="V58" s="13">
        <f t="shared" si="2"/>
        <v>-386401.13666666666</v>
      </c>
      <c r="W58" s="13">
        <f t="shared" si="2"/>
        <v>-235166.66666666666</v>
      </c>
      <c r="X58" s="13">
        <f t="shared" si="2"/>
        <v>-262568.52848991775</v>
      </c>
      <c r="Y58" s="13">
        <f t="shared" si="2"/>
        <v>-257063.43416437026</v>
      </c>
      <c r="Z58" s="13">
        <f t="shared" si="2"/>
        <v>-238228.69651132845</v>
      </c>
      <c r="AA58" s="13">
        <f t="shared" si="2"/>
        <v>-303506.89703924098</v>
      </c>
      <c r="AB58" s="13">
        <f t="shared" si="2"/>
        <v>-57343.279024296135</v>
      </c>
      <c r="AC58" s="13">
        <f t="shared" si="2"/>
        <v>-66108.167590544981</v>
      </c>
      <c r="AD58" s="13">
        <f t="shared" si="2"/>
        <v>-56153.385170206719</v>
      </c>
      <c r="AE58" s="13">
        <f t="shared" si="2"/>
        <v>-46376.730467072892</v>
      </c>
      <c r="AF58" s="13">
        <f t="shared" si="2"/>
        <v>-36407.714620090788</v>
      </c>
      <c r="AG58" s="13">
        <f t="shared" si="2"/>
        <v>61762.873503143805</v>
      </c>
      <c r="AH58" s="13">
        <f t="shared" si="2"/>
        <v>71898.798886053701</v>
      </c>
      <c r="AI58" s="13">
        <f t="shared" si="2"/>
        <v>82335.648073222939</v>
      </c>
      <c r="AJ58" s="13">
        <f t="shared" si="2"/>
        <v>93157.918020498444</v>
      </c>
      <c r="AK58" s="13">
        <f t="shared" si="2"/>
        <v>110569.42837236506</v>
      </c>
      <c r="AL58" s="13">
        <f t="shared" si="2"/>
        <v>104218.91533058905</v>
      </c>
      <c r="AM58" s="13">
        <f t="shared" si="2"/>
        <v>97836.040874739061</v>
      </c>
      <c r="AN58" s="13">
        <f t="shared" si="2"/>
        <v>91468.834167407549</v>
      </c>
    </row>
    <row r="59" spans="2:40" x14ac:dyDescent="0.25">
      <c r="B59" t="s">
        <v>277</v>
      </c>
      <c r="E59" s="12" cm="1">
        <f t="array" ref="E59:AN59">_xlfn.SCAN(-D55,E58:AN58,_xlfn.LAMBDA(_xlpm.capex,_xlpm.fcf,_xlpm.capex+_xlpm.fcf))</f>
        <v>0</v>
      </c>
      <c r="F59" s="12">
        <v>0</v>
      </c>
      <c r="G59" s="12">
        <v>0</v>
      </c>
      <c r="H59" s="12">
        <v>0</v>
      </c>
      <c r="I59" s="12">
        <v>0</v>
      </c>
      <c r="J59" s="12">
        <v>0</v>
      </c>
      <c r="K59" s="12">
        <v>0</v>
      </c>
      <c r="L59" s="12">
        <v>0</v>
      </c>
      <c r="M59" s="12">
        <v>0</v>
      </c>
      <c r="N59" s="12">
        <v>0</v>
      </c>
      <c r="O59" s="12">
        <v>0</v>
      </c>
      <c r="P59" s="12">
        <v>0</v>
      </c>
      <c r="Q59" s="12">
        <v>0</v>
      </c>
      <c r="R59" s="12">
        <v>0</v>
      </c>
      <c r="S59" s="12">
        <v>0</v>
      </c>
      <c r="T59" s="12">
        <v>0</v>
      </c>
      <c r="U59" s="12">
        <v>0</v>
      </c>
      <c r="V59" s="12">
        <v>-386401.13666666666</v>
      </c>
      <c r="W59" s="12">
        <v>-621567.80333333334</v>
      </c>
      <c r="X59" s="12">
        <v>-884136.33182325109</v>
      </c>
      <c r="Y59" s="12">
        <v>-1141199.7659876214</v>
      </c>
      <c r="Z59" s="12">
        <v>-1379428.4624989498</v>
      </c>
      <c r="AA59" s="12">
        <v>-1682935.3595381908</v>
      </c>
      <c r="AB59" s="12">
        <v>-1740278.638562487</v>
      </c>
      <c r="AC59" s="12">
        <v>-1806386.806153032</v>
      </c>
      <c r="AD59" s="12">
        <v>-1862540.1913232387</v>
      </c>
      <c r="AE59" s="12">
        <v>-1908916.9217903116</v>
      </c>
      <c r="AF59" s="12">
        <v>-1945324.6364104024</v>
      </c>
      <c r="AG59" s="12">
        <v>-1883561.7629072585</v>
      </c>
      <c r="AH59" s="12">
        <v>-1811662.9640212047</v>
      </c>
      <c r="AI59" s="12">
        <v>-1729327.3159479818</v>
      </c>
      <c r="AJ59" s="12">
        <v>-1636169.3979274833</v>
      </c>
      <c r="AK59" s="12">
        <v>-1525599.9695551184</v>
      </c>
      <c r="AL59" s="12">
        <v>-1421381.0542245293</v>
      </c>
      <c r="AM59" s="12">
        <v>-1323545.0133497901</v>
      </c>
      <c r="AN59" s="12">
        <v>-1232076.1791823825</v>
      </c>
    </row>
    <row r="61" spans="2:40" x14ac:dyDescent="0.25">
      <c r="B61" s="1" t="s">
        <v>302</v>
      </c>
    </row>
    <row r="63" spans="2:40" x14ac:dyDescent="0.25">
      <c r="B63" s="39" t="s">
        <v>103</v>
      </c>
      <c r="E63" s="12" cm="1">
        <f t="array" ref="E63:AN63">_xlfn.LET(_xlpm.site,$B$1&amp;"-"&amp;$C$1,_xlpm.locations,Base!$D$4:$BD$4,_xlpm.rates,Base!$D$36:$BD$36,_xlpm.hours,Base!$D$79:$BD$79,_xlpm.comp,_xlpm.rates*_xlpm.hours,_xlpm.Customer,_xlfn.ANCHORARRAY($E$1),
_xlpm.Customer_comp,_xlfn.XLOOKUP(_xlpm.site,_xlpm.locations,_xlpm.comp,0,0),_xlpm.ann_incr,_xlfn.XLOOKUP(YEAR(_xlfn.ANCHORARRAY($E$25)),Base!$BJ$4:$BL$4,Base!$BJ$79:$BL$79,0,0),
_xlpm.bad_debt,_xlfn.XLOOKUP(_xlpm.site,_xlpm.locations,Base!$D$28:$BD$28,0,0),_xlpm.Customer_comp*_xlpm.Customer*_xlpm.bad_debt*_xlpm.ann_incr*(52/12)*(1-$C$35))</f>
        <v>0</v>
      </c>
      <c r="F63" s="12">
        <v>0</v>
      </c>
      <c r="G63" s="12">
        <v>0</v>
      </c>
      <c r="H63" s="12">
        <v>0</v>
      </c>
      <c r="I63" s="12">
        <v>0</v>
      </c>
      <c r="J63" s="12">
        <v>0</v>
      </c>
      <c r="K63" s="12">
        <v>0</v>
      </c>
      <c r="L63" s="12">
        <v>0</v>
      </c>
      <c r="M63" s="12">
        <v>0</v>
      </c>
      <c r="N63" s="12">
        <v>0</v>
      </c>
      <c r="O63" s="12">
        <v>0</v>
      </c>
      <c r="P63" s="12">
        <v>0</v>
      </c>
      <c r="Q63" s="12">
        <v>0</v>
      </c>
      <c r="R63" s="12">
        <v>0</v>
      </c>
      <c r="S63" s="12">
        <v>0</v>
      </c>
      <c r="T63" s="12">
        <v>0</v>
      </c>
      <c r="U63" s="12">
        <v>0</v>
      </c>
      <c r="V63" s="12">
        <v>0</v>
      </c>
      <c r="W63" s="12">
        <v>0</v>
      </c>
      <c r="X63" s="12">
        <v>2179.0924014745592</v>
      </c>
      <c r="Y63" s="12">
        <v>4358.1848029491184</v>
      </c>
      <c r="Z63" s="12">
        <v>6537.2772044236781</v>
      </c>
      <c r="AA63" s="12">
        <v>8716.3696058982368</v>
      </c>
      <c r="AB63" s="12">
        <v>10895.4620073728</v>
      </c>
      <c r="AC63" s="12">
        <v>13074.554408847356</v>
      </c>
      <c r="AD63" s="12">
        <v>15253.646810321916</v>
      </c>
      <c r="AE63" s="12">
        <v>17432.739211796474</v>
      </c>
      <c r="AF63" s="12">
        <v>19611.831613271035</v>
      </c>
      <c r="AG63" s="12">
        <v>21790.9240147456</v>
      </c>
      <c r="AH63" s="12">
        <v>23970.016416220154</v>
      </c>
      <c r="AI63" s="12">
        <v>26149.108817694712</v>
      </c>
      <c r="AJ63" s="12">
        <v>28328.201219169274</v>
      </c>
      <c r="AK63" s="12">
        <v>30507.293620643832</v>
      </c>
      <c r="AL63" s="12">
        <v>30507.293620643832</v>
      </c>
      <c r="AM63" s="12">
        <v>30507.293620643832</v>
      </c>
      <c r="AN63" s="12">
        <v>30507.293620643832</v>
      </c>
    </row>
    <row r="64" spans="2:40" x14ac:dyDescent="0.25">
      <c r="B64" s="39" t="s">
        <v>104</v>
      </c>
      <c r="E64" s="12" cm="1">
        <f t="array" ref="E64:AN64">_xlfn.LET(_xlpm.site,$B$1&amp;"-"&amp;$C$1,_xlpm.locations,Base!$D$4:$BD$4,_xlpm.rates,Base!$D$37:$BD$37,_xlpm.hours,Base!$D$80:$BD$80,_xlpm.comp,_xlpm.rates*_xlpm.hours,_xlpm.Customer,_xlfn.ANCHORARRAY($E$1),
_xlpm.Customer_comp,_xlfn.XLOOKUP(_xlpm.site,_xlpm.locations,_xlpm.comp,0,0),_xlpm.ann_incr,_xlfn.XLOOKUP(YEAR(_xlfn.ANCHORARRAY($E$25)),Base!$BJ$4:$BL$4,Base!$BJ$80:$BL$80,0,0),
_xlpm.bad_debt,_xlfn.XLOOKUP(_xlpm.site,_xlpm.locations,Base!$D$28:$BD$28,0,0),_xlpm.Customer_comp*_xlpm.Customer*_xlpm.bad_debt*_xlpm.ann_incr*(52/12)*(1-$C$35))</f>
        <v>0</v>
      </c>
      <c r="F64" s="12">
        <v>0</v>
      </c>
      <c r="G64" s="12">
        <v>0</v>
      </c>
      <c r="H64" s="12">
        <v>0</v>
      </c>
      <c r="I64" s="12">
        <v>0</v>
      </c>
      <c r="J64" s="12">
        <v>0</v>
      </c>
      <c r="K64" s="12">
        <v>0</v>
      </c>
      <c r="L64" s="12">
        <v>0</v>
      </c>
      <c r="M64" s="12">
        <v>0</v>
      </c>
      <c r="N64" s="12">
        <v>0</v>
      </c>
      <c r="O64" s="12">
        <v>0</v>
      </c>
      <c r="P64" s="12">
        <v>0</v>
      </c>
      <c r="Q64" s="12">
        <v>0</v>
      </c>
      <c r="R64" s="12">
        <v>0</v>
      </c>
      <c r="S64" s="12">
        <v>0</v>
      </c>
      <c r="T64" s="12">
        <v>0</v>
      </c>
      <c r="U64" s="12">
        <v>0</v>
      </c>
      <c r="V64" s="12">
        <v>0</v>
      </c>
      <c r="W64" s="12">
        <v>0</v>
      </c>
      <c r="X64" s="12">
        <v>291.17026532352008</v>
      </c>
      <c r="Y64" s="12">
        <v>582.34053064704017</v>
      </c>
      <c r="Z64" s="12">
        <v>873.51079597056014</v>
      </c>
      <c r="AA64" s="12">
        <v>1164.6810612940803</v>
      </c>
      <c r="AB64" s="12">
        <v>1455.8513266176003</v>
      </c>
      <c r="AC64" s="12">
        <v>1747.0215919411203</v>
      </c>
      <c r="AD64" s="12">
        <v>2038.1918572646407</v>
      </c>
      <c r="AE64" s="12">
        <v>2329.3621225881607</v>
      </c>
      <c r="AF64" s="12">
        <v>2620.5323879116804</v>
      </c>
      <c r="AG64" s="12">
        <v>2911.7026532352006</v>
      </c>
      <c r="AH64" s="12">
        <v>3202.8729185587208</v>
      </c>
      <c r="AI64" s="12">
        <v>3494.0431838822406</v>
      </c>
      <c r="AJ64" s="12">
        <v>3785.2134492057612</v>
      </c>
      <c r="AK64" s="12">
        <v>4076.3837145292814</v>
      </c>
      <c r="AL64" s="12">
        <v>4076.3837145292814</v>
      </c>
      <c r="AM64" s="12">
        <v>4076.3837145292814</v>
      </c>
      <c r="AN64" s="12">
        <v>4076.3837145292814</v>
      </c>
    </row>
    <row r="65" spans="2:40" x14ac:dyDescent="0.25">
      <c r="B65" s="39" t="s">
        <v>56</v>
      </c>
      <c r="E65" s="12" cm="1">
        <f t="array" ref="E65:AN65">_xlfn.LET(_xlpm.site,$B$1&amp;"-"&amp;$C$1,_xlpm.locations,Base!$D$4:$BD$4,_xlpm.rates,Base!$D$39:$BD$39,_xlpm.hours,Base!$D$82:$BD$82,_xlpm.comp,_xlpm.rates*_xlpm.hours,_xlpm.Customer,_xlfn.ANCHORARRAY($E$1),
_xlpm.Customer_comp,_xlfn.XLOOKUP(_xlpm.site,_xlpm.locations,_xlpm.comp,0,0),_xlpm.ann_incr,_xlfn.XLOOKUP(YEAR(_xlfn.ANCHORARRAY($E$25)),Base!$BJ$4:$BL$4,Base!$BJ$82:$BL$82,0,0),
_xlpm.bad_debt,_xlfn.XLOOKUP(_xlpm.site,_xlpm.locations,Base!$D$28:$BD$28,0,0),_xlpm.Customer_comp*_xlpm.Customer*_xlpm.bad_debt*_xlpm.ann_incr*(52/12)*(1-$C$35))</f>
        <v>0</v>
      </c>
      <c r="F65" s="12">
        <v>0</v>
      </c>
      <c r="G65" s="12">
        <v>0</v>
      </c>
      <c r="H65" s="12">
        <v>0</v>
      </c>
      <c r="I65" s="12">
        <v>0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  <c r="O65" s="12">
        <v>0</v>
      </c>
      <c r="P65" s="12">
        <v>0</v>
      </c>
      <c r="Q65" s="12">
        <v>0</v>
      </c>
      <c r="R65" s="12">
        <v>0</v>
      </c>
      <c r="S65" s="12">
        <v>0</v>
      </c>
      <c r="T65" s="12">
        <v>0</v>
      </c>
      <c r="U65" s="12">
        <v>0</v>
      </c>
      <c r="V65" s="12">
        <v>0</v>
      </c>
      <c r="W65" s="12">
        <v>0</v>
      </c>
      <c r="X65" s="12">
        <v>1770.8074248550399</v>
      </c>
      <c r="Y65" s="12">
        <v>3541.6148497100799</v>
      </c>
      <c r="Z65" s="12">
        <v>5312.4222745651196</v>
      </c>
      <c r="AA65" s="12">
        <v>7083.2296994201597</v>
      </c>
      <c r="AB65" s="12">
        <v>8854.0371242752008</v>
      </c>
      <c r="AC65" s="12">
        <v>10624.844549130239</v>
      </c>
      <c r="AD65" s="12">
        <v>12395.651973985277</v>
      </c>
      <c r="AE65" s="12">
        <v>14166.459398840319</v>
      </c>
      <c r="AF65" s="12">
        <v>15937.266823695358</v>
      </c>
      <c r="AG65" s="12">
        <v>17708.074248550402</v>
      </c>
      <c r="AH65" s="12">
        <v>19478.881673405438</v>
      </c>
      <c r="AI65" s="12">
        <v>21249.689098260478</v>
      </c>
      <c r="AJ65" s="12">
        <v>23020.496523115518</v>
      </c>
      <c r="AK65" s="12">
        <v>24791.303947970555</v>
      </c>
      <c r="AL65" s="12">
        <v>24791.303947970555</v>
      </c>
      <c r="AM65" s="12">
        <v>24791.303947970555</v>
      </c>
      <c r="AN65" s="12">
        <v>24791.303947970555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303</v>
      </c>
      <c r="C67" s="12"/>
      <c r="E67" s="13" cm="1">
        <f t="array" ref="E67:AN67">_xlfn.BYCOL(_xlfn.VSTACK(_xlfn.ANCHORARRAY($E$63),_xlfn.ANCHORARRAY($E$64),_xlfn.ANCHORARRAY($E$65)),_xlfn.LAMBDA(_xlpm.a,SUM(_xlpm.a)))</f>
        <v>0</v>
      </c>
      <c r="F67" s="13">
        <v>0</v>
      </c>
      <c r="G67" s="13">
        <v>0</v>
      </c>
      <c r="H67" s="13">
        <v>0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  <c r="W67" s="13">
        <v>0</v>
      </c>
      <c r="X67" s="13">
        <v>4241.0700916531196</v>
      </c>
      <c r="Y67" s="13">
        <v>8482.1401833062391</v>
      </c>
      <c r="Z67" s="13">
        <v>12723.210274959358</v>
      </c>
      <c r="AA67" s="13">
        <v>16964.280366612478</v>
      </c>
      <c r="AB67" s="13">
        <v>21205.350458265602</v>
      </c>
      <c r="AC67" s="13">
        <v>25446.420549918716</v>
      </c>
      <c r="AD67" s="13">
        <v>29687.490641571832</v>
      </c>
      <c r="AE67" s="13">
        <v>33928.560733224956</v>
      </c>
      <c r="AF67" s="13">
        <v>38169.63082487807</v>
      </c>
      <c r="AG67" s="13">
        <v>42410.700916531205</v>
      </c>
      <c r="AH67" s="13">
        <v>46651.771008184311</v>
      </c>
      <c r="AI67" s="13">
        <v>50892.841099837431</v>
      </c>
      <c r="AJ67" s="13">
        <v>55133.911191490552</v>
      </c>
      <c r="AK67" s="13">
        <v>59374.981283143665</v>
      </c>
      <c r="AL67" s="13">
        <v>59374.981283143665</v>
      </c>
      <c r="AM67" s="13">
        <v>59374.981283143665</v>
      </c>
      <c r="AN67" s="13">
        <v>59374.981283143665</v>
      </c>
    </row>
    <row r="68" spans="2:40" x14ac:dyDescent="0.25">
      <c r="B68" s="39"/>
      <c r="C68" s="12"/>
    </row>
    <row r="69" spans="2:40" x14ac:dyDescent="0.25">
      <c r="B69" s="39" t="s">
        <v>304</v>
      </c>
      <c r="C69" s="12"/>
      <c r="E69" s="106" cm="1">
        <f t="array" ref="E69:AN70">_xlfn.LET(_xlpm.Customer_staff,_xlfn._xlws.FILTER(Base!$D$96:$BD$97,ISNUMBER(SEARCH($B$1&amp;"-"&amp;$C$1,Base!$D$4:$BD$4))),_xlpm.Customer,_xlfn.ANCHORARRAY($E$1),_xlpm.headcount,_xlpm.Customer/_xlpm.Customer_staff,
_xlpm.rounding,_xlfn.VSTACK(0,0),IFERROR(ROUND(_xlpm.headcount,_xlpm.rounding),0))</f>
        <v>0</v>
      </c>
      <c r="F69" s="106">
        <v>0</v>
      </c>
      <c r="G69" s="106">
        <v>0</v>
      </c>
      <c r="H69" s="106">
        <v>0</v>
      </c>
      <c r="I69" s="106">
        <v>0</v>
      </c>
      <c r="J69" s="106">
        <v>0</v>
      </c>
      <c r="K69" s="106">
        <v>0</v>
      </c>
      <c r="L69" s="106">
        <v>0</v>
      </c>
      <c r="M69" s="106">
        <v>0</v>
      </c>
      <c r="N69" s="106">
        <v>0</v>
      </c>
      <c r="O69" s="106">
        <v>0</v>
      </c>
      <c r="P69" s="106">
        <v>0</v>
      </c>
      <c r="Q69" s="106">
        <v>0</v>
      </c>
      <c r="R69" s="106">
        <v>0</v>
      </c>
      <c r="S69" s="106">
        <v>0</v>
      </c>
      <c r="T69" s="106">
        <v>0</v>
      </c>
      <c r="U69" s="106">
        <v>0</v>
      </c>
      <c r="V69" s="106">
        <v>0</v>
      </c>
      <c r="W69" s="106">
        <v>0</v>
      </c>
      <c r="X69" s="106">
        <v>0</v>
      </c>
      <c r="Y69" s="106">
        <v>0</v>
      </c>
      <c r="Z69" s="106">
        <v>0</v>
      </c>
      <c r="AA69" s="106">
        <v>0</v>
      </c>
      <c r="AB69" s="106">
        <v>0</v>
      </c>
      <c r="AC69" s="106">
        <v>0</v>
      </c>
      <c r="AD69" s="106">
        <v>1</v>
      </c>
      <c r="AE69" s="106">
        <v>1</v>
      </c>
      <c r="AF69" s="106">
        <v>1</v>
      </c>
      <c r="AG69" s="106">
        <v>1</v>
      </c>
      <c r="AH69" s="106">
        <v>1</v>
      </c>
      <c r="AI69" s="106">
        <v>1</v>
      </c>
      <c r="AJ69" s="106">
        <v>1</v>
      </c>
      <c r="AK69" s="106">
        <v>1</v>
      </c>
      <c r="AL69" s="106">
        <v>1</v>
      </c>
      <c r="AM69" s="106">
        <v>1</v>
      </c>
      <c r="AN69" s="106">
        <v>1</v>
      </c>
    </row>
    <row r="70" spans="2:40" x14ac:dyDescent="0.25">
      <c r="B70" s="39" t="s">
        <v>305</v>
      </c>
      <c r="C70" s="12"/>
      <c r="E70" s="106">
        <v>0</v>
      </c>
      <c r="F70" s="106">
        <v>0</v>
      </c>
      <c r="G70" s="106">
        <v>0</v>
      </c>
      <c r="H70" s="106">
        <v>0</v>
      </c>
      <c r="I70" s="106">
        <v>0</v>
      </c>
      <c r="J70" s="106">
        <v>0</v>
      </c>
      <c r="K70" s="106">
        <v>0</v>
      </c>
      <c r="L70" s="106">
        <v>0</v>
      </c>
      <c r="M70" s="106">
        <v>0</v>
      </c>
      <c r="N70" s="106">
        <v>0</v>
      </c>
      <c r="O70" s="106">
        <v>0</v>
      </c>
      <c r="P70" s="106">
        <v>0</v>
      </c>
      <c r="Q70" s="106">
        <v>0</v>
      </c>
      <c r="R70" s="106">
        <v>0</v>
      </c>
      <c r="S70" s="106">
        <v>0</v>
      </c>
      <c r="T70" s="106">
        <v>0</v>
      </c>
      <c r="U70" s="106">
        <v>0</v>
      </c>
      <c r="V70" s="106">
        <v>0</v>
      </c>
      <c r="W70" s="106">
        <v>0</v>
      </c>
      <c r="X70" s="106">
        <v>0</v>
      </c>
      <c r="Y70" s="106">
        <v>0</v>
      </c>
      <c r="Z70" s="106">
        <v>0</v>
      </c>
      <c r="AA70" s="106">
        <v>0</v>
      </c>
      <c r="AB70" s="106">
        <v>0</v>
      </c>
      <c r="AC70" s="106">
        <v>0</v>
      </c>
      <c r="AD70" s="106">
        <v>0</v>
      </c>
      <c r="AE70" s="106">
        <v>1</v>
      </c>
      <c r="AF70" s="106">
        <v>1</v>
      </c>
      <c r="AG70" s="106">
        <v>1</v>
      </c>
      <c r="AH70" s="106">
        <v>1</v>
      </c>
      <c r="AI70" s="106">
        <v>1</v>
      </c>
      <c r="AJ70" s="106">
        <v>1</v>
      </c>
      <c r="AK70" s="106">
        <v>1</v>
      </c>
      <c r="AL70" s="106">
        <v>1</v>
      </c>
      <c r="AM70" s="106">
        <v>1</v>
      </c>
      <c r="AN70" s="106">
        <v>1</v>
      </c>
    </row>
    <row r="71" spans="2:40" x14ac:dyDescent="0.25">
      <c r="B71" s="39"/>
      <c r="C71" s="12"/>
    </row>
    <row r="72" spans="2:40" x14ac:dyDescent="0.25">
      <c r="B72" s="39" t="s">
        <v>23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0</v>
      </c>
      <c r="F72" s="12">
        <v>0</v>
      </c>
      <c r="G72" s="12">
        <v>0</v>
      </c>
      <c r="H72" s="12">
        <v>0</v>
      </c>
      <c r="I72" s="12">
        <v>0</v>
      </c>
      <c r="J72" s="12">
        <v>0</v>
      </c>
      <c r="K72" s="12">
        <v>0</v>
      </c>
      <c r="L72" s="12">
        <v>0</v>
      </c>
      <c r="M72" s="12">
        <v>0</v>
      </c>
      <c r="N72" s="12">
        <v>0</v>
      </c>
      <c r="O72" s="12">
        <v>0</v>
      </c>
      <c r="P72" s="12">
        <v>0</v>
      </c>
      <c r="Q72" s="12">
        <v>0</v>
      </c>
      <c r="R72" s="12">
        <v>0</v>
      </c>
      <c r="S72" s="12">
        <v>0</v>
      </c>
      <c r="T72" s="12">
        <v>0</v>
      </c>
      <c r="U72" s="12">
        <v>0</v>
      </c>
      <c r="V72" s="12">
        <v>0</v>
      </c>
      <c r="W72" s="12">
        <v>0</v>
      </c>
      <c r="X72" s="12">
        <v>1489.7914907369509</v>
      </c>
      <c r="Y72" s="12">
        <v>2979.5829814739018</v>
      </c>
      <c r="Z72" s="12">
        <v>4469.3744722108522</v>
      </c>
      <c r="AA72" s="12">
        <v>5959.1659629478036</v>
      </c>
      <c r="AB72" s="12">
        <v>7448.957453684754</v>
      </c>
      <c r="AC72" s="12">
        <v>9832.6238388638758</v>
      </c>
      <c r="AD72" s="12">
        <v>28174.234478674523</v>
      </c>
      <c r="AE72" s="12">
        <v>46515.845118485166</v>
      </c>
      <c r="AF72" s="12">
        <v>48154.615758295811</v>
      </c>
      <c r="AG72" s="12">
        <v>49793.386398106457</v>
      </c>
      <c r="AH72" s="12">
        <v>51432.157037917103</v>
      </c>
      <c r="AI72" s="12">
        <v>53070.927677727756</v>
      </c>
      <c r="AJ72" s="12">
        <v>54709.698317538408</v>
      </c>
      <c r="AK72" s="12">
        <v>56348.468957349047</v>
      </c>
      <c r="AL72" s="12">
        <v>56348.468957349047</v>
      </c>
      <c r="AM72" s="12">
        <v>56348.468957349047</v>
      </c>
      <c r="AN72" s="12">
        <v>56348.468957349047</v>
      </c>
    </row>
    <row r="73" spans="2:40" x14ac:dyDescent="0.25">
      <c r="B73" s="39" t="s">
        <v>24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306</v>
      </c>
      <c r="E75" s="74" cm="1">
        <f t="array" ref="E75:AN75">_xlfn.ANCHORARRAY(E67)-_xlfn.ANCHORARRAY(E72)-_xlfn.ANCHORARRAY(E73)</f>
        <v>0</v>
      </c>
      <c r="F75" s="74">
        <v>0</v>
      </c>
      <c r="G75" s="74">
        <v>0</v>
      </c>
      <c r="H75" s="74">
        <v>0</v>
      </c>
      <c r="I75" s="74">
        <v>0</v>
      </c>
      <c r="J75" s="74">
        <v>0</v>
      </c>
      <c r="K75" s="74">
        <v>0</v>
      </c>
      <c r="L75" s="74">
        <v>0</v>
      </c>
      <c r="M75" s="74">
        <v>0</v>
      </c>
      <c r="N75" s="74">
        <v>0</v>
      </c>
      <c r="O75" s="74">
        <v>0</v>
      </c>
      <c r="P75" s="74">
        <v>0</v>
      </c>
      <c r="Q75" s="74">
        <v>0</v>
      </c>
      <c r="R75" s="74">
        <v>0</v>
      </c>
      <c r="S75" s="74">
        <v>0</v>
      </c>
      <c r="T75" s="74">
        <v>0</v>
      </c>
      <c r="U75" s="74">
        <v>0</v>
      </c>
      <c r="V75" s="74">
        <v>0</v>
      </c>
      <c r="W75" s="74">
        <v>0</v>
      </c>
      <c r="X75" s="74">
        <v>2751.2786009161687</v>
      </c>
      <c r="Y75" s="74">
        <v>5502.5572018323373</v>
      </c>
      <c r="Z75" s="74">
        <v>8253.8358027485046</v>
      </c>
      <c r="AA75" s="74">
        <v>11005.114403664675</v>
      </c>
      <c r="AB75" s="74">
        <v>13756.393004580848</v>
      </c>
      <c r="AC75" s="74">
        <v>15613.79671105484</v>
      </c>
      <c r="AD75" s="74">
        <v>1513.256162897309</v>
      </c>
      <c r="AE75" s="74">
        <v>-12587.284385260209</v>
      </c>
      <c r="AF75" s="74">
        <v>-9984.9849334177416</v>
      </c>
      <c r="AG75" s="74">
        <v>-7382.6854815752522</v>
      </c>
      <c r="AH75" s="74">
        <v>-4780.3860297327919</v>
      </c>
      <c r="AI75" s="74">
        <v>-2178.0865778903244</v>
      </c>
      <c r="AJ75" s="74">
        <v>424.21287395214313</v>
      </c>
      <c r="AK75" s="74">
        <v>3026.5123257946179</v>
      </c>
      <c r="AL75" s="74">
        <v>3026.5123257946179</v>
      </c>
      <c r="AM75" s="74">
        <v>3026.5123257946179</v>
      </c>
      <c r="AN75" s="74">
        <v>3026.5123257946179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831F4-6A6E-4DCA-9B30-6C5ADA82C788}">
  <dimension ref="A1:AX75"/>
  <sheetViews>
    <sheetView workbookViewId="0">
      <pane xSplit="4" ySplit="25" topLeftCell="E26" activePane="bottomRight" state="frozen"/>
      <selection activeCell="E63" sqref="E63:E65"/>
      <selection pane="topRight" activeCell="E63" sqref="E63:E65"/>
      <selection pane="bottomLeft" activeCell="E63" sqref="E63:E65"/>
      <selection pane="bottomRight" activeCell="E63" sqref="E63:E65"/>
    </sheetView>
  </sheetViews>
  <sheetFormatPr defaultRowHeight="15" outlineLevelRow="1" x14ac:dyDescent="0.25"/>
  <cols>
    <col min="2" max="2" width="24.5703125" bestFit="1" customWidth="1"/>
    <col min="3" max="3" width="10.7109375" bestFit="1" customWidth="1"/>
    <col min="4" max="4" width="10" bestFit="1" customWidth="1"/>
    <col min="5" max="5" width="11.42578125" bestFit="1" customWidth="1"/>
    <col min="6" max="6" width="11.7109375" bestFit="1" customWidth="1"/>
    <col min="7" max="13" width="12.28515625" bestFit="1" customWidth="1"/>
    <col min="14" max="18" width="11.5703125" bestFit="1" customWidth="1"/>
    <col min="19" max="40" width="12.5703125" bestFit="1" customWidth="1"/>
  </cols>
  <sheetData>
    <row r="1" spans="1:40" x14ac:dyDescent="0.25">
      <c r="A1" s="96" t="str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/>
      </c>
      <c r="B1" s="58" t="s">
        <v>68</v>
      </c>
      <c r="C1" s="16" t="s">
        <v>344</v>
      </c>
      <c r="D1" s="3" t="s">
        <v>307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IFERROR(_xlpm.kiddos,0))</f>
        <v>0</v>
      </c>
      <c r="F1" s="69">
        <v>0</v>
      </c>
      <c r="G1" s="69">
        <v>0</v>
      </c>
      <c r="H1" s="69">
        <v>0</v>
      </c>
      <c r="I1" s="69">
        <v>0</v>
      </c>
      <c r="J1" s="69">
        <v>0</v>
      </c>
      <c r="K1" s="69">
        <v>0</v>
      </c>
      <c r="L1" s="69">
        <v>0</v>
      </c>
      <c r="M1" s="69">
        <v>0</v>
      </c>
      <c r="N1" s="69">
        <v>0</v>
      </c>
      <c r="O1" s="69">
        <v>0</v>
      </c>
      <c r="P1" s="69">
        <v>0</v>
      </c>
      <c r="Q1" s="69">
        <v>0</v>
      </c>
      <c r="R1" s="69">
        <v>0</v>
      </c>
      <c r="S1" s="69">
        <v>0</v>
      </c>
      <c r="T1" s="69">
        <v>0</v>
      </c>
      <c r="U1" s="69">
        <v>0</v>
      </c>
      <c r="V1" s="69">
        <v>0</v>
      </c>
      <c r="W1" s="69">
        <v>0</v>
      </c>
      <c r="X1" s="69">
        <v>0</v>
      </c>
      <c r="Y1" s="69">
        <v>0</v>
      </c>
      <c r="Z1" s="69">
        <v>1</v>
      </c>
      <c r="AA1" s="69">
        <v>3</v>
      </c>
      <c r="AB1" s="69">
        <v>5</v>
      </c>
      <c r="AC1" s="69">
        <v>6</v>
      </c>
      <c r="AD1" s="69">
        <v>8</v>
      </c>
      <c r="AE1" s="69">
        <v>10</v>
      </c>
      <c r="AF1" s="69">
        <v>12</v>
      </c>
      <c r="AG1" s="69">
        <v>13</v>
      </c>
      <c r="AH1" s="69">
        <v>15</v>
      </c>
      <c r="AI1" s="69">
        <v>17</v>
      </c>
      <c r="AJ1" s="69">
        <v>18</v>
      </c>
      <c r="AK1" s="69">
        <v>20</v>
      </c>
      <c r="AL1" s="69">
        <v>22</v>
      </c>
      <c r="AM1" s="69">
        <v>24</v>
      </c>
      <c r="AN1" s="69">
        <v>24</v>
      </c>
    </row>
    <row r="2" spans="1:40" x14ac:dyDescent="0.25">
      <c r="A2" s="65"/>
      <c r="B2" s="3" t="str">
        <f>_xlfn.XLOOKUP($B$1&amp;"-"&amp;$C$1,Base!$D$4:$BD$4,Base!$D$2:$BD$2,"",0)</f>
        <v>New Jersey</v>
      </c>
      <c r="C2" s="55"/>
      <c r="D2" s="55" t="s">
        <v>259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0</v>
      </c>
      <c r="F2" s="69">
        <v>0</v>
      </c>
      <c r="G2" s="69">
        <v>0</v>
      </c>
      <c r="H2" s="69">
        <v>0</v>
      </c>
      <c r="I2" s="69">
        <v>0</v>
      </c>
      <c r="J2" s="69">
        <v>0</v>
      </c>
      <c r="K2" s="69">
        <v>0</v>
      </c>
      <c r="L2" s="69">
        <v>0</v>
      </c>
      <c r="M2" s="69">
        <v>0</v>
      </c>
      <c r="N2" s="69">
        <v>0</v>
      </c>
      <c r="O2" s="69">
        <v>0</v>
      </c>
      <c r="P2" s="69">
        <v>0</v>
      </c>
      <c r="Q2" s="69">
        <v>0</v>
      </c>
      <c r="R2" s="69">
        <v>0</v>
      </c>
      <c r="S2" s="69">
        <v>0</v>
      </c>
      <c r="T2" s="69">
        <v>0</v>
      </c>
      <c r="U2" s="69">
        <v>0</v>
      </c>
      <c r="V2" s="69">
        <v>0</v>
      </c>
      <c r="W2" s="69">
        <v>0</v>
      </c>
      <c r="X2" s="69">
        <v>0</v>
      </c>
      <c r="Y2" s="69">
        <v>0</v>
      </c>
      <c r="Z2" s="69">
        <v>0</v>
      </c>
      <c r="AA2" s="69">
        <v>1.8809523809523809</v>
      </c>
      <c r="AB2" s="69">
        <v>2.0476190476190474</v>
      </c>
      <c r="AC2" s="69">
        <v>2.2142857142857144</v>
      </c>
      <c r="AD2" s="69">
        <v>2.3809523809523809</v>
      </c>
      <c r="AE2" s="69">
        <v>2.5476190476190474</v>
      </c>
      <c r="AF2" s="69">
        <v>2.7142857142857144</v>
      </c>
      <c r="AG2" s="69">
        <v>2.8809523809523809</v>
      </c>
      <c r="AH2" s="69">
        <v>3.0476190476190474</v>
      </c>
      <c r="AI2" s="69">
        <v>3.2142857142857144</v>
      </c>
      <c r="AJ2" s="69">
        <v>3.3809523809523809</v>
      </c>
      <c r="AK2" s="69">
        <v>3.5476190476190474</v>
      </c>
      <c r="AL2" s="69">
        <v>3.7142857142857144</v>
      </c>
      <c r="AM2" s="69">
        <v>2</v>
      </c>
      <c r="AN2" s="69">
        <v>2</v>
      </c>
    </row>
    <row r="3" spans="1:40" x14ac:dyDescent="0.25">
      <c r="A3" s="65"/>
      <c r="B3" s="55"/>
      <c r="C3" s="55"/>
      <c r="D3" s="55" t="s">
        <v>62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_xlpm.months_since,DATEDIF(_xlpm.launchdate,_xlfn.ANCHORARRAY($E$25),"m"),_xlfn.BYCOL(_xlpm.months_since,_xlfn.LAMBDA(_xlpm.a,IFERROR(MIN(_xlpm.a/6,_xlpm.max_kiddos),0))))</f>
        <v>0</v>
      </c>
      <c r="F3" s="69">
        <v>0</v>
      </c>
      <c r="G3" s="69">
        <v>0</v>
      </c>
      <c r="H3" s="69">
        <v>0</v>
      </c>
      <c r="I3" s="69">
        <v>0</v>
      </c>
      <c r="J3" s="69">
        <v>0</v>
      </c>
      <c r="K3" s="69">
        <v>0</v>
      </c>
      <c r="L3" s="69">
        <v>0</v>
      </c>
      <c r="M3" s="69">
        <v>0</v>
      </c>
      <c r="N3" s="69">
        <v>0</v>
      </c>
      <c r="O3" s="69">
        <v>0</v>
      </c>
      <c r="P3" s="69">
        <v>0</v>
      </c>
      <c r="Q3" s="69">
        <v>0</v>
      </c>
      <c r="R3" s="69">
        <v>0</v>
      </c>
      <c r="S3" s="69">
        <v>0</v>
      </c>
      <c r="T3" s="69">
        <v>0</v>
      </c>
      <c r="U3" s="69">
        <v>0</v>
      </c>
      <c r="V3" s="69">
        <v>0</v>
      </c>
      <c r="W3" s="69">
        <v>0</v>
      </c>
      <c r="X3" s="69">
        <v>0</v>
      </c>
      <c r="Y3" s="69">
        <v>0</v>
      </c>
      <c r="Z3" s="69">
        <v>0</v>
      </c>
      <c r="AA3" s="69">
        <v>0.16666666666666666</v>
      </c>
      <c r="AB3" s="69">
        <v>0.33333333333333331</v>
      </c>
      <c r="AC3" s="69">
        <v>0.5</v>
      </c>
      <c r="AD3" s="69">
        <v>0.66666666666666663</v>
      </c>
      <c r="AE3" s="69">
        <v>0.83333333333333337</v>
      </c>
      <c r="AF3" s="69">
        <v>1</v>
      </c>
      <c r="AG3" s="69">
        <v>1.1666666666666667</v>
      </c>
      <c r="AH3" s="69">
        <v>1.3333333333333333</v>
      </c>
      <c r="AI3" s="69">
        <v>1.5</v>
      </c>
      <c r="AJ3" s="69">
        <v>1.6666666666666667</v>
      </c>
      <c r="AK3" s="69">
        <v>1.8333333333333333</v>
      </c>
      <c r="AL3" s="69">
        <v>2</v>
      </c>
      <c r="AM3" s="69">
        <v>2</v>
      </c>
      <c r="AN3" s="69">
        <v>2</v>
      </c>
    </row>
    <row r="4" spans="1:40" x14ac:dyDescent="0.25">
      <c r="A4" s="65"/>
      <c r="B4" s="55"/>
      <c r="C4" s="55"/>
      <c r="D4" s="55" t="s">
        <v>260</v>
      </c>
      <c r="E4" s="69" cm="1">
        <f t="array" ref="E4:AN4">_xlfn.BYCOL(_xlfn.VSTACK(_xlfn.ANCHORARRAY($E$1),_xlfn.ANCHORARRAY($E$2)),_xlfn.LAMBDA(_xlpm.a,SUM(_xlpm.a)))</f>
        <v>0</v>
      </c>
      <c r="F4" s="69">
        <v>0</v>
      </c>
      <c r="G4" s="69">
        <v>0</v>
      </c>
      <c r="H4" s="69">
        <v>0</v>
      </c>
      <c r="I4" s="69">
        <v>0</v>
      </c>
      <c r="J4" s="69">
        <v>0</v>
      </c>
      <c r="K4" s="69">
        <v>0</v>
      </c>
      <c r="L4" s="69">
        <v>0</v>
      </c>
      <c r="M4" s="69">
        <v>0</v>
      </c>
      <c r="N4" s="69">
        <v>0</v>
      </c>
      <c r="O4" s="69">
        <v>0</v>
      </c>
      <c r="P4" s="69">
        <v>0</v>
      </c>
      <c r="Q4" s="69">
        <v>0</v>
      </c>
      <c r="R4" s="69">
        <v>0</v>
      </c>
      <c r="S4" s="69">
        <v>0</v>
      </c>
      <c r="T4" s="69">
        <v>0</v>
      </c>
      <c r="U4" s="69">
        <v>0</v>
      </c>
      <c r="V4" s="69">
        <v>0</v>
      </c>
      <c r="W4" s="69">
        <v>0</v>
      </c>
      <c r="X4" s="69">
        <v>0</v>
      </c>
      <c r="Y4" s="69">
        <v>0</v>
      </c>
      <c r="Z4" s="69">
        <v>1</v>
      </c>
      <c r="AA4" s="69">
        <v>4.8809523809523814</v>
      </c>
      <c r="AB4" s="69">
        <v>7.0476190476190474</v>
      </c>
      <c r="AC4" s="69">
        <v>8.2142857142857153</v>
      </c>
      <c r="AD4" s="69">
        <v>10.380952380952381</v>
      </c>
      <c r="AE4" s="69">
        <v>12.547619047619047</v>
      </c>
      <c r="AF4" s="69">
        <v>14.714285714285715</v>
      </c>
      <c r="AG4" s="69">
        <v>15.880952380952381</v>
      </c>
      <c r="AH4" s="69">
        <v>18.047619047619047</v>
      </c>
      <c r="AI4" s="69">
        <v>20.214285714285715</v>
      </c>
      <c r="AJ4" s="69">
        <v>21.38095238095238</v>
      </c>
      <c r="AK4" s="69">
        <v>23.547619047619047</v>
      </c>
      <c r="AL4" s="69">
        <v>25.714285714285715</v>
      </c>
      <c r="AM4" s="69">
        <v>26</v>
      </c>
      <c r="AN4" s="69">
        <v>26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107</v>
      </c>
      <c r="C6" s="3"/>
      <c r="D6" s="3"/>
      <c r="E6" s="66" cm="1">
        <f t="array" ref="E6:AN6">ROUND(_xlfn.BYCOL(_xlfn.ANCHORARRAY(E7),_xlfn.LAMBDA(_xlpm.a,SUM(_xlpm.a))),0)</f>
        <v>0</v>
      </c>
      <c r="F6" s="66">
        <v>0</v>
      </c>
      <c r="G6" s="66">
        <v>0</v>
      </c>
      <c r="H6" s="66">
        <v>0</v>
      </c>
      <c r="I6" s="66">
        <v>0</v>
      </c>
      <c r="J6" s="66">
        <v>0</v>
      </c>
      <c r="K6" s="66">
        <v>0</v>
      </c>
      <c r="L6" s="66">
        <v>0</v>
      </c>
      <c r="M6" s="66">
        <v>0</v>
      </c>
      <c r="N6" s="66">
        <v>0</v>
      </c>
      <c r="O6" s="66">
        <v>0</v>
      </c>
      <c r="P6" s="66">
        <v>0</v>
      </c>
      <c r="Q6" s="66">
        <v>0</v>
      </c>
      <c r="R6" s="66">
        <v>0</v>
      </c>
      <c r="S6" s="66">
        <v>0</v>
      </c>
      <c r="T6" s="66">
        <v>0</v>
      </c>
      <c r="U6" s="66">
        <v>0</v>
      </c>
      <c r="V6" s="66">
        <v>0</v>
      </c>
      <c r="W6" s="66">
        <v>0</v>
      </c>
      <c r="X6" s="66">
        <v>0</v>
      </c>
      <c r="Y6" s="66">
        <v>0</v>
      </c>
      <c r="Z6" s="66">
        <v>2</v>
      </c>
      <c r="AA6" s="66">
        <v>4</v>
      </c>
      <c r="AB6" s="66">
        <v>5</v>
      </c>
      <c r="AC6" s="66">
        <v>6</v>
      </c>
      <c r="AD6" s="66">
        <v>7</v>
      </c>
      <c r="AE6" s="66">
        <v>8</v>
      </c>
      <c r="AF6" s="66">
        <v>9</v>
      </c>
      <c r="AG6" s="66">
        <v>10</v>
      </c>
      <c r="AH6" s="66">
        <v>11</v>
      </c>
      <c r="AI6" s="66">
        <v>12</v>
      </c>
      <c r="AJ6" s="66">
        <v>13</v>
      </c>
      <c r="AK6" s="66">
        <v>14</v>
      </c>
      <c r="AL6" s="66">
        <v>15</v>
      </c>
      <c r="AM6" s="66">
        <v>16</v>
      </c>
      <c r="AN6" s="66">
        <v>16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1"/>
      <c r="E7" s="106" cm="1">
        <f t="array" ref="E7:AN20">_xlfn.LET(_xlpm.Customer_staff,_xlfn._xlws.FILTER(Base!$D$85:$BD$98,ISNUMBER(SEARCH($B$1&amp;"-"&amp;$C$1,Base!$D$4:$BD$4))),_xlpm.Customer,_xlfn.ANCHORARRAY($E$1),_xlpm.headcount,_xlpm.Customer/_xlpm.Customer_staff,
_xlpm.patient_staff,_xlfn.ANCHORARRAY($E$2)/_xlpm.Customer_staff,_xlpm.prim_staff_tr_rec,_xlfn.ANCHORARRAY($E$2)/_xlfn.CHOOSEROWS(_xlpm.Customer_staff,{7,8})+(_xlfn.ANCHORARRAY($E$1)*0.0055),_xlpm.rounding,_xlfn.VSTACK(2,2,0,0,2,2,2,2,2,2,2,0,0,0),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prim_staff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0</v>
      </c>
      <c r="F7" s="106">
        <v>0</v>
      </c>
      <c r="G7" s="106">
        <v>0</v>
      </c>
      <c r="H7" s="106">
        <v>0</v>
      </c>
      <c r="I7" s="106">
        <v>0</v>
      </c>
      <c r="J7" s="106">
        <v>0</v>
      </c>
      <c r="K7" s="106">
        <v>0</v>
      </c>
      <c r="L7" s="106">
        <v>0</v>
      </c>
      <c r="M7" s="106">
        <v>0</v>
      </c>
      <c r="N7" s="106">
        <v>0</v>
      </c>
      <c r="O7" s="106">
        <v>0</v>
      </c>
      <c r="P7" s="106">
        <v>0</v>
      </c>
      <c r="Q7" s="106">
        <v>0</v>
      </c>
      <c r="R7" s="106">
        <v>0</v>
      </c>
      <c r="S7" s="106">
        <v>0</v>
      </c>
      <c r="T7" s="106">
        <v>0</v>
      </c>
      <c r="U7" s="106">
        <v>0</v>
      </c>
      <c r="V7" s="106">
        <v>0</v>
      </c>
      <c r="W7" s="106">
        <v>0</v>
      </c>
      <c r="X7" s="106">
        <v>0</v>
      </c>
      <c r="Y7" s="106">
        <v>0</v>
      </c>
      <c r="Z7" s="106">
        <v>0.46</v>
      </c>
      <c r="AA7" s="106">
        <v>1.36</v>
      </c>
      <c r="AB7" s="106">
        <v>2.2599999999999998</v>
      </c>
      <c r="AC7" s="106">
        <v>2.71</v>
      </c>
      <c r="AD7" s="106">
        <v>3.61</v>
      </c>
      <c r="AE7" s="106">
        <v>4.51</v>
      </c>
      <c r="AF7" s="106">
        <v>5.42</v>
      </c>
      <c r="AG7" s="106">
        <v>5.87</v>
      </c>
      <c r="AH7" s="106">
        <v>6.77</v>
      </c>
      <c r="AI7" s="106">
        <v>7.67</v>
      </c>
      <c r="AJ7" s="106">
        <v>8.1199999999999992</v>
      </c>
      <c r="AK7" s="106">
        <v>9.02</v>
      </c>
      <c r="AL7" s="106">
        <v>9.93</v>
      </c>
      <c r="AM7" s="106">
        <v>10.83</v>
      </c>
      <c r="AN7" s="106">
        <v>10.83</v>
      </c>
    </row>
    <row r="8" spans="1:40" hidden="1" outlineLevel="1" x14ac:dyDescent="0.25">
      <c r="B8" s="39" t="str">
        <v>Secondary Direct Staff</v>
      </c>
      <c r="C8" s="3"/>
      <c r="D8" s="3"/>
      <c r="E8" s="106">
        <v>0</v>
      </c>
      <c r="F8" s="106">
        <v>0</v>
      </c>
      <c r="G8" s="106">
        <v>0</v>
      </c>
      <c r="H8" s="106">
        <v>0</v>
      </c>
      <c r="I8" s="106">
        <v>0</v>
      </c>
      <c r="J8" s="106">
        <v>0</v>
      </c>
      <c r="K8" s="106">
        <v>0</v>
      </c>
      <c r="L8" s="106">
        <v>0</v>
      </c>
      <c r="M8" s="106">
        <v>0</v>
      </c>
      <c r="N8" s="106">
        <v>0</v>
      </c>
      <c r="O8" s="106">
        <v>0</v>
      </c>
      <c r="P8" s="106">
        <v>0</v>
      </c>
      <c r="Q8" s="106">
        <v>0</v>
      </c>
      <c r="R8" s="106">
        <v>0</v>
      </c>
      <c r="S8" s="106">
        <v>0</v>
      </c>
      <c r="T8" s="106">
        <v>0</v>
      </c>
      <c r="U8" s="106">
        <v>0</v>
      </c>
      <c r="V8" s="106">
        <v>0</v>
      </c>
      <c r="W8" s="106">
        <v>0</v>
      </c>
      <c r="X8" s="106">
        <v>0</v>
      </c>
      <c r="Y8" s="106">
        <v>0</v>
      </c>
      <c r="Z8" s="106">
        <v>9.9999999999999992E-2</v>
      </c>
      <c r="AA8" s="106">
        <v>0.28000000000000003</v>
      </c>
      <c r="AB8" s="106">
        <v>0.46</v>
      </c>
      <c r="AC8" s="106">
        <v>0.55000000000000004</v>
      </c>
      <c r="AD8" s="106">
        <v>0.73</v>
      </c>
      <c r="AE8" s="106">
        <v>0.91</v>
      </c>
      <c r="AF8" s="106">
        <v>1.1000000000000001</v>
      </c>
      <c r="AG8" s="106">
        <v>1.19</v>
      </c>
      <c r="AH8" s="106">
        <v>1.37</v>
      </c>
      <c r="AI8" s="106">
        <v>1.55</v>
      </c>
      <c r="AJ8" s="106">
        <v>1.64</v>
      </c>
      <c r="AK8" s="106">
        <v>1.82</v>
      </c>
      <c r="AL8" s="106">
        <v>2</v>
      </c>
      <c r="AM8" s="106">
        <v>2.19</v>
      </c>
      <c r="AN8" s="106">
        <v>2.19</v>
      </c>
    </row>
    <row r="9" spans="1:40" hidden="1" outlineLevel="1" x14ac:dyDescent="0.25">
      <c r="B9" s="39" t="str">
        <v>Center Manager</v>
      </c>
      <c r="C9" s="3"/>
      <c r="D9" s="3"/>
      <c r="E9" s="106">
        <v>0</v>
      </c>
      <c r="F9" s="106">
        <v>0</v>
      </c>
      <c r="G9" s="106">
        <v>0</v>
      </c>
      <c r="H9" s="106">
        <v>0</v>
      </c>
      <c r="I9" s="106">
        <v>0</v>
      </c>
      <c r="J9" s="106">
        <v>0</v>
      </c>
      <c r="K9" s="106">
        <v>0</v>
      </c>
      <c r="L9" s="106">
        <v>0</v>
      </c>
      <c r="M9" s="106">
        <v>0</v>
      </c>
      <c r="N9" s="106">
        <v>0</v>
      </c>
      <c r="O9" s="106">
        <v>0</v>
      </c>
      <c r="P9" s="106">
        <v>0</v>
      </c>
      <c r="Q9" s="106">
        <v>0</v>
      </c>
      <c r="R9" s="106">
        <v>0</v>
      </c>
      <c r="S9" s="106">
        <v>0</v>
      </c>
      <c r="T9" s="106">
        <v>0</v>
      </c>
      <c r="U9" s="106">
        <v>0</v>
      </c>
      <c r="V9" s="106">
        <v>0</v>
      </c>
      <c r="W9" s="106">
        <v>0</v>
      </c>
      <c r="X9" s="106">
        <v>0</v>
      </c>
      <c r="Y9" s="106">
        <v>0</v>
      </c>
      <c r="Z9" s="106">
        <v>1</v>
      </c>
      <c r="AA9" s="106">
        <v>1</v>
      </c>
      <c r="AB9" s="106">
        <v>1</v>
      </c>
      <c r="AC9" s="106">
        <v>1</v>
      </c>
      <c r="AD9" s="106">
        <v>1</v>
      </c>
      <c r="AE9" s="106">
        <v>1</v>
      </c>
      <c r="AF9" s="106">
        <v>1</v>
      </c>
      <c r="AG9" s="106">
        <v>1</v>
      </c>
      <c r="AH9" s="106">
        <v>1</v>
      </c>
      <c r="AI9" s="106">
        <v>1</v>
      </c>
      <c r="AJ9" s="106">
        <v>1</v>
      </c>
      <c r="AK9" s="106">
        <v>1</v>
      </c>
      <c r="AL9" s="106">
        <v>1</v>
      </c>
      <c r="AM9" s="106">
        <v>1</v>
      </c>
      <c r="AN9" s="106">
        <v>1</v>
      </c>
    </row>
    <row r="10" spans="1:40" hidden="1" outlineLevel="1" x14ac:dyDescent="0.25">
      <c r="B10" s="39" t="str">
        <v>Intake</v>
      </c>
      <c r="C10" s="3"/>
      <c r="D10" s="3"/>
      <c r="E10" s="106">
        <v>0</v>
      </c>
      <c r="F10" s="106">
        <v>0</v>
      </c>
      <c r="G10" s="106">
        <v>0</v>
      </c>
      <c r="H10" s="106">
        <v>0</v>
      </c>
      <c r="I10" s="106">
        <v>0</v>
      </c>
      <c r="J10" s="106">
        <v>0</v>
      </c>
      <c r="K10" s="106">
        <v>0</v>
      </c>
      <c r="L10" s="106">
        <v>0</v>
      </c>
      <c r="M10" s="106">
        <v>0</v>
      </c>
      <c r="N10" s="106">
        <v>0</v>
      </c>
      <c r="O10" s="106">
        <v>0</v>
      </c>
      <c r="P10" s="106">
        <v>0</v>
      </c>
      <c r="Q10" s="106">
        <v>0</v>
      </c>
      <c r="R10" s="106">
        <v>0</v>
      </c>
      <c r="S10" s="106">
        <v>0</v>
      </c>
      <c r="T10" s="106">
        <v>0</v>
      </c>
      <c r="U10" s="106">
        <v>0</v>
      </c>
      <c r="V10" s="106">
        <v>0</v>
      </c>
      <c r="W10" s="106">
        <v>0</v>
      </c>
      <c r="X10" s="106">
        <v>0</v>
      </c>
      <c r="Y10" s="106">
        <v>0</v>
      </c>
      <c r="Z10" s="106">
        <v>0</v>
      </c>
      <c r="AA10" s="106">
        <v>1</v>
      </c>
      <c r="AB10" s="106">
        <v>1</v>
      </c>
      <c r="AC10" s="106">
        <v>1</v>
      </c>
      <c r="AD10" s="106">
        <v>1</v>
      </c>
      <c r="AE10" s="106">
        <v>1</v>
      </c>
      <c r="AF10" s="106">
        <v>1</v>
      </c>
      <c r="AG10" s="106">
        <v>1</v>
      </c>
      <c r="AH10" s="106">
        <v>1</v>
      </c>
      <c r="AI10" s="106">
        <v>1</v>
      </c>
      <c r="AJ10" s="106">
        <v>1</v>
      </c>
      <c r="AK10" s="106">
        <v>1</v>
      </c>
      <c r="AL10" s="106">
        <v>1</v>
      </c>
      <c r="AM10" s="106">
        <v>1</v>
      </c>
      <c r="AN10" s="106">
        <v>1</v>
      </c>
    </row>
    <row r="11" spans="1:40" hidden="1" outlineLevel="1" x14ac:dyDescent="0.25">
      <c r="B11" s="39" t="str">
        <v>Scheduler</v>
      </c>
      <c r="C11" s="3"/>
      <c r="D11" s="3"/>
      <c r="E11" s="106">
        <v>0</v>
      </c>
      <c r="F11" s="106">
        <v>0</v>
      </c>
      <c r="G11" s="106">
        <v>0</v>
      </c>
      <c r="H11" s="106">
        <v>0</v>
      </c>
      <c r="I11" s="106">
        <v>0</v>
      </c>
      <c r="J11" s="106">
        <v>0</v>
      </c>
      <c r="K11" s="106">
        <v>0</v>
      </c>
      <c r="L11" s="106">
        <v>0</v>
      </c>
      <c r="M11" s="106">
        <v>0</v>
      </c>
      <c r="N11" s="106">
        <v>0</v>
      </c>
      <c r="O11" s="106">
        <v>0</v>
      </c>
      <c r="P11" s="106">
        <v>0</v>
      </c>
      <c r="Q11" s="106">
        <v>0</v>
      </c>
      <c r="R11" s="106">
        <v>0</v>
      </c>
      <c r="S11" s="106">
        <v>0</v>
      </c>
      <c r="T11" s="106">
        <v>0</v>
      </c>
      <c r="U11" s="106">
        <v>0</v>
      </c>
      <c r="V11" s="106">
        <v>0</v>
      </c>
      <c r="W11" s="106">
        <v>0</v>
      </c>
      <c r="X11" s="106">
        <v>0</v>
      </c>
      <c r="Y11" s="106">
        <v>0</v>
      </c>
      <c r="Z11" s="106">
        <v>0</v>
      </c>
      <c r="AA11" s="106">
        <v>0</v>
      </c>
      <c r="AB11" s="106">
        <v>0</v>
      </c>
      <c r="AC11" s="106">
        <v>0</v>
      </c>
      <c r="AD11" s="106">
        <v>0</v>
      </c>
      <c r="AE11" s="106">
        <v>0</v>
      </c>
      <c r="AF11" s="106">
        <v>0</v>
      </c>
      <c r="AG11" s="106">
        <v>0</v>
      </c>
      <c r="AH11" s="106">
        <v>0</v>
      </c>
      <c r="AI11" s="106">
        <v>0</v>
      </c>
      <c r="AJ11" s="106">
        <v>0</v>
      </c>
      <c r="AK11" s="106">
        <v>0</v>
      </c>
      <c r="AL11" s="106">
        <v>0</v>
      </c>
      <c r="AM11" s="106">
        <v>0</v>
      </c>
      <c r="AN11" s="106">
        <v>0</v>
      </c>
    </row>
    <row r="12" spans="1:40" hidden="1" outlineLevel="1" x14ac:dyDescent="0.25">
      <c r="B12" s="39" t="str">
        <v>Initial Consultation Expert</v>
      </c>
      <c r="C12" s="3"/>
      <c r="D12" s="3"/>
      <c r="E12" s="106">
        <v>0</v>
      </c>
      <c r="F12" s="106">
        <v>0</v>
      </c>
      <c r="G12" s="106">
        <v>0</v>
      </c>
      <c r="H12" s="106">
        <v>0</v>
      </c>
      <c r="I12" s="106">
        <v>0</v>
      </c>
      <c r="J12" s="106">
        <v>0</v>
      </c>
      <c r="K12" s="106">
        <v>0</v>
      </c>
      <c r="L12" s="106">
        <v>0</v>
      </c>
      <c r="M12" s="106">
        <v>0</v>
      </c>
      <c r="N12" s="106">
        <v>0</v>
      </c>
      <c r="O12" s="106">
        <v>0</v>
      </c>
      <c r="P12" s="106">
        <v>0</v>
      </c>
      <c r="Q12" s="106">
        <v>0</v>
      </c>
      <c r="R12" s="106">
        <v>0</v>
      </c>
      <c r="S12" s="106">
        <v>0</v>
      </c>
      <c r="T12" s="106">
        <v>0</v>
      </c>
      <c r="U12" s="106">
        <v>0</v>
      </c>
      <c r="V12" s="106">
        <v>0</v>
      </c>
      <c r="W12" s="106">
        <v>0</v>
      </c>
      <c r="X12" s="106">
        <v>0</v>
      </c>
      <c r="Y12" s="106">
        <v>0</v>
      </c>
      <c r="Z12" s="106">
        <v>0</v>
      </c>
      <c r="AA12" s="106">
        <v>0.15000000000000002</v>
      </c>
      <c r="AB12" s="106">
        <v>0.16</v>
      </c>
      <c r="AC12" s="106">
        <v>0.18000000000000002</v>
      </c>
      <c r="AD12" s="106">
        <v>0.19</v>
      </c>
      <c r="AE12" s="106">
        <v>0.2</v>
      </c>
      <c r="AF12" s="106">
        <v>0.21000000000000002</v>
      </c>
      <c r="AG12" s="106">
        <v>0.23</v>
      </c>
      <c r="AH12" s="106">
        <v>0.24000000000000002</v>
      </c>
      <c r="AI12" s="106">
        <v>0.25</v>
      </c>
      <c r="AJ12" s="106">
        <v>0.27</v>
      </c>
      <c r="AK12" s="106">
        <v>0.28000000000000003</v>
      </c>
      <c r="AL12" s="106">
        <v>0.29000000000000004</v>
      </c>
      <c r="AM12" s="106">
        <v>0.16</v>
      </c>
      <c r="AN12" s="106">
        <v>0.16</v>
      </c>
    </row>
    <row r="13" spans="1:40" hidden="1" outlineLevel="1" x14ac:dyDescent="0.25">
      <c r="B13" s="39" t="str">
        <v>Trainer</v>
      </c>
      <c r="C13" s="3"/>
      <c r="D13" s="3"/>
      <c r="E13" s="106">
        <v>0</v>
      </c>
      <c r="F13" s="106">
        <v>0</v>
      </c>
      <c r="G13" s="106">
        <v>0</v>
      </c>
      <c r="H13" s="106">
        <v>0</v>
      </c>
      <c r="I13" s="106">
        <v>0</v>
      </c>
      <c r="J13" s="106">
        <v>0</v>
      </c>
      <c r="K13" s="106">
        <v>0</v>
      </c>
      <c r="L13" s="106">
        <v>0</v>
      </c>
      <c r="M13" s="106">
        <v>0</v>
      </c>
      <c r="N13" s="106">
        <v>0</v>
      </c>
      <c r="O13" s="106">
        <v>0</v>
      </c>
      <c r="P13" s="106">
        <v>0</v>
      </c>
      <c r="Q13" s="106">
        <v>0</v>
      </c>
      <c r="R13" s="106">
        <v>0</v>
      </c>
      <c r="S13" s="106">
        <v>0</v>
      </c>
      <c r="T13" s="106">
        <v>0</v>
      </c>
      <c r="U13" s="106">
        <v>0</v>
      </c>
      <c r="V13" s="106">
        <v>0</v>
      </c>
      <c r="W13" s="106">
        <v>0</v>
      </c>
      <c r="X13" s="106">
        <v>0</v>
      </c>
      <c r="Y13" s="106">
        <v>0</v>
      </c>
      <c r="Z13" s="106">
        <v>0.01</v>
      </c>
      <c r="AA13" s="106">
        <v>0.21000000000000002</v>
      </c>
      <c r="AB13" s="106">
        <v>0.24000000000000002</v>
      </c>
      <c r="AC13" s="106">
        <v>0.26</v>
      </c>
      <c r="AD13" s="106">
        <v>0.29000000000000004</v>
      </c>
      <c r="AE13" s="106">
        <v>0.31</v>
      </c>
      <c r="AF13" s="106">
        <v>0.34</v>
      </c>
      <c r="AG13" s="106">
        <v>0.36</v>
      </c>
      <c r="AH13" s="106">
        <v>0.39</v>
      </c>
      <c r="AI13" s="106">
        <v>0.42</v>
      </c>
      <c r="AJ13" s="106">
        <v>0.44</v>
      </c>
      <c r="AK13" s="106">
        <v>0.47000000000000003</v>
      </c>
      <c r="AL13" s="106">
        <v>0.5</v>
      </c>
      <c r="AM13" s="106">
        <v>0.34</v>
      </c>
      <c r="AN13" s="106">
        <v>0.34</v>
      </c>
    </row>
    <row r="14" spans="1:40" hidden="1" outlineLevel="1" x14ac:dyDescent="0.25">
      <c r="B14" s="39" t="str">
        <v>Recruiter</v>
      </c>
      <c r="C14" s="3"/>
      <c r="D14" s="3"/>
      <c r="E14" s="106">
        <v>0</v>
      </c>
      <c r="F14" s="106">
        <v>0</v>
      </c>
      <c r="G14" s="106">
        <v>0</v>
      </c>
      <c r="H14" s="106">
        <v>0</v>
      </c>
      <c r="I14" s="106">
        <v>0</v>
      </c>
      <c r="J14" s="106">
        <v>0</v>
      </c>
      <c r="K14" s="106">
        <v>0</v>
      </c>
      <c r="L14" s="106">
        <v>0</v>
      </c>
      <c r="M14" s="106">
        <v>0</v>
      </c>
      <c r="N14" s="106">
        <v>0</v>
      </c>
      <c r="O14" s="106">
        <v>0</v>
      </c>
      <c r="P14" s="106">
        <v>0</v>
      </c>
      <c r="Q14" s="106">
        <v>0</v>
      </c>
      <c r="R14" s="106">
        <v>0</v>
      </c>
      <c r="S14" s="106">
        <v>0</v>
      </c>
      <c r="T14" s="106">
        <v>0</v>
      </c>
      <c r="U14" s="106">
        <v>0</v>
      </c>
      <c r="V14" s="106">
        <v>0</v>
      </c>
      <c r="W14" s="106">
        <v>0</v>
      </c>
      <c r="X14" s="106">
        <v>0</v>
      </c>
      <c r="Y14" s="106">
        <v>0</v>
      </c>
      <c r="Z14" s="106">
        <v>0.01</v>
      </c>
      <c r="AA14" s="106">
        <v>0.12</v>
      </c>
      <c r="AB14" s="106">
        <v>0.13</v>
      </c>
      <c r="AC14" s="106">
        <v>0.15000000000000002</v>
      </c>
      <c r="AD14" s="106">
        <v>0.17</v>
      </c>
      <c r="AE14" s="106">
        <v>0.19</v>
      </c>
      <c r="AF14" s="106">
        <v>0.21000000000000002</v>
      </c>
      <c r="AG14" s="106">
        <v>0.22</v>
      </c>
      <c r="AH14" s="106">
        <v>0.24000000000000002</v>
      </c>
      <c r="AI14" s="106">
        <v>0.26</v>
      </c>
      <c r="AJ14" s="106">
        <v>0.27</v>
      </c>
      <c r="AK14" s="106">
        <v>0.29000000000000004</v>
      </c>
      <c r="AL14" s="106">
        <v>0.31</v>
      </c>
      <c r="AM14" s="106">
        <v>0.24000000000000002</v>
      </c>
      <c r="AN14" s="106">
        <v>0.24000000000000002</v>
      </c>
    </row>
    <row r="15" spans="1:40" hidden="1" outlineLevel="1" x14ac:dyDescent="0.25">
      <c r="B15" s="39" t="str">
        <v>Center Director / Remote Site Director</v>
      </c>
      <c r="C15" s="3"/>
      <c r="D15" s="3"/>
      <c r="E15" s="106">
        <v>0</v>
      </c>
      <c r="F15" s="106">
        <v>0</v>
      </c>
      <c r="G15" s="106">
        <v>0</v>
      </c>
      <c r="H15" s="106">
        <v>0</v>
      </c>
      <c r="I15" s="106">
        <v>0</v>
      </c>
      <c r="J15" s="106">
        <v>0</v>
      </c>
      <c r="K15" s="106">
        <v>0</v>
      </c>
      <c r="L15" s="106">
        <v>0</v>
      </c>
      <c r="M15" s="106">
        <v>0</v>
      </c>
      <c r="N15" s="106">
        <v>0</v>
      </c>
      <c r="O15" s="106">
        <v>0</v>
      </c>
      <c r="P15" s="106">
        <v>0</v>
      </c>
      <c r="Q15" s="106">
        <v>0</v>
      </c>
      <c r="R15" s="106">
        <v>0</v>
      </c>
      <c r="S15" s="106">
        <v>0</v>
      </c>
      <c r="T15" s="106">
        <v>0</v>
      </c>
      <c r="U15" s="106">
        <v>0</v>
      </c>
      <c r="V15" s="106">
        <v>0</v>
      </c>
      <c r="W15" s="106">
        <v>0</v>
      </c>
      <c r="X15" s="106">
        <v>0</v>
      </c>
      <c r="Y15" s="106">
        <v>0</v>
      </c>
      <c r="Z15" s="106">
        <v>0.01</v>
      </c>
      <c r="AA15" s="106">
        <v>0.02</v>
      </c>
      <c r="AB15" s="106">
        <v>0.02</v>
      </c>
      <c r="AC15" s="106">
        <v>0.03</v>
      </c>
      <c r="AD15" s="106">
        <v>0.04</v>
      </c>
      <c r="AE15" s="106">
        <v>0.04</v>
      </c>
      <c r="AF15" s="106">
        <v>0.05</v>
      </c>
      <c r="AG15" s="106">
        <v>6.0000000000000005E-2</v>
      </c>
      <c r="AH15" s="106">
        <v>0.06</v>
      </c>
      <c r="AI15" s="106">
        <v>6.9999999999999993E-2</v>
      </c>
      <c r="AJ15" s="106">
        <v>0.08</v>
      </c>
      <c r="AK15" s="106">
        <v>0.08</v>
      </c>
      <c r="AL15" s="106">
        <v>0.09</v>
      </c>
      <c r="AM15" s="106">
        <v>9.9999999999999992E-2</v>
      </c>
      <c r="AN15" s="106">
        <v>9.9999999999999992E-2</v>
      </c>
    </row>
    <row r="16" spans="1:40" hidden="1" outlineLevel="1" x14ac:dyDescent="0.25">
      <c r="B16" s="39" t="str">
        <v>Center Marketing Outreach</v>
      </c>
      <c r="C16" s="3"/>
      <c r="D16" s="3"/>
      <c r="E16" s="106">
        <v>0</v>
      </c>
      <c r="F16" s="106">
        <v>0</v>
      </c>
      <c r="G16" s="106">
        <v>0</v>
      </c>
      <c r="H16" s="106">
        <v>0</v>
      </c>
      <c r="I16" s="106">
        <v>0</v>
      </c>
      <c r="J16" s="106">
        <v>0</v>
      </c>
      <c r="K16" s="106">
        <v>0</v>
      </c>
      <c r="L16" s="106">
        <v>0</v>
      </c>
      <c r="M16" s="106">
        <v>0</v>
      </c>
      <c r="N16" s="106">
        <v>0</v>
      </c>
      <c r="O16" s="106">
        <v>0</v>
      </c>
      <c r="P16" s="106">
        <v>0</v>
      </c>
      <c r="Q16" s="106">
        <v>0</v>
      </c>
      <c r="R16" s="106">
        <v>0</v>
      </c>
      <c r="S16" s="106">
        <v>0</v>
      </c>
      <c r="T16" s="106">
        <v>0</v>
      </c>
      <c r="U16" s="106">
        <v>0</v>
      </c>
      <c r="V16" s="106">
        <v>0</v>
      </c>
      <c r="W16" s="106">
        <v>0</v>
      </c>
      <c r="X16" s="106">
        <v>0</v>
      </c>
      <c r="Y16" s="106">
        <v>0</v>
      </c>
      <c r="Z16" s="106">
        <v>0.01</v>
      </c>
      <c r="AA16" s="106">
        <v>0.02</v>
      </c>
      <c r="AB16" s="106">
        <v>0.02</v>
      </c>
      <c r="AC16" s="106">
        <v>0.03</v>
      </c>
      <c r="AD16" s="106">
        <v>0.04</v>
      </c>
      <c r="AE16" s="106">
        <v>0.04</v>
      </c>
      <c r="AF16" s="106">
        <v>0.05</v>
      </c>
      <c r="AG16" s="106">
        <v>6.0000000000000005E-2</v>
      </c>
      <c r="AH16" s="106">
        <v>0.06</v>
      </c>
      <c r="AI16" s="106">
        <v>6.9999999999999993E-2</v>
      </c>
      <c r="AJ16" s="106">
        <v>0.08</v>
      </c>
      <c r="AK16" s="106">
        <v>0.08</v>
      </c>
      <c r="AL16" s="106">
        <v>0.09</v>
      </c>
      <c r="AM16" s="106">
        <v>9.9999999999999992E-2</v>
      </c>
      <c r="AN16" s="106">
        <v>9.9999999999999992E-2</v>
      </c>
    </row>
    <row r="17" spans="2:50" hidden="1" outlineLevel="1" x14ac:dyDescent="0.25">
      <c r="B17" s="39" t="str">
        <v>Primary Direct Staff Lead</v>
      </c>
      <c r="C17" s="3"/>
      <c r="D17" s="3"/>
      <c r="E17" s="106">
        <v>0</v>
      </c>
      <c r="F17" s="106">
        <v>0</v>
      </c>
      <c r="G17" s="106">
        <v>0</v>
      </c>
      <c r="H17" s="106">
        <v>0</v>
      </c>
      <c r="I17" s="106">
        <v>0</v>
      </c>
      <c r="J17" s="106">
        <v>0</v>
      </c>
      <c r="K17" s="106">
        <v>0</v>
      </c>
      <c r="L17" s="106">
        <v>0</v>
      </c>
      <c r="M17" s="106">
        <v>0</v>
      </c>
      <c r="N17" s="106">
        <v>0</v>
      </c>
      <c r="O17" s="106">
        <v>0</v>
      </c>
      <c r="P17" s="106">
        <v>0</v>
      </c>
      <c r="Q17" s="106">
        <v>0</v>
      </c>
      <c r="R17" s="106">
        <v>0</v>
      </c>
      <c r="S17" s="106">
        <v>0</v>
      </c>
      <c r="T17" s="106">
        <v>0</v>
      </c>
      <c r="U17" s="106">
        <v>0</v>
      </c>
      <c r="V17" s="106">
        <v>0</v>
      </c>
      <c r="W17" s="106">
        <v>0</v>
      </c>
      <c r="X17" s="106">
        <v>0</v>
      </c>
      <c r="Y17" s="106">
        <v>0</v>
      </c>
      <c r="Z17" s="106">
        <v>0</v>
      </c>
      <c r="AA17" s="106">
        <v>0</v>
      </c>
      <c r="AB17" s="106">
        <v>0</v>
      </c>
      <c r="AC17" s="106">
        <v>0</v>
      </c>
      <c r="AD17" s="106">
        <v>0</v>
      </c>
      <c r="AE17" s="106">
        <v>0</v>
      </c>
      <c r="AF17" s="106">
        <v>0</v>
      </c>
      <c r="AG17" s="106">
        <v>0</v>
      </c>
      <c r="AH17" s="106">
        <v>0</v>
      </c>
      <c r="AI17" s="106">
        <v>0</v>
      </c>
      <c r="AJ17" s="106">
        <v>0</v>
      </c>
      <c r="AK17" s="106">
        <v>0</v>
      </c>
      <c r="AL17" s="106">
        <v>0</v>
      </c>
      <c r="AM17" s="106">
        <v>0</v>
      </c>
      <c r="AN17" s="106">
        <v>0</v>
      </c>
    </row>
    <row r="18" spans="2:50" hidden="1" outlineLevel="1" x14ac:dyDescent="0.25">
      <c r="B18" s="39" t="str">
        <v>Tertiary Direct Staff</v>
      </c>
      <c r="C18" s="3"/>
      <c r="D18" s="3"/>
      <c r="E18" s="106">
        <v>0</v>
      </c>
      <c r="F18" s="106">
        <v>0</v>
      </c>
      <c r="G18" s="106">
        <v>0</v>
      </c>
      <c r="H18" s="106">
        <v>0</v>
      </c>
      <c r="I18" s="106">
        <v>0</v>
      </c>
      <c r="J18" s="106">
        <v>0</v>
      </c>
      <c r="K18" s="106">
        <v>0</v>
      </c>
      <c r="L18" s="106">
        <v>0</v>
      </c>
      <c r="M18" s="106">
        <v>0</v>
      </c>
      <c r="N18" s="106">
        <v>0</v>
      </c>
      <c r="O18" s="106">
        <v>0</v>
      </c>
      <c r="P18" s="106">
        <v>0</v>
      </c>
      <c r="Q18" s="106">
        <v>0</v>
      </c>
      <c r="R18" s="106">
        <v>0</v>
      </c>
      <c r="S18" s="106">
        <v>0</v>
      </c>
      <c r="T18" s="106">
        <v>0</v>
      </c>
      <c r="U18" s="106">
        <v>0</v>
      </c>
      <c r="V18" s="106">
        <v>0</v>
      </c>
      <c r="W18" s="106">
        <v>0</v>
      </c>
      <c r="X18" s="106">
        <v>0</v>
      </c>
      <c r="Y18" s="106">
        <v>0</v>
      </c>
      <c r="Z18" s="106">
        <v>0</v>
      </c>
      <c r="AA18" s="106">
        <v>0</v>
      </c>
      <c r="AB18" s="106">
        <v>0</v>
      </c>
      <c r="AC18" s="106">
        <v>0</v>
      </c>
      <c r="AD18" s="106">
        <v>0</v>
      </c>
      <c r="AE18" s="106">
        <v>0</v>
      </c>
      <c r="AF18" s="106">
        <v>0</v>
      </c>
      <c r="AG18" s="106">
        <v>0</v>
      </c>
      <c r="AH18" s="106">
        <v>0</v>
      </c>
      <c r="AI18" s="106">
        <v>0</v>
      </c>
      <c r="AJ18" s="106">
        <v>0</v>
      </c>
      <c r="AK18" s="106">
        <v>0</v>
      </c>
      <c r="AL18" s="106">
        <v>0</v>
      </c>
      <c r="AM18" s="106">
        <v>0</v>
      </c>
      <c r="AN18" s="106">
        <v>0</v>
      </c>
    </row>
    <row r="19" spans="2:50" hidden="1" outlineLevel="1" x14ac:dyDescent="0.25">
      <c r="B19" s="39" t="str">
        <v>Quinary Direct Staff</v>
      </c>
      <c r="C19" s="3"/>
      <c r="D19" s="3"/>
      <c r="E19" s="106">
        <v>0</v>
      </c>
      <c r="F19" s="106">
        <v>0</v>
      </c>
      <c r="G19" s="106">
        <v>0</v>
      </c>
      <c r="H19" s="106">
        <v>0</v>
      </c>
      <c r="I19" s="106">
        <v>0</v>
      </c>
      <c r="J19" s="106">
        <v>0</v>
      </c>
      <c r="K19" s="106">
        <v>0</v>
      </c>
      <c r="L19" s="106">
        <v>0</v>
      </c>
      <c r="M19" s="106">
        <v>0</v>
      </c>
      <c r="N19" s="106">
        <v>0</v>
      </c>
      <c r="O19" s="106">
        <v>0</v>
      </c>
      <c r="P19" s="106">
        <v>0</v>
      </c>
      <c r="Q19" s="106">
        <v>0</v>
      </c>
      <c r="R19" s="106">
        <v>0</v>
      </c>
      <c r="S19" s="106">
        <v>0</v>
      </c>
      <c r="T19" s="106">
        <v>0</v>
      </c>
      <c r="U19" s="106">
        <v>0</v>
      </c>
      <c r="V19" s="106">
        <v>0</v>
      </c>
      <c r="W19" s="106">
        <v>0</v>
      </c>
      <c r="X19" s="106">
        <v>0</v>
      </c>
      <c r="Y19" s="106">
        <v>0</v>
      </c>
      <c r="Z19" s="106">
        <v>0</v>
      </c>
      <c r="AA19" s="106">
        <v>0</v>
      </c>
      <c r="AB19" s="106">
        <v>0</v>
      </c>
      <c r="AC19" s="106">
        <v>0</v>
      </c>
      <c r="AD19" s="106">
        <v>0</v>
      </c>
      <c r="AE19" s="106">
        <v>0</v>
      </c>
      <c r="AF19" s="106">
        <v>0</v>
      </c>
      <c r="AG19" s="106">
        <v>0</v>
      </c>
      <c r="AH19" s="106">
        <v>0</v>
      </c>
      <c r="AI19" s="106">
        <v>0</v>
      </c>
      <c r="AJ19" s="106">
        <v>0</v>
      </c>
      <c r="AK19" s="106">
        <v>0</v>
      </c>
      <c r="AL19" s="106">
        <v>0</v>
      </c>
      <c r="AM19" s="106">
        <v>0</v>
      </c>
      <c r="AN19" s="106">
        <v>0</v>
      </c>
    </row>
    <row r="20" spans="2:50" hidden="1" outlineLevel="1" x14ac:dyDescent="0.25">
      <c r="B20" s="39" t="str">
        <v>Quaternary Direct Staff</v>
      </c>
      <c r="C20" s="3"/>
      <c r="D20" s="3"/>
      <c r="E20" s="106">
        <v>0</v>
      </c>
      <c r="F20" s="106">
        <v>0</v>
      </c>
      <c r="G20" s="106">
        <v>0</v>
      </c>
      <c r="H20" s="106">
        <v>0</v>
      </c>
      <c r="I20" s="106">
        <v>0</v>
      </c>
      <c r="J20" s="106">
        <v>0</v>
      </c>
      <c r="K20" s="106">
        <v>0</v>
      </c>
      <c r="L20" s="106">
        <v>0</v>
      </c>
      <c r="M20" s="106">
        <v>0</v>
      </c>
      <c r="N20" s="106">
        <v>0</v>
      </c>
      <c r="O20" s="106">
        <v>0</v>
      </c>
      <c r="P20" s="106">
        <v>0</v>
      </c>
      <c r="Q20" s="106">
        <v>0</v>
      </c>
      <c r="R20" s="106">
        <v>0</v>
      </c>
      <c r="S20" s="106">
        <v>0</v>
      </c>
      <c r="T20" s="106">
        <v>0</v>
      </c>
      <c r="U20" s="106">
        <v>0</v>
      </c>
      <c r="V20" s="106">
        <v>0</v>
      </c>
      <c r="W20" s="106">
        <v>0</v>
      </c>
      <c r="X20" s="106">
        <v>0</v>
      </c>
      <c r="Y20" s="106">
        <v>0</v>
      </c>
      <c r="Z20" s="106">
        <v>0</v>
      </c>
      <c r="AA20" s="106">
        <v>0</v>
      </c>
      <c r="AB20" s="106">
        <v>0</v>
      </c>
      <c r="AC20" s="106">
        <v>0</v>
      </c>
      <c r="AD20" s="106">
        <v>0</v>
      </c>
      <c r="AE20" s="106">
        <v>0</v>
      </c>
      <c r="AF20" s="106">
        <v>0</v>
      </c>
      <c r="AG20" s="106">
        <v>0</v>
      </c>
      <c r="AH20" s="106">
        <v>0</v>
      </c>
      <c r="AI20" s="106">
        <v>0</v>
      </c>
      <c r="AJ20" s="106">
        <v>0</v>
      </c>
      <c r="AK20" s="106">
        <v>0</v>
      </c>
      <c r="AL20" s="106">
        <v>0</v>
      </c>
      <c r="AM20" s="106">
        <v>0</v>
      </c>
      <c r="AN20" s="106">
        <v>0</v>
      </c>
    </row>
    <row r="21" spans="2:50" collapsed="1" x14ac:dyDescent="0.25">
      <c r="B21" s="39" t="s">
        <v>389</v>
      </c>
      <c r="C21" s="3"/>
      <c r="D21" s="5"/>
      <c r="E21" s="117" cm="1">
        <f t="array" ref="E21:AN21">ROUND(_xlfn.BYCOL(_xlfn.CHOOSEROWS(_xlfn.ANCHORARRAY(E7),1,2),_xlfn.LAMBDA(_xlpm.col,SUM(_xlpm.col))),0)</f>
        <v>0</v>
      </c>
      <c r="F21" s="117">
        <v>0</v>
      </c>
      <c r="G21" s="117">
        <v>0</v>
      </c>
      <c r="H21" s="117">
        <v>0</v>
      </c>
      <c r="I21" s="117">
        <v>0</v>
      </c>
      <c r="J21" s="117">
        <v>0</v>
      </c>
      <c r="K21" s="117">
        <v>0</v>
      </c>
      <c r="L21" s="117">
        <v>0</v>
      </c>
      <c r="M21" s="117">
        <v>0</v>
      </c>
      <c r="N21" s="117">
        <v>0</v>
      </c>
      <c r="O21" s="117">
        <v>0</v>
      </c>
      <c r="P21" s="117">
        <v>0</v>
      </c>
      <c r="Q21" s="117">
        <v>0</v>
      </c>
      <c r="R21" s="117">
        <v>0</v>
      </c>
      <c r="S21" s="117">
        <v>0</v>
      </c>
      <c r="T21" s="117">
        <v>0</v>
      </c>
      <c r="U21" s="117">
        <v>0</v>
      </c>
      <c r="V21" s="117">
        <v>0</v>
      </c>
      <c r="W21" s="117">
        <v>0</v>
      </c>
      <c r="X21" s="117">
        <v>0</v>
      </c>
      <c r="Y21" s="117">
        <v>0</v>
      </c>
      <c r="Z21" s="117">
        <v>1</v>
      </c>
      <c r="AA21" s="117">
        <v>2</v>
      </c>
      <c r="AB21" s="117">
        <v>3</v>
      </c>
      <c r="AC21" s="117">
        <v>3</v>
      </c>
      <c r="AD21" s="117">
        <v>4</v>
      </c>
      <c r="AE21" s="117">
        <v>5</v>
      </c>
      <c r="AF21" s="117">
        <v>7</v>
      </c>
      <c r="AG21" s="117">
        <v>7</v>
      </c>
      <c r="AH21" s="117">
        <v>8</v>
      </c>
      <c r="AI21" s="117">
        <v>9</v>
      </c>
      <c r="AJ21" s="117">
        <v>10</v>
      </c>
      <c r="AK21" s="117">
        <v>11</v>
      </c>
      <c r="AL21" s="117">
        <v>12</v>
      </c>
      <c r="AM21" s="117">
        <v>13</v>
      </c>
      <c r="AN21" s="117">
        <v>13</v>
      </c>
    </row>
    <row r="22" spans="2:50" x14ac:dyDescent="0.25">
      <c r="B22" s="2" t="s">
        <v>394</v>
      </c>
      <c r="C22" s="3"/>
      <c r="D22" s="77">
        <f>MAX(_xlfn.ANCHORARRAY(E22))</f>
        <v>174.55720170454555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0</v>
      </c>
      <c r="F22" s="78">
        <v>0</v>
      </c>
      <c r="G22" s="78">
        <v>0</v>
      </c>
      <c r="H22" s="78">
        <v>0</v>
      </c>
      <c r="I22" s="78">
        <v>0</v>
      </c>
      <c r="J22" s="78">
        <v>0</v>
      </c>
      <c r="K22" s="78">
        <v>0</v>
      </c>
      <c r="L22" s="78">
        <v>0</v>
      </c>
      <c r="M22" s="78">
        <v>0</v>
      </c>
      <c r="N22" s="78">
        <v>0</v>
      </c>
      <c r="O22" s="78">
        <v>0</v>
      </c>
      <c r="P22" s="78">
        <v>0</v>
      </c>
      <c r="Q22" s="78">
        <v>0</v>
      </c>
      <c r="R22" s="78">
        <v>0</v>
      </c>
      <c r="S22" s="78">
        <v>0</v>
      </c>
      <c r="T22" s="78">
        <v>0</v>
      </c>
      <c r="U22" s="78">
        <v>0</v>
      </c>
      <c r="V22" s="78">
        <v>0</v>
      </c>
      <c r="W22" s="78">
        <v>0</v>
      </c>
      <c r="X22" s="78">
        <v>0</v>
      </c>
      <c r="Y22" s="78">
        <v>0</v>
      </c>
      <c r="Z22" s="78">
        <v>174.55720170454555</v>
      </c>
      <c r="AA22" s="78">
        <v>174.55720170454543</v>
      </c>
      <c r="AB22" s="78">
        <v>174.55720170454541</v>
      </c>
      <c r="AC22" s="78">
        <v>174.55720170454543</v>
      </c>
      <c r="AD22" s="78">
        <v>174.55720170454555</v>
      </c>
      <c r="AE22" s="78">
        <v>174.55720170454541</v>
      </c>
      <c r="AF22" s="78">
        <v>174.55720170454543</v>
      </c>
      <c r="AG22" s="78">
        <v>174.55720170454546</v>
      </c>
      <c r="AH22" s="78">
        <v>174.55720170454546</v>
      </c>
      <c r="AI22" s="78">
        <v>174.55720170454549</v>
      </c>
      <c r="AJ22" s="78">
        <v>174.55720170454549</v>
      </c>
      <c r="AK22" s="78">
        <v>174.55720170454541</v>
      </c>
      <c r="AL22" s="78">
        <v>174.55720170454541</v>
      </c>
      <c r="AM22" s="78">
        <v>174.55720170454543</v>
      </c>
      <c r="AN22" s="78">
        <v>174.55720170454543</v>
      </c>
    </row>
    <row r="23" spans="2:50" x14ac:dyDescent="0.25">
      <c r="B23" s="2" t="s">
        <v>53</v>
      </c>
      <c r="C23" s="3"/>
      <c r="D23" s="72"/>
      <c r="E23" s="52" cm="1">
        <f t="array" ref="E23:AN23">_xlfn.LET(_xlpm.site,$B$1&amp;"-"&amp;$C$1,_xlpm.locations,Base!$D$4:$BD$4,_xlpm.Customer,_xlfn.ANCHORARRAY(E1),_xlpm.hours,SUM(_xlfn.XLOOKUP(_xlpm.site,_xlpm.locations,Base!$D$74:$BD$78,0,0)),
_xlpm.collection,1-_xlfn.XLOOKUP(_xlpm.site,_xlpm.locations,Base!$D$26:$BD$26,0,0),
_xlpm.Customer*_xlpm.hours*_xlpm.collection*(52/12))</f>
        <v>0</v>
      </c>
      <c r="F23" s="52">
        <v>0</v>
      </c>
      <c r="G23" s="52">
        <v>0</v>
      </c>
      <c r="H23" s="52">
        <v>0</v>
      </c>
      <c r="I23" s="52">
        <v>0</v>
      </c>
      <c r="J23" s="52">
        <v>0</v>
      </c>
      <c r="K23" s="52">
        <v>0</v>
      </c>
      <c r="L23" s="52">
        <v>0</v>
      </c>
      <c r="M23" s="52">
        <v>0</v>
      </c>
      <c r="N23" s="52">
        <v>0</v>
      </c>
      <c r="O23" s="52">
        <v>0</v>
      </c>
      <c r="P23" s="52">
        <v>0</v>
      </c>
      <c r="Q23" s="52">
        <v>0</v>
      </c>
      <c r="R23" s="52">
        <v>0</v>
      </c>
      <c r="S23" s="52">
        <v>0</v>
      </c>
      <c r="T23" s="52">
        <v>0</v>
      </c>
      <c r="U23" s="52">
        <v>0</v>
      </c>
      <c r="V23" s="52">
        <v>0</v>
      </c>
      <c r="W23" s="52">
        <v>0</v>
      </c>
      <c r="X23" s="52">
        <v>0</v>
      </c>
      <c r="Y23" s="52">
        <v>0</v>
      </c>
      <c r="Z23" s="52">
        <v>51.626666666666658</v>
      </c>
      <c r="AA23" s="52">
        <v>154.88</v>
      </c>
      <c r="AB23" s="52">
        <v>258.13333333333333</v>
      </c>
      <c r="AC23" s="52">
        <v>309.76</v>
      </c>
      <c r="AD23" s="52">
        <v>413.01333333333326</v>
      </c>
      <c r="AE23" s="52">
        <v>516.26666666666665</v>
      </c>
      <c r="AF23" s="52">
        <v>619.52</v>
      </c>
      <c r="AG23" s="52">
        <v>671.14666666666665</v>
      </c>
      <c r="AH23" s="52">
        <v>774.39999999999986</v>
      </c>
      <c r="AI23" s="52">
        <v>877.65333333333331</v>
      </c>
      <c r="AJ23" s="52">
        <v>929.27999999999986</v>
      </c>
      <c r="AK23" s="52">
        <v>1032.5333333333333</v>
      </c>
      <c r="AL23" s="52">
        <v>1135.7866666666666</v>
      </c>
      <c r="AM23" s="52">
        <v>1239.04</v>
      </c>
      <c r="AN23" s="52">
        <v>1239.04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21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_xlfn.LET(_xlpm.site,$B$1&amp;"-"&amp;$C$1,_xlpm.locations,Base!$D$4:$BD$4,_xlpm.rates,Base!$D31:$BD31,_xlpm.hours,Base!$D74:$BD74,_xlpm.comp,_xlpm.rates*_xlpm.hours,_xlpm.Customer,_xlfn.ANCHORARRAY($E$1),
_xlpm.Customer_comp,_xlfn.XLOOKUP(_xlpm.site,_xlpm.locations,_xlpm.comp,0,0),_xlpm.ann_incr,_xlfn.XLOOKUP(YEAR(_xlfn.ANCHORARRAY($E$25)),Base!$BJ$4:$BL$4,Base!$BJ74:$BL74,0,0),
_xlpm.bad_debt,_xlfn.XLOOKUP(_xlpm.site,_xlpm.locations,Base!$D$28:$BD$28,0,0),_xlpm.Customer_comp*_xlpm.Customer*_xlpm.bad_debt*_xlpm.ann_incr*(52/12))</f>
        <v>0</v>
      </c>
      <c r="F26" s="12">
        <v>0</v>
      </c>
      <c r="G26" s="12">
        <v>0</v>
      </c>
      <c r="H26" s="12">
        <v>0</v>
      </c>
      <c r="I26" s="12">
        <v>0</v>
      </c>
      <c r="J26" s="12">
        <v>0</v>
      </c>
      <c r="K26" s="12">
        <v>0</v>
      </c>
      <c r="L26" s="12">
        <v>0</v>
      </c>
      <c r="M26" s="12">
        <v>0</v>
      </c>
      <c r="N26" s="12">
        <v>0</v>
      </c>
      <c r="O26" s="12">
        <v>0</v>
      </c>
      <c r="P26" s="12">
        <v>0</v>
      </c>
      <c r="Q26" s="12">
        <v>0</v>
      </c>
      <c r="R26" s="12">
        <v>0</v>
      </c>
      <c r="S26" s="12">
        <v>0</v>
      </c>
      <c r="T26" s="12">
        <v>0</v>
      </c>
      <c r="U26" s="12">
        <v>0</v>
      </c>
      <c r="V26" s="12">
        <v>0</v>
      </c>
      <c r="W26" s="12">
        <v>0</v>
      </c>
      <c r="X26" s="12">
        <v>0</v>
      </c>
      <c r="Y26" s="12">
        <v>0</v>
      </c>
      <c r="Z26" s="12">
        <v>8154.019033333333</v>
      </c>
      <c r="AA26" s="12">
        <v>24462.057099999998</v>
      </c>
      <c r="AB26" s="12">
        <v>40770.095166666659</v>
      </c>
      <c r="AC26" s="12">
        <v>48924.114199999996</v>
      </c>
      <c r="AD26" s="12">
        <v>65232.152266666664</v>
      </c>
      <c r="AE26" s="12">
        <v>81540.190333333318</v>
      </c>
      <c r="AF26" s="12">
        <v>97848.228399999993</v>
      </c>
      <c r="AG26" s="12">
        <v>106002.24743333334</v>
      </c>
      <c r="AH26" s="12">
        <v>122310.28549999998</v>
      </c>
      <c r="AI26" s="12">
        <v>138618.32356666666</v>
      </c>
      <c r="AJ26" s="12">
        <v>146772.3426</v>
      </c>
      <c r="AK26" s="12">
        <v>163080.38066666664</v>
      </c>
      <c r="AL26" s="12">
        <v>179388.4187333333</v>
      </c>
      <c r="AM26" s="12">
        <v>195696.45679999999</v>
      </c>
      <c r="AN26" s="12">
        <v>195696.45679999999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_xlfn.LET(_xlpm.site,$B$1&amp;"-"&amp;$C$1,_xlpm.locations,Base!$D$4:$BD$4,_xlpm.rates,Base!$D32:$BD32,_xlpm.hours,Base!$D75:$BD75,_xlpm.comp,_xlpm.rates*_xlpm.hours,_xlpm.Customer,_xlfn.ANCHORARRAY($E$1),
_xlpm.Customer_comp,_xlfn.XLOOKUP(_xlpm.site,_xlpm.locations,_xlpm.comp,0,0),_xlpm.ann_incr,_xlfn.XLOOKUP(YEAR(_xlfn.ANCHORARRAY($E$25)),Base!$BJ$4:$BL$4,Base!$BJ75:$BL75,0,0),
_xlpm.bad_debt,_xlfn.XLOOKUP(_xlpm.site,_xlpm.locations,Base!$D$28:$BD$28,0,0),_xlpm.Customer_comp*_xlpm.Customer*_xlpm.bad_debt*_xlpm.ann_incr*(52/12))</f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12">
        <v>0</v>
      </c>
      <c r="AA27" s="12">
        <v>0</v>
      </c>
      <c r="AB27" s="12">
        <v>0</v>
      </c>
      <c r="AC27" s="12">
        <v>0</v>
      </c>
      <c r="AD27" s="12">
        <v>0</v>
      </c>
      <c r="AE27" s="12">
        <v>0</v>
      </c>
      <c r="AF27" s="12">
        <v>0</v>
      </c>
      <c r="AG27" s="12">
        <v>0</v>
      </c>
      <c r="AH27" s="12">
        <v>0</v>
      </c>
      <c r="AI27" s="12">
        <v>0</v>
      </c>
      <c r="AJ27" s="12">
        <v>0</v>
      </c>
      <c r="AK27" s="12">
        <v>0</v>
      </c>
      <c r="AL27" s="12">
        <v>0</v>
      </c>
      <c r="AM27" s="12">
        <v>0</v>
      </c>
      <c r="AN27" s="12">
        <v>0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_xlfn.LET(_xlpm.site,$B$1&amp;"-"&amp;$C$1,_xlpm.locations,Base!$D$4:$BD$4,_xlpm.rates,Base!$D33:$BD33,_xlpm.hours,Base!$D76:$BD76,_xlpm.comp,_xlpm.rates*_xlpm.hours,_xlpm.Customer,_xlfn.ANCHORARRAY($E$1),
_xlpm.Customer_comp,_xlfn.XLOOKUP(_xlpm.site,_xlpm.locations,_xlpm.comp,0,0),_xlpm.ann_incr,_xlfn.XLOOKUP(YEAR(_xlfn.ANCHORARRAY($E$25)),Base!$BJ$4:$BL$4,Base!$BJ76:$BL76,0,0),
_xlpm.bad_debt,_xlfn.XLOOKUP(_xlpm.site,_xlpm.locations,Base!$D$28:$BD$28,0,0),_xlpm.Customer_comp*_xlpm.Customer*_xlpm.bad_debt*_xlpm.ann_incr*(52/12))</f>
        <v>0</v>
      </c>
      <c r="F28" s="12">
        <v>0</v>
      </c>
      <c r="G28" s="12">
        <v>0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0</v>
      </c>
      <c r="N28" s="12">
        <v>0</v>
      </c>
      <c r="O28" s="12">
        <v>0</v>
      </c>
      <c r="P28" s="12">
        <v>0</v>
      </c>
      <c r="Q28" s="12">
        <v>0</v>
      </c>
      <c r="R28" s="12">
        <v>0</v>
      </c>
      <c r="S28" s="12">
        <v>0</v>
      </c>
      <c r="T28" s="12">
        <v>0</v>
      </c>
      <c r="U28" s="12">
        <v>0</v>
      </c>
      <c r="V28" s="12">
        <v>0</v>
      </c>
      <c r="W28" s="12">
        <v>0</v>
      </c>
      <c r="X28" s="12">
        <v>0</v>
      </c>
      <c r="Y28" s="12">
        <v>0</v>
      </c>
      <c r="Z28" s="12">
        <v>1086.8529099999998</v>
      </c>
      <c r="AA28" s="12">
        <v>3260.5587299999988</v>
      </c>
      <c r="AB28" s="12">
        <v>5434.2645499999981</v>
      </c>
      <c r="AC28" s="12">
        <v>6521.1174599999977</v>
      </c>
      <c r="AD28" s="12">
        <v>8694.8232799999987</v>
      </c>
      <c r="AE28" s="12">
        <v>10868.529099999996</v>
      </c>
      <c r="AF28" s="12">
        <v>13042.234919999995</v>
      </c>
      <c r="AG28" s="12">
        <v>14129.087829999997</v>
      </c>
      <c r="AH28" s="12">
        <v>16302.793649999996</v>
      </c>
      <c r="AI28" s="12">
        <v>18476.499469999999</v>
      </c>
      <c r="AJ28" s="12">
        <v>19563.352379999993</v>
      </c>
      <c r="AK28" s="12">
        <v>21737.058199999992</v>
      </c>
      <c r="AL28" s="12">
        <v>23910.764019999991</v>
      </c>
      <c r="AM28" s="12">
        <v>26084.469839999991</v>
      </c>
      <c r="AN28" s="12">
        <v>26084.469839999991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_xlfn.LET(_xlpm.site,$B$1&amp;"-"&amp;$C$1,_xlpm.locations,Base!$D$4:$BD$4,_xlpm.rates,Base!$D34:$BD34,_xlpm.hours,Base!$D77:$BD77,_xlpm.comp,_xlpm.rates*_xlpm.hours,_xlpm.Customer,_xlfn.ANCHORARRAY($E$1),
_xlpm.Customer_comp,_xlfn.XLOOKUP(_xlpm.site,_xlpm.locations,_xlpm.comp,0,0),_xlpm.ann_incr,_xlfn.XLOOKUP(YEAR(_xlfn.ANCHORARRAY($E$25)),Base!$BJ$4:$BL$4,Base!$BJ77:$BL77,0,0),
_xlpm.bad_debt,_xlfn.XLOOKUP(_xlpm.site,_xlpm.locations,Base!$D$28:$BD$28,0,0),_xlpm.Customer_comp*_xlpm.Customer*_xlpm.bad_debt*_xlpm.ann_incr*(52/12))</f>
        <v>0</v>
      </c>
      <c r="F29" s="12">
        <v>0</v>
      </c>
      <c r="G29" s="12">
        <v>0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0</v>
      </c>
      <c r="N29" s="12">
        <v>0</v>
      </c>
      <c r="O29" s="12">
        <v>0</v>
      </c>
      <c r="P29" s="12">
        <v>0</v>
      </c>
      <c r="Q29" s="12">
        <v>0</v>
      </c>
      <c r="R29" s="12">
        <v>0</v>
      </c>
      <c r="S29" s="12">
        <v>0</v>
      </c>
      <c r="T29" s="12">
        <v>0</v>
      </c>
      <c r="U29" s="12">
        <v>0</v>
      </c>
      <c r="V29" s="12">
        <v>0</v>
      </c>
      <c r="W29" s="12">
        <v>0</v>
      </c>
      <c r="X29" s="12">
        <v>0</v>
      </c>
      <c r="Y29" s="12">
        <v>0</v>
      </c>
      <c r="Z29" s="12">
        <v>167.20813999999999</v>
      </c>
      <c r="AA29" s="12">
        <v>501.62441999999999</v>
      </c>
      <c r="AB29" s="12">
        <v>836.04070000000002</v>
      </c>
      <c r="AC29" s="12">
        <v>1003.24884</v>
      </c>
      <c r="AD29" s="12">
        <v>1337.6651199999999</v>
      </c>
      <c r="AE29" s="12">
        <v>1672.0814</v>
      </c>
      <c r="AF29" s="12">
        <v>2006.4976799999999</v>
      </c>
      <c r="AG29" s="12">
        <v>2173.7058200000001</v>
      </c>
      <c r="AH29" s="12">
        <v>2508.1221</v>
      </c>
      <c r="AI29" s="12">
        <v>2842.5383799999995</v>
      </c>
      <c r="AJ29" s="12">
        <v>3009.7465200000001</v>
      </c>
      <c r="AK29" s="12">
        <v>3344.1628000000001</v>
      </c>
      <c r="AL29" s="12">
        <v>3678.5790799999995</v>
      </c>
      <c r="AM29" s="12">
        <v>4012.9953599999999</v>
      </c>
      <c r="AN29" s="12">
        <v>4012.9953599999999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_xlfn.LET(_xlpm.site,$B$1&amp;"-"&amp;$C$1,_xlpm.locations,Base!$D$4:$BD$4,_xlpm.rates,Base!$D35:$BD35,_xlpm.hours,Base!$D78:$BD78,_xlpm.comp,_xlpm.rates*_xlpm.hours,_xlpm.Customer,_xlfn.ANCHORARRAY($E$1),
_xlpm.Customer_comp,_xlfn.XLOOKUP(_xlpm.site,_xlpm.locations,_xlpm.comp,0,0),_xlpm.ann_incr,_xlfn.XLOOKUP(YEAR(_xlfn.ANCHORARRAY($E$25)),Base!$BJ$4:$BL$4,Base!$BJ78:$BL78,0,0),
_xlpm.bad_debt,_xlfn.XLOOKUP(_xlpm.site,_xlpm.locations,Base!$D$28:$BD$28,0,0),_xlpm.Customer_comp*_xlpm.Customer*_xlpm.bad_debt*_xlpm.ann_incr*(52/12))</f>
        <v>0</v>
      </c>
      <c r="F30" s="12">
        <v>0</v>
      </c>
      <c r="G30" s="12">
        <v>0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0</v>
      </c>
      <c r="N30" s="12">
        <v>0</v>
      </c>
      <c r="O30" s="12">
        <v>0</v>
      </c>
      <c r="P30" s="12">
        <v>0</v>
      </c>
      <c r="Q30" s="12">
        <v>0</v>
      </c>
      <c r="R30" s="12">
        <v>0</v>
      </c>
      <c r="S30" s="12">
        <v>0</v>
      </c>
      <c r="T30" s="12">
        <v>0</v>
      </c>
      <c r="U30" s="12">
        <v>0</v>
      </c>
      <c r="V30" s="12">
        <v>0</v>
      </c>
      <c r="W30" s="12">
        <v>0</v>
      </c>
      <c r="X30" s="12">
        <v>0</v>
      </c>
      <c r="Y30" s="12">
        <v>0</v>
      </c>
      <c r="Z30" s="12">
        <v>218.1677333333333</v>
      </c>
      <c r="AA30" s="12">
        <v>654.50319999999988</v>
      </c>
      <c r="AB30" s="12">
        <v>1090.8386666666665</v>
      </c>
      <c r="AC30" s="12">
        <v>1309.0063999999998</v>
      </c>
      <c r="AD30" s="12">
        <v>1745.3418666666664</v>
      </c>
      <c r="AE30" s="12">
        <v>2181.6773333333331</v>
      </c>
      <c r="AF30" s="12">
        <v>2618.0127999999995</v>
      </c>
      <c r="AG30" s="12">
        <v>2836.1805333333332</v>
      </c>
      <c r="AH30" s="12">
        <v>3272.5159999999996</v>
      </c>
      <c r="AI30" s="12">
        <v>3708.8514666666661</v>
      </c>
      <c r="AJ30" s="12">
        <v>3927.0191999999997</v>
      </c>
      <c r="AK30" s="12">
        <v>4363.3546666666662</v>
      </c>
      <c r="AL30" s="12">
        <v>4799.6901333333326</v>
      </c>
      <c r="AM30" s="12">
        <v>5236.025599999999</v>
      </c>
      <c r="AN30" s="12">
        <v>5236.025599999999</v>
      </c>
    </row>
    <row r="31" spans="2:50" x14ac:dyDescent="0.25">
      <c r="B31" s="39" t="str">
        <f>Base!B36</f>
        <v>Tertiary Direct Staff - Service A</v>
      </c>
      <c r="C31" s="4"/>
      <c r="E31" s="183" cm="1">
        <f t="array" ref="E31:AN31">_xlfn.LET(_xlpm.site,$B$1&amp;"-"&amp;$C$1,_xlpm.locations,Base!$D$4:$BD$4,_xlpm.rates,Base!$D36:$BD36,_xlpm.hours,Base!$D79:$BD79,_xlpm.comp,_xlpm.rates*_xlpm.hours,_xlpm.Customer,_xlfn.ANCHORARRAY($E$1)*0,
_xlpm.Customer_comp,_xlfn.XLOOKUP(_xlpm.site,_xlpm.locations,_xlpm.comp,0,0),_xlpm.ann_incr,_xlfn.XLOOKUP(YEAR(_xlfn.ANCHORARRAY($E$25)),Base!$BJ$4:$BL$4,Base!$BJ79:$BL79,0,0),
_xlpm.bad_debt,_xlfn.XLOOKUP(_xlpm.site,_xlpm.locations,Base!$D$28:$BD$28,0,0),_xlpm.Customer_comp*_xlpm.Customer*_xlpm.bad_debt*_xlpm.ann_incr*(52/12))</f>
        <v>0</v>
      </c>
      <c r="F31" s="183">
        <v>0</v>
      </c>
      <c r="G31" s="183">
        <v>0</v>
      </c>
      <c r="H31" s="183">
        <v>0</v>
      </c>
      <c r="I31" s="183">
        <v>0</v>
      </c>
      <c r="J31" s="183">
        <v>0</v>
      </c>
      <c r="K31" s="183">
        <v>0</v>
      </c>
      <c r="L31" s="183">
        <v>0</v>
      </c>
      <c r="M31" s="183">
        <v>0</v>
      </c>
      <c r="N31" s="183">
        <v>0</v>
      </c>
      <c r="O31" s="183">
        <v>0</v>
      </c>
      <c r="P31" s="183">
        <v>0</v>
      </c>
      <c r="Q31" s="183">
        <v>0</v>
      </c>
      <c r="R31" s="183">
        <v>0</v>
      </c>
      <c r="S31" s="183">
        <v>0</v>
      </c>
      <c r="T31" s="183">
        <v>0</v>
      </c>
      <c r="U31" s="183">
        <v>0</v>
      </c>
      <c r="V31" s="183">
        <v>0</v>
      </c>
      <c r="W31" s="183">
        <v>0</v>
      </c>
      <c r="X31" s="183">
        <v>0</v>
      </c>
      <c r="Y31" s="183">
        <v>0</v>
      </c>
      <c r="Z31" s="183">
        <v>0</v>
      </c>
      <c r="AA31" s="183">
        <v>0</v>
      </c>
      <c r="AB31" s="183">
        <v>0</v>
      </c>
      <c r="AC31" s="183">
        <v>0</v>
      </c>
      <c r="AD31" s="183">
        <v>0</v>
      </c>
      <c r="AE31" s="183">
        <v>0</v>
      </c>
      <c r="AF31" s="183">
        <v>0</v>
      </c>
      <c r="AG31" s="183">
        <v>0</v>
      </c>
      <c r="AH31" s="183">
        <v>0</v>
      </c>
      <c r="AI31" s="183">
        <v>0</v>
      </c>
      <c r="AJ31" s="183">
        <v>0</v>
      </c>
      <c r="AK31" s="183">
        <v>0</v>
      </c>
      <c r="AL31" s="183">
        <v>0</v>
      </c>
      <c r="AM31" s="183">
        <v>0</v>
      </c>
      <c r="AN31" s="183">
        <v>0</v>
      </c>
    </row>
    <row r="32" spans="2:50" x14ac:dyDescent="0.25">
      <c r="B32" s="39" t="str">
        <f>Base!B37</f>
        <v>Tertiary Direct Staff - Service B</v>
      </c>
      <c r="C32" s="4"/>
      <c r="E32" s="183" cm="1">
        <f t="array" ref="E32:AN32">_xlfn.LET(_xlpm.site,$B$1&amp;"-"&amp;$C$1,_xlpm.locations,Base!$D$4:$BD$4,_xlpm.rates,Base!$D37:$BD37,_xlpm.hours,Base!$D80:$BD80,_xlpm.comp,_xlpm.rates*_xlpm.hours,_xlpm.Customer,_xlfn.ANCHORARRAY($E$1)*0,
_xlpm.Customer_comp,_xlfn.XLOOKUP(_xlpm.site,_xlpm.locations,_xlpm.comp,0,0),_xlpm.ann_incr,_xlfn.XLOOKUP(YEAR(_xlfn.ANCHORARRAY($E$25)),Base!$BJ$4:$BL$4,Base!$BJ80:$BL80,0,0),
_xlpm.bad_debt,_xlfn.XLOOKUP(_xlpm.site,_xlpm.locations,Base!$D$28:$BD$28,0,0),_xlpm.Customer_comp*_xlpm.Customer*_xlpm.bad_debt*_xlpm.ann_incr*(52/12))</f>
        <v>0</v>
      </c>
      <c r="F32" s="183">
        <v>0</v>
      </c>
      <c r="G32" s="183">
        <v>0</v>
      </c>
      <c r="H32" s="183">
        <v>0</v>
      </c>
      <c r="I32" s="183">
        <v>0</v>
      </c>
      <c r="J32" s="183">
        <v>0</v>
      </c>
      <c r="K32" s="183">
        <v>0</v>
      </c>
      <c r="L32" s="183">
        <v>0</v>
      </c>
      <c r="M32" s="183">
        <v>0</v>
      </c>
      <c r="N32" s="183">
        <v>0</v>
      </c>
      <c r="O32" s="183">
        <v>0</v>
      </c>
      <c r="P32" s="183">
        <v>0</v>
      </c>
      <c r="Q32" s="183">
        <v>0</v>
      </c>
      <c r="R32" s="183">
        <v>0</v>
      </c>
      <c r="S32" s="183">
        <v>0</v>
      </c>
      <c r="T32" s="183">
        <v>0</v>
      </c>
      <c r="U32" s="183">
        <v>0</v>
      </c>
      <c r="V32" s="183">
        <v>0</v>
      </c>
      <c r="W32" s="183">
        <v>0</v>
      </c>
      <c r="X32" s="183">
        <v>0</v>
      </c>
      <c r="Y32" s="183">
        <v>0</v>
      </c>
      <c r="Z32" s="183">
        <v>0</v>
      </c>
      <c r="AA32" s="183">
        <v>0</v>
      </c>
      <c r="AB32" s="183">
        <v>0</v>
      </c>
      <c r="AC32" s="183">
        <v>0</v>
      </c>
      <c r="AD32" s="183">
        <v>0</v>
      </c>
      <c r="AE32" s="183">
        <v>0</v>
      </c>
      <c r="AF32" s="183">
        <v>0</v>
      </c>
      <c r="AG32" s="183">
        <v>0</v>
      </c>
      <c r="AH32" s="183">
        <v>0</v>
      </c>
      <c r="AI32" s="183">
        <v>0</v>
      </c>
      <c r="AJ32" s="183">
        <v>0</v>
      </c>
      <c r="AK32" s="183">
        <v>0</v>
      </c>
      <c r="AL32" s="183">
        <v>0</v>
      </c>
      <c r="AM32" s="183">
        <v>0</v>
      </c>
      <c r="AN32" s="183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_xlpm.Customer,_xlfn.ANCHORARRAY($E$2),_xlpm.ann_incr,_xlfn.XLOOKUP(YEAR(_xlfn.ANCHORARRAY($E$25)),Base!$BJ$4:$BL$4,Base!$BJ$81:$BL$81,0,0),
_xlpm.bad_debt,_xlfn.XLOOKUP(_xlpm.site,_xlpm.locations,Base!$D$28:$BD$28,0,0),
_xlpm.comp*_xlpm.bad_debt*_xlpm.ann_incr*(52/12))</f>
        <v>0</v>
      </c>
      <c r="F33" s="12">
        <v>0</v>
      </c>
      <c r="G33" s="12">
        <v>0</v>
      </c>
      <c r="H33" s="12">
        <v>0</v>
      </c>
      <c r="I33" s="12">
        <v>0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2">
        <v>0</v>
      </c>
      <c r="Y33" s="12">
        <v>0</v>
      </c>
      <c r="Z33" s="12">
        <v>0</v>
      </c>
      <c r="AA33" s="12">
        <v>0</v>
      </c>
      <c r="AB33" s="12">
        <v>0</v>
      </c>
      <c r="AC33" s="12">
        <v>0</v>
      </c>
      <c r="AD33" s="12">
        <v>0</v>
      </c>
      <c r="AE33" s="12">
        <v>0</v>
      </c>
      <c r="AF33" s="12">
        <v>0</v>
      </c>
      <c r="AG33" s="12">
        <v>0</v>
      </c>
      <c r="AH33" s="12">
        <v>0</v>
      </c>
      <c r="AI33" s="12">
        <v>0</v>
      </c>
      <c r="AJ33" s="12">
        <v>0</v>
      </c>
      <c r="AK33" s="12">
        <v>0</v>
      </c>
      <c r="AL33" s="12">
        <v>0</v>
      </c>
      <c r="AM33" s="12">
        <v>0</v>
      </c>
      <c r="AN33" s="12">
        <v>0</v>
      </c>
    </row>
    <row r="34" spans="2:40" x14ac:dyDescent="0.25">
      <c r="B34" s="39" t="str">
        <f>Base!B39</f>
        <v>Quinary Direct Staff - Service A</v>
      </c>
      <c r="C34" s="4"/>
      <c r="E34" s="183" cm="1">
        <f t="array" ref="E34:AN34">_xlfn.LET(_xlpm.site,$B$1&amp;"-"&amp;$C$1,_xlpm.locations,Base!$D$4:$BD$4,_xlpm.rates,Base!$D39:$BD39,_xlpm.hours,Base!$D82:$BD82,_xlpm.comp,_xlpm.rates*_xlpm.hours,_xlpm.Customer,_xlfn.ANCHORARRAY($E$1)*0,
_xlpm.Customer_comp,_xlfn.XLOOKUP(_xlpm.site,_xlpm.locations,_xlpm.comp,0,0),_xlpm.ann_incr,_xlfn.XLOOKUP(YEAR(_xlfn.ANCHORARRAY($E$25)),Base!$BJ$4:$BL$4,Base!$BJ82:$BL82,0,0),
_xlpm.bad_debt,_xlfn.XLOOKUP(_xlpm.site,_xlpm.locations,Base!$D$28:$BD$28,0,0),_xlpm.Customer_comp*_xlpm.Customer*_xlpm.bad_debt*_xlpm.ann_incr*(52/12))</f>
        <v>0</v>
      </c>
      <c r="F34" s="183">
        <v>0</v>
      </c>
      <c r="G34" s="183">
        <v>0</v>
      </c>
      <c r="H34" s="183">
        <v>0</v>
      </c>
      <c r="I34" s="183">
        <v>0</v>
      </c>
      <c r="J34" s="183">
        <v>0</v>
      </c>
      <c r="K34" s="183">
        <v>0</v>
      </c>
      <c r="L34" s="183">
        <v>0</v>
      </c>
      <c r="M34" s="183">
        <v>0</v>
      </c>
      <c r="N34" s="183">
        <v>0</v>
      </c>
      <c r="O34" s="183">
        <v>0</v>
      </c>
      <c r="P34" s="183">
        <v>0</v>
      </c>
      <c r="Q34" s="183">
        <v>0</v>
      </c>
      <c r="R34" s="183">
        <v>0</v>
      </c>
      <c r="S34" s="183">
        <v>0</v>
      </c>
      <c r="T34" s="183">
        <v>0</v>
      </c>
      <c r="U34" s="183">
        <v>0</v>
      </c>
      <c r="V34" s="183">
        <v>0</v>
      </c>
      <c r="W34" s="183">
        <v>0</v>
      </c>
      <c r="X34" s="183">
        <v>0</v>
      </c>
      <c r="Y34" s="183">
        <v>0</v>
      </c>
      <c r="Z34" s="183">
        <v>0</v>
      </c>
      <c r="AA34" s="183">
        <v>0</v>
      </c>
      <c r="AB34" s="183">
        <v>0</v>
      </c>
      <c r="AC34" s="183">
        <v>0</v>
      </c>
      <c r="AD34" s="183">
        <v>0</v>
      </c>
      <c r="AE34" s="183">
        <v>0</v>
      </c>
      <c r="AF34" s="183">
        <v>0</v>
      </c>
      <c r="AG34" s="183">
        <v>0</v>
      </c>
      <c r="AH34" s="183">
        <v>0</v>
      </c>
      <c r="AI34" s="183">
        <v>0</v>
      </c>
      <c r="AJ34" s="183">
        <v>0</v>
      </c>
      <c r="AK34" s="183">
        <v>0</v>
      </c>
      <c r="AL34" s="183">
        <v>0</v>
      </c>
      <c r="AM34" s="183">
        <v>0</v>
      </c>
      <c r="AN34" s="183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0</v>
      </c>
      <c r="F35" s="12">
        <v>0</v>
      </c>
      <c r="G35" s="12">
        <v>0</v>
      </c>
      <c r="H35" s="12">
        <v>0</v>
      </c>
      <c r="I35" s="12">
        <v>0</v>
      </c>
      <c r="J35" s="12">
        <v>0</v>
      </c>
      <c r="K35" s="12">
        <v>0</v>
      </c>
      <c r="L35" s="12">
        <v>0</v>
      </c>
      <c r="M35" s="12">
        <v>0</v>
      </c>
      <c r="N35" s="12">
        <v>0</v>
      </c>
      <c r="O35" s="12">
        <v>0</v>
      </c>
      <c r="P35" s="12">
        <v>0</v>
      </c>
      <c r="Q35" s="12">
        <v>0</v>
      </c>
      <c r="R35" s="12">
        <v>0</v>
      </c>
      <c r="S35" s="12">
        <v>0</v>
      </c>
      <c r="T35" s="12">
        <v>0</v>
      </c>
      <c r="U35" s="12">
        <v>0</v>
      </c>
      <c r="V35" s="12">
        <v>0</v>
      </c>
      <c r="W35" s="12">
        <v>0</v>
      </c>
      <c r="X35" s="12">
        <v>0</v>
      </c>
      <c r="Y35" s="12">
        <v>0</v>
      </c>
      <c r="Z35" s="12">
        <v>-1155.1497380000001</v>
      </c>
      <c r="AA35" s="12">
        <v>-3465.4492139999993</v>
      </c>
      <c r="AB35" s="12">
        <v>-5775.7486899999985</v>
      </c>
      <c r="AC35" s="12">
        <v>-6930.8984279999986</v>
      </c>
      <c r="AD35" s="12">
        <v>-9241.1979040000006</v>
      </c>
      <c r="AE35" s="12">
        <v>-11551.497379999997</v>
      </c>
      <c r="AF35" s="12">
        <v>-13861.796855999997</v>
      </c>
      <c r="AG35" s="12">
        <v>-15016.946594000001</v>
      </c>
      <c r="AH35" s="12">
        <v>-17327.246069999997</v>
      </c>
      <c r="AI35" s="12">
        <v>-19637.545546000001</v>
      </c>
      <c r="AJ35" s="12">
        <v>-20792.695283999998</v>
      </c>
      <c r="AK35" s="12">
        <v>-23102.994759999994</v>
      </c>
      <c r="AL35" s="12">
        <v>-25413.294235999994</v>
      </c>
      <c r="AM35" s="12">
        <v>-27723.593711999994</v>
      </c>
      <c r="AN35" s="12">
        <v>-27723.593711999994</v>
      </c>
    </row>
    <row r="36" spans="2:40" x14ac:dyDescent="0.25">
      <c r="B36" s="39" t="s">
        <v>261</v>
      </c>
      <c r="C36" s="15"/>
      <c r="E36" s="183" cm="1">
        <f t="array" ref="E36:AN36">_xlfn.BYCOL(_xlfn.ANCHORARRAY($E$25),_xlfn.LAMBDA(_xlpm.a,0))</f>
        <v>0</v>
      </c>
      <c r="F36" s="183">
        <v>0</v>
      </c>
      <c r="G36" s="183">
        <v>0</v>
      </c>
      <c r="H36" s="183">
        <v>0</v>
      </c>
      <c r="I36" s="183">
        <v>0</v>
      </c>
      <c r="J36" s="183">
        <v>0</v>
      </c>
      <c r="K36" s="183">
        <v>0</v>
      </c>
      <c r="L36" s="183">
        <v>0</v>
      </c>
      <c r="M36" s="183">
        <v>0</v>
      </c>
      <c r="N36" s="183">
        <v>0</v>
      </c>
      <c r="O36" s="183">
        <v>0</v>
      </c>
      <c r="P36" s="183">
        <v>0</v>
      </c>
      <c r="Q36" s="183">
        <v>0</v>
      </c>
      <c r="R36" s="183">
        <v>0</v>
      </c>
      <c r="S36" s="183">
        <v>0</v>
      </c>
      <c r="T36" s="183">
        <v>0</v>
      </c>
      <c r="U36" s="183">
        <v>0</v>
      </c>
      <c r="V36" s="183">
        <v>0</v>
      </c>
      <c r="W36" s="183">
        <v>0</v>
      </c>
      <c r="X36" s="183">
        <v>0</v>
      </c>
      <c r="Y36" s="183">
        <v>0</v>
      </c>
      <c r="Z36" s="183">
        <v>0</v>
      </c>
      <c r="AA36" s="183">
        <v>0</v>
      </c>
      <c r="AB36" s="183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271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0</v>
      </c>
      <c r="S37" s="13">
        <v>0</v>
      </c>
      <c r="T37" s="13">
        <v>0</v>
      </c>
      <c r="U37" s="13">
        <v>0</v>
      </c>
      <c r="V37" s="13">
        <v>0</v>
      </c>
      <c r="W37" s="13">
        <v>0</v>
      </c>
      <c r="X37" s="13">
        <v>0</v>
      </c>
      <c r="Y37" s="13">
        <v>0</v>
      </c>
      <c r="Z37" s="13">
        <v>8471.0980786666678</v>
      </c>
      <c r="AA37" s="13">
        <v>25413.294235999994</v>
      </c>
      <c r="AB37" s="13">
        <v>42355.490393333319</v>
      </c>
      <c r="AC37" s="13">
        <v>50826.588471999989</v>
      </c>
      <c r="AD37" s="13">
        <v>67768.784629333342</v>
      </c>
      <c r="AE37" s="13">
        <v>84710.980786666638</v>
      </c>
      <c r="AF37" s="13">
        <v>101653.17694399998</v>
      </c>
      <c r="AG37" s="13">
        <v>110124.27502266667</v>
      </c>
      <c r="AH37" s="13">
        <v>127066.47117999999</v>
      </c>
      <c r="AI37" s="13">
        <v>144008.66733733335</v>
      </c>
      <c r="AJ37" s="13">
        <v>152479.76541600001</v>
      </c>
      <c r="AK37" s="13">
        <v>169421.96157333328</v>
      </c>
      <c r="AL37" s="13">
        <v>186364.15773066663</v>
      </c>
      <c r="AM37" s="13">
        <v>203306.35388799995</v>
      </c>
      <c r="AN37" s="13">
        <v>203306.35388799995</v>
      </c>
    </row>
    <row r="38" spans="2:40" x14ac:dyDescent="0.25">
      <c r="E38" s="67"/>
      <c r="F38" s="67"/>
    </row>
    <row r="39" spans="2:40" x14ac:dyDescent="0.25">
      <c r="B39" s="1" t="s">
        <v>118</v>
      </c>
    </row>
    <row r="40" spans="2:40" x14ac:dyDescent="0.25">
      <c r="B40" s="39" t="s">
        <v>23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0</v>
      </c>
      <c r="F40" s="12">
        <v>0</v>
      </c>
      <c r="G40" s="12">
        <v>0</v>
      </c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0</v>
      </c>
      <c r="N40" s="12">
        <v>0</v>
      </c>
      <c r="O40" s="12">
        <v>0</v>
      </c>
      <c r="P40" s="12">
        <v>0</v>
      </c>
      <c r="Q40" s="12">
        <v>0</v>
      </c>
      <c r="R40" s="12">
        <v>0</v>
      </c>
      <c r="S40" s="12">
        <v>0</v>
      </c>
      <c r="T40" s="12">
        <v>0</v>
      </c>
      <c r="U40" s="12">
        <v>0</v>
      </c>
      <c r="V40" s="12">
        <v>0</v>
      </c>
      <c r="W40" s="12">
        <v>0</v>
      </c>
      <c r="X40" s="12">
        <v>0</v>
      </c>
      <c r="Y40" s="12">
        <v>0</v>
      </c>
      <c r="Z40" s="12">
        <v>13181.944580396104</v>
      </c>
      <c r="AA40" s="12">
        <v>28140.89895452165</v>
      </c>
      <c r="AB40" s="12">
        <v>32635.589995313858</v>
      </c>
      <c r="AC40" s="12">
        <v>38944.950567280961</v>
      </c>
      <c r="AD40" s="12">
        <v>44211.938712152398</v>
      </c>
      <c r="AE40" s="12">
        <v>49159.607857023817</v>
      </c>
      <c r="AF40" s="12">
        <v>54569.087134561916</v>
      </c>
      <c r="AG40" s="12">
        <v>57537.69070699763</v>
      </c>
      <c r="AH40" s="12">
        <v>62559.048851869062</v>
      </c>
      <c r="AI40" s="12">
        <v>67826.036996740484</v>
      </c>
      <c r="AJ40" s="12">
        <v>70794.640569176205</v>
      </c>
      <c r="AK40" s="12">
        <v>75815.998714047644</v>
      </c>
      <c r="AL40" s="12">
        <v>81110.265824919072</v>
      </c>
      <c r="AM40" s="12">
        <v>82760.059803123833</v>
      </c>
      <c r="AN40" s="12">
        <v>82760.059803123833</v>
      </c>
    </row>
    <row r="41" spans="2:40" x14ac:dyDescent="0.25">
      <c r="B41" s="39" t="s">
        <v>388</v>
      </c>
      <c r="C41" s="142">
        <f>_xlfn.XLOOKUP($B$1&amp;"-"&amp;$C$1,Base!$D$4:$BD$4,Base!$D$12:$BD$12,0,0)</f>
        <v>0</v>
      </c>
      <c r="E41" s="183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28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0</v>
      </c>
      <c r="AJ42" s="12">
        <v>0</v>
      </c>
      <c r="AK42" s="12">
        <v>0</v>
      </c>
      <c r="AL42" s="12">
        <v>0</v>
      </c>
      <c r="AM42" s="12">
        <v>0</v>
      </c>
      <c r="AN42" s="12">
        <v>0</v>
      </c>
    </row>
    <row r="43" spans="2:40" x14ac:dyDescent="0.25">
      <c r="B43" s="39" t="s">
        <v>31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0</v>
      </c>
      <c r="X43" s="12">
        <v>0</v>
      </c>
      <c r="Y43" s="12">
        <v>0</v>
      </c>
      <c r="Z43" s="12">
        <v>0</v>
      </c>
      <c r="AA43" s="12">
        <v>0</v>
      </c>
      <c r="AB43" s="12">
        <v>0</v>
      </c>
      <c r="AC43" s="12">
        <v>0</v>
      </c>
      <c r="AD43" s="12">
        <v>0</v>
      </c>
      <c r="AE43" s="12">
        <v>0</v>
      </c>
      <c r="AF43" s="12">
        <v>0</v>
      </c>
      <c r="AG43" s="12">
        <v>0</v>
      </c>
      <c r="AH43" s="12">
        <v>0</v>
      </c>
      <c r="AI43" s="12">
        <v>0</v>
      </c>
      <c r="AJ43" s="12">
        <v>0</v>
      </c>
      <c r="AK43" s="12">
        <v>0</v>
      </c>
      <c r="AL43" s="12">
        <v>0</v>
      </c>
      <c r="AM43" s="12">
        <v>0</v>
      </c>
      <c r="AN43" s="12">
        <v>0</v>
      </c>
    </row>
    <row r="44" spans="2:40" x14ac:dyDescent="0.25">
      <c r="B44" s="39" t="s">
        <v>34</v>
      </c>
      <c r="C44" s="96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  <c r="O44" s="12">
        <v>0</v>
      </c>
      <c r="P44" s="12">
        <v>0</v>
      </c>
      <c r="Q44" s="12">
        <v>0</v>
      </c>
      <c r="R44" s="12">
        <v>0</v>
      </c>
      <c r="S44" s="12">
        <v>0</v>
      </c>
      <c r="T44" s="12">
        <v>0</v>
      </c>
      <c r="U44" s="12">
        <v>0</v>
      </c>
      <c r="V44" s="12">
        <v>0</v>
      </c>
      <c r="W44" s="12">
        <v>0</v>
      </c>
      <c r="X44" s="12">
        <v>0</v>
      </c>
      <c r="Y44" s="12">
        <v>0</v>
      </c>
      <c r="Z44" s="12">
        <v>364.434304</v>
      </c>
      <c r="AA44" s="12">
        <v>883.05235200000004</v>
      </c>
      <c r="AB44" s="12">
        <v>900.57323200000008</v>
      </c>
      <c r="AC44" s="12">
        <v>965.75090560000012</v>
      </c>
      <c r="AD44" s="12">
        <v>994.90564992000009</v>
      </c>
      <c r="AE44" s="12">
        <v>1013.1273651200003</v>
      </c>
      <c r="AF44" s="12">
        <v>1042.2821094399999</v>
      </c>
      <c r="AG44" s="12">
        <v>1067.7925107200001</v>
      </c>
      <c r="AH44" s="12">
        <v>1089.6585689600004</v>
      </c>
      <c r="AI44" s="12">
        <v>1118.8133132799999</v>
      </c>
      <c r="AJ44" s="12">
        <v>1144.3237145600003</v>
      </c>
      <c r="AK44" s="12">
        <v>1166.1897728000004</v>
      </c>
      <c r="AL44" s="12">
        <v>1195.3445171200001</v>
      </c>
      <c r="AM44" s="12">
        <v>1071.4368537600003</v>
      </c>
      <c r="AN44" s="12">
        <v>1071.4368537600003</v>
      </c>
    </row>
    <row r="45" spans="2:40" x14ac:dyDescent="0.25">
      <c r="B45" s="39" t="s">
        <v>36</v>
      </c>
      <c r="C45" s="96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0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12">
        <v>0</v>
      </c>
      <c r="R45" s="12">
        <v>0</v>
      </c>
      <c r="S45" s="12">
        <v>0</v>
      </c>
      <c r="T45" s="12">
        <v>0</v>
      </c>
      <c r="U45" s="12">
        <v>0</v>
      </c>
      <c r="V45" s="12">
        <v>0</v>
      </c>
      <c r="W45" s="12">
        <v>0</v>
      </c>
      <c r="X45" s="12">
        <v>0</v>
      </c>
      <c r="Y45" s="12">
        <v>0</v>
      </c>
      <c r="Z45" s="12">
        <v>0</v>
      </c>
      <c r="AA45" s="12">
        <v>0</v>
      </c>
      <c r="AB45" s="12">
        <v>0</v>
      </c>
      <c r="AC45" s="12">
        <v>0</v>
      </c>
      <c r="AD45" s="12">
        <v>0</v>
      </c>
      <c r="AE45" s="12">
        <v>0</v>
      </c>
      <c r="AF45" s="12">
        <v>0</v>
      </c>
      <c r="AG45" s="12">
        <v>0</v>
      </c>
      <c r="AH45" s="12">
        <v>0</v>
      </c>
      <c r="AI45" s="12">
        <v>0</v>
      </c>
      <c r="AJ45" s="12">
        <v>0</v>
      </c>
      <c r="AK45" s="12">
        <v>0</v>
      </c>
      <c r="AL45" s="12">
        <v>0</v>
      </c>
      <c r="AM45" s="12">
        <v>0</v>
      </c>
      <c r="AN45" s="12">
        <v>0</v>
      </c>
    </row>
    <row r="46" spans="2:40" x14ac:dyDescent="0.25">
      <c r="B46" s="39" t="s">
        <v>38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0</v>
      </c>
      <c r="F46" s="12">
        <v>0</v>
      </c>
      <c r="G46" s="12">
        <v>0</v>
      </c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0</v>
      </c>
      <c r="N46" s="12">
        <v>0</v>
      </c>
      <c r="O46" s="12">
        <v>0</v>
      </c>
      <c r="P46" s="12">
        <v>0</v>
      </c>
      <c r="Q46" s="12">
        <v>0</v>
      </c>
      <c r="R46" s="12">
        <v>0</v>
      </c>
      <c r="S46" s="12">
        <v>0</v>
      </c>
      <c r="T46" s="12">
        <v>0</v>
      </c>
      <c r="U46" s="12">
        <v>0</v>
      </c>
      <c r="V46" s="12">
        <v>0</v>
      </c>
      <c r="W46" s="12">
        <v>0</v>
      </c>
      <c r="X46" s="12">
        <v>0</v>
      </c>
      <c r="Y46" s="12">
        <v>0</v>
      </c>
      <c r="Z46" s="12">
        <v>2203.1999999999998</v>
      </c>
      <c r="AA46" s="12">
        <v>3508.7999999999993</v>
      </c>
      <c r="AB46" s="12">
        <v>4085.0999999999995</v>
      </c>
      <c r="AC46" s="12">
        <v>4489.3260000000009</v>
      </c>
      <c r="AD46" s="12">
        <v>5092.7579999999998</v>
      </c>
      <c r="AE46" s="12">
        <v>5680.5839999999989</v>
      </c>
      <c r="AF46" s="12">
        <v>6294.4200000000019</v>
      </c>
      <c r="AG46" s="12">
        <v>6611.742000000002</v>
      </c>
      <c r="AH46" s="12">
        <v>7204.7700000000023</v>
      </c>
      <c r="AI46" s="12">
        <v>7808.2020000000011</v>
      </c>
      <c r="AJ46" s="12">
        <v>8125.5239999999994</v>
      </c>
      <c r="AK46" s="12">
        <v>8718.5519999999997</v>
      </c>
      <c r="AL46" s="12">
        <v>9327.1859999999997</v>
      </c>
      <c r="AM46" s="12">
        <v>9717.3359999999993</v>
      </c>
      <c r="AN46" s="12">
        <v>9717.3359999999993</v>
      </c>
    </row>
    <row r="47" spans="2:40" x14ac:dyDescent="0.25">
      <c r="B47" s="39" t="s">
        <v>40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  <c r="O47" s="12">
        <v>0</v>
      </c>
      <c r="P47" s="12">
        <v>0</v>
      </c>
      <c r="Q47" s="12">
        <v>0</v>
      </c>
      <c r="R47" s="12">
        <v>0</v>
      </c>
      <c r="S47" s="12">
        <v>0</v>
      </c>
      <c r="T47" s="12">
        <v>0</v>
      </c>
      <c r="U47" s="12">
        <v>0</v>
      </c>
      <c r="V47" s="12">
        <v>0</v>
      </c>
      <c r="W47" s="12">
        <v>0</v>
      </c>
      <c r="X47" s="12">
        <v>0</v>
      </c>
      <c r="Y47" s="12">
        <v>0</v>
      </c>
      <c r="Z47" s="12">
        <v>0</v>
      </c>
      <c r="AA47" s="12">
        <v>0</v>
      </c>
      <c r="AB47" s="12">
        <v>0</v>
      </c>
      <c r="AC47" s="12">
        <v>0</v>
      </c>
      <c r="AD47" s="12">
        <v>0</v>
      </c>
      <c r="AE47" s="12">
        <v>0</v>
      </c>
      <c r="AF47" s="12">
        <v>0</v>
      </c>
      <c r="AG47" s="12">
        <v>0</v>
      </c>
      <c r="AH47" s="12">
        <v>0</v>
      </c>
      <c r="AI47" s="12">
        <v>0</v>
      </c>
      <c r="AJ47" s="12">
        <v>0</v>
      </c>
      <c r="AK47" s="12">
        <v>0</v>
      </c>
      <c r="AL47" s="12">
        <v>0</v>
      </c>
      <c r="AM47" s="12">
        <v>0</v>
      </c>
      <c r="AN47" s="12">
        <v>0</v>
      </c>
    </row>
    <row r="48" spans="2:40" x14ac:dyDescent="0.25">
      <c r="B48" s="39" t="s">
        <v>41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42</v>
      </c>
      <c r="E49" s="12">
        <f>'Corp.'!E$50*(E$37-(E31-E32-E34)*$C$35)/(SUM('MDA1:NCA9'!E$37)-SUM('MDA1:NCA9'!E$31)-SUM('MDA1:NCA9'!E$32)-SUM('MDA1:NCA9'!E$34))</f>
        <v>0</v>
      </c>
      <c r="F49" s="12">
        <f>'Corp.'!F$50*(F$37-(F31-F32-F34)*$C$35)/(SUM('MDA1:NCA9'!F$37)-SUM('MDA1:NCA9'!F$31)-SUM('MDA1:NCA9'!F$32)-SUM('MDA1:NCA9'!F$34))</f>
        <v>0</v>
      </c>
      <c r="G49" s="12">
        <f>'Corp.'!G$50*(G$37-(G31-G32-G34)*$C$35)/(SUM('MDA1:NCA9'!G$37)-SUM('MDA1:NCA9'!G$31)-SUM('MDA1:NCA9'!G$32)-SUM('MDA1:NCA9'!G$34))</f>
        <v>0</v>
      </c>
      <c r="H49" s="12">
        <f>'Corp.'!H$50*(H$37-(H31-H32-H34)*$C$35)/(SUM('MDA1:NCA9'!H$37)-SUM('MDA1:NCA9'!H$31)-SUM('MDA1:NCA9'!H$32)-SUM('MDA1:NCA9'!H$34))</f>
        <v>0</v>
      </c>
      <c r="I49" s="12">
        <f>'Corp.'!I$50*(I$37-(I31-I32-I34)*$C$35)/(SUM('MDA1:NCA9'!I$37)-SUM('MDA1:NCA9'!I$31)-SUM('MDA1:NCA9'!I$32)-SUM('MDA1:NCA9'!I$34))</f>
        <v>0</v>
      </c>
      <c r="J49" s="12">
        <f>'Corp.'!J$50*(J$37-(J31-J32-J34)*$C$35)/(SUM('MDA1:NCA9'!J$37)-SUM('MDA1:NCA9'!J$31)-SUM('MDA1:NCA9'!J$32)-SUM('MDA1:NCA9'!J$34))</f>
        <v>0</v>
      </c>
      <c r="K49" s="12">
        <f>'Corp.'!K$50*(K$37-(K31-K32-K34)*$C$35)/(SUM('MDA1:NCA9'!K$37)-SUM('MDA1:NCA9'!K$31)-SUM('MDA1:NCA9'!K$32)-SUM('MDA1:NCA9'!K$34))</f>
        <v>0</v>
      </c>
      <c r="L49" s="12">
        <f>'Corp.'!L$50*(L$37-(L31-L32-L34)*$C$35)/(SUM('MDA1:NCA9'!L$37)-SUM('MDA1:NCA9'!L$31)-SUM('MDA1:NCA9'!L$32)-SUM('MDA1:NCA9'!L$34))</f>
        <v>0</v>
      </c>
      <c r="M49" s="12">
        <f>'Corp.'!M$50*(M$37-(M31-M32-M34)*$C$35)/(SUM('MDA1:NCA9'!M$37)-SUM('MDA1:NCA9'!M$31)-SUM('MDA1:NCA9'!M$32)-SUM('MDA1:NCA9'!M$34))</f>
        <v>0</v>
      </c>
      <c r="N49" s="12">
        <f>'Corp.'!N$50*(N$37-(N31-N32-N34)*$C$35)/(SUM('MDA1:NCA9'!N$37)-SUM('MDA1:NCA9'!N$31)-SUM('MDA1:NCA9'!N$32)-SUM('MDA1:NCA9'!N$34))</f>
        <v>0</v>
      </c>
      <c r="O49" s="12">
        <f>'Corp.'!O$50*(O$37-(O31-O32-O34)*$C$35)/(SUM('MDA1:NCA9'!O$37)-SUM('MDA1:NCA9'!O$31)-SUM('MDA1:NCA9'!O$32)-SUM('MDA1:NCA9'!O$34))</f>
        <v>0</v>
      </c>
      <c r="P49" s="12">
        <f>'Corp.'!P$50*(P$37-(P31-P32-P34)*$C$35)/(SUM('MDA1:NCA9'!P$37)-SUM('MDA1:NCA9'!P$31)-SUM('MDA1:NCA9'!P$32)-SUM('MDA1:NCA9'!P$34))</f>
        <v>0</v>
      </c>
      <c r="Q49" s="12">
        <f>'Corp.'!Q$50*(Q$37-(Q31-Q32-Q34)*$C$35)/(SUM('MDA1:NCA9'!Q$37)-SUM('MDA1:NCA9'!Q$31)-SUM('MDA1:NCA9'!Q$32)-SUM('MDA1:NCA9'!Q$34))</f>
        <v>0</v>
      </c>
      <c r="R49" s="12">
        <f>'Corp.'!R$50*(R$37-(R31-R32-R34)*$C$35)/(SUM('MDA1:NCA9'!R$37)-SUM('MDA1:NCA9'!R$31)-SUM('MDA1:NCA9'!R$32)-SUM('MDA1:NCA9'!R$34))</f>
        <v>0</v>
      </c>
      <c r="S49" s="12">
        <f>'Corp.'!S$50*(S$37-(S31-S32-S34)*$C$35)/(SUM('MDA1:NCA9'!S$37)-SUM('MDA1:NCA9'!S$31)-SUM('MDA1:NCA9'!S$32)-SUM('MDA1:NCA9'!S$34))</f>
        <v>0</v>
      </c>
      <c r="T49" s="12">
        <f>'Corp.'!T$50*(T$37-(T31-T32-T34)*$C$35)/(SUM('MDA1:NCA9'!T$37)-SUM('MDA1:NCA9'!T$31)-SUM('MDA1:NCA9'!T$32)-SUM('MDA1:NCA9'!T$34))</f>
        <v>0</v>
      </c>
      <c r="U49" s="12">
        <f>'Corp.'!U$50*(U$37-(U31-U32-U34)*$C$35)/(SUM('MDA1:NCA9'!U$37)-SUM('MDA1:NCA9'!U$31)-SUM('MDA1:NCA9'!U$32)-SUM('MDA1:NCA9'!U$34))</f>
        <v>0</v>
      </c>
      <c r="V49" s="12">
        <f>'Corp.'!V$50*(V$37-(V31-V32-V34)*$C$35)/(SUM('MDA1:NCA9'!V$37)-SUM('MDA1:NCA9'!V$31)-SUM('MDA1:NCA9'!V$32)-SUM('MDA1:NCA9'!V$34))</f>
        <v>0</v>
      </c>
      <c r="W49" s="12">
        <f>'Corp.'!W$50*(W$37-(W31-W32-W34)*$C$35)/(SUM('MDA1:NCA9'!W$37)-SUM('MDA1:NCA9'!W$31)-SUM('MDA1:NCA9'!W$32)-SUM('MDA1:NCA9'!W$34))</f>
        <v>0</v>
      </c>
      <c r="X49" s="12">
        <f>'Corp.'!X$50*(X$37-(X31-X32-X34)*$C$35)/(SUM('MDA1:NCA9'!X$37)-SUM('MDA1:NCA9'!X$31)-SUM('MDA1:NCA9'!X$32)-SUM('MDA1:NCA9'!X$34))</f>
        <v>0</v>
      </c>
      <c r="Y49" s="12">
        <f>'Corp.'!Y$50*(Y$37-(Y31-Y32-Y34)*$C$35)/(SUM('MDA1:NCA9'!Y$37)-SUM('MDA1:NCA9'!Y$31)-SUM('MDA1:NCA9'!Y$32)-SUM('MDA1:NCA9'!Y$34))</f>
        <v>0</v>
      </c>
      <c r="Z49" s="12">
        <f>'Corp.'!Z$50*(Z$37-(Z31-Z32-Z34)*$C$35)/(SUM('MDA1:NCA9'!Z$37)-SUM('MDA1:NCA9'!Z$31)-SUM('MDA1:NCA9'!Z$32)-SUM('MDA1:NCA9'!Z$34))</f>
        <v>991.67729320442584</v>
      </c>
      <c r="AA49" s="12">
        <f>'Corp.'!AA$50*(AA$37-(AA31-AA32-AA34)*$C$35)/(SUM('MDA1:NCA9'!AA$37)-SUM('MDA1:NCA9'!AA$31)-SUM('MDA1:NCA9'!AA$32)-SUM('MDA1:NCA9'!AA$34))</f>
        <v>2907.0127241613509</v>
      </c>
      <c r="AB49" s="12">
        <f>'Corp.'!AB$50*(AB$37-(AB31-AB32-AB34)*$C$35)/(SUM('MDA1:NCA9'!AB$37)-SUM('MDA1:NCA9'!AB$31)-SUM('MDA1:NCA9'!AB$32)-SUM('MDA1:NCA9'!AB$34))</f>
        <v>4735.0683439758059</v>
      </c>
      <c r="AC49" s="12">
        <f>'Corp.'!AC$50*(AC$37-(AC31-AC32-AC34)*$C$35)/(SUM('MDA1:NCA9'!AC$37)-SUM('MDA1:NCA9'!AC$31)-SUM('MDA1:NCA9'!AC$32)-SUM('MDA1:NCA9'!AC$34))</f>
        <v>6098.2790655001818</v>
      </c>
      <c r="AD49" s="12">
        <f>'Corp.'!AD$50*(AD$37-(AD31-AD32-AD34)*$C$35)/(SUM('MDA1:NCA9'!AD$37)-SUM('MDA1:NCA9'!AD$31)-SUM('MDA1:NCA9'!AD$32)-SUM('MDA1:NCA9'!AD$34))</f>
        <v>7997.4614156489997</v>
      </c>
      <c r="AE49" s="12">
        <f>'Corp.'!AE$50*(AE$37-(AE31-AE32-AE34)*$C$35)/(SUM('MDA1:NCA9'!AE$37)-SUM('MDA1:NCA9'!AE$31)-SUM('MDA1:NCA9'!AE$32)-SUM('MDA1:NCA9'!AE$34))</f>
        <v>9839.3882865980959</v>
      </c>
      <c r="AF49" s="12">
        <f>'Corp.'!AF$50*(AF$37-(AF31-AF32-AF34)*$C$35)/(SUM('MDA1:NCA9'!AF$37)-SUM('MDA1:NCA9'!AF$31)-SUM('MDA1:NCA9'!AF$32)-SUM('MDA1:NCA9'!AF$34))</f>
        <v>11630.235919773033</v>
      </c>
      <c r="AG49" s="12">
        <f>'Corp.'!AG$50*(AG$37-(AG31-AG32-AG34)*$C$35)/(SUM('MDA1:NCA9'!AG$37)-SUM('MDA1:NCA9'!AG$31)-SUM('MDA1:NCA9'!AG$32)-SUM('MDA1:NCA9'!AG$34))</f>
        <v>12445.621582399735</v>
      </c>
      <c r="AH49" s="12">
        <f>'Corp.'!AH$50*(AH$37-(AH31-AH32-AH34)*$C$35)/(SUM('MDA1:NCA9'!AH$37)-SUM('MDA1:NCA9'!AH$31)-SUM('MDA1:NCA9'!AH$32)-SUM('MDA1:NCA9'!AH$34))</f>
        <v>14126.90340687388</v>
      </c>
      <c r="AI49" s="12">
        <f>'Corp.'!AI$50*(AI$37-(AI31-AI32-AI34)*$C$35)/(SUM('MDA1:NCA9'!AI$37)-SUM('MDA1:NCA9'!AI$31)-SUM('MDA1:NCA9'!AI$32)-SUM('MDA1:NCA9'!AI$34))</f>
        <v>15734.795270244989</v>
      </c>
      <c r="AJ49" s="12">
        <f>'Corp.'!AJ$50*(AJ$37-(AJ31-AJ32-AJ34)*$C$35)/(SUM('MDA1:NCA9'!AJ$37)-SUM('MDA1:NCA9'!AJ$31)-SUM('MDA1:NCA9'!AJ$32)-SUM('MDA1:NCA9'!AJ$34))</f>
        <v>16361.288248298328</v>
      </c>
      <c r="AK49" s="12">
        <f>'Corp.'!AK$50*(AK$37-(AK31-AK32-AK34)*$C$35)/(SUM('MDA1:NCA9'!AK$37)-SUM('MDA1:NCA9'!AK$31)-SUM('MDA1:NCA9'!AK$32)-SUM('MDA1:NCA9'!AK$34))</f>
        <v>17872.357865690446</v>
      </c>
      <c r="AL49" s="12">
        <f>'Corp.'!AL$50*(AL$37-(AL31-AL32-AL34)*$C$35)/(SUM('MDA1:NCA9'!AL$37)-SUM('MDA1:NCA9'!AL$31)-SUM('MDA1:NCA9'!AL$32)-SUM('MDA1:NCA9'!AL$34))</f>
        <v>19349.849726387289</v>
      </c>
      <c r="AM49" s="12">
        <f>'Corp.'!AM$50*(AM$37-(AM31-AM32-AM34)*$C$35)/(SUM('MDA1:NCA9'!AM$37)-SUM('MDA1:NCA9'!AM$31)-SUM('MDA1:NCA9'!AM$32)-SUM('MDA1:NCA9'!AM$34))</f>
        <v>20745.022866408221</v>
      </c>
      <c r="AN49" s="12">
        <f>'Corp.'!AN$50*(AN$37-(AN31-AN32-AN34)*$C$35)/(SUM('MDA1:NCA9'!AN$37)-SUM('MDA1:NCA9'!AN$31)-SUM('MDA1:NCA9'!AN$32)-SUM('MDA1:NCA9'!AN$34))</f>
        <v>20434.824344544046</v>
      </c>
    </row>
    <row r="50" spans="2:40" x14ac:dyDescent="0.25">
      <c r="B50" s="1" t="s">
        <v>272</v>
      </c>
      <c r="E50" s="13" cm="1">
        <f t="array" ref="E50:AN50">_xlfn.BYCOL(_xlfn.VSTACK(_xlfn.ANCHORARRAY(E40),_xlfn.ANCHORARRAY(E42),_xlfn.ANCHORARRAY(E43),_xlfn.ANCHORARRAY(E45),_xlfn.ANCHORARRAY(E46),_xlfn.ANCHORARRAY(E47),_xlfn.ANCHORARRAY(E48),_xlfn.HSTACK(E49:AN49)),_xlfn.LAMBDA(_xlpm.a,SUM(_xlpm.a)))</f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0</v>
      </c>
      <c r="Q50" s="13">
        <v>0</v>
      </c>
      <c r="R50" s="13">
        <v>0</v>
      </c>
      <c r="S50" s="13">
        <v>0</v>
      </c>
      <c r="T50" s="13">
        <v>0</v>
      </c>
      <c r="U50" s="13">
        <v>0</v>
      </c>
      <c r="V50" s="13">
        <v>0</v>
      </c>
      <c r="W50" s="13">
        <v>0</v>
      </c>
      <c r="X50" s="13">
        <v>0</v>
      </c>
      <c r="Y50" s="13">
        <v>0</v>
      </c>
      <c r="Z50" s="13">
        <v>16376.821873600529</v>
      </c>
      <c r="AA50" s="13">
        <v>34556.711678683001</v>
      </c>
      <c r="AB50" s="13">
        <v>41455.758339289663</v>
      </c>
      <c r="AC50" s="13">
        <v>49532.555632781143</v>
      </c>
      <c r="AD50" s="13">
        <v>57302.158127801398</v>
      </c>
      <c r="AE50" s="13">
        <v>64679.580143621919</v>
      </c>
      <c r="AF50" s="13">
        <v>72493.743054334947</v>
      </c>
      <c r="AG50" s="13">
        <v>76595.054289397362</v>
      </c>
      <c r="AH50" s="13">
        <v>83890.722258742942</v>
      </c>
      <c r="AI50" s="13">
        <v>91369.034266985473</v>
      </c>
      <c r="AJ50" s="13">
        <v>95281.452817474536</v>
      </c>
      <c r="AK50" s="13">
        <v>102406.90857973808</v>
      </c>
      <c r="AL50" s="13">
        <v>109787.30155130636</v>
      </c>
      <c r="AM50" s="13">
        <v>113222.41866953205</v>
      </c>
      <c r="AN50" s="13">
        <v>112912.22014766787</v>
      </c>
    </row>
    <row r="52" spans="2:40" x14ac:dyDescent="0.25">
      <c r="B52" s="1" t="s">
        <v>48</v>
      </c>
      <c r="E52" s="74">
        <f>E37-E50</f>
        <v>0</v>
      </c>
      <c r="F52" s="74">
        <f t="shared" ref="F52:AN52" si="0">F37-F50</f>
        <v>0</v>
      </c>
      <c r="G52" s="74">
        <f t="shared" si="0"/>
        <v>0</v>
      </c>
      <c r="H52" s="74">
        <f t="shared" si="0"/>
        <v>0</v>
      </c>
      <c r="I52" s="74">
        <f t="shared" si="0"/>
        <v>0</v>
      </c>
      <c r="J52" s="74">
        <f t="shared" si="0"/>
        <v>0</v>
      </c>
      <c r="K52" s="74">
        <f t="shared" si="0"/>
        <v>0</v>
      </c>
      <c r="L52" s="74">
        <f t="shared" si="0"/>
        <v>0</v>
      </c>
      <c r="M52" s="74">
        <f t="shared" si="0"/>
        <v>0</v>
      </c>
      <c r="N52" s="74">
        <f t="shared" si="0"/>
        <v>0</v>
      </c>
      <c r="O52" s="74">
        <f t="shared" si="0"/>
        <v>0</v>
      </c>
      <c r="P52" s="74">
        <f t="shared" si="0"/>
        <v>0</v>
      </c>
      <c r="Q52" s="74">
        <f t="shared" si="0"/>
        <v>0</v>
      </c>
      <c r="R52" s="74">
        <f t="shared" si="0"/>
        <v>0</v>
      </c>
      <c r="S52" s="74">
        <f t="shared" si="0"/>
        <v>0</v>
      </c>
      <c r="T52" s="74">
        <f t="shared" si="0"/>
        <v>0</v>
      </c>
      <c r="U52" s="74">
        <f t="shared" si="0"/>
        <v>0</v>
      </c>
      <c r="V52" s="74">
        <f t="shared" si="0"/>
        <v>0</v>
      </c>
      <c r="W52" s="74">
        <f t="shared" si="0"/>
        <v>0</v>
      </c>
      <c r="X52" s="74">
        <f t="shared" si="0"/>
        <v>0</v>
      </c>
      <c r="Y52" s="74">
        <f t="shared" si="0"/>
        <v>0</v>
      </c>
      <c r="Z52" s="74">
        <f t="shared" si="0"/>
        <v>-7905.7237949338614</v>
      </c>
      <c r="AA52" s="74">
        <f t="shared" si="0"/>
        <v>-9143.4174426830068</v>
      </c>
      <c r="AB52" s="74">
        <f t="shared" si="0"/>
        <v>899.73205404365581</v>
      </c>
      <c r="AC52" s="74">
        <f t="shared" si="0"/>
        <v>1294.0328392188458</v>
      </c>
      <c r="AD52" s="74">
        <f t="shared" si="0"/>
        <v>10466.626501531944</v>
      </c>
      <c r="AE52" s="74">
        <f t="shared" si="0"/>
        <v>20031.400643044719</v>
      </c>
      <c r="AF52" s="74">
        <f t="shared" si="0"/>
        <v>29159.43388966503</v>
      </c>
      <c r="AG52" s="74">
        <f t="shared" si="0"/>
        <v>33529.220733269307</v>
      </c>
      <c r="AH52" s="74">
        <f t="shared" si="0"/>
        <v>43175.748921257051</v>
      </c>
      <c r="AI52" s="74">
        <f t="shared" si="0"/>
        <v>52639.633070347874</v>
      </c>
      <c r="AJ52" s="74">
        <f t="shared" si="0"/>
        <v>57198.312598525474</v>
      </c>
      <c r="AK52" s="74">
        <f t="shared" si="0"/>
        <v>67015.052993595193</v>
      </c>
      <c r="AL52" s="74">
        <f t="shared" si="0"/>
        <v>76576.856179360271</v>
      </c>
      <c r="AM52" s="74">
        <f t="shared" si="0"/>
        <v>90083.935218467901</v>
      </c>
      <c r="AN52" s="74">
        <f t="shared" si="0"/>
        <v>90394.133740332079</v>
      </c>
    </row>
    <row r="53" spans="2:40" x14ac:dyDescent="0.25">
      <c r="E53" s="105" t="str">
        <f>IFERROR(E52/E37,"")</f>
        <v/>
      </c>
      <c r="F53" s="105" t="str">
        <f t="shared" ref="F53:AN53" si="1">IFERROR(F52/F37,"")</f>
        <v/>
      </c>
      <c r="G53" s="105" t="str">
        <f t="shared" si="1"/>
        <v/>
      </c>
      <c r="H53" s="105" t="str">
        <f t="shared" si="1"/>
        <v/>
      </c>
      <c r="I53" s="105" t="str">
        <f t="shared" si="1"/>
        <v/>
      </c>
      <c r="J53" s="105" t="str">
        <f t="shared" si="1"/>
        <v/>
      </c>
      <c r="K53" s="105" t="str">
        <f t="shared" si="1"/>
        <v/>
      </c>
      <c r="L53" s="105" t="str">
        <f t="shared" si="1"/>
        <v/>
      </c>
      <c r="M53" s="105" t="str">
        <f t="shared" si="1"/>
        <v/>
      </c>
      <c r="N53" s="105" t="str">
        <f t="shared" si="1"/>
        <v/>
      </c>
      <c r="O53" s="105" t="str">
        <f t="shared" si="1"/>
        <v/>
      </c>
      <c r="P53" s="105" t="str">
        <f t="shared" si="1"/>
        <v/>
      </c>
      <c r="Q53" s="105" t="str">
        <f t="shared" si="1"/>
        <v/>
      </c>
      <c r="R53" s="105" t="str">
        <f t="shared" si="1"/>
        <v/>
      </c>
      <c r="S53" s="105" t="str">
        <f t="shared" si="1"/>
        <v/>
      </c>
      <c r="T53" s="105" t="str">
        <f t="shared" si="1"/>
        <v/>
      </c>
      <c r="U53" s="105" t="str">
        <f t="shared" si="1"/>
        <v/>
      </c>
      <c r="V53" s="105" t="str">
        <f t="shared" si="1"/>
        <v/>
      </c>
      <c r="W53" s="105" t="str">
        <f t="shared" si="1"/>
        <v/>
      </c>
      <c r="X53" s="105" t="str">
        <f t="shared" si="1"/>
        <v/>
      </c>
      <c r="Y53" s="105" t="str">
        <f t="shared" si="1"/>
        <v/>
      </c>
      <c r="Z53" s="105">
        <f t="shared" si="1"/>
        <v>-0.93325844200096963</v>
      </c>
      <c r="AA53" s="105">
        <f t="shared" si="1"/>
        <v>-0.35978875299569046</v>
      </c>
      <c r="AB53" s="105">
        <f t="shared" si="1"/>
        <v>2.1242394921846357E-2</v>
      </c>
      <c r="AC53" s="105">
        <f t="shared" si="1"/>
        <v>2.5459761871126162E-2</v>
      </c>
      <c r="AD53" s="105">
        <f t="shared" si="1"/>
        <v>0.15444612971562016</v>
      </c>
      <c r="AE53" s="105">
        <f t="shared" si="1"/>
        <v>0.23646758020062525</v>
      </c>
      <c r="AF53" s="105">
        <f t="shared" si="1"/>
        <v>0.2868521650408305</v>
      </c>
      <c r="AG53" s="105">
        <f t="shared" si="1"/>
        <v>0.30446711886519162</v>
      </c>
      <c r="AH53" s="105">
        <f t="shared" si="1"/>
        <v>0.33978868320105537</v>
      </c>
      <c r="AI53" s="105">
        <f t="shared" si="1"/>
        <v>0.36553100617924666</v>
      </c>
      <c r="AJ53" s="105">
        <f t="shared" si="1"/>
        <v>0.37512067547110445</v>
      </c>
      <c r="AK53" s="105">
        <f t="shared" si="1"/>
        <v>0.39555115742529123</v>
      </c>
      <c r="AL53" s="105">
        <f t="shared" si="1"/>
        <v>0.41089905436660784</v>
      </c>
      <c r="AM53" s="105">
        <f t="shared" si="1"/>
        <v>0.44309453932804532</v>
      </c>
      <c r="AN53" s="105">
        <f t="shared" si="1"/>
        <v>0.44462030827688531</v>
      </c>
    </row>
    <row r="55" spans="2:40" x14ac:dyDescent="0.25">
      <c r="B55" t="s">
        <v>57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0</v>
      </c>
      <c r="D55" s="12">
        <f>C55-SUM(_xlfn.ANCHORARRAY(E55))</f>
        <v>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</row>
    <row r="56" spans="2:40" x14ac:dyDescent="0.25">
      <c r="B56" t="s">
        <v>285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0</v>
      </c>
      <c r="F56" s="90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0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0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0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0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-1270.6647118000001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-3811.9941353999989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-6353.3235589999977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-7623.9882707999977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-10165.317694400001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-12706.647117999995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-15247.976541599995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-16518.641253400001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-19059.970676999998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-21601.300100600001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276</v>
      </c>
      <c r="E58" s="13">
        <f>E37-E50-E55+E56</f>
        <v>0</v>
      </c>
      <c r="F58" s="13">
        <f t="shared" ref="F58:AN58" si="2">F37-F50-F55+F56</f>
        <v>0</v>
      </c>
      <c r="G58" s="13">
        <f t="shared" si="2"/>
        <v>0</v>
      </c>
      <c r="H58" s="13">
        <f t="shared" si="2"/>
        <v>0</v>
      </c>
      <c r="I58" s="13">
        <f t="shared" si="2"/>
        <v>0</v>
      </c>
      <c r="J58" s="13">
        <f t="shared" si="2"/>
        <v>0</v>
      </c>
      <c r="K58" s="13">
        <f t="shared" si="2"/>
        <v>0</v>
      </c>
      <c r="L58" s="13">
        <f t="shared" si="2"/>
        <v>0</v>
      </c>
      <c r="M58" s="13">
        <f t="shared" si="2"/>
        <v>0</v>
      </c>
      <c r="N58" s="13">
        <f t="shared" si="2"/>
        <v>0</v>
      </c>
      <c r="O58" s="13">
        <f t="shared" si="2"/>
        <v>0</v>
      </c>
      <c r="P58" s="13">
        <f t="shared" si="2"/>
        <v>0</v>
      </c>
      <c r="Q58" s="13">
        <f t="shared" si="2"/>
        <v>0</v>
      </c>
      <c r="R58" s="13">
        <f t="shared" si="2"/>
        <v>0</v>
      </c>
      <c r="S58" s="13">
        <f t="shared" si="2"/>
        <v>0</v>
      </c>
      <c r="T58" s="13">
        <f t="shared" si="2"/>
        <v>0</v>
      </c>
      <c r="U58" s="13">
        <f t="shared" si="2"/>
        <v>0</v>
      </c>
      <c r="V58" s="13">
        <f t="shared" si="2"/>
        <v>0</v>
      </c>
      <c r="W58" s="13">
        <f t="shared" si="2"/>
        <v>0</v>
      </c>
      <c r="X58" s="13">
        <f t="shared" si="2"/>
        <v>0</v>
      </c>
      <c r="Y58" s="13">
        <f t="shared" si="2"/>
        <v>0</v>
      </c>
      <c r="Z58" s="13">
        <f t="shared" si="2"/>
        <v>-7905.7237949338614</v>
      </c>
      <c r="AA58" s="13">
        <f t="shared" si="2"/>
        <v>-9143.4174426830068</v>
      </c>
      <c r="AB58" s="13">
        <f t="shared" si="2"/>
        <v>899.73205404365581</v>
      </c>
      <c r="AC58" s="13">
        <f t="shared" si="2"/>
        <v>1294.0328392188458</v>
      </c>
      <c r="AD58" s="13">
        <f t="shared" si="2"/>
        <v>10466.626501531944</v>
      </c>
      <c r="AE58" s="13">
        <f t="shared" si="2"/>
        <v>18760.735931244719</v>
      </c>
      <c r="AF58" s="13">
        <f t="shared" si="2"/>
        <v>25347.439754265029</v>
      </c>
      <c r="AG58" s="13">
        <f t="shared" si="2"/>
        <v>27175.89717426931</v>
      </c>
      <c r="AH58" s="13">
        <f t="shared" si="2"/>
        <v>35551.76065045705</v>
      </c>
      <c r="AI58" s="13">
        <f t="shared" si="2"/>
        <v>42474.315375947874</v>
      </c>
      <c r="AJ58" s="13">
        <f t="shared" si="2"/>
        <v>44491.66548052548</v>
      </c>
      <c r="AK58" s="13">
        <f t="shared" si="2"/>
        <v>51767.076451995199</v>
      </c>
      <c r="AL58" s="13">
        <f t="shared" si="2"/>
        <v>60058.214925960274</v>
      </c>
      <c r="AM58" s="13">
        <f t="shared" si="2"/>
        <v>71023.964541467896</v>
      </c>
      <c r="AN58" s="13">
        <f t="shared" si="2"/>
        <v>68792.833639732082</v>
      </c>
    </row>
    <row r="59" spans="2:40" x14ac:dyDescent="0.25">
      <c r="B59" t="s">
        <v>277</v>
      </c>
      <c r="E59" s="12" cm="1">
        <f t="array" ref="E59:AN59">_xlfn.SCAN(-D55,E58:AN58,_xlfn.LAMBDA(_xlpm.capex,_xlpm.fcf,_xlpm.capex+_xlpm.fcf))</f>
        <v>0</v>
      </c>
      <c r="F59" s="12">
        <v>0</v>
      </c>
      <c r="G59" s="12">
        <v>0</v>
      </c>
      <c r="H59" s="12">
        <v>0</v>
      </c>
      <c r="I59" s="12">
        <v>0</v>
      </c>
      <c r="J59" s="12">
        <v>0</v>
      </c>
      <c r="K59" s="12">
        <v>0</v>
      </c>
      <c r="L59" s="12">
        <v>0</v>
      </c>
      <c r="M59" s="12">
        <v>0</v>
      </c>
      <c r="N59" s="12">
        <v>0</v>
      </c>
      <c r="O59" s="12">
        <v>0</v>
      </c>
      <c r="P59" s="12">
        <v>0</v>
      </c>
      <c r="Q59" s="12">
        <v>0</v>
      </c>
      <c r="R59" s="12">
        <v>0</v>
      </c>
      <c r="S59" s="12">
        <v>0</v>
      </c>
      <c r="T59" s="12">
        <v>0</v>
      </c>
      <c r="U59" s="12">
        <v>0</v>
      </c>
      <c r="V59" s="12">
        <v>0</v>
      </c>
      <c r="W59" s="12">
        <v>0</v>
      </c>
      <c r="X59" s="12">
        <v>0</v>
      </c>
      <c r="Y59" s="12">
        <v>0</v>
      </c>
      <c r="Z59" s="12">
        <v>-7905.7237949338614</v>
      </c>
      <c r="AA59" s="12">
        <v>-17049.141237616866</v>
      </c>
      <c r="AB59" s="12">
        <v>-16149.409183573211</v>
      </c>
      <c r="AC59" s="12">
        <v>-14855.376344354365</v>
      </c>
      <c r="AD59" s="12">
        <v>-4388.7498428224208</v>
      </c>
      <c r="AE59" s="12">
        <v>14371.986088422298</v>
      </c>
      <c r="AF59" s="12">
        <v>39719.425842687328</v>
      </c>
      <c r="AG59" s="12">
        <v>66895.323016956638</v>
      </c>
      <c r="AH59" s="12">
        <v>102447.08366741368</v>
      </c>
      <c r="AI59" s="12">
        <v>144921.39904336154</v>
      </c>
      <c r="AJ59" s="12">
        <v>189413.06452388701</v>
      </c>
      <c r="AK59" s="12">
        <v>241180.14097588221</v>
      </c>
      <c r="AL59" s="12">
        <v>301238.35590184247</v>
      </c>
      <c r="AM59" s="12">
        <v>372262.32044331037</v>
      </c>
      <c r="AN59" s="12">
        <v>441055.15408304246</v>
      </c>
    </row>
    <row r="61" spans="2:40" x14ac:dyDescent="0.25">
      <c r="B61" s="1" t="s">
        <v>302</v>
      </c>
    </row>
    <row r="63" spans="2:40" x14ac:dyDescent="0.25">
      <c r="B63" s="39" t="s">
        <v>103</v>
      </c>
      <c r="E63" s="12" cm="1">
        <f t="array" ref="E63:AN63">_xlfn.LET(_xlpm.site,$B$1&amp;"-"&amp;$C$1,_xlpm.locations,Base!$D$4:$BD$4,_xlpm.rates,Base!$D$36:$BD$36,_xlpm.hours,Base!$D$79:$BD$79,_xlpm.comp,_xlpm.rates*_xlpm.hours,_xlpm.Customer,_xlfn.ANCHORARRAY($E$1),
_xlpm.Customer_comp,_xlfn.XLOOKUP(_xlpm.site,_xlpm.locations,_xlpm.comp,0,0),_xlpm.ann_incr,_xlfn.XLOOKUP(YEAR(_xlfn.ANCHORARRAY($E$25)),Base!$BJ$4:$BL$4,Base!$BJ$79:$BL$79,0,0),
_xlpm.bad_debt,_xlfn.XLOOKUP(_xlpm.site,_xlpm.locations,Base!$D$28:$BD$28,0,0),_xlpm.Customer_comp*_xlpm.Customer*_xlpm.bad_debt*_xlpm.ann_incr*(52/12)*(1-$C$35))</f>
        <v>0</v>
      </c>
      <c r="F63" s="12">
        <v>0</v>
      </c>
      <c r="G63" s="12">
        <v>0</v>
      </c>
      <c r="H63" s="12">
        <v>0</v>
      </c>
      <c r="I63" s="12">
        <v>0</v>
      </c>
      <c r="J63" s="12">
        <v>0</v>
      </c>
      <c r="K63" s="12">
        <v>0</v>
      </c>
      <c r="L63" s="12">
        <v>0</v>
      </c>
      <c r="M63" s="12">
        <v>0</v>
      </c>
      <c r="N63" s="12">
        <v>0</v>
      </c>
      <c r="O63" s="12">
        <v>0</v>
      </c>
      <c r="P63" s="12">
        <v>0</v>
      </c>
      <c r="Q63" s="12">
        <v>0</v>
      </c>
      <c r="R63" s="12">
        <v>0</v>
      </c>
      <c r="S63" s="12">
        <v>0</v>
      </c>
      <c r="T63" s="12">
        <v>0</v>
      </c>
      <c r="U63" s="12">
        <v>0</v>
      </c>
      <c r="V63" s="12">
        <v>0</v>
      </c>
      <c r="W63" s="12">
        <v>0</v>
      </c>
      <c r="X63" s="12">
        <v>0</v>
      </c>
      <c r="Y63" s="12">
        <v>0</v>
      </c>
      <c r="Z63" s="12">
        <v>0</v>
      </c>
      <c r="AA63" s="12">
        <v>0</v>
      </c>
      <c r="AB63" s="12">
        <v>0</v>
      </c>
      <c r="AC63" s="12">
        <v>0</v>
      </c>
      <c r="AD63" s="12">
        <v>0</v>
      </c>
      <c r="AE63" s="12">
        <v>0</v>
      </c>
      <c r="AF63" s="12">
        <v>0</v>
      </c>
      <c r="AG63" s="12">
        <v>0</v>
      </c>
      <c r="AH63" s="12">
        <v>0</v>
      </c>
      <c r="AI63" s="12">
        <v>0</v>
      </c>
      <c r="AJ63" s="12">
        <v>0</v>
      </c>
      <c r="AK63" s="12">
        <v>0</v>
      </c>
      <c r="AL63" s="12">
        <v>0</v>
      </c>
      <c r="AM63" s="12">
        <v>0</v>
      </c>
      <c r="AN63" s="12">
        <v>0</v>
      </c>
    </row>
    <row r="64" spans="2:40" x14ac:dyDescent="0.25">
      <c r="B64" s="39" t="s">
        <v>104</v>
      </c>
      <c r="E64" s="12" cm="1">
        <f t="array" ref="E64:AN64">_xlfn.LET(_xlpm.site,$B$1&amp;"-"&amp;$C$1,_xlpm.locations,Base!$D$4:$BD$4,_xlpm.rates,Base!$D$37:$BD$37,_xlpm.hours,Base!$D$80:$BD$80,_xlpm.comp,_xlpm.rates*_xlpm.hours,_xlpm.Customer,_xlfn.ANCHORARRAY($E$1),
_xlpm.Customer_comp,_xlfn.XLOOKUP(_xlpm.site,_xlpm.locations,_xlpm.comp,0,0),_xlpm.ann_incr,_xlfn.XLOOKUP(YEAR(_xlfn.ANCHORARRAY($E$25)),Base!$BJ$4:$BL$4,Base!$BJ$80:$BL$80,0,0),
_xlpm.bad_debt,_xlfn.XLOOKUP(_xlpm.site,_xlpm.locations,Base!$D$28:$BD$28,0,0),_xlpm.Customer_comp*_xlpm.Customer*_xlpm.bad_debt*_xlpm.ann_incr*(52/12)*(1-$C$35))</f>
        <v>0</v>
      </c>
      <c r="F64" s="12">
        <v>0</v>
      </c>
      <c r="G64" s="12">
        <v>0</v>
      </c>
      <c r="H64" s="12">
        <v>0</v>
      </c>
      <c r="I64" s="12">
        <v>0</v>
      </c>
      <c r="J64" s="12">
        <v>0</v>
      </c>
      <c r="K64" s="12">
        <v>0</v>
      </c>
      <c r="L64" s="12">
        <v>0</v>
      </c>
      <c r="M64" s="12">
        <v>0</v>
      </c>
      <c r="N64" s="12">
        <v>0</v>
      </c>
      <c r="O64" s="12">
        <v>0</v>
      </c>
      <c r="P64" s="12">
        <v>0</v>
      </c>
      <c r="Q64" s="12">
        <v>0</v>
      </c>
      <c r="R64" s="12">
        <v>0</v>
      </c>
      <c r="S64" s="12">
        <v>0</v>
      </c>
      <c r="T64" s="12">
        <v>0</v>
      </c>
      <c r="U64" s="12">
        <v>0</v>
      </c>
      <c r="V64" s="12">
        <v>0</v>
      </c>
      <c r="W64" s="12">
        <v>0</v>
      </c>
      <c r="X64" s="12">
        <v>0</v>
      </c>
      <c r="Y64" s="12">
        <v>0</v>
      </c>
      <c r="Z64" s="12">
        <v>0</v>
      </c>
      <c r="AA64" s="12">
        <v>0</v>
      </c>
      <c r="AB64" s="12">
        <v>0</v>
      </c>
      <c r="AC64" s="12">
        <v>0</v>
      </c>
      <c r="AD64" s="12">
        <v>0</v>
      </c>
      <c r="AE64" s="12">
        <v>0</v>
      </c>
      <c r="AF64" s="12">
        <v>0</v>
      </c>
      <c r="AG64" s="12">
        <v>0</v>
      </c>
      <c r="AH64" s="12">
        <v>0</v>
      </c>
      <c r="AI64" s="12">
        <v>0</v>
      </c>
      <c r="AJ64" s="12">
        <v>0</v>
      </c>
      <c r="AK64" s="12">
        <v>0</v>
      </c>
      <c r="AL64" s="12">
        <v>0</v>
      </c>
      <c r="AM64" s="12">
        <v>0</v>
      </c>
      <c r="AN64" s="12">
        <v>0</v>
      </c>
    </row>
    <row r="65" spans="2:40" x14ac:dyDescent="0.25">
      <c r="B65" s="39" t="s">
        <v>56</v>
      </c>
      <c r="E65" s="12" cm="1">
        <f t="array" ref="E65:AN65">_xlfn.LET(_xlpm.site,$B$1&amp;"-"&amp;$C$1,_xlpm.locations,Base!$D$4:$BD$4,_xlpm.rates,Base!$D$39:$BD$39,_xlpm.hours,Base!$D$82:$BD$82,_xlpm.comp,_xlpm.rates*_xlpm.hours,_xlpm.Customer,_xlfn.ANCHORARRAY($E$1),
_xlpm.Customer_comp,_xlfn.XLOOKUP(_xlpm.site,_xlpm.locations,_xlpm.comp,0,0),_xlpm.ann_incr,_xlfn.XLOOKUP(YEAR(_xlfn.ANCHORARRAY($E$25)),Base!$BJ$4:$BL$4,Base!$BJ$82:$BL$82,0,0),
_xlpm.bad_debt,_xlfn.XLOOKUP(_xlpm.site,_xlpm.locations,Base!$D$28:$BD$28,0,0),_xlpm.Customer_comp*_xlpm.Customer*_xlpm.bad_debt*_xlpm.ann_incr*(52/12)*(1-$C$35))</f>
        <v>0</v>
      </c>
      <c r="F65" s="12">
        <v>0</v>
      </c>
      <c r="G65" s="12">
        <v>0</v>
      </c>
      <c r="H65" s="12">
        <v>0</v>
      </c>
      <c r="I65" s="12">
        <v>0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  <c r="O65" s="12">
        <v>0</v>
      </c>
      <c r="P65" s="12">
        <v>0</v>
      </c>
      <c r="Q65" s="12">
        <v>0</v>
      </c>
      <c r="R65" s="12">
        <v>0</v>
      </c>
      <c r="S65" s="12">
        <v>0</v>
      </c>
      <c r="T65" s="12">
        <v>0</v>
      </c>
      <c r="U65" s="12">
        <v>0</v>
      </c>
      <c r="V65" s="12">
        <v>0</v>
      </c>
      <c r="W65" s="12">
        <v>0</v>
      </c>
      <c r="X65" s="12">
        <v>0</v>
      </c>
      <c r="Y65" s="12">
        <v>0</v>
      </c>
      <c r="Z65" s="12">
        <v>0</v>
      </c>
      <c r="AA65" s="12">
        <v>0</v>
      </c>
      <c r="AB65" s="12">
        <v>0</v>
      </c>
      <c r="AC65" s="12">
        <v>0</v>
      </c>
      <c r="AD65" s="12">
        <v>0</v>
      </c>
      <c r="AE65" s="12">
        <v>0</v>
      </c>
      <c r="AF65" s="12">
        <v>0</v>
      </c>
      <c r="AG65" s="12">
        <v>0</v>
      </c>
      <c r="AH65" s="12">
        <v>0</v>
      </c>
      <c r="AI65" s="12">
        <v>0</v>
      </c>
      <c r="AJ65" s="12">
        <v>0</v>
      </c>
      <c r="AK65" s="12">
        <v>0</v>
      </c>
      <c r="AL65" s="12">
        <v>0</v>
      </c>
      <c r="AM65" s="12">
        <v>0</v>
      </c>
      <c r="AN65" s="12">
        <v>0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303</v>
      </c>
      <c r="C67" s="12"/>
      <c r="E67" s="13" cm="1">
        <f t="array" ref="E67:AN67">_xlfn.BYCOL(_xlfn.VSTACK(_xlfn.ANCHORARRAY($E$63),_xlfn.ANCHORARRAY($E$64),_xlfn.ANCHORARRAY($E$65)),_xlfn.LAMBDA(_xlpm.a,SUM(_xlpm.a)))</f>
        <v>0</v>
      </c>
      <c r="F67" s="13">
        <v>0</v>
      </c>
      <c r="G67" s="13">
        <v>0</v>
      </c>
      <c r="H67" s="13">
        <v>0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  <c r="W67" s="13">
        <v>0</v>
      </c>
      <c r="X67" s="13">
        <v>0</v>
      </c>
      <c r="Y67" s="13">
        <v>0</v>
      </c>
      <c r="Z67" s="13">
        <v>0</v>
      </c>
      <c r="AA67" s="13">
        <v>0</v>
      </c>
      <c r="AB67" s="13">
        <v>0</v>
      </c>
      <c r="AC67" s="13">
        <v>0</v>
      </c>
      <c r="AD67" s="13">
        <v>0</v>
      </c>
      <c r="AE67" s="13">
        <v>0</v>
      </c>
      <c r="AF67" s="13">
        <v>0</v>
      </c>
      <c r="AG67" s="13">
        <v>0</v>
      </c>
      <c r="AH67" s="13">
        <v>0</v>
      </c>
      <c r="AI67" s="13">
        <v>0</v>
      </c>
      <c r="AJ67" s="13">
        <v>0</v>
      </c>
      <c r="AK67" s="13">
        <v>0</v>
      </c>
      <c r="AL67" s="13">
        <v>0</v>
      </c>
      <c r="AM67" s="13">
        <v>0</v>
      </c>
      <c r="AN67" s="13">
        <v>0</v>
      </c>
    </row>
    <row r="68" spans="2:40" x14ac:dyDescent="0.25">
      <c r="B68" s="39"/>
      <c r="C68" s="12"/>
    </row>
    <row r="69" spans="2:40" x14ac:dyDescent="0.25">
      <c r="B69" s="39" t="s">
        <v>304</v>
      </c>
      <c r="C69" s="12"/>
      <c r="E69" s="106" cm="1">
        <f t="array" ref="E69:AN70">_xlfn.LET(_xlpm.Customer_staff,_xlfn._xlws.FILTER(Base!$D$96:$BD$97,ISNUMBER(SEARCH($B$1&amp;"-"&amp;$C$1,Base!$D$4:$BD$4))),_xlpm.Customer,_xlfn.ANCHORARRAY($E$1),_xlpm.headcount,_xlpm.Customer/_xlpm.Customer_staff,
_xlpm.rounding,_xlfn.VSTACK(0,0),IFERROR(ROUND(_xlpm.headcount,_xlpm.rounding),0))</f>
        <v>0</v>
      </c>
      <c r="F69" s="106">
        <v>0</v>
      </c>
      <c r="G69" s="106">
        <v>0</v>
      </c>
      <c r="H69" s="106">
        <v>0</v>
      </c>
      <c r="I69" s="106">
        <v>0</v>
      </c>
      <c r="J69" s="106">
        <v>0</v>
      </c>
      <c r="K69" s="106">
        <v>0</v>
      </c>
      <c r="L69" s="106">
        <v>0</v>
      </c>
      <c r="M69" s="106">
        <v>0</v>
      </c>
      <c r="N69" s="106">
        <v>0</v>
      </c>
      <c r="O69" s="106">
        <v>0</v>
      </c>
      <c r="P69" s="106">
        <v>0</v>
      </c>
      <c r="Q69" s="106">
        <v>0</v>
      </c>
      <c r="R69" s="106">
        <v>0</v>
      </c>
      <c r="S69" s="106">
        <v>0</v>
      </c>
      <c r="T69" s="106">
        <v>0</v>
      </c>
      <c r="U69" s="106">
        <v>0</v>
      </c>
      <c r="V69" s="106">
        <v>0</v>
      </c>
      <c r="W69" s="106">
        <v>0</v>
      </c>
      <c r="X69" s="106">
        <v>0</v>
      </c>
      <c r="Y69" s="106">
        <v>0</v>
      </c>
      <c r="Z69" s="106">
        <v>0</v>
      </c>
      <c r="AA69" s="106">
        <v>0</v>
      </c>
      <c r="AB69" s="106">
        <v>0</v>
      </c>
      <c r="AC69" s="106">
        <v>0</v>
      </c>
      <c r="AD69" s="106">
        <v>0</v>
      </c>
      <c r="AE69" s="106">
        <v>0</v>
      </c>
      <c r="AF69" s="106">
        <v>0</v>
      </c>
      <c r="AG69" s="106">
        <v>0</v>
      </c>
      <c r="AH69" s="106">
        <v>0</v>
      </c>
      <c r="AI69" s="106">
        <v>0</v>
      </c>
      <c r="AJ69" s="106">
        <v>0</v>
      </c>
      <c r="AK69" s="106">
        <v>0</v>
      </c>
      <c r="AL69" s="106">
        <v>0</v>
      </c>
      <c r="AM69" s="106">
        <v>0</v>
      </c>
      <c r="AN69" s="106">
        <v>0</v>
      </c>
    </row>
    <row r="70" spans="2:40" x14ac:dyDescent="0.25">
      <c r="B70" s="39" t="s">
        <v>305</v>
      </c>
      <c r="C70" s="12"/>
      <c r="E70" s="106">
        <v>0</v>
      </c>
      <c r="F70" s="106">
        <v>0</v>
      </c>
      <c r="G70" s="106">
        <v>0</v>
      </c>
      <c r="H70" s="106">
        <v>0</v>
      </c>
      <c r="I70" s="106">
        <v>0</v>
      </c>
      <c r="J70" s="106">
        <v>0</v>
      </c>
      <c r="K70" s="106">
        <v>0</v>
      </c>
      <c r="L70" s="106">
        <v>0</v>
      </c>
      <c r="M70" s="106">
        <v>0</v>
      </c>
      <c r="N70" s="106">
        <v>0</v>
      </c>
      <c r="O70" s="106">
        <v>0</v>
      </c>
      <c r="P70" s="106">
        <v>0</v>
      </c>
      <c r="Q70" s="106">
        <v>0</v>
      </c>
      <c r="R70" s="106">
        <v>0</v>
      </c>
      <c r="S70" s="106">
        <v>0</v>
      </c>
      <c r="T70" s="106">
        <v>0</v>
      </c>
      <c r="U70" s="106">
        <v>0</v>
      </c>
      <c r="V70" s="106">
        <v>0</v>
      </c>
      <c r="W70" s="106">
        <v>0</v>
      </c>
      <c r="X70" s="106">
        <v>0</v>
      </c>
      <c r="Y70" s="106">
        <v>0</v>
      </c>
      <c r="Z70" s="106">
        <v>0</v>
      </c>
      <c r="AA70" s="106">
        <v>0</v>
      </c>
      <c r="AB70" s="106">
        <v>0</v>
      </c>
      <c r="AC70" s="106">
        <v>0</v>
      </c>
      <c r="AD70" s="106">
        <v>0</v>
      </c>
      <c r="AE70" s="106">
        <v>0</v>
      </c>
      <c r="AF70" s="106">
        <v>0</v>
      </c>
      <c r="AG70" s="106">
        <v>0</v>
      </c>
      <c r="AH70" s="106">
        <v>0</v>
      </c>
      <c r="AI70" s="106">
        <v>0</v>
      </c>
      <c r="AJ70" s="106">
        <v>0</v>
      </c>
      <c r="AK70" s="106">
        <v>0</v>
      </c>
      <c r="AL70" s="106">
        <v>0</v>
      </c>
      <c r="AM70" s="106">
        <v>0</v>
      </c>
      <c r="AN70" s="106">
        <v>0</v>
      </c>
    </row>
    <row r="71" spans="2:40" x14ac:dyDescent="0.25">
      <c r="B71" s="39"/>
      <c r="C71" s="12"/>
    </row>
    <row r="72" spans="2:40" x14ac:dyDescent="0.25">
      <c r="B72" s="39" t="s">
        <v>23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0</v>
      </c>
      <c r="F72" s="12">
        <v>0</v>
      </c>
      <c r="G72" s="12">
        <v>0</v>
      </c>
      <c r="H72" s="12">
        <v>0</v>
      </c>
      <c r="I72" s="12">
        <v>0</v>
      </c>
      <c r="J72" s="12">
        <v>0</v>
      </c>
      <c r="K72" s="12">
        <v>0</v>
      </c>
      <c r="L72" s="12">
        <v>0</v>
      </c>
      <c r="M72" s="12">
        <v>0</v>
      </c>
      <c r="N72" s="12">
        <v>0</v>
      </c>
      <c r="O72" s="12">
        <v>0</v>
      </c>
      <c r="P72" s="12">
        <v>0</v>
      </c>
      <c r="Q72" s="12">
        <v>0</v>
      </c>
      <c r="R72" s="12">
        <v>0</v>
      </c>
      <c r="S72" s="12">
        <v>0</v>
      </c>
      <c r="T72" s="12">
        <v>0</v>
      </c>
      <c r="U72" s="12">
        <v>0</v>
      </c>
      <c r="V72" s="12">
        <v>0</v>
      </c>
      <c r="W72" s="12">
        <v>0</v>
      </c>
      <c r="X72" s="12">
        <v>0</v>
      </c>
      <c r="Y72" s="12">
        <v>0</v>
      </c>
      <c r="Z72" s="12">
        <v>1.1537294382039608E-3</v>
      </c>
      <c r="AA72" s="12">
        <v>3.4611883146118826E-3</v>
      </c>
      <c r="AB72" s="12">
        <v>5.768647191019805E-3</v>
      </c>
      <c r="AC72" s="12">
        <v>7.6146142921461437E-3</v>
      </c>
      <c r="AD72" s="12">
        <v>1.0152819056194855E-2</v>
      </c>
      <c r="AE72" s="12">
        <v>1.2691023820243574E-2</v>
      </c>
      <c r="AF72" s="12">
        <v>1.5229228584292287E-2</v>
      </c>
      <c r="AG72" s="12">
        <v>1.6498330966316647E-2</v>
      </c>
      <c r="AH72" s="12">
        <v>1.9036535730365362E-2</v>
      </c>
      <c r="AI72" s="12">
        <v>2.1574740494414067E-2</v>
      </c>
      <c r="AJ72" s="12">
        <v>2.2843842876438432E-2</v>
      </c>
      <c r="AK72" s="12">
        <v>2.5382047640487147E-2</v>
      </c>
      <c r="AL72" s="12">
        <v>2.7920252404535863E-2</v>
      </c>
      <c r="AM72" s="12">
        <v>3.0458457168584575E-2</v>
      </c>
      <c r="AN72" s="12">
        <v>3.0458457168584575E-2</v>
      </c>
    </row>
    <row r="73" spans="2:40" x14ac:dyDescent="0.25">
      <c r="B73" s="39" t="s">
        <v>24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306</v>
      </c>
      <c r="E75" s="74" cm="1">
        <f t="array" ref="E75:AN75">_xlfn.ANCHORARRAY(E67)-_xlfn.ANCHORARRAY(E72)-_xlfn.ANCHORARRAY(E73)</f>
        <v>0</v>
      </c>
      <c r="F75" s="74">
        <v>0</v>
      </c>
      <c r="G75" s="74">
        <v>0</v>
      </c>
      <c r="H75" s="74">
        <v>0</v>
      </c>
      <c r="I75" s="74">
        <v>0</v>
      </c>
      <c r="J75" s="74">
        <v>0</v>
      </c>
      <c r="K75" s="74">
        <v>0</v>
      </c>
      <c r="L75" s="74">
        <v>0</v>
      </c>
      <c r="M75" s="74">
        <v>0</v>
      </c>
      <c r="N75" s="74">
        <v>0</v>
      </c>
      <c r="O75" s="74">
        <v>0</v>
      </c>
      <c r="P75" s="74">
        <v>0</v>
      </c>
      <c r="Q75" s="74">
        <v>0</v>
      </c>
      <c r="R75" s="74">
        <v>0</v>
      </c>
      <c r="S75" s="74">
        <v>0</v>
      </c>
      <c r="T75" s="74">
        <v>0</v>
      </c>
      <c r="U75" s="74">
        <v>0</v>
      </c>
      <c r="V75" s="74">
        <v>0</v>
      </c>
      <c r="W75" s="74">
        <v>0</v>
      </c>
      <c r="X75" s="74">
        <v>0</v>
      </c>
      <c r="Y75" s="74">
        <v>0</v>
      </c>
      <c r="Z75" s="74">
        <v>-1.1537294382039608E-3</v>
      </c>
      <c r="AA75" s="74">
        <v>-3.4611883146118826E-3</v>
      </c>
      <c r="AB75" s="74">
        <v>-5.768647191019805E-3</v>
      </c>
      <c r="AC75" s="74">
        <v>-7.6146142921461437E-3</v>
      </c>
      <c r="AD75" s="74">
        <v>-1.0152819056194855E-2</v>
      </c>
      <c r="AE75" s="74">
        <v>-1.2691023820243574E-2</v>
      </c>
      <c r="AF75" s="74">
        <v>-1.5229228584292287E-2</v>
      </c>
      <c r="AG75" s="74">
        <v>-1.6498330966316647E-2</v>
      </c>
      <c r="AH75" s="74">
        <v>-1.9036535730365362E-2</v>
      </c>
      <c r="AI75" s="74">
        <v>-2.1574740494414067E-2</v>
      </c>
      <c r="AJ75" s="74">
        <v>-2.2843842876438432E-2</v>
      </c>
      <c r="AK75" s="74">
        <v>-2.5382047640487147E-2</v>
      </c>
      <c r="AL75" s="74">
        <v>-2.7920252404535863E-2</v>
      </c>
      <c r="AM75" s="74">
        <v>-3.0458457168584575E-2</v>
      </c>
      <c r="AN75" s="74">
        <v>-3.0458457168584575E-2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7AE540-CBBC-45B1-BDB1-99E4D9DFB290}">
  <dimension ref="A1:AX75"/>
  <sheetViews>
    <sheetView workbookViewId="0">
      <pane xSplit="4" ySplit="25" topLeftCell="E26" activePane="bottomRight" state="frozen"/>
      <selection activeCell="E63" sqref="E63:E65"/>
      <selection pane="topRight" activeCell="E63" sqref="E63:E65"/>
      <selection pane="bottomLeft" activeCell="E63" sqref="E63:E65"/>
      <selection pane="bottomRight" activeCell="E63" sqref="E63:E65"/>
    </sheetView>
  </sheetViews>
  <sheetFormatPr defaultRowHeight="15" outlineLevelRow="1" x14ac:dyDescent="0.25"/>
  <cols>
    <col min="2" max="2" width="24.5703125" bestFit="1" customWidth="1"/>
    <col min="3" max="3" width="11.5703125" bestFit="1" customWidth="1"/>
    <col min="4" max="4" width="10" bestFit="1" customWidth="1"/>
    <col min="5" max="5" width="11.42578125" bestFit="1" customWidth="1"/>
    <col min="6" max="6" width="11.7109375" bestFit="1" customWidth="1"/>
    <col min="7" max="13" width="12.28515625" bestFit="1" customWidth="1"/>
    <col min="14" max="18" width="11.5703125" bestFit="1" customWidth="1"/>
    <col min="19" max="40" width="12.5703125" bestFit="1" customWidth="1"/>
  </cols>
  <sheetData>
    <row r="1" spans="1:40" x14ac:dyDescent="0.25">
      <c r="A1" s="96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>2027</v>
      </c>
      <c r="B1" s="58" t="s">
        <v>69</v>
      </c>
      <c r="C1" s="16" t="s">
        <v>61</v>
      </c>
      <c r="D1" s="3" t="s">
        <v>307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IFERROR(_xlpm.kiddos,0))</f>
        <v>0</v>
      </c>
      <c r="F1" s="69">
        <v>0</v>
      </c>
      <c r="G1" s="69">
        <v>0</v>
      </c>
      <c r="H1" s="69">
        <v>0</v>
      </c>
      <c r="I1" s="69">
        <v>0</v>
      </c>
      <c r="J1" s="69">
        <v>0</v>
      </c>
      <c r="K1" s="69">
        <v>0</v>
      </c>
      <c r="L1" s="69">
        <v>0</v>
      </c>
      <c r="M1" s="69">
        <v>0</v>
      </c>
      <c r="N1" s="69">
        <v>0</v>
      </c>
      <c r="O1" s="69">
        <v>0</v>
      </c>
      <c r="P1" s="69">
        <v>0</v>
      </c>
      <c r="Q1" s="69">
        <v>0</v>
      </c>
      <c r="R1" s="69">
        <v>0</v>
      </c>
      <c r="S1" s="69">
        <v>0</v>
      </c>
      <c r="T1" s="69">
        <v>0</v>
      </c>
      <c r="U1" s="69">
        <v>0</v>
      </c>
      <c r="V1" s="69">
        <v>0</v>
      </c>
      <c r="W1" s="69">
        <v>0</v>
      </c>
      <c r="X1" s="69">
        <v>0</v>
      </c>
      <c r="Y1" s="69">
        <v>0</v>
      </c>
      <c r="Z1" s="69">
        <v>0</v>
      </c>
      <c r="AA1" s="69">
        <v>3</v>
      </c>
      <c r="AB1" s="69">
        <v>6</v>
      </c>
      <c r="AC1" s="69">
        <v>9</v>
      </c>
      <c r="AD1" s="69">
        <v>12</v>
      </c>
      <c r="AE1" s="69">
        <v>15</v>
      </c>
      <c r="AF1" s="69">
        <v>18</v>
      </c>
      <c r="AG1" s="69">
        <v>21</v>
      </c>
      <c r="AH1" s="69">
        <v>24</v>
      </c>
      <c r="AI1" s="69">
        <v>27</v>
      </c>
      <c r="AJ1" s="69">
        <v>30</v>
      </c>
      <c r="AK1" s="69">
        <v>33</v>
      </c>
      <c r="AL1" s="69">
        <v>36</v>
      </c>
      <c r="AM1" s="69">
        <v>39</v>
      </c>
      <c r="AN1" s="69">
        <v>42</v>
      </c>
    </row>
    <row r="2" spans="1:40" x14ac:dyDescent="0.25">
      <c r="A2" s="65"/>
      <c r="B2" s="3" t="str">
        <f>_xlfn.XLOOKUP($B$1&amp;"-"&amp;$C$1,Base!$D$4:$BD$4,Base!$D$2:$BD$2,"",0)</f>
        <v>New Jersey</v>
      </c>
      <c r="C2" s="55"/>
      <c r="D2" s="55" t="s">
        <v>259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0</v>
      </c>
      <c r="F2" s="69">
        <v>0</v>
      </c>
      <c r="G2" s="69">
        <v>0</v>
      </c>
      <c r="H2" s="69">
        <v>0</v>
      </c>
      <c r="I2" s="69">
        <v>0</v>
      </c>
      <c r="J2" s="69">
        <v>0</v>
      </c>
      <c r="K2" s="69">
        <v>0</v>
      </c>
      <c r="L2" s="69">
        <v>0</v>
      </c>
      <c r="M2" s="69">
        <v>0</v>
      </c>
      <c r="N2" s="69">
        <v>0</v>
      </c>
      <c r="O2" s="69">
        <v>0</v>
      </c>
      <c r="P2" s="69">
        <v>0</v>
      </c>
      <c r="Q2" s="69">
        <v>0</v>
      </c>
      <c r="R2" s="69">
        <v>0</v>
      </c>
      <c r="S2" s="69">
        <v>0</v>
      </c>
      <c r="T2" s="69">
        <v>0</v>
      </c>
      <c r="U2" s="69">
        <v>0</v>
      </c>
      <c r="V2" s="69">
        <v>0</v>
      </c>
      <c r="W2" s="69">
        <v>0</v>
      </c>
      <c r="X2" s="69">
        <v>0</v>
      </c>
      <c r="Y2" s="69">
        <v>0</v>
      </c>
      <c r="Z2" s="69">
        <v>0</v>
      </c>
      <c r="AA2" s="69">
        <v>0</v>
      </c>
      <c r="AB2" s="69">
        <v>3.1666666666666665</v>
      </c>
      <c r="AC2" s="69">
        <v>3.3333333333333335</v>
      </c>
      <c r="AD2" s="69">
        <v>3.5</v>
      </c>
      <c r="AE2" s="69">
        <v>3.6666666666666665</v>
      </c>
      <c r="AF2" s="69">
        <v>3.8333333333333335</v>
      </c>
      <c r="AG2" s="69">
        <v>4</v>
      </c>
      <c r="AH2" s="69">
        <v>4.166666666666667</v>
      </c>
      <c r="AI2" s="69">
        <v>4.333333333333333</v>
      </c>
      <c r="AJ2" s="69">
        <v>4.5</v>
      </c>
      <c r="AK2" s="69">
        <v>4.666666666666667</v>
      </c>
      <c r="AL2" s="69">
        <v>4.833333333333333</v>
      </c>
      <c r="AM2" s="69">
        <v>5</v>
      </c>
      <c r="AN2" s="69">
        <v>2.1666666666666665</v>
      </c>
    </row>
    <row r="3" spans="1:40" x14ac:dyDescent="0.25">
      <c r="A3" s="65"/>
      <c r="B3" s="55"/>
      <c r="C3" s="55"/>
      <c r="D3" s="55" t="s">
        <v>62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_xlpm.months_since,DATEDIF(_xlpm.launchdate,_xlfn.ANCHORARRAY($E$25),"m"),_xlfn.BYCOL(_xlpm.months_since,_xlfn.LAMBDA(_xlpm.a,IFERROR(MIN(_xlpm.a/6,_xlpm.max_kiddos),0))))</f>
        <v>0</v>
      </c>
      <c r="F3" s="69">
        <v>0</v>
      </c>
      <c r="G3" s="69">
        <v>0</v>
      </c>
      <c r="H3" s="69">
        <v>0</v>
      </c>
      <c r="I3" s="69">
        <v>0</v>
      </c>
      <c r="J3" s="69">
        <v>0</v>
      </c>
      <c r="K3" s="69">
        <v>0</v>
      </c>
      <c r="L3" s="69">
        <v>0</v>
      </c>
      <c r="M3" s="69">
        <v>0</v>
      </c>
      <c r="N3" s="69">
        <v>0</v>
      </c>
      <c r="O3" s="69">
        <v>0</v>
      </c>
      <c r="P3" s="69">
        <v>0</v>
      </c>
      <c r="Q3" s="69">
        <v>0</v>
      </c>
      <c r="R3" s="69">
        <v>0</v>
      </c>
      <c r="S3" s="69">
        <v>0</v>
      </c>
      <c r="T3" s="69">
        <v>0</v>
      </c>
      <c r="U3" s="69">
        <v>0</v>
      </c>
      <c r="V3" s="69">
        <v>0</v>
      </c>
      <c r="W3" s="69">
        <v>0</v>
      </c>
      <c r="X3" s="69">
        <v>0</v>
      </c>
      <c r="Y3" s="69">
        <v>0</v>
      </c>
      <c r="Z3" s="69">
        <v>0</v>
      </c>
      <c r="AA3" s="69">
        <v>0</v>
      </c>
      <c r="AB3" s="69">
        <v>0.16666666666666666</v>
      </c>
      <c r="AC3" s="69">
        <v>0.33333333333333331</v>
      </c>
      <c r="AD3" s="69">
        <v>0.5</v>
      </c>
      <c r="AE3" s="69">
        <v>0.66666666666666663</v>
      </c>
      <c r="AF3" s="69">
        <v>0.83333333333333337</v>
      </c>
      <c r="AG3" s="69">
        <v>1</v>
      </c>
      <c r="AH3" s="69">
        <v>1.1666666666666667</v>
      </c>
      <c r="AI3" s="69">
        <v>1.3333333333333333</v>
      </c>
      <c r="AJ3" s="69">
        <v>1.5</v>
      </c>
      <c r="AK3" s="69">
        <v>1.6666666666666667</v>
      </c>
      <c r="AL3" s="69">
        <v>1.8333333333333333</v>
      </c>
      <c r="AM3" s="69">
        <v>2</v>
      </c>
      <c r="AN3" s="69">
        <v>2.1666666666666665</v>
      </c>
    </row>
    <row r="4" spans="1:40" x14ac:dyDescent="0.25">
      <c r="A4" s="65"/>
      <c r="B4" s="55"/>
      <c r="C4" s="55"/>
      <c r="D4" s="55" t="s">
        <v>260</v>
      </c>
      <c r="E4" s="69" cm="1">
        <f t="array" ref="E4:AN4">_xlfn.BYCOL(_xlfn.VSTACK(_xlfn.ANCHORARRAY($E$1),_xlfn.ANCHORARRAY($E$2)),_xlfn.LAMBDA(_xlpm.a,SUM(_xlpm.a)))</f>
        <v>0</v>
      </c>
      <c r="F4" s="69">
        <v>0</v>
      </c>
      <c r="G4" s="69">
        <v>0</v>
      </c>
      <c r="H4" s="69">
        <v>0</v>
      </c>
      <c r="I4" s="69">
        <v>0</v>
      </c>
      <c r="J4" s="69">
        <v>0</v>
      </c>
      <c r="K4" s="69">
        <v>0</v>
      </c>
      <c r="L4" s="69">
        <v>0</v>
      </c>
      <c r="M4" s="69">
        <v>0</v>
      </c>
      <c r="N4" s="69">
        <v>0</v>
      </c>
      <c r="O4" s="69">
        <v>0</v>
      </c>
      <c r="P4" s="69">
        <v>0</v>
      </c>
      <c r="Q4" s="69">
        <v>0</v>
      </c>
      <c r="R4" s="69">
        <v>0</v>
      </c>
      <c r="S4" s="69">
        <v>0</v>
      </c>
      <c r="T4" s="69">
        <v>0</v>
      </c>
      <c r="U4" s="69">
        <v>0</v>
      </c>
      <c r="V4" s="69">
        <v>0</v>
      </c>
      <c r="W4" s="69">
        <v>0</v>
      </c>
      <c r="X4" s="69">
        <v>0</v>
      </c>
      <c r="Y4" s="69">
        <v>0</v>
      </c>
      <c r="Z4" s="69">
        <v>0</v>
      </c>
      <c r="AA4" s="69">
        <v>3</v>
      </c>
      <c r="AB4" s="69">
        <v>9.1666666666666661</v>
      </c>
      <c r="AC4" s="69">
        <v>12.333333333333334</v>
      </c>
      <c r="AD4" s="69">
        <v>15.5</v>
      </c>
      <c r="AE4" s="69">
        <v>18.666666666666668</v>
      </c>
      <c r="AF4" s="69">
        <v>21.833333333333332</v>
      </c>
      <c r="AG4" s="69">
        <v>25</v>
      </c>
      <c r="AH4" s="69">
        <v>28.166666666666668</v>
      </c>
      <c r="AI4" s="69">
        <v>31.333333333333332</v>
      </c>
      <c r="AJ4" s="69">
        <v>34.5</v>
      </c>
      <c r="AK4" s="69">
        <v>37.666666666666664</v>
      </c>
      <c r="AL4" s="69">
        <v>40.833333333333336</v>
      </c>
      <c r="AM4" s="69">
        <v>44</v>
      </c>
      <c r="AN4" s="69">
        <v>44.166666666666664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107</v>
      </c>
      <c r="C6" s="3"/>
      <c r="D6" s="3"/>
      <c r="E6" s="66" cm="1">
        <f t="array" ref="E6:AN6">ROUND(_xlfn.BYCOL(_xlfn.ANCHORARRAY(E7),_xlfn.LAMBDA(_xlpm.a,SUM(_xlpm.a))),0)</f>
        <v>0</v>
      </c>
      <c r="F6" s="66">
        <v>0</v>
      </c>
      <c r="G6" s="66">
        <v>0</v>
      </c>
      <c r="H6" s="66">
        <v>0</v>
      </c>
      <c r="I6" s="66">
        <v>0</v>
      </c>
      <c r="J6" s="66">
        <v>0</v>
      </c>
      <c r="K6" s="66">
        <v>0</v>
      </c>
      <c r="L6" s="66">
        <v>0</v>
      </c>
      <c r="M6" s="66">
        <v>0</v>
      </c>
      <c r="N6" s="66">
        <v>0</v>
      </c>
      <c r="O6" s="66">
        <v>0</v>
      </c>
      <c r="P6" s="66">
        <v>0</v>
      </c>
      <c r="Q6" s="66">
        <v>0</v>
      </c>
      <c r="R6" s="66">
        <v>0</v>
      </c>
      <c r="S6" s="66">
        <v>0</v>
      </c>
      <c r="T6" s="66">
        <v>0</v>
      </c>
      <c r="U6" s="66">
        <v>0</v>
      </c>
      <c r="V6" s="66">
        <v>0</v>
      </c>
      <c r="W6" s="66">
        <v>0</v>
      </c>
      <c r="X6" s="66">
        <v>0</v>
      </c>
      <c r="Y6" s="66">
        <v>0</v>
      </c>
      <c r="Z6" s="66">
        <v>0</v>
      </c>
      <c r="AA6" s="66">
        <v>6</v>
      </c>
      <c r="AB6" s="66">
        <v>11</v>
      </c>
      <c r="AC6" s="66">
        <v>15</v>
      </c>
      <c r="AD6" s="66">
        <v>18</v>
      </c>
      <c r="AE6" s="66">
        <v>22</v>
      </c>
      <c r="AF6" s="66">
        <v>26</v>
      </c>
      <c r="AG6" s="66">
        <v>29</v>
      </c>
      <c r="AH6" s="66">
        <v>33</v>
      </c>
      <c r="AI6" s="66">
        <v>37</v>
      </c>
      <c r="AJ6" s="66">
        <v>40</v>
      </c>
      <c r="AK6" s="66">
        <v>44</v>
      </c>
      <c r="AL6" s="66">
        <v>47</v>
      </c>
      <c r="AM6" s="66">
        <v>51</v>
      </c>
      <c r="AN6" s="66">
        <v>54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1"/>
      <c r="E7" s="106" cm="1">
        <f t="array" ref="E7:AN20">_xlfn.LET(_xlpm.Customer_staff,_xlfn._xlws.FILTER(Base!$D$85:$BD$98,ISNUMBER(SEARCH($B$1&amp;"-"&amp;$C$1,Base!$D$4:$BD$4))),_xlpm.Customer,_xlfn.ANCHORARRAY($E$1),_xlpm.headcount,_xlpm.Customer/_xlpm.Customer_staff,
_xlpm.patient_staff,_xlfn.ANCHORARRAY($E$2)/_xlpm.Customer_staff,_xlpm.prim_staff_tr_rec,_xlfn.ANCHORARRAY($E$2)/_xlfn.CHOOSEROWS(_xlpm.Customer_staff,{7,8})+(_xlfn.ANCHORARRAY($E$1)*0.0055),_xlpm.rounding,_xlfn.VSTACK(2,2,0,0,2,2,2,2,2,2,2,0,0,0),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prim_staff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0</v>
      </c>
      <c r="F7" s="106">
        <v>0</v>
      </c>
      <c r="G7" s="106">
        <v>0</v>
      </c>
      <c r="H7" s="106">
        <v>0</v>
      </c>
      <c r="I7" s="106">
        <v>0</v>
      </c>
      <c r="J7" s="106">
        <v>0</v>
      </c>
      <c r="K7" s="106">
        <v>0</v>
      </c>
      <c r="L7" s="106">
        <v>0</v>
      </c>
      <c r="M7" s="106">
        <v>0</v>
      </c>
      <c r="N7" s="106">
        <v>0</v>
      </c>
      <c r="O7" s="106">
        <v>0</v>
      </c>
      <c r="P7" s="106">
        <v>0</v>
      </c>
      <c r="Q7" s="106">
        <v>0</v>
      </c>
      <c r="R7" s="106">
        <v>0</v>
      </c>
      <c r="S7" s="106">
        <v>0</v>
      </c>
      <c r="T7" s="106">
        <v>0</v>
      </c>
      <c r="U7" s="106">
        <v>0</v>
      </c>
      <c r="V7" s="106">
        <v>0</v>
      </c>
      <c r="W7" s="106">
        <v>0</v>
      </c>
      <c r="X7" s="106">
        <v>0</v>
      </c>
      <c r="Y7" s="106">
        <v>0</v>
      </c>
      <c r="Z7" s="106">
        <v>0</v>
      </c>
      <c r="AA7" s="106">
        <v>2.8299999999999996</v>
      </c>
      <c r="AB7" s="106">
        <v>5.6499999999999995</v>
      </c>
      <c r="AC7" s="106">
        <v>8.48</v>
      </c>
      <c r="AD7" s="106">
        <v>11.299999999999999</v>
      </c>
      <c r="AE7" s="106">
        <v>14.12</v>
      </c>
      <c r="AF7" s="106">
        <v>16.950000000000003</v>
      </c>
      <c r="AG7" s="106">
        <v>19.770000000000003</v>
      </c>
      <c r="AH7" s="106">
        <v>22.59</v>
      </c>
      <c r="AI7" s="106">
        <v>25.42</v>
      </c>
      <c r="AJ7" s="106">
        <v>28.240000000000002</v>
      </c>
      <c r="AK7" s="106">
        <v>31.060000000000002</v>
      </c>
      <c r="AL7" s="106">
        <v>33.89</v>
      </c>
      <c r="AM7" s="106">
        <v>36.71</v>
      </c>
      <c r="AN7" s="106">
        <v>39.53</v>
      </c>
    </row>
    <row r="8" spans="1:40" hidden="1" outlineLevel="1" x14ac:dyDescent="0.25">
      <c r="B8" s="39" t="str">
        <v>Secondary Direct Staff</v>
      </c>
      <c r="C8" s="3"/>
      <c r="D8" s="3"/>
      <c r="E8" s="106">
        <v>0</v>
      </c>
      <c r="F8" s="106">
        <v>0</v>
      </c>
      <c r="G8" s="106">
        <v>0</v>
      </c>
      <c r="H8" s="106">
        <v>0</v>
      </c>
      <c r="I8" s="106">
        <v>0</v>
      </c>
      <c r="J8" s="106">
        <v>0</v>
      </c>
      <c r="K8" s="106">
        <v>0</v>
      </c>
      <c r="L8" s="106">
        <v>0</v>
      </c>
      <c r="M8" s="106">
        <v>0</v>
      </c>
      <c r="N8" s="106">
        <v>0</v>
      </c>
      <c r="O8" s="106">
        <v>0</v>
      </c>
      <c r="P8" s="106">
        <v>0</v>
      </c>
      <c r="Q8" s="106">
        <v>0</v>
      </c>
      <c r="R8" s="106">
        <v>0</v>
      </c>
      <c r="S8" s="106">
        <v>0</v>
      </c>
      <c r="T8" s="106">
        <v>0</v>
      </c>
      <c r="U8" s="106">
        <v>0</v>
      </c>
      <c r="V8" s="106">
        <v>0</v>
      </c>
      <c r="W8" s="106">
        <v>0</v>
      </c>
      <c r="X8" s="106">
        <v>0</v>
      </c>
      <c r="Y8" s="106">
        <v>0</v>
      </c>
      <c r="Z8" s="106">
        <v>0</v>
      </c>
      <c r="AA8" s="106">
        <v>0.43</v>
      </c>
      <c r="AB8" s="106">
        <v>0.86</v>
      </c>
      <c r="AC8" s="106">
        <v>1.29</v>
      </c>
      <c r="AD8" s="106">
        <v>1.72</v>
      </c>
      <c r="AE8" s="106">
        <v>2.15</v>
      </c>
      <c r="AF8" s="106">
        <v>2.5799999999999996</v>
      </c>
      <c r="AG8" s="106">
        <v>3</v>
      </c>
      <c r="AH8" s="106">
        <v>3.4299999999999997</v>
      </c>
      <c r="AI8" s="106">
        <v>3.86</v>
      </c>
      <c r="AJ8" s="106">
        <v>4.29</v>
      </c>
      <c r="AK8" s="106">
        <v>4.72</v>
      </c>
      <c r="AL8" s="106">
        <v>5.1499999999999995</v>
      </c>
      <c r="AM8" s="106">
        <v>5.58</v>
      </c>
      <c r="AN8" s="106">
        <v>6</v>
      </c>
    </row>
    <row r="9" spans="1:40" hidden="1" outlineLevel="1" x14ac:dyDescent="0.25">
      <c r="B9" s="39" t="str">
        <v>Center Manager</v>
      </c>
      <c r="C9" s="3"/>
      <c r="D9" s="3"/>
      <c r="E9" s="106">
        <v>0</v>
      </c>
      <c r="F9" s="106">
        <v>0</v>
      </c>
      <c r="G9" s="106">
        <v>0</v>
      </c>
      <c r="H9" s="106">
        <v>0</v>
      </c>
      <c r="I9" s="106">
        <v>0</v>
      </c>
      <c r="J9" s="106">
        <v>0</v>
      </c>
      <c r="K9" s="106">
        <v>0</v>
      </c>
      <c r="L9" s="106">
        <v>0</v>
      </c>
      <c r="M9" s="106">
        <v>0</v>
      </c>
      <c r="N9" s="106">
        <v>0</v>
      </c>
      <c r="O9" s="106">
        <v>0</v>
      </c>
      <c r="P9" s="106">
        <v>0</v>
      </c>
      <c r="Q9" s="106">
        <v>0</v>
      </c>
      <c r="R9" s="106">
        <v>0</v>
      </c>
      <c r="S9" s="106">
        <v>0</v>
      </c>
      <c r="T9" s="106">
        <v>0</v>
      </c>
      <c r="U9" s="106">
        <v>0</v>
      </c>
      <c r="V9" s="106">
        <v>0</v>
      </c>
      <c r="W9" s="106">
        <v>0</v>
      </c>
      <c r="X9" s="106">
        <v>0</v>
      </c>
      <c r="Y9" s="106">
        <v>0</v>
      </c>
      <c r="Z9" s="106">
        <v>0</v>
      </c>
      <c r="AA9" s="106">
        <v>1</v>
      </c>
      <c r="AB9" s="106">
        <v>1</v>
      </c>
      <c r="AC9" s="106">
        <v>1</v>
      </c>
      <c r="AD9" s="106">
        <v>1</v>
      </c>
      <c r="AE9" s="106">
        <v>1</v>
      </c>
      <c r="AF9" s="106">
        <v>1</v>
      </c>
      <c r="AG9" s="106">
        <v>1</v>
      </c>
      <c r="AH9" s="106">
        <v>1</v>
      </c>
      <c r="AI9" s="106">
        <v>1</v>
      </c>
      <c r="AJ9" s="106">
        <v>1</v>
      </c>
      <c r="AK9" s="106">
        <v>1</v>
      </c>
      <c r="AL9" s="106">
        <v>1</v>
      </c>
      <c r="AM9" s="106">
        <v>1</v>
      </c>
      <c r="AN9" s="106">
        <v>1</v>
      </c>
    </row>
    <row r="10" spans="1:40" hidden="1" outlineLevel="1" x14ac:dyDescent="0.25">
      <c r="B10" s="39" t="str">
        <v>Intake</v>
      </c>
      <c r="C10" s="3"/>
      <c r="D10" s="3"/>
      <c r="E10" s="106">
        <v>0</v>
      </c>
      <c r="F10" s="106">
        <v>0</v>
      </c>
      <c r="G10" s="106">
        <v>0</v>
      </c>
      <c r="H10" s="106">
        <v>0</v>
      </c>
      <c r="I10" s="106">
        <v>0</v>
      </c>
      <c r="J10" s="106">
        <v>0</v>
      </c>
      <c r="K10" s="106">
        <v>0</v>
      </c>
      <c r="L10" s="106">
        <v>0</v>
      </c>
      <c r="M10" s="106">
        <v>0</v>
      </c>
      <c r="N10" s="106">
        <v>0</v>
      </c>
      <c r="O10" s="106">
        <v>0</v>
      </c>
      <c r="P10" s="106">
        <v>0</v>
      </c>
      <c r="Q10" s="106">
        <v>0</v>
      </c>
      <c r="R10" s="106">
        <v>0</v>
      </c>
      <c r="S10" s="106">
        <v>0</v>
      </c>
      <c r="T10" s="106">
        <v>0</v>
      </c>
      <c r="U10" s="106">
        <v>0</v>
      </c>
      <c r="V10" s="106">
        <v>0</v>
      </c>
      <c r="W10" s="106">
        <v>0</v>
      </c>
      <c r="X10" s="106">
        <v>0</v>
      </c>
      <c r="Y10" s="106">
        <v>0</v>
      </c>
      <c r="Z10" s="106">
        <v>0</v>
      </c>
      <c r="AA10" s="106">
        <v>0</v>
      </c>
      <c r="AB10" s="106">
        <v>1</v>
      </c>
      <c r="AC10" s="106">
        <v>1</v>
      </c>
      <c r="AD10" s="106">
        <v>1</v>
      </c>
      <c r="AE10" s="106">
        <v>1</v>
      </c>
      <c r="AF10" s="106">
        <v>1</v>
      </c>
      <c r="AG10" s="106">
        <v>1</v>
      </c>
      <c r="AH10" s="106">
        <v>1</v>
      </c>
      <c r="AI10" s="106">
        <v>1</v>
      </c>
      <c r="AJ10" s="106">
        <v>1</v>
      </c>
      <c r="AK10" s="106">
        <v>1</v>
      </c>
      <c r="AL10" s="106">
        <v>1</v>
      </c>
      <c r="AM10" s="106">
        <v>1</v>
      </c>
      <c r="AN10" s="106">
        <v>1</v>
      </c>
    </row>
    <row r="11" spans="1:40" hidden="1" outlineLevel="1" x14ac:dyDescent="0.25">
      <c r="B11" s="39" t="str">
        <v>Scheduler</v>
      </c>
      <c r="C11" s="3"/>
      <c r="D11" s="3"/>
      <c r="E11" s="106">
        <v>0</v>
      </c>
      <c r="F11" s="106">
        <v>0</v>
      </c>
      <c r="G11" s="106">
        <v>0</v>
      </c>
      <c r="H11" s="106">
        <v>0</v>
      </c>
      <c r="I11" s="106">
        <v>0</v>
      </c>
      <c r="J11" s="106">
        <v>0</v>
      </c>
      <c r="K11" s="106">
        <v>0</v>
      </c>
      <c r="L11" s="106">
        <v>0</v>
      </c>
      <c r="M11" s="106">
        <v>0</v>
      </c>
      <c r="N11" s="106">
        <v>0</v>
      </c>
      <c r="O11" s="106">
        <v>0</v>
      </c>
      <c r="P11" s="106">
        <v>0</v>
      </c>
      <c r="Q11" s="106">
        <v>0</v>
      </c>
      <c r="R11" s="106">
        <v>0</v>
      </c>
      <c r="S11" s="106">
        <v>0</v>
      </c>
      <c r="T11" s="106">
        <v>0</v>
      </c>
      <c r="U11" s="106">
        <v>0</v>
      </c>
      <c r="V11" s="106">
        <v>0</v>
      </c>
      <c r="W11" s="106">
        <v>0</v>
      </c>
      <c r="X11" s="106">
        <v>0</v>
      </c>
      <c r="Y11" s="106">
        <v>0</v>
      </c>
      <c r="Z11" s="106">
        <v>0</v>
      </c>
      <c r="AA11" s="106">
        <v>0</v>
      </c>
      <c r="AB11" s="106">
        <v>0</v>
      </c>
      <c r="AC11" s="106">
        <v>0</v>
      </c>
      <c r="AD11" s="106">
        <v>0</v>
      </c>
      <c r="AE11" s="106">
        <v>0</v>
      </c>
      <c r="AF11" s="106">
        <v>0</v>
      </c>
      <c r="AG11" s="106">
        <v>0</v>
      </c>
      <c r="AH11" s="106">
        <v>0</v>
      </c>
      <c r="AI11" s="106">
        <v>0</v>
      </c>
      <c r="AJ11" s="106">
        <v>0</v>
      </c>
      <c r="AK11" s="106">
        <v>0</v>
      </c>
      <c r="AL11" s="106">
        <v>0</v>
      </c>
      <c r="AM11" s="106">
        <v>0</v>
      </c>
      <c r="AN11" s="106">
        <v>0</v>
      </c>
    </row>
    <row r="12" spans="1:40" hidden="1" outlineLevel="1" x14ac:dyDescent="0.25">
      <c r="B12" s="39" t="str">
        <v>Initial Consultation Expert</v>
      </c>
      <c r="C12" s="3"/>
      <c r="D12" s="3"/>
      <c r="E12" s="106">
        <v>0</v>
      </c>
      <c r="F12" s="106">
        <v>0</v>
      </c>
      <c r="G12" s="106">
        <v>0</v>
      </c>
      <c r="H12" s="106">
        <v>0</v>
      </c>
      <c r="I12" s="106">
        <v>0</v>
      </c>
      <c r="J12" s="106">
        <v>0</v>
      </c>
      <c r="K12" s="106">
        <v>0</v>
      </c>
      <c r="L12" s="106">
        <v>0</v>
      </c>
      <c r="M12" s="106">
        <v>0</v>
      </c>
      <c r="N12" s="106">
        <v>0</v>
      </c>
      <c r="O12" s="106">
        <v>0</v>
      </c>
      <c r="P12" s="106">
        <v>0</v>
      </c>
      <c r="Q12" s="106">
        <v>0</v>
      </c>
      <c r="R12" s="106">
        <v>0</v>
      </c>
      <c r="S12" s="106">
        <v>0</v>
      </c>
      <c r="T12" s="106">
        <v>0</v>
      </c>
      <c r="U12" s="106">
        <v>0</v>
      </c>
      <c r="V12" s="106">
        <v>0</v>
      </c>
      <c r="W12" s="106">
        <v>0</v>
      </c>
      <c r="X12" s="106">
        <v>0</v>
      </c>
      <c r="Y12" s="106">
        <v>0</v>
      </c>
      <c r="Z12" s="106">
        <v>0</v>
      </c>
      <c r="AA12" s="106">
        <v>0</v>
      </c>
      <c r="AB12" s="106">
        <v>0.25</v>
      </c>
      <c r="AC12" s="106">
        <v>0.26</v>
      </c>
      <c r="AD12" s="106">
        <v>0.27</v>
      </c>
      <c r="AE12" s="106">
        <v>0.29000000000000004</v>
      </c>
      <c r="AF12" s="106">
        <v>0.3</v>
      </c>
      <c r="AG12" s="106">
        <v>0.31</v>
      </c>
      <c r="AH12" s="106">
        <v>0.33</v>
      </c>
      <c r="AI12" s="106">
        <v>0.34</v>
      </c>
      <c r="AJ12" s="106">
        <v>0.35000000000000003</v>
      </c>
      <c r="AK12" s="106">
        <v>0.36</v>
      </c>
      <c r="AL12" s="106">
        <v>0.38</v>
      </c>
      <c r="AM12" s="106">
        <v>0.39</v>
      </c>
      <c r="AN12" s="106">
        <v>0.17</v>
      </c>
    </row>
    <row r="13" spans="1:40" hidden="1" outlineLevel="1" x14ac:dyDescent="0.25">
      <c r="B13" s="39" t="str">
        <v>Trainer</v>
      </c>
      <c r="C13" s="3"/>
      <c r="D13" s="3"/>
      <c r="E13" s="106">
        <v>0</v>
      </c>
      <c r="F13" s="106">
        <v>0</v>
      </c>
      <c r="G13" s="106">
        <v>0</v>
      </c>
      <c r="H13" s="106">
        <v>0</v>
      </c>
      <c r="I13" s="106">
        <v>0</v>
      </c>
      <c r="J13" s="106">
        <v>0</v>
      </c>
      <c r="K13" s="106">
        <v>0</v>
      </c>
      <c r="L13" s="106">
        <v>0</v>
      </c>
      <c r="M13" s="106">
        <v>0</v>
      </c>
      <c r="N13" s="106">
        <v>0</v>
      </c>
      <c r="O13" s="106">
        <v>0</v>
      </c>
      <c r="P13" s="106">
        <v>0</v>
      </c>
      <c r="Q13" s="106">
        <v>0</v>
      </c>
      <c r="R13" s="106">
        <v>0</v>
      </c>
      <c r="S13" s="106">
        <v>0</v>
      </c>
      <c r="T13" s="106">
        <v>0</v>
      </c>
      <c r="U13" s="106">
        <v>0</v>
      </c>
      <c r="V13" s="106">
        <v>0</v>
      </c>
      <c r="W13" s="106">
        <v>0</v>
      </c>
      <c r="X13" s="106">
        <v>0</v>
      </c>
      <c r="Y13" s="106">
        <v>0</v>
      </c>
      <c r="Z13" s="106">
        <v>0</v>
      </c>
      <c r="AA13" s="106">
        <v>0.02</v>
      </c>
      <c r="AB13" s="106">
        <v>0.35000000000000003</v>
      </c>
      <c r="AC13" s="106">
        <v>0.39</v>
      </c>
      <c r="AD13" s="106">
        <v>0.42</v>
      </c>
      <c r="AE13" s="106">
        <v>0.45</v>
      </c>
      <c r="AF13" s="106">
        <v>0.49</v>
      </c>
      <c r="AG13" s="106">
        <v>0.52</v>
      </c>
      <c r="AH13" s="106">
        <v>0.55000000000000004</v>
      </c>
      <c r="AI13" s="106">
        <v>0.59</v>
      </c>
      <c r="AJ13" s="106">
        <v>0.62</v>
      </c>
      <c r="AK13" s="106">
        <v>0.65</v>
      </c>
      <c r="AL13" s="106">
        <v>0.69000000000000006</v>
      </c>
      <c r="AM13" s="106">
        <v>0.72</v>
      </c>
      <c r="AN13" s="106">
        <v>0.45</v>
      </c>
    </row>
    <row r="14" spans="1:40" hidden="1" outlineLevel="1" x14ac:dyDescent="0.25">
      <c r="B14" s="39" t="str">
        <v>Recruiter</v>
      </c>
      <c r="C14" s="3"/>
      <c r="D14" s="3"/>
      <c r="E14" s="106">
        <v>0</v>
      </c>
      <c r="F14" s="106">
        <v>0</v>
      </c>
      <c r="G14" s="106">
        <v>0</v>
      </c>
      <c r="H14" s="106">
        <v>0</v>
      </c>
      <c r="I14" s="106">
        <v>0</v>
      </c>
      <c r="J14" s="106">
        <v>0</v>
      </c>
      <c r="K14" s="106">
        <v>0</v>
      </c>
      <c r="L14" s="106">
        <v>0</v>
      </c>
      <c r="M14" s="106">
        <v>0</v>
      </c>
      <c r="N14" s="106">
        <v>0</v>
      </c>
      <c r="O14" s="106">
        <v>0</v>
      </c>
      <c r="P14" s="106">
        <v>0</v>
      </c>
      <c r="Q14" s="106">
        <v>0</v>
      </c>
      <c r="R14" s="106">
        <v>0</v>
      </c>
      <c r="S14" s="106">
        <v>0</v>
      </c>
      <c r="T14" s="106">
        <v>0</v>
      </c>
      <c r="U14" s="106">
        <v>0</v>
      </c>
      <c r="V14" s="106">
        <v>0</v>
      </c>
      <c r="W14" s="106">
        <v>0</v>
      </c>
      <c r="X14" s="106">
        <v>0</v>
      </c>
      <c r="Y14" s="106">
        <v>0</v>
      </c>
      <c r="Z14" s="106">
        <v>0</v>
      </c>
      <c r="AA14" s="106">
        <v>0.02</v>
      </c>
      <c r="AB14" s="106">
        <v>0.2</v>
      </c>
      <c r="AC14" s="106">
        <v>0.22</v>
      </c>
      <c r="AD14" s="106">
        <v>0.25</v>
      </c>
      <c r="AE14" s="106">
        <v>0.27</v>
      </c>
      <c r="AF14" s="106">
        <v>0.3</v>
      </c>
      <c r="AG14" s="106">
        <v>0.32</v>
      </c>
      <c r="AH14" s="106">
        <v>0.35000000000000003</v>
      </c>
      <c r="AI14" s="106">
        <v>0.37</v>
      </c>
      <c r="AJ14" s="106">
        <v>0.39</v>
      </c>
      <c r="AK14" s="106">
        <v>0.42</v>
      </c>
      <c r="AL14" s="106">
        <v>0.44</v>
      </c>
      <c r="AM14" s="106">
        <v>0.47000000000000003</v>
      </c>
      <c r="AN14" s="106">
        <v>0.34</v>
      </c>
    </row>
    <row r="15" spans="1:40" hidden="1" outlineLevel="1" x14ac:dyDescent="0.25">
      <c r="B15" s="39" t="str">
        <v>Center Director / Remote Site Director</v>
      </c>
      <c r="C15" s="3"/>
      <c r="D15" s="3"/>
      <c r="E15" s="106">
        <v>0</v>
      </c>
      <c r="F15" s="106">
        <v>0</v>
      </c>
      <c r="G15" s="106">
        <v>0</v>
      </c>
      <c r="H15" s="106">
        <v>0</v>
      </c>
      <c r="I15" s="106">
        <v>0</v>
      </c>
      <c r="J15" s="106">
        <v>0</v>
      </c>
      <c r="K15" s="106">
        <v>0</v>
      </c>
      <c r="L15" s="106">
        <v>0</v>
      </c>
      <c r="M15" s="106">
        <v>0</v>
      </c>
      <c r="N15" s="106">
        <v>0</v>
      </c>
      <c r="O15" s="106">
        <v>0</v>
      </c>
      <c r="P15" s="106">
        <v>0</v>
      </c>
      <c r="Q15" s="106">
        <v>0</v>
      </c>
      <c r="R15" s="106">
        <v>0</v>
      </c>
      <c r="S15" s="106">
        <v>0</v>
      </c>
      <c r="T15" s="106">
        <v>0</v>
      </c>
      <c r="U15" s="106">
        <v>0</v>
      </c>
      <c r="V15" s="106">
        <v>0</v>
      </c>
      <c r="W15" s="106">
        <v>0</v>
      </c>
      <c r="X15" s="106">
        <v>0</v>
      </c>
      <c r="Y15" s="106">
        <v>0</v>
      </c>
      <c r="Z15" s="106">
        <v>0</v>
      </c>
      <c r="AA15" s="106">
        <v>0.02</v>
      </c>
      <c r="AB15" s="106">
        <v>0.03</v>
      </c>
      <c r="AC15" s="106">
        <v>0.04</v>
      </c>
      <c r="AD15" s="106">
        <v>0.05</v>
      </c>
      <c r="AE15" s="106">
        <v>0.06</v>
      </c>
      <c r="AF15" s="106">
        <v>0.08</v>
      </c>
      <c r="AG15" s="106">
        <v>0.09</v>
      </c>
      <c r="AH15" s="106">
        <v>9.9999999999999992E-2</v>
      </c>
      <c r="AI15" s="106">
        <v>0.11</v>
      </c>
      <c r="AJ15" s="106">
        <v>0.12</v>
      </c>
      <c r="AK15" s="106">
        <v>0.14000000000000001</v>
      </c>
      <c r="AL15" s="106">
        <v>0.15000000000000002</v>
      </c>
      <c r="AM15" s="106">
        <v>0.16</v>
      </c>
      <c r="AN15" s="106">
        <v>0.17</v>
      </c>
    </row>
    <row r="16" spans="1:40" hidden="1" outlineLevel="1" x14ac:dyDescent="0.25">
      <c r="B16" s="39" t="str">
        <v>Center Marketing Outreach</v>
      </c>
      <c r="C16" s="3"/>
      <c r="D16" s="3"/>
      <c r="E16" s="106">
        <v>0</v>
      </c>
      <c r="F16" s="106">
        <v>0</v>
      </c>
      <c r="G16" s="106">
        <v>0</v>
      </c>
      <c r="H16" s="106">
        <v>0</v>
      </c>
      <c r="I16" s="106">
        <v>0</v>
      </c>
      <c r="J16" s="106">
        <v>0</v>
      </c>
      <c r="K16" s="106">
        <v>0</v>
      </c>
      <c r="L16" s="106">
        <v>0</v>
      </c>
      <c r="M16" s="106">
        <v>0</v>
      </c>
      <c r="N16" s="106">
        <v>0</v>
      </c>
      <c r="O16" s="106">
        <v>0</v>
      </c>
      <c r="P16" s="106">
        <v>0</v>
      </c>
      <c r="Q16" s="106">
        <v>0</v>
      </c>
      <c r="R16" s="106">
        <v>0</v>
      </c>
      <c r="S16" s="106">
        <v>0</v>
      </c>
      <c r="T16" s="106">
        <v>0</v>
      </c>
      <c r="U16" s="106">
        <v>0</v>
      </c>
      <c r="V16" s="106">
        <v>0</v>
      </c>
      <c r="W16" s="106">
        <v>0</v>
      </c>
      <c r="X16" s="106">
        <v>0</v>
      </c>
      <c r="Y16" s="106">
        <v>0</v>
      </c>
      <c r="Z16" s="106">
        <v>0</v>
      </c>
      <c r="AA16" s="106">
        <v>0.02</v>
      </c>
      <c r="AB16" s="106">
        <v>0.03</v>
      </c>
      <c r="AC16" s="106">
        <v>0.04</v>
      </c>
      <c r="AD16" s="106">
        <v>0.05</v>
      </c>
      <c r="AE16" s="106">
        <v>0.06</v>
      </c>
      <c r="AF16" s="106">
        <v>0.08</v>
      </c>
      <c r="AG16" s="106">
        <v>0.09</v>
      </c>
      <c r="AH16" s="106">
        <v>9.9999999999999992E-2</v>
      </c>
      <c r="AI16" s="106">
        <v>0.11</v>
      </c>
      <c r="AJ16" s="106">
        <v>0.12</v>
      </c>
      <c r="AK16" s="106">
        <v>0.14000000000000001</v>
      </c>
      <c r="AL16" s="106">
        <v>0.15000000000000002</v>
      </c>
      <c r="AM16" s="106">
        <v>0.16</v>
      </c>
      <c r="AN16" s="106">
        <v>0.17</v>
      </c>
    </row>
    <row r="17" spans="2:50" hidden="1" outlineLevel="1" x14ac:dyDescent="0.25">
      <c r="B17" s="39" t="str">
        <v>Primary Direct Staff Lead</v>
      </c>
      <c r="C17" s="3"/>
      <c r="D17" s="3"/>
      <c r="E17" s="106">
        <v>0</v>
      </c>
      <c r="F17" s="106">
        <v>0</v>
      </c>
      <c r="G17" s="106">
        <v>0</v>
      </c>
      <c r="H17" s="106">
        <v>0</v>
      </c>
      <c r="I17" s="106">
        <v>0</v>
      </c>
      <c r="J17" s="106">
        <v>0</v>
      </c>
      <c r="K17" s="106">
        <v>0</v>
      </c>
      <c r="L17" s="106">
        <v>0</v>
      </c>
      <c r="M17" s="106">
        <v>0</v>
      </c>
      <c r="N17" s="106">
        <v>0</v>
      </c>
      <c r="O17" s="106">
        <v>0</v>
      </c>
      <c r="P17" s="106">
        <v>0</v>
      </c>
      <c r="Q17" s="106">
        <v>0</v>
      </c>
      <c r="R17" s="106">
        <v>0</v>
      </c>
      <c r="S17" s="106">
        <v>0</v>
      </c>
      <c r="T17" s="106">
        <v>0</v>
      </c>
      <c r="U17" s="106">
        <v>0</v>
      </c>
      <c r="V17" s="106">
        <v>0</v>
      </c>
      <c r="W17" s="106">
        <v>0</v>
      </c>
      <c r="X17" s="106">
        <v>0</v>
      </c>
      <c r="Y17" s="106">
        <v>0</v>
      </c>
      <c r="Z17" s="106">
        <v>0</v>
      </c>
      <c r="AA17" s="106">
        <v>0.3</v>
      </c>
      <c r="AB17" s="106">
        <v>0.6</v>
      </c>
      <c r="AC17" s="106">
        <v>0.9</v>
      </c>
      <c r="AD17" s="106">
        <v>1.2</v>
      </c>
      <c r="AE17" s="106">
        <v>1.5</v>
      </c>
      <c r="AF17" s="106">
        <v>1.8</v>
      </c>
      <c r="AG17" s="106">
        <v>2.1</v>
      </c>
      <c r="AH17" s="106">
        <v>2.4</v>
      </c>
      <c r="AI17" s="106">
        <v>2.7</v>
      </c>
      <c r="AJ17" s="106">
        <v>3</v>
      </c>
      <c r="AK17" s="106">
        <v>3.3</v>
      </c>
      <c r="AL17" s="106">
        <v>3.6</v>
      </c>
      <c r="AM17" s="106">
        <v>3.9</v>
      </c>
      <c r="AN17" s="106">
        <v>4.2</v>
      </c>
    </row>
    <row r="18" spans="2:50" hidden="1" outlineLevel="1" x14ac:dyDescent="0.25">
      <c r="B18" s="39" t="str">
        <v>Tertiary Direct Staff</v>
      </c>
      <c r="C18" s="3"/>
      <c r="D18" s="3"/>
      <c r="E18" s="106">
        <v>0</v>
      </c>
      <c r="F18" s="106">
        <v>0</v>
      </c>
      <c r="G18" s="106">
        <v>0</v>
      </c>
      <c r="H18" s="106">
        <v>0</v>
      </c>
      <c r="I18" s="106">
        <v>0</v>
      </c>
      <c r="J18" s="106">
        <v>0</v>
      </c>
      <c r="K18" s="106">
        <v>0</v>
      </c>
      <c r="L18" s="106">
        <v>0</v>
      </c>
      <c r="M18" s="106">
        <v>0</v>
      </c>
      <c r="N18" s="106">
        <v>0</v>
      </c>
      <c r="O18" s="106">
        <v>0</v>
      </c>
      <c r="P18" s="106">
        <v>0</v>
      </c>
      <c r="Q18" s="106">
        <v>0</v>
      </c>
      <c r="R18" s="106">
        <v>0</v>
      </c>
      <c r="S18" s="106">
        <v>0</v>
      </c>
      <c r="T18" s="106">
        <v>0</v>
      </c>
      <c r="U18" s="106">
        <v>0</v>
      </c>
      <c r="V18" s="106">
        <v>0</v>
      </c>
      <c r="W18" s="106">
        <v>0</v>
      </c>
      <c r="X18" s="106">
        <v>0</v>
      </c>
      <c r="Y18" s="106">
        <v>0</v>
      </c>
      <c r="Z18" s="106">
        <v>0</v>
      </c>
      <c r="AA18" s="106">
        <v>0</v>
      </c>
      <c r="AB18" s="106">
        <v>0</v>
      </c>
      <c r="AC18" s="106">
        <v>0</v>
      </c>
      <c r="AD18" s="106">
        <v>0</v>
      </c>
      <c r="AE18" s="106">
        <v>0</v>
      </c>
      <c r="AF18" s="106">
        <v>0</v>
      </c>
      <c r="AG18" s="106">
        <v>0</v>
      </c>
      <c r="AH18" s="106">
        <v>0</v>
      </c>
      <c r="AI18" s="106">
        <v>0</v>
      </c>
      <c r="AJ18" s="106">
        <v>0</v>
      </c>
      <c r="AK18" s="106">
        <v>0</v>
      </c>
      <c r="AL18" s="106">
        <v>0</v>
      </c>
      <c r="AM18" s="106">
        <v>0</v>
      </c>
      <c r="AN18" s="106">
        <v>0</v>
      </c>
    </row>
    <row r="19" spans="2:50" hidden="1" outlineLevel="1" x14ac:dyDescent="0.25">
      <c r="B19" s="39" t="str">
        <v>Quinary Direct Staff</v>
      </c>
      <c r="C19" s="3"/>
      <c r="D19" s="3"/>
      <c r="E19" s="106">
        <v>0</v>
      </c>
      <c r="F19" s="106">
        <v>0</v>
      </c>
      <c r="G19" s="106">
        <v>0</v>
      </c>
      <c r="H19" s="106">
        <v>0</v>
      </c>
      <c r="I19" s="106">
        <v>0</v>
      </c>
      <c r="J19" s="106">
        <v>0</v>
      </c>
      <c r="K19" s="106">
        <v>0</v>
      </c>
      <c r="L19" s="106">
        <v>0</v>
      </c>
      <c r="M19" s="106">
        <v>0</v>
      </c>
      <c r="N19" s="106">
        <v>0</v>
      </c>
      <c r="O19" s="106">
        <v>0</v>
      </c>
      <c r="P19" s="106">
        <v>0</v>
      </c>
      <c r="Q19" s="106">
        <v>0</v>
      </c>
      <c r="R19" s="106">
        <v>0</v>
      </c>
      <c r="S19" s="106">
        <v>0</v>
      </c>
      <c r="T19" s="106">
        <v>0</v>
      </c>
      <c r="U19" s="106">
        <v>0</v>
      </c>
      <c r="V19" s="106">
        <v>0</v>
      </c>
      <c r="W19" s="106">
        <v>0</v>
      </c>
      <c r="X19" s="106">
        <v>0</v>
      </c>
      <c r="Y19" s="106">
        <v>0</v>
      </c>
      <c r="Z19" s="106">
        <v>0</v>
      </c>
      <c r="AA19" s="106">
        <v>0</v>
      </c>
      <c r="AB19" s="106">
        <v>0</v>
      </c>
      <c r="AC19" s="106">
        <v>0</v>
      </c>
      <c r="AD19" s="106">
        <v>0</v>
      </c>
      <c r="AE19" s="106">
        <v>0</v>
      </c>
      <c r="AF19" s="106">
        <v>0</v>
      </c>
      <c r="AG19" s="106">
        <v>0</v>
      </c>
      <c r="AH19" s="106">
        <v>0</v>
      </c>
      <c r="AI19" s="106">
        <v>0</v>
      </c>
      <c r="AJ19" s="106">
        <v>0</v>
      </c>
      <c r="AK19" s="106">
        <v>0</v>
      </c>
      <c r="AL19" s="106">
        <v>0</v>
      </c>
      <c r="AM19" s="106">
        <v>0</v>
      </c>
      <c r="AN19" s="106">
        <v>0</v>
      </c>
    </row>
    <row r="20" spans="2:50" hidden="1" outlineLevel="1" x14ac:dyDescent="0.25">
      <c r="B20" s="39" t="str">
        <v>Quaternary Direct Staff</v>
      </c>
      <c r="C20" s="3"/>
      <c r="D20" s="3"/>
      <c r="E20" s="106">
        <v>0</v>
      </c>
      <c r="F20" s="106">
        <v>0</v>
      </c>
      <c r="G20" s="106">
        <v>0</v>
      </c>
      <c r="H20" s="106">
        <v>0</v>
      </c>
      <c r="I20" s="106">
        <v>0</v>
      </c>
      <c r="J20" s="106">
        <v>0</v>
      </c>
      <c r="K20" s="106">
        <v>0</v>
      </c>
      <c r="L20" s="106">
        <v>0</v>
      </c>
      <c r="M20" s="106">
        <v>0</v>
      </c>
      <c r="N20" s="106">
        <v>0</v>
      </c>
      <c r="O20" s="106">
        <v>0</v>
      </c>
      <c r="P20" s="106">
        <v>0</v>
      </c>
      <c r="Q20" s="106">
        <v>0</v>
      </c>
      <c r="R20" s="106">
        <v>0</v>
      </c>
      <c r="S20" s="106">
        <v>0</v>
      </c>
      <c r="T20" s="106">
        <v>0</v>
      </c>
      <c r="U20" s="106">
        <v>0</v>
      </c>
      <c r="V20" s="106">
        <v>0</v>
      </c>
      <c r="W20" s="106">
        <v>0</v>
      </c>
      <c r="X20" s="106">
        <v>0</v>
      </c>
      <c r="Y20" s="106">
        <v>0</v>
      </c>
      <c r="Z20" s="106">
        <v>0</v>
      </c>
      <c r="AA20" s="106">
        <v>1</v>
      </c>
      <c r="AB20" s="106">
        <v>1</v>
      </c>
      <c r="AC20" s="106">
        <v>1</v>
      </c>
      <c r="AD20" s="106">
        <v>1</v>
      </c>
      <c r="AE20" s="106">
        <v>1</v>
      </c>
      <c r="AF20" s="106">
        <v>1</v>
      </c>
      <c r="AG20" s="106">
        <v>1</v>
      </c>
      <c r="AH20" s="106">
        <v>1</v>
      </c>
      <c r="AI20" s="106">
        <v>1</v>
      </c>
      <c r="AJ20" s="106">
        <v>1</v>
      </c>
      <c r="AK20" s="106">
        <v>1</v>
      </c>
      <c r="AL20" s="106">
        <v>1</v>
      </c>
      <c r="AM20" s="106">
        <v>1</v>
      </c>
      <c r="AN20" s="106">
        <v>1</v>
      </c>
    </row>
    <row r="21" spans="2:50" collapsed="1" x14ac:dyDescent="0.25">
      <c r="B21" s="39" t="s">
        <v>389</v>
      </c>
      <c r="C21" s="3"/>
      <c r="D21" s="5"/>
      <c r="E21" s="117" cm="1">
        <f t="array" ref="E21:AN21">ROUND(_xlfn.BYCOL(_xlfn.CHOOSEROWS(_xlfn.ANCHORARRAY(E7),1,2),_xlfn.LAMBDA(_xlpm.col,SUM(_xlpm.col))),0)</f>
        <v>0</v>
      </c>
      <c r="F21" s="117">
        <v>0</v>
      </c>
      <c r="G21" s="117">
        <v>0</v>
      </c>
      <c r="H21" s="117">
        <v>0</v>
      </c>
      <c r="I21" s="117">
        <v>0</v>
      </c>
      <c r="J21" s="117">
        <v>0</v>
      </c>
      <c r="K21" s="117">
        <v>0</v>
      </c>
      <c r="L21" s="117">
        <v>0</v>
      </c>
      <c r="M21" s="117">
        <v>0</v>
      </c>
      <c r="N21" s="117">
        <v>0</v>
      </c>
      <c r="O21" s="117">
        <v>0</v>
      </c>
      <c r="P21" s="117">
        <v>0</v>
      </c>
      <c r="Q21" s="117">
        <v>0</v>
      </c>
      <c r="R21" s="117">
        <v>0</v>
      </c>
      <c r="S21" s="117">
        <v>0</v>
      </c>
      <c r="T21" s="117">
        <v>0</v>
      </c>
      <c r="U21" s="117">
        <v>0</v>
      </c>
      <c r="V21" s="117">
        <v>0</v>
      </c>
      <c r="W21" s="117">
        <v>0</v>
      </c>
      <c r="X21" s="117">
        <v>0</v>
      </c>
      <c r="Y21" s="117">
        <v>0</v>
      </c>
      <c r="Z21" s="117">
        <v>0</v>
      </c>
      <c r="AA21" s="117">
        <v>3</v>
      </c>
      <c r="AB21" s="117">
        <v>7</v>
      </c>
      <c r="AC21" s="117">
        <v>10</v>
      </c>
      <c r="AD21" s="117">
        <v>13</v>
      </c>
      <c r="AE21" s="117">
        <v>16</v>
      </c>
      <c r="AF21" s="117">
        <v>20</v>
      </c>
      <c r="AG21" s="117">
        <v>23</v>
      </c>
      <c r="AH21" s="117">
        <v>26</v>
      </c>
      <c r="AI21" s="117">
        <v>29</v>
      </c>
      <c r="AJ21" s="117">
        <v>33</v>
      </c>
      <c r="AK21" s="117">
        <v>36</v>
      </c>
      <c r="AL21" s="117">
        <v>39</v>
      </c>
      <c r="AM21" s="117">
        <v>42</v>
      </c>
      <c r="AN21" s="117">
        <v>46</v>
      </c>
    </row>
    <row r="22" spans="2:50" x14ac:dyDescent="0.25">
      <c r="B22" s="2" t="s">
        <v>394</v>
      </c>
      <c r="C22" s="3"/>
      <c r="D22" s="77">
        <f>MAX(_xlfn.ANCHORARRAY(E22))</f>
        <v>170.02883240223468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0</v>
      </c>
      <c r="F22" s="78">
        <v>0</v>
      </c>
      <c r="G22" s="78">
        <v>0</v>
      </c>
      <c r="H22" s="78">
        <v>0</v>
      </c>
      <c r="I22" s="78">
        <v>0</v>
      </c>
      <c r="J22" s="78">
        <v>0</v>
      </c>
      <c r="K22" s="78">
        <v>0</v>
      </c>
      <c r="L22" s="78">
        <v>0</v>
      </c>
      <c r="M22" s="78">
        <v>0</v>
      </c>
      <c r="N22" s="78">
        <v>0</v>
      </c>
      <c r="O22" s="78">
        <v>0</v>
      </c>
      <c r="P22" s="78">
        <v>0</v>
      </c>
      <c r="Q22" s="78">
        <v>0</v>
      </c>
      <c r="R22" s="78">
        <v>0</v>
      </c>
      <c r="S22" s="78">
        <v>0</v>
      </c>
      <c r="T22" s="78">
        <v>0</v>
      </c>
      <c r="U22" s="78">
        <v>0</v>
      </c>
      <c r="V22" s="78">
        <v>0</v>
      </c>
      <c r="W22" s="78">
        <v>0</v>
      </c>
      <c r="X22" s="78">
        <v>0</v>
      </c>
      <c r="Y22" s="78">
        <v>0</v>
      </c>
      <c r="Z22" s="78">
        <v>0</v>
      </c>
      <c r="AA22" s="78">
        <v>170.02883240223466</v>
      </c>
      <c r="AB22" s="78">
        <v>170.02883240223466</v>
      </c>
      <c r="AC22" s="78">
        <v>170.02883240223466</v>
      </c>
      <c r="AD22" s="78">
        <v>170.02883240223466</v>
      </c>
      <c r="AE22" s="78">
        <v>170.02883240223466</v>
      </c>
      <c r="AF22" s="78">
        <v>170.02883240223466</v>
      </c>
      <c r="AG22" s="78">
        <v>170.02883240223463</v>
      </c>
      <c r="AH22" s="78">
        <v>170.02883240223466</v>
      </c>
      <c r="AI22" s="78">
        <v>170.02883240223468</v>
      </c>
      <c r="AJ22" s="78">
        <v>170.02883240223466</v>
      </c>
      <c r="AK22" s="78">
        <v>170.02883240223468</v>
      </c>
      <c r="AL22" s="78">
        <v>170.02883240223466</v>
      </c>
      <c r="AM22" s="78">
        <v>170.02883240223466</v>
      </c>
      <c r="AN22" s="78">
        <v>170.02883240223463</v>
      </c>
    </row>
    <row r="23" spans="2:50" x14ac:dyDescent="0.25">
      <c r="B23" s="2" t="s">
        <v>53</v>
      </c>
      <c r="C23" s="3"/>
      <c r="D23" s="72"/>
      <c r="E23" s="52" cm="1">
        <f t="array" ref="E23:AN23">_xlfn.LET(_xlpm.site,$B$1&amp;"-"&amp;$C$1,_xlpm.locations,Base!$D$4:$BD$4,_xlpm.Customer,_xlfn.ANCHORARRAY(E1),_xlpm.hours,SUM(_xlfn.XLOOKUP(_xlpm.site,_xlpm.locations,Base!$D$74:$BD$78,0,0)),
_xlpm.collection,1-_xlfn.XLOOKUP(_xlpm.site,_xlpm.locations,Base!$D$26:$BD$26,0,0),
_xlpm.Customer*_xlpm.hours*_xlpm.collection*(52/12))</f>
        <v>0</v>
      </c>
      <c r="F23" s="52">
        <v>0</v>
      </c>
      <c r="G23" s="52">
        <v>0</v>
      </c>
      <c r="H23" s="52">
        <v>0</v>
      </c>
      <c r="I23" s="52">
        <v>0</v>
      </c>
      <c r="J23" s="52">
        <v>0</v>
      </c>
      <c r="K23" s="52">
        <v>0</v>
      </c>
      <c r="L23" s="52">
        <v>0</v>
      </c>
      <c r="M23" s="52">
        <v>0</v>
      </c>
      <c r="N23" s="52">
        <v>0</v>
      </c>
      <c r="O23" s="52">
        <v>0</v>
      </c>
      <c r="P23" s="52">
        <v>0</v>
      </c>
      <c r="Q23" s="52">
        <v>0</v>
      </c>
      <c r="R23" s="52">
        <v>0</v>
      </c>
      <c r="S23" s="52">
        <v>0</v>
      </c>
      <c r="T23" s="52">
        <v>0</v>
      </c>
      <c r="U23" s="52">
        <v>0</v>
      </c>
      <c r="V23" s="52">
        <v>0</v>
      </c>
      <c r="W23" s="52">
        <v>0</v>
      </c>
      <c r="X23" s="52">
        <v>0</v>
      </c>
      <c r="Y23" s="52">
        <v>0</v>
      </c>
      <c r="Z23" s="52">
        <v>0</v>
      </c>
      <c r="AA23" s="52">
        <v>315.03999999999996</v>
      </c>
      <c r="AB23" s="52">
        <v>630.07999999999993</v>
      </c>
      <c r="AC23" s="52">
        <v>945.11999999999989</v>
      </c>
      <c r="AD23" s="52">
        <v>1260.1599999999999</v>
      </c>
      <c r="AE23" s="52">
        <v>1575.1999999999996</v>
      </c>
      <c r="AF23" s="52">
        <v>1890.2399999999998</v>
      </c>
      <c r="AG23" s="52">
        <v>2205.2799999999997</v>
      </c>
      <c r="AH23" s="52">
        <v>2520.3199999999997</v>
      </c>
      <c r="AI23" s="52">
        <v>2835.3599999999992</v>
      </c>
      <c r="AJ23" s="52">
        <v>3150.3999999999992</v>
      </c>
      <c r="AK23" s="52">
        <v>3465.4399999999996</v>
      </c>
      <c r="AL23" s="52">
        <v>3780.4799999999996</v>
      </c>
      <c r="AM23" s="52">
        <v>4095.5199999999995</v>
      </c>
      <c r="AN23" s="52">
        <v>4410.5599999999995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21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_xlfn.LET(_xlpm.site,$B$1&amp;"-"&amp;$C$1,_xlpm.locations,Base!$D$4:$BD$4,_xlpm.rates,Base!$D31:$BD31,_xlpm.hours,Base!$D74:$BD74,_xlpm.comp,_xlpm.rates*_xlpm.hours,_xlpm.Customer,_xlfn.ANCHORARRAY($E$1),
_xlpm.Customer_comp,_xlfn.XLOOKUP(_xlpm.site,_xlpm.locations,_xlpm.comp,0,0),_xlpm.ann_incr,_xlfn.XLOOKUP(YEAR(_xlfn.ANCHORARRAY($E$25)),Base!$BJ$4:$BL$4,Base!$BJ74:$BL74,0,0),
_xlpm.bad_debt,_xlfn.XLOOKUP(_xlpm.site,_xlpm.locations,Base!$D$28:$BD$28,0,0),_xlpm.Customer_comp*_xlpm.Customer*_xlpm.bad_debt*_xlpm.ann_incr*(52/12))</f>
        <v>0</v>
      </c>
      <c r="F26" s="12">
        <v>0</v>
      </c>
      <c r="G26" s="12">
        <v>0</v>
      </c>
      <c r="H26" s="12">
        <v>0</v>
      </c>
      <c r="I26" s="12">
        <v>0</v>
      </c>
      <c r="J26" s="12">
        <v>0</v>
      </c>
      <c r="K26" s="12">
        <v>0</v>
      </c>
      <c r="L26" s="12">
        <v>0</v>
      </c>
      <c r="M26" s="12">
        <v>0</v>
      </c>
      <c r="N26" s="12">
        <v>0</v>
      </c>
      <c r="O26" s="12">
        <v>0</v>
      </c>
      <c r="P26" s="12">
        <v>0</v>
      </c>
      <c r="Q26" s="12">
        <v>0</v>
      </c>
      <c r="R26" s="12">
        <v>0</v>
      </c>
      <c r="S26" s="12">
        <v>0</v>
      </c>
      <c r="T26" s="12">
        <v>0</v>
      </c>
      <c r="U26" s="12">
        <v>0</v>
      </c>
      <c r="V26" s="12">
        <v>0</v>
      </c>
      <c r="W26" s="12">
        <v>0</v>
      </c>
      <c r="X26" s="12">
        <v>0</v>
      </c>
      <c r="Y26" s="12">
        <v>0</v>
      </c>
      <c r="Z26" s="12">
        <v>0</v>
      </c>
      <c r="AA26" s="12">
        <v>46796.978800000004</v>
      </c>
      <c r="AB26" s="12">
        <v>93593.957600000009</v>
      </c>
      <c r="AC26" s="12">
        <v>140390.93640000001</v>
      </c>
      <c r="AD26" s="12">
        <v>187187.91520000002</v>
      </c>
      <c r="AE26" s="12">
        <v>233984.89399999997</v>
      </c>
      <c r="AF26" s="12">
        <v>280781.87280000001</v>
      </c>
      <c r="AG26" s="12">
        <v>327578.85159999994</v>
      </c>
      <c r="AH26" s="12">
        <v>374375.83040000004</v>
      </c>
      <c r="AI26" s="12">
        <v>421172.80919999996</v>
      </c>
      <c r="AJ26" s="12">
        <v>467969.78799999994</v>
      </c>
      <c r="AK26" s="12">
        <v>514766.76679999998</v>
      </c>
      <c r="AL26" s="12">
        <v>561563.74560000002</v>
      </c>
      <c r="AM26" s="12">
        <v>608360.72439999995</v>
      </c>
      <c r="AN26" s="12">
        <v>655157.70319999987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_xlfn.LET(_xlpm.site,$B$1&amp;"-"&amp;$C$1,_xlpm.locations,Base!$D$4:$BD$4,_xlpm.rates,Base!$D32:$BD32,_xlpm.hours,Base!$D75:$BD75,_xlpm.comp,_xlpm.rates*_xlpm.hours,_xlpm.Customer,_xlfn.ANCHORARRAY($E$1),
_xlpm.Customer_comp,_xlfn.XLOOKUP(_xlpm.site,_xlpm.locations,_xlpm.comp,0,0),_xlpm.ann_incr,_xlfn.XLOOKUP(YEAR(_xlfn.ANCHORARRAY($E$25)),Base!$BJ$4:$BL$4,Base!$BJ75:$BL75,0,0),
_xlpm.bad_debt,_xlfn.XLOOKUP(_xlpm.site,_xlpm.locations,Base!$D$28:$BD$28,0,0),_xlpm.Customer_comp*_xlpm.Customer*_xlpm.bad_debt*_xlpm.ann_incr*(52/12))</f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12">
        <v>0</v>
      </c>
      <c r="AA27" s="12">
        <v>2743.8788</v>
      </c>
      <c r="AB27" s="12">
        <v>5487.7575999999999</v>
      </c>
      <c r="AC27" s="12">
        <v>8231.6363999999994</v>
      </c>
      <c r="AD27" s="12">
        <v>10975.5152</v>
      </c>
      <c r="AE27" s="12">
        <v>13719.393999999998</v>
      </c>
      <c r="AF27" s="12">
        <v>16463.272799999999</v>
      </c>
      <c r="AG27" s="12">
        <v>19207.151600000001</v>
      </c>
      <c r="AH27" s="12">
        <v>21951.0304</v>
      </c>
      <c r="AI27" s="12">
        <v>24694.909199999995</v>
      </c>
      <c r="AJ27" s="12">
        <v>27438.787999999997</v>
      </c>
      <c r="AK27" s="12">
        <v>30182.666799999999</v>
      </c>
      <c r="AL27" s="12">
        <v>32926.545599999998</v>
      </c>
      <c r="AM27" s="12">
        <v>35670.424399999996</v>
      </c>
      <c r="AN27" s="12">
        <v>38414.303200000002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_xlfn.LET(_xlpm.site,$B$1&amp;"-"&amp;$C$1,_xlpm.locations,Base!$D$4:$BD$4,_xlpm.rates,Base!$D33:$BD33,_xlpm.hours,Base!$D76:$BD76,_xlpm.comp,_xlpm.rates*_xlpm.hours,_xlpm.Customer,_xlfn.ANCHORARRAY($E$1),
_xlpm.Customer_comp,_xlfn.XLOOKUP(_xlpm.site,_xlpm.locations,_xlpm.comp,0,0),_xlpm.ann_incr,_xlfn.XLOOKUP(YEAR(_xlfn.ANCHORARRAY($E$25)),Base!$BJ$4:$BL$4,Base!$BJ76:$BL76,0,0),
_xlpm.bad_debt,_xlfn.XLOOKUP(_xlpm.site,_xlpm.locations,Base!$D$28:$BD$28,0,0),_xlpm.Customer_comp*_xlpm.Customer*_xlpm.bad_debt*_xlpm.ann_incr*(52/12))</f>
        <v>0</v>
      </c>
      <c r="F28" s="12">
        <v>0</v>
      </c>
      <c r="G28" s="12">
        <v>0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0</v>
      </c>
      <c r="N28" s="12">
        <v>0</v>
      </c>
      <c r="O28" s="12">
        <v>0</v>
      </c>
      <c r="P28" s="12">
        <v>0</v>
      </c>
      <c r="Q28" s="12">
        <v>0</v>
      </c>
      <c r="R28" s="12">
        <v>0</v>
      </c>
      <c r="S28" s="12">
        <v>0</v>
      </c>
      <c r="T28" s="12">
        <v>0</v>
      </c>
      <c r="U28" s="12">
        <v>0</v>
      </c>
      <c r="V28" s="12">
        <v>0</v>
      </c>
      <c r="W28" s="12">
        <v>0</v>
      </c>
      <c r="X28" s="12">
        <v>0</v>
      </c>
      <c r="Y28" s="12">
        <v>0</v>
      </c>
      <c r="Z28" s="12">
        <v>0</v>
      </c>
      <c r="AA28" s="12">
        <v>6521.1174599999977</v>
      </c>
      <c r="AB28" s="12">
        <v>13042.234919999995</v>
      </c>
      <c r="AC28" s="12">
        <v>19563.352379999993</v>
      </c>
      <c r="AD28" s="12">
        <v>26084.469839999991</v>
      </c>
      <c r="AE28" s="12">
        <v>32605.587299999992</v>
      </c>
      <c r="AF28" s="12">
        <v>39126.704759999986</v>
      </c>
      <c r="AG28" s="12">
        <v>45647.822219999987</v>
      </c>
      <c r="AH28" s="12">
        <v>52168.939679999981</v>
      </c>
      <c r="AI28" s="12">
        <v>58690.057139999983</v>
      </c>
      <c r="AJ28" s="12">
        <v>65211.174599999984</v>
      </c>
      <c r="AK28" s="12">
        <v>71732.292059999978</v>
      </c>
      <c r="AL28" s="12">
        <v>78253.409519999972</v>
      </c>
      <c r="AM28" s="12">
        <v>84774.526979999995</v>
      </c>
      <c r="AN28" s="12">
        <v>91295.644439999975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_xlfn.LET(_xlpm.site,$B$1&amp;"-"&amp;$C$1,_xlpm.locations,Base!$D$4:$BD$4,_xlpm.rates,Base!$D34:$BD34,_xlpm.hours,Base!$D77:$BD77,_xlpm.comp,_xlpm.rates*_xlpm.hours,_xlpm.Customer,_xlfn.ANCHORARRAY($E$1),
_xlpm.Customer_comp,_xlfn.XLOOKUP(_xlpm.site,_xlpm.locations,_xlpm.comp,0,0),_xlpm.ann_incr,_xlfn.XLOOKUP(YEAR(_xlfn.ANCHORARRAY($E$25)),Base!$BJ$4:$BL$4,Base!$BJ77:$BL77,0,0),
_xlpm.bad_debt,_xlfn.XLOOKUP(_xlpm.site,_xlpm.locations,Base!$D$28:$BD$28,0,0),_xlpm.Customer_comp*_xlpm.Customer*_xlpm.bad_debt*_xlpm.ann_incr*(52/12))</f>
        <v>0</v>
      </c>
      <c r="F29" s="12">
        <v>0</v>
      </c>
      <c r="G29" s="12">
        <v>0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0</v>
      </c>
      <c r="N29" s="12">
        <v>0</v>
      </c>
      <c r="O29" s="12">
        <v>0</v>
      </c>
      <c r="P29" s="12">
        <v>0</v>
      </c>
      <c r="Q29" s="12">
        <v>0</v>
      </c>
      <c r="R29" s="12">
        <v>0</v>
      </c>
      <c r="S29" s="12">
        <v>0</v>
      </c>
      <c r="T29" s="12">
        <v>0</v>
      </c>
      <c r="U29" s="12">
        <v>0</v>
      </c>
      <c r="V29" s="12">
        <v>0</v>
      </c>
      <c r="W29" s="12">
        <v>0</v>
      </c>
      <c r="X29" s="12">
        <v>0</v>
      </c>
      <c r="Y29" s="12">
        <v>0</v>
      </c>
      <c r="Z29" s="12">
        <v>0</v>
      </c>
      <c r="AA29" s="12">
        <v>501.62441999999999</v>
      </c>
      <c r="AB29" s="12">
        <v>1003.24884</v>
      </c>
      <c r="AC29" s="12">
        <v>1504.8732600000001</v>
      </c>
      <c r="AD29" s="12">
        <v>2006.4976799999999</v>
      </c>
      <c r="AE29" s="12">
        <v>2508.1221</v>
      </c>
      <c r="AF29" s="12">
        <v>3009.7465200000001</v>
      </c>
      <c r="AG29" s="12">
        <v>3511.3709400000002</v>
      </c>
      <c r="AH29" s="12">
        <v>4012.9953599999999</v>
      </c>
      <c r="AI29" s="12">
        <v>4514.61978</v>
      </c>
      <c r="AJ29" s="12">
        <v>5016.2442000000001</v>
      </c>
      <c r="AK29" s="12">
        <v>5517.8686199999993</v>
      </c>
      <c r="AL29" s="12">
        <v>6019.4930400000003</v>
      </c>
      <c r="AM29" s="12">
        <v>6521.1174600000013</v>
      </c>
      <c r="AN29" s="12">
        <v>7022.7418800000005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_xlfn.LET(_xlpm.site,$B$1&amp;"-"&amp;$C$1,_xlpm.locations,Base!$D$4:$BD$4,_xlpm.rates,Base!$D35:$BD35,_xlpm.hours,Base!$D78:$BD78,_xlpm.comp,_xlpm.rates*_xlpm.hours,_xlpm.Customer,_xlfn.ANCHORARRAY($E$1),
_xlpm.Customer_comp,_xlfn.XLOOKUP(_xlpm.site,_xlpm.locations,_xlpm.comp,0,0),_xlpm.ann_incr,_xlfn.XLOOKUP(YEAR(_xlfn.ANCHORARRAY($E$25)),Base!$BJ$4:$BL$4,Base!$BJ78:$BL78,0,0),
_xlpm.bad_debt,_xlfn.XLOOKUP(_xlpm.site,_xlpm.locations,Base!$D$28:$BD$28,0,0),_xlpm.Customer_comp*_xlpm.Customer*_xlpm.bad_debt*_xlpm.ann_incr*(52/12))</f>
        <v>0</v>
      </c>
      <c r="F30" s="12">
        <v>0</v>
      </c>
      <c r="G30" s="12">
        <v>0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0</v>
      </c>
      <c r="N30" s="12">
        <v>0</v>
      </c>
      <c r="O30" s="12">
        <v>0</v>
      </c>
      <c r="P30" s="12">
        <v>0</v>
      </c>
      <c r="Q30" s="12">
        <v>0</v>
      </c>
      <c r="R30" s="12">
        <v>0</v>
      </c>
      <c r="S30" s="12">
        <v>0</v>
      </c>
      <c r="T30" s="12">
        <v>0</v>
      </c>
      <c r="U30" s="12">
        <v>0</v>
      </c>
      <c r="V30" s="12">
        <v>0</v>
      </c>
      <c r="W30" s="12">
        <v>0</v>
      </c>
      <c r="X30" s="12">
        <v>0</v>
      </c>
      <c r="Y30" s="12">
        <v>0</v>
      </c>
      <c r="Z30" s="12">
        <v>0</v>
      </c>
      <c r="AA30" s="12">
        <v>654.50319999999988</v>
      </c>
      <c r="AB30" s="12">
        <v>1309.0063999999998</v>
      </c>
      <c r="AC30" s="12">
        <v>1963.5095999999999</v>
      </c>
      <c r="AD30" s="12">
        <v>2618.0127999999995</v>
      </c>
      <c r="AE30" s="12">
        <v>3272.5159999999996</v>
      </c>
      <c r="AF30" s="12">
        <v>3927.0191999999997</v>
      </c>
      <c r="AG30" s="12">
        <v>4581.5223999999998</v>
      </c>
      <c r="AH30" s="12">
        <v>5236.025599999999</v>
      </c>
      <c r="AI30" s="12">
        <v>5890.5288</v>
      </c>
      <c r="AJ30" s="12">
        <v>6545.0319999999992</v>
      </c>
      <c r="AK30" s="12">
        <v>7199.5351999999993</v>
      </c>
      <c r="AL30" s="12">
        <v>7854.0383999999995</v>
      </c>
      <c r="AM30" s="12">
        <v>8508.5416000000005</v>
      </c>
      <c r="AN30" s="12">
        <v>9163.0447999999997</v>
      </c>
    </row>
    <row r="31" spans="2:50" x14ac:dyDescent="0.25">
      <c r="B31" s="39" t="str">
        <f>Base!B36</f>
        <v>Tertiary Direct Staff - Service A</v>
      </c>
      <c r="C31" s="4"/>
      <c r="E31" s="183" cm="1">
        <f t="array" ref="E31:AN31">_xlfn.LET(_xlpm.site,$B$1&amp;"-"&amp;$C$1,_xlpm.locations,Base!$D$4:$BD$4,_xlpm.rates,Base!$D36:$BD36,_xlpm.hours,Base!$D79:$BD79,_xlpm.comp,_xlpm.rates*_xlpm.hours,_xlpm.Customer,_xlfn.ANCHORARRAY($E$1)*0,
_xlpm.Customer_comp,_xlfn.XLOOKUP(_xlpm.site,_xlpm.locations,_xlpm.comp,0,0),_xlpm.ann_incr,_xlfn.XLOOKUP(YEAR(_xlfn.ANCHORARRAY($E$25)),Base!$BJ$4:$BL$4,Base!$BJ79:$BL79,0,0),
_xlpm.bad_debt,_xlfn.XLOOKUP(_xlpm.site,_xlpm.locations,Base!$D$28:$BD$28,0,0),_xlpm.Customer_comp*_xlpm.Customer*_xlpm.bad_debt*_xlpm.ann_incr*(52/12))</f>
        <v>0</v>
      </c>
      <c r="F31" s="183">
        <v>0</v>
      </c>
      <c r="G31" s="183">
        <v>0</v>
      </c>
      <c r="H31" s="183">
        <v>0</v>
      </c>
      <c r="I31" s="183">
        <v>0</v>
      </c>
      <c r="J31" s="183">
        <v>0</v>
      </c>
      <c r="K31" s="183">
        <v>0</v>
      </c>
      <c r="L31" s="183">
        <v>0</v>
      </c>
      <c r="M31" s="183">
        <v>0</v>
      </c>
      <c r="N31" s="183">
        <v>0</v>
      </c>
      <c r="O31" s="183">
        <v>0</v>
      </c>
      <c r="P31" s="183">
        <v>0</v>
      </c>
      <c r="Q31" s="183">
        <v>0</v>
      </c>
      <c r="R31" s="183">
        <v>0</v>
      </c>
      <c r="S31" s="183">
        <v>0</v>
      </c>
      <c r="T31" s="183">
        <v>0</v>
      </c>
      <c r="U31" s="183">
        <v>0</v>
      </c>
      <c r="V31" s="183">
        <v>0</v>
      </c>
      <c r="W31" s="183">
        <v>0</v>
      </c>
      <c r="X31" s="183">
        <v>0</v>
      </c>
      <c r="Y31" s="183">
        <v>0</v>
      </c>
      <c r="Z31" s="183">
        <v>0</v>
      </c>
      <c r="AA31" s="183">
        <v>0</v>
      </c>
      <c r="AB31" s="183">
        <v>0</v>
      </c>
      <c r="AC31" s="183">
        <v>0</v>
      </c>
      <c r="AD31" s="183">
        <v>0</v>
      </c>
      <c r="AE31" s="183">
        <v>0</v>
      </c>
      <c r="AF31" s="183">
        <v>0</v>
      </c>
      <c r="AG31" s="183">
        <v>0</v>
      </c>
      <c r="AH31" s="183">
        <v>0</v>
      </c>
      <c r="AI31" s="183">
        <v>0</v>
      </c>
      <c r="AJ31" s="183">
        <v>0</v>
      </c>
      <c r="AK31" s="183">
        <v>0</v>
      </c>
      <c r="AL31" s="183">
        <v>0</v>
      </c>
      <c r="AM31" s="183">
        <v>0</v>
      </c>
      <c r="AN31" s="183">
        <v>0</v>
      </c>
    </row>
    <row r="32" spans="2:50" x14ac:dyDescent="0.25">
      <c r="B32" s="39" t="str">
        <f>Base!B37</f>
        <v>Tertiary Direct Staff - Service B</v>
      </c>
      <c r="C32" s="4"/>
      <c r="E32" s="183" cm="1">
        <f t="array" ref="E32:AN32">_xlfn.LET(_xlpm.site,$B$1&amp;"-"&amp;$C$1,_xlpm.locations,Base!$D$4:$BD$4,_xlpm.rates,Base!$D37:$BD37,_xlpm.hours,Base!$D80:$BD80,_xlpm.comp,_xlpm.rates*_xlpm.hours,_xlpm.Customer,_xlfn.ANCHORARRAY($E$1)*0,
_xlpm.Customer_comp,_xlfn.XLOOKUP(_xlpm.site,_xlpm.locations,_xlpm.comp,0,0),_xlpm.ann_incr,_xlfn.XLOOKUP(YEAR(_xlfn.ANCHORARRAY($E$25)),Base!$BJ$4:$BL$4,Base!$BJ80:$BL80,0,0),
_xlpm.bad_debt,_xlfn.XLOOKUP(_xlpm.site,_xlpm.locations,Base!$D$28:$BD$28,0,0),_xlpm.Customer_comp*_xlpm.Customer*_xlpm.bad_debt*_xlpm.ann_incr*(52/12))</f>
        <v>0</v>
      </c>
      <c r="F32" s="183">
        <v>0</v>
      </c>
      <c r="G32" s="183">
        <v>0</v>
      </c>
      <c r="H32" s="183">
        <v>0</v>
      </c>
      <c r="I32" s="183">
        <v>0</v>
      </c>
      <c r="J32" s="183">
        <v>0</v>
      </c>
      <c r="K32" s="183">
        <v>0</v>
      </c>
      <c r="L32" s="183">
        <v>0</v>
      </c>
      <c r="M32" s="183">
        <v>0</v>
      </c>
      <c r="N32" s="183">
        <v>0</v>
      </c>
      <c r="O32" s="183">
        <v>0</v>
      </c>
      <c r="P32" s="183">
        <v>0</v>
      </c>
      <c r="Q32" s="183">
        <v>0</v>
      </c>
      <c r="R32" s="183">
        <v>0</v>
      </c>
      <c r="S32" s="183">
        <v>0</v>
      </c>
      <c r="T32" s="183">
        <v>0</v>
      </c>
      <c r="U32" s="183">
        <v>0</v>
      </c>
      <c r="V32" s="183">
        <v>0</v>
      </c>
      <c r="W32" s="183">
        <v>0</v>
      </c>
      <c r="X32" s="183">
        <v>0</v>
      </c>
      <c r="Y32" s="183">
        <v>0</v>
      </c>
      <c r="Z32" s="183">
        <v>0</v>
      </c>
      <c r="AA32" s="183">
        <v>0</v>
      </c>
      <c r="AB32" s="183">
        <v>0</v>
      </c>
      <c r="AC32" s="183">
        <v>0</v>
      </c>
      <c r="AD32" s="183">
        <v>0</v>
      </c>
      <c r="AE32" s="183">
        <v>0</v>
      </c>
      <c r="AF32" s="183">
        <v>0</v>
      </c>
      <c r="AG32" s="183">
        <v>0</v>
      </c>
      <c r="AH32" s="183">
        <v>0</v>
      </c>
      <c r="AI32" s="183">
        <v>0</v>
      </c>
      <c r="AJ32" s="183">
        <v>0</v>
      </c>
      <c r="AK32" s="183">
        <v>0</v>
      </c>
      <c r="AL32" s="183">
        <v>0</v>
      </c>
      <c r="AM32" s="183">
        <v>0</v>
      </c>
      <c r="AN32" s="183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_xlpm.Customer,_xlfn.ANCHORARRAY($E$2),_xlpm.ann_incr,_xlfn.XLOOKUP(YEAR(_xlfn.ANCHORARRAY($E$25)),Base!$BJ$4:$BL$4,Base!$BJ$81:$BL$81,0,0),
_xlpm.bad_debt,_xlfn.XLOOKUP(_xlpm.site,_xlpm.locations,Base!$D$28:$BD$28,0,0),
_xlpm.comp*_xlpm.bad_debt*_xlpm.ann_incr*(52/12))</f>
        <v>0</v>
      </c>
      <c r="F33" s="12">
        <v>0</v>
      </c>
      <c r="G33" s="12">
        <v>0</v>
      </c>
      <c r="H33" s="12">
        <v>0</v>
      </c>
      <c r="I33" s="12">
        <v>0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2">
        <v>0</v>
      </c>
      <c r="Y33" s="12">
        <v>0</v>
      </c>
      <c r="Z33" s="12">
        <v>0</v>
      </c>
      <c r="AA33" s="12">
        <v>26688.836416666662</v>
      </c>
      <c r="AB33" s="12">
        <v>26688.836416666662</v>
      </c>
      <c r="AC33" s="12">
        <v>26688.836416666662</v>
      </c>
      <c r="AD33" s="12">
        <v>26688.836416666662</v>
      </c>
      <c r="AE33" s="12">
        <v>26688.836416666662</v>
      </c>
      <c r="AF33" s="12">
        <v>26688.836416666662</v>
      </c>
      <c r="AG33" s="12">
        <v>26688.836416666662</v>
      </c>
      <c r="AH33" s="12">
        <v>26688.836416666662</v>
      </c>
      <c r="AI33" s="12">
        <v>26688.836416666662</v>
      </c>
      <c r="AJ33" s="12">
        <v>26688.836416666662</v>
      </c>
      <c r="AK33" s="12">
        <v>26688.836416666662</v>
      </c>
      <c r="AL33" s="12">
        <v>26688.836416666662</v>
      </c>
      <c r="AM33" s="12">
        <v>26688.836416666662</v>
      </c>
      <c r="AN33" s="12">
        <v>26688.836416666662</v>
      </c>
    </row>
    <row r="34" spans="2:40" x14ac:dyDescent="0.25">
      <c r="B34" s="39" t="str">
        <f>Base!B39</f>
        <v>Quinary Direct Staff - Service A</v>
      </c>
      <c r="C34" s="4"/>
      <c r="E34" s="183" cm="1">
        <f t="array" ref="E34:AN34">_xlfn.LET(_xlpm.site,$B$1&amp;"-"&amp;$C$1,_xlpm.locations,Base!$D$4:$BD$4,_xlpm.rates,Base!$D39:$BD39,_xlpm.hours,Base!$D82:$BD82,_xlpm.comp,_xlpm.rates*_xlpm.hours,_xlpm.Customer,_xlfn.ANCHORARRAY($E$1)*0,
_xlpm.Customer_comp,_xlfn.XLOOKUP(_xlpm.site,_xlpm.locations,_xlpm.comp,0,0),_xlpm.ann_incr,_xlfn.XLOOKUP(YEAR(_xlfn.ANCHORARRAY($E$25)),Base!$BJ$4:$BL$4,Base!$BJ82:$BL82,0,0),
_xlpm.bad_debt,_xlfn.XLOOKUP(_xlpm.site,_xlpm.locations,Base!$D$28:$BD$28,0,0),_xlpm.Customer_comp*_xlpm.Customer*_xlpm.bad_debt*_xlpm.ann_incr*(52/12))</f>
        <v>0</v>
      </c>
      <c r="F34" s="183">
        <v>0</v>
      </c>
      <c r="G34" s="183">
        <v>0</v>
      </c>
      <c r="H34" s="183">
        <v>0</v>
      </c>
      <c r="I34" s="183">
        <v>0</v>
      </c>
      <c r="J34" s="183">
        <v>0</v>
      </c>
      <c r="K34" s="183">
        <v>0</v>
      </c>
      <c r="L34" s="183">
        <v>0</v>
      </c>
      <c r="M34" s="183">
        <v>0</v>
      </c>
      <c r="N34" s="183">
        <v>0</v>
      </c>
      <c r="O34" s="183">
        <v>0</v>
      </c>
      <c r="P34" s="183">
        <v>0</v>
      </c>
      <c r="Q34" s="183">
        <v>0</v>
      </c>
      <c r="R34" s="183">
        <v>0</v>
      </c>
      <c r="S34" s="183">
        <v>0</v>
      </c>
      <c r="T34" s="183">
        <v>0</v>
      </c>
      <c r="U34" s="183">
        <v>0</v>
      </c>
      <c r="V34" s="183">
        <v>0</v>
      </c>
      <c r="W34" s="183">
        <v>0</v>
      </c>
      <c r="X34" s="183">
        <v>0</v>
      </c>
      <c r="Y34" s="183">
        <v>0</v>
      </c>
      <c r="Z34" s="183">
        <v>0</v>
      </c>
      <c r="AA34" s="183">
        <v>0</v>
      </c>
      <c r="AB34" s="183">
        <v>0</v>
      </c>
      <c r="AC34" s="183">
        <v>0</v>
      </c>
      <c r="AD34" s="183">
        <v>0</v>
      </c>
      <c r="AE34" s="183">
        <v>0</v>
      </c>
      <c r="AF34" s="183">
        <v>0</v>
      </c>
      <c r="AG34" s="183">
        <v>0</v>
      </c>
      <c r="AH34" s="183">
        <v>0</v>
      </c>
      <c r="AI34" s="183">
        <v>0</v>
      </c>
      <c r="AJ34" s="183">
        <v>0</v>
      </c>
      <c r="AK34" s="183">
        <v>0</v>
      </c>
      <c r="AL34" s="183">
        <v>0</v>
      </c>
      <c r="AM34" s="183">
        <v>0</v>
      </c>
      <c r="AN34" s="183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0</v>
      </c>
      <c r="F35" s="12">
        <v>0</v>
      </c>
      <c r="G35" s="12">
        <v>0</v>
      </c>
      <c r="H35" s="12">
        <v>0</v>
      </c>
      <c r="I35" s="12">
        <v>0</v>
      </c>
      <c r="J35" s="12">
        <v>0</v>
      </c>
      <c r="K35" s="12">
        <v>0</v>
      </c>
      <c r="L35" s="12">
        <v>0</v>
      </c>
      <c r="M35" s="12">
        <v>0</v>
      </c>
      <c r="N35" s="12">
        <v>0</v>
      </c>
      <c r="O35" s="12">
        <v>0</v>
      </c>
      <c r="P35" s="12">
        <v>0</v>
      </c>
      <c r="Q35" s="12">
        <v>0</v>
      </c>
      <c r="R35" s="12">
        <v>0</v>
      </c>
      <c r="S35" s="12">
        <v>0</v>
      </c>
      <c r="T35" s="12">
        <v>0</v>
      </c>
      <c r="U35" s="12">
        <v>0</v>
      </c>
      <c r="V35" s="12">
        <v>0</v>
      </c>
      <c r="W35" s="12">
        <v>0</v>
      </c>
      <c r="X35" s="12">
        <v>0</v>
      </c>
      <c r="Y35" s="12">
        <v>0</v>
      </c>
      <c r="Z35" s="12">
        <v>0</v>
      </c>
      <c r="AA35" s="12">
        <v>-10068.832691599999</v>
      </c>
      <c r="AB35" s="12">
        <v>-16935.005013199996</v>
      </c>
      <c r="AC35" s="12">
        <v>-23801.177334799995</v>
      </c>
      <c r="AD35" s="12">
        <v>-30667.349656399994</v>
      </c>
      <c r="AE35" s="12">
        <v>-37533.521977999997</v>
      </c>
      <c r="AF35" s="12">
        <v>-44399.694299599993</v>
      </c>
      <c r="AG35" s="12">
        <v>-51265.866621199988</v>
      </c>
      <c r="AH35" s="12">
        <v>-58132.038942799998</v>
      </c>
      <c r="AI35" s="12">
        <v>-64998.211264399994</v>
      </c>
      <c r="AJ35" s="12">
        <v>-71864.383585999982</v>
      </c>
      <c r="AK35" s="12">
        <v>-78730.555907599992</v>
      </c>
      <c r="AL35" s="12">
        <v>-85596.728229199987</v>
      </c>
      <c r="AM35" s="12">
        <v>-92462.900550799983</v>
      </c>
      <c r="AN35" s="12">
        <v>-99329.072872399964</v>
      </c>
    </row>
    <row r="36" spans="2:40" x14ac:dyDescent="0.25">
      <c r="B36" s="39" t="s">
        <v>261</v>
      </c>
      <c r="C36" s="15"/>
      <c r="E36" s="183" cm="1">
        <f t="array" ref="E36:AN36">_xlfn.BYCOL(_xlfn.ANCHORARRAY($E$25),_xlfn.LAMBDA(_xlpm.a,0))</f>
        <v>0</v>
      </c>
      <c r="F36" s="183">
        <v>0</v>
      </c>
      <c r="G36" s="183">
        <v>0</v>
      </c>
      <c r="H36" s="183">
        <v>0</v>
      </c>
      <c r="I36" s="183">
        <v>0</v>
      </c>
      <c r="J36" s="183">
        <v>0</v>
      </c>
      <c r="K36" s="183">
        <v>0</v>
      </c>
      <c r="L36" s="183">
        <v>0</v>
      </c>
      <c r="M36" s="183">
        <v>0</v>
      </c>
      <c r="N36" s="183">
        <v>0</v>
      </c>
      <c r="O36" s="183">
        <v>0</v>
      </c>
      <c r="P36" s="183">
        <v>0</v>
      </c>
      <c r="Q36" s="183">
        <v>0</v>
      </c>
      <c r="R36" s="183">
        <v>0</v>
      </c>
      <c r="S36" s="183">
        <v>0</v>
      </c>
      <c r="T36" s="183">
        <v>0</v>
      </c>
      <c r="U36" s="183">
        <v>0</v>
      </c>
      <c r="V36" s="183">
        <v>0</v>
      </c>
      <c r="W36" s="183">
        <v>0</v>
      </c>
      <c r="X36" s="183">
        <v>0</v>
      </c>
      <c r="Y36" s="183">
        <v>0</v>
      </c>
      <c r="Z36" s="183">
        <v>0</v>
      </c>
      <c r="AA36" s="183">
        <v>0</v>
      </c>
      <c r="AB36" s="183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271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0</v>
      </c>
      <c r="S37" s="13">
        <v>0</v>
      </c>
      <c r="T37" s="13">
        <v>0</v>
      </c>
      <c r="U37" s="13">
        <v>0</v>
      </c>
      <c r="V37" s="13">
        <v>0</v>
      </c>
      <c r="W37" s="13">
        <v>0</v>
      </c>
      <c r="X37" s="13">
        <v>0</v>
      </c>
      <c r="Y37" s="13">
        <v>0</v>
      </c>
      <c r="Z37" s="13">
        <v>0</v>
      </c>
      <c r="AA37" s="13">
        <v>71094.22760506667</v>
      </c>
      <c r="AB37" s="13">
        <v>118702.27916346668</v>
      </c>
      <c r="AC37" s="13">
        <v>166310.33072186666</v>
      </c>
      <c r="AD37" s="13">
        <v>213918.38228026667</v>
      </c>
      <c r="AE37" s="13">
        <v>261526.43383866665</v>
      </c>
      <c r="AF37" s="13">
        <v>309134.48539706669</v>
      </c>
      <c r="AG37" s="13">
        <v>356742.53695546661</v>
      </c>
      <c r="AH37" s="13">
        <v>404350.58851386671</v>
      </c>
      <c r="AI37" s="13">
        <v>451958.64007226669</v>
      </c>
      <c r="AJ37" s="13">
        <v>499566.69163066661</v>
      </c>
      <c r="AK37" s="13">
        <v>547174.74318906665</v>
      </c>
      <c r="AL37" s="13">
        <v>594782.79474746657</v>
      </c>
      <c r="AM37" s="13">
        <v>642390.84630586649</v>
      </c>
      <c r="AN37" s="13">
        <v>689998.89786426653</v>
      </c>
    </row>
    <row r="38" spans="2:40" x14ac:dyDescent="0.25">
      <c r="E38" s="67"/>
      <c r="F38" s="67"/>
    </row>
    <row r="39" spans="2:40" x14ac:dyDescent="0.25">
      <c r="B39" s="1" t="s">
        <v>118</v>
      </c>
    </row>
    <row r="40" spans="2:40" x14ac:dyDescent="0.25">
      <c r="B40" s="39" t="s">
        <v>23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0</v>
      </c>
      <c r="F40" s="12">
        <v>0</v>
      </c>
      <c r="G40" s="12">
        <v>0</v>
      </c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0</v>
      </c>
      <c r="N40" s="12">
        <v>0</v>
      </c>
      <c r="O40" s="12">
        <v>0</v>
      </c>
      <c r="P40" s="12">
        <v>0</v>
      </c>
      <c r="Q40" s="12">
        <v>0</v>
      </c>
      <c r="R40" s="12">
        <v>0</v>
      </c>
      <c r="S40" s="12">
        <v>0</v>
      </c>
      <c r="T40" s="12">
        <v>0</v>
      </c>
      <c r="U40" s="12">
        <v>0</v>
      </c>
      <c r="V40" s="12">
        <v>0</v>
      </c>
      <c r="W40" s="12">
        <v>0</v>
      </c>
      <c r="X40" s="12">
        <v>0</v>
      </c>
      <c r="Y40" s="12">
        <v>0</v>
      </c>
      <c r="Z40" s="12">
        <v>0</v>
      </c>
      <c r="AA40" s="12">
        <v>48771.788597403611</v>
      </c>
      <c r="AB40" s="12">
        <v>83459.072181473879</v>
      </c>
      <c r="AC40" s="12">
        <v>116230.99485676528</v>
      </c>
      <c r="AD40" s="12">
        <v>140608.33346590924</v>
      </c>
      <c r="AE40" s="12">
        <v>165025.44074171988</v>
      </c>
      <c r="AF40" s="12">
        <v>189774.28419886393</v>
      </c>
      <c r="AG40" s="12">
        <v>213959.21264134118</v>
      </c>
      <c r="AH40" s="12">
        <v>238453.51791715182</v>
      </c>
      <c r="AI40" s="12">
        <v>262879.5333742958</v>
      </c>
      <c r="AJ40" s="12">
        <v>287179.6739834398</v>
      </c>
      <c r="AK40" s="12">
        <v>311802.64259258384</v>
      </c>
      <c r="AL40" s="12">
        <v>336345.62471639441</v>
      </c>
      <c r="AM40" s="12">
        <v>360722.96332553838</v>
      </c>
      <c r="AN40" s="12">
        <v>378849.01843468234</v>
      </c>
    </row>
    <row r="41" spans="2:40" x14ac:dyDescent="0.25">
      <c r="B41" s="39" t="s">
        <v>388</v>
      </c>
      <c r="C41" s="142">
        <f>_xlfn.XLOOKUP($B$1&amp;"-"&amp;$C$1,Base!$D$4:$BD$4,Base!$D$12:$BD$12,0,0)</f>
        <v>0</v>
      </c>
      <c r="E41" s="183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28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15450</v>
      </c>
      <c r="AB42" s="12">
        <v>15450</v>
      </c>
      <c r="AC42" s="12">
        <v>15913.5</v>
      </c>
      <c r="AD42" s="12">
        <v>15913.5</v>
      </c>
      <c r="AE42" s="12">
        <v>15913.5</v>
      </c>
      <c r="AF42" s="12">
        <v>15913.5</v>
      </c>
      <c r="AG42" s="12">
        <v>15913.5</v>
      </c>
      <c r="AH42" s="12">
        <v>15913.5</v>
      </c>
      <c r="AI42" s="12">
        <v>15913.5</v>
      </c>
      <c r="AJ42" s="12">
        <v>15913.5</v>
      </c>
      <c r="AK42" s="12">
        <v>15913.5</v>
      </c>
      <c r="AL42" s="12">
        <v>15913.5</v>
      </c>
      <c r="AM42" s="12">
        <v>15913.5</v>
      </c>
      <c r="AN42" s="12">
        <v>15913.5</v>
      </c>
    </row>
    <row r="43" spans="2:40" x14ac:dyDescent="0.25">
      <c r="B43" s="39" t="s">
        <v>31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0</v>
      </c>
      <c r="X43" s="12">
        <v>0</v>
      </c>
      <c r="Y43" s="12">
        <v>0</v>
      </c>
      <c r="Z43" s="12">
        <v>0</v>
      </c>
      <c r="AA43" s="12">
        <v>9048</v>
      </c>
      <c r="AB43" s="12">
        <v>9048</v>
      </c>
      <c r="AC43" s="12">
        <v>9409.9200000000019</v>
      </c>
      <c r="AD43" s="12">
        <v>9409.9200000000019</v>
      </c>
      <c r="AE43" s="12">
        <v>9409.9200000000019</v>
      </c>
      <c r="AF43" s="12">
        <v>9409.9200000000019</v>
      </c>
      <c r="AG43" s="12">
        <v>9409.9200000000019</v>
      </c>
      <c r="AH43" s="12">
        <v>9409.9200000000019</v>
      </c>
      <c r="AI43" s="12">
        <v>9409.9200000000019</v>
      </c>
      <c r="AJ43" s="12">
        <v>9409.9200000000019</v>
      </c>
      <c r="AK43" s="12">
        <v>9409.9200000000019</v>
      </c>
      <c r="AL43" s="12">
        <v>9409.9200000000019</v>
      </c>
      <c r="AM43" s="12">
        <v>9409.9200000000019</v>
      </c>
      <c r="AN43" s="12">
        <v>9409.9200000000019</v>
      </c>
    </row>
    <row r="44" spans="2:40" x14ac:dyDescent="0.25">
      <c r="B44" s="39" t="s">
        <v>34</v>
      </c>
      <c r="C44" s="96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  <c r="O44" s="12">
        <v>0</v>
      </c>
      <c r="P44" s="12">
        <v>0</v>
      </c>
      <c r="Q44" s="12">
        <v>0</v>
      </c>
      <c r="R44" s="12">
        <v>0</v>
      </c>
      <c r="S44" s="12">
        <v>0</v>
      </c>
      <c r="T44" s="12">
        <v>0</v>
      </c>
      <c r="U44" s="12">
        <v>0</v>
      </c>
      <c r="V44" s="12">
        <v>0</v>
      </c>
      <c r="W44" s="12">
        <v>0</v>
      </c>
      <c r="X44" s="12">
        <v>0</v>
      </c>
      <c r="Y44" s="12">
        <v>0</v>
      </c>
      <c r="Z44" s="12">
        <v>0</v>
      </c>
      <c r="AA44" s="12">
        <v>378.451008</v>
      </c>
      <c r="AB44" s="12">
        <v>1002.1943359999999</v>
      </c>
      <c r="AC44" s="12">
        <v>1075.0811968000003</v>
      </c>
      <c r="AD44" s="12">
        <v>1107.88028416</v>
      </c>
      <c r="AE44" s="12">
        <v>1140.6793715200004</v>
      </c>
      <c r="AF44" s="12">
        <v>1184.4114880000002</v>
      </c>
      <c r="AG44" s="12">
        <v>1213.5662323200002</v>
      </c>
      <c r="AH44" s="12">
        <v>1250.0096627200003</v>
      </c>
      <c r="AI44" s="12">
        <v>1282.80875008</v>
      </c>
      <c r="AJ44" s="12">
        <v>1311.9634944000004</v>
      </c>
      <c r="AK44" s="12">
        <v>1352.0512678400003</v>
      </c>
      <c r="AL44" s="12">
        <v>1388.4946982400002</v>
      </c>
      <c r="AM44" s="12">
        <v>1421.2937856000005</v>
      </c>
      <c r="AN44" s="12">
        <v>1202.6332032</v>
      </c>
    </row>
    <row r="45" spans="2:40" x14ac:dyDescent="0.25">
      <c r="B45" s="39" t="s">
        <v>36</v>
      </c>
      <c r="C45" s="96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0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12">
        <v>0</v>
      </c>
      <c r="R45" s="12">
        <v>0</v>
      </c>
      <c r="S45" s="12">
        <v>0</v>
      </c>
      <c r="T45" s="12">
        <v>0</v>
      </c>
      <c r="U45" s="12">
        <v>0</v>
      </c>
      <c r="V45" s="12">
        <v>0</v>
      </c>
      <c r="W45" s="12">
        <v>0</v>
      </c>
      <c r="X45" s="12">
        <v>0</v>
      </c>
      <c r="Y45" s="12">
        <v>0</v>
      </c>
      <c r="Z45" s="12">
        <v>0</v>
      </c>
      <c r="AA45" s="12">
        <v>6630</v>
      </c>
      <c r="AB45" s="12">
        <v>6630</v>
      </c>
      <c r="AC45" s="12">
        <v>6762.6</v>
      </c>
      <c r="AD45" s="12">
        <v>6762.6</v>
      </c>
      <c r="AE45" s="12">
        <v>6762.6</v>
      </c>
      <c r="AF45" s="12">
        <v>6762.6</v>
      </c>
      <c r="AG45" s="12">
        <v>6762.6</v>
      </c>
      <c r="AH45" s="12">
        <v>6762.6</v>
      </c>
      <c r="AI45" s="12">
        <v>6762.6</v>
      </c>
      <c r="AJ45" s="12">
        <v>6762.6</v>
      </c>
      <c r="AK45" s="12">
        <v>6762.6</v>
      </c>
      <c r="AL45" s="12">
        <v>6762.6</v>
      </c>
      <c r="AM45" s="12">
        <v>6762.6</v>
      </c>
      <c r="AN45" s="12">
        <v>6762.6</v>
      </c>
    </row>
    <row r="46" spans="2:40" x14ac:dyDescent="0.25">
      <c r="B46" s="39" t="s">
        <v>38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0</v>
      </c>
      <c r="F46" s="12">
        <v>0</v>
      </c>
      <c r="G46" s="12">
        <v>0</v>
      </c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0</v>
      </c>
      <c r="N46" s="12">
        <v>0</v>
      </c>
      <c r="O46" s="12">
        <v>0</v>
      </c>
      <c r="P46" s="12">
        <v>0</v>
      </c>
      <c r="Q46" s="12">
        <v>0</v>
      </c>
      <c r="R46" s="12">
        <v>0</v>
      </c>
      <c r="S46" s="12">
        <v>0</v>
      </c>
      <c r="T46" s="12">
        <v>0</v>
      </c>
      <c r="U46" s="12">
        <v>0</v>
      </c>
      <c r="V46" s="12">
        <v>0</v>
      </c>
      <c r="W46" s="12">
        <v>0</v>
      </c>
      <c r="X46" s="12">
        <v>0</v>
      </c>
      <c r="Y46" s="12">
        <v>0</v>
      </c>
      <c r="Z46" s="12">
        <v>0</v>
      </c>
      <c r="AA46" s="12">
        <v>3604.6799999999994</v>
      </c>
      <c r="AB46" s="12">
        <v>5507.4899999999989</v>
      </c>
      <c r="AC46" s="12">
        <v>6946.7507999999998</v>
      </c>
      <c r="AD46" s="12">
        <v>8272.2203999999983</v>
      </c>
      <c r="AE46" s="12">
        <v>9597.6899999999969</v>
      </c>
      <c r="AF46" s="12">
        <v>10937.725199999999</v>
      </c>
      <c r="AG46" s="12">
        <v>12255.912</v>
      </c>
      <c r="AH46" s="12">
        <v>13585.022999999999</v>
      </c>
      <c r="AI46" s="12">
        <v>14914.133999999998</v>
      </c>
      <c r="AJ46" s="12">
        <v>16235.962199999998</v>
      </c>
      <c r="AK46" s="12">
        <v>17568.714599999999</v>
      </c>
      <c r="AL46" s="12">
        <v>18901.467000000001</v>
      </c>
      <c r="AM46" s="12">
        <v>20226.936599999997</v>
      </c>
      <c r="AN46" s="12">
        <v>21297.508200000007</v>
      </c>
    </row>
    <row r="47" spans="2:40" x14ac:dyDescent="0.25">
      <c r="B47" s="39" t="s">
        <v>40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  <c r="O47" s="12">
        <v>0</v>
      </c>
      <c r="P47" s="12">
        <v>0</v>
      </c>
      <c r="Q47" s="12">
        <v>0</v>
      </c>
      <c r="R47" s="12">
        <v>0</v>
      </c>
      <c r="S47" s="12">
        <v>0</v>
      </c>
      <c r="T47" s="12">
        <v>0</v>
      </c>
      <c r="U47" s="12">
        <v>0</v>
      </c>
      <c r="V47" s="12">
        <v>0</v>
      </c>
      <c r="W47" s="12">
        <v>0</v>
      </c>
      <c r="X47" s="12">
        <v>0</v>
      </c>
      <c r="Y47" s="12">
        <v>0</v>
      </c>
      <c r="Z47" s="12">
        <v>0</v>
      </c>
      <c r="AA47" s="12">
        <v>6300</v>
      </c>
      <c r="AB47" s="12">
        <v>6300</v>
      </c>
      <c r="AC47" s="12">
        <v>6615</v>
      </c>
      <c r="AD47" s="12">
        <v>6615</v>
      </c>
      <c r="AE47" s="12">
        <v>6615</v>
      </c>
      <c r="AF47" s="12">
        <v>6615</v>
      </c>
      <c r="AG47" s="12">
        <v>6615</v>
      </c>
      <c r="AH47" s="12">
        <v>6615</v>
      </c>
      <c r="AI47" s="12">
        <v>6615</v>
      </c>
      <c r="AJ47" s="12">
        <v>6615</v>
      </c>
      <c r="AK47" s="12">
        <v>6615</v>
      </c>
      <c r="AL47" s="12">
        <v>6615</v>
      </c>
      <c r="AM47" s="12">
        <v>6615</v>
      </c>
      <c r="AN47" s="12">
        <v>6615</v>
      </c>
    </row>
    <row r="48" spans="2:40" x14ac:dyDescent="0.25">
      <c r="B48" s="39" t="s">
        <v>41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151234.47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42</v>
      </c>
      <c r="E49" s="12">
        <f>'Corp.'!E$50*(E$37-(E31-E32-E34)*$C$35)/(SUM('MDA1:NCA9'!E$37)-SUM('MDA1:NCA9'!E$31)-SUM('MDA1:NCA9'!E$32)-SUM('MDA1:NCA9'!E$34))</f>
        <v>0</v>
      </c>
      <c r="F49" s="12">
        <f>'Corp.'!F$50*(F$37-(F31-F32-F34)*$C$35)/(SUM('MDA1:NCA9'!F$37)-SUM('MDA1:NCA9'!F$31)-SUM('MDA1:NCA9'!F$32)-SUM('MDA1:NCA9'!F$34))</f>
        <v>0</v>
      </c>
      <c r="G49" s="12">
        <f>'Corp.'!G$50*(G$37-(G31-G32-G34)*$C$35)/(SUM('MDA1:NCA9'!G$37)-SUM('MDA1:NCA9'!G$31)-SUM('MDA1:NCA9'!G$32)-SUM('MDA1:NCA9'!G$34))</f>
        <v>0</v>
      </c>
      <c r="H49" s="12">
        <f>'Corp.'!H$50*(H$37-(H31-H32-H34)*$C$35)/(SUM('MDA1:NCA9'!H$37)-SUM('MDA1:NCA9'!H$31)-SUM('MDA1:NCA9'!H$32)-SUM('MDA1:NCA9'!H$34))</f>
        <v>0</v>
      </c>
      <c r="I49" s="12">
        <f>'Corp.'!I$50*(I$37-(I31-I32-I34)*$C$35)/(SUM('MDA1:NCA9'!I$37)-SUM('MDA1:NCA9'!I$31)-SUM('MDA1:NCA9'!I$32)-SUM('MDA1:NCA9'!I$34))</f>
        <v>0</v>
      </c>
      <c r="J49" s="12">
        <f>'Corp.'!J$50*(J$37-(J31-J32-J34)*$C$35)/(SUM('MDA1:NCA9'!J$37)-SUM('MDA1:NCA9'!J$31)-SUM('MDA1:NCA9'!J$32)-SUM('MDA1:NCA9'!J$34))</f>
        <v>0</v>
      </c>
      <c r="K49" s="12">
        <f>'Corp.'!K$50*(K$37-(K31-K32-K34)*$C$35)/(SUM('MDA1:NCA9'!K$37)-SUM('MDA1:NCA9'!K$31)-SUM('MDA1:NCA9'!K$32)-SUM('MDA1:NCA9'!K$34))</f>
        <v>0</v>
      </c>
      <c r="L49" s="12">
        <f>'Corp.'!L$50*(L$37-(L31-L32-L34)*$C$35)/(SUM('MDA1:NCA9'!L$37)-SUM('MDA1:NCA9'!L$31)-SUM('MDA1:NCA9'!L$32)-SUM('MDA1:NCA9'!L$34))</f>
        <v>0</v>
      </c>
      <c r="M49" s="12">
        <f>'Corp.'!M$50*(M$37-(M31-M32-M34)*$C$35)/(SUM('MDA1:NCA9'!M$37)-SUM('MDA1:NCA9'!M$31)-SUM('MDA1:NCA9'!M$32)-SUM('MDA1:NCA9'!M$34))</f>
        <v>0</v>
      </c>
      <c r="N49" s="12">
        <f>'Corp.'!N$50*(N$37-(N31-N32-N34)*$C$35)/(SUM('MDA1:NCA9'!N$37)-SUM('MDA1:NCA9'!N$31)-SUM('MDA1:NCA9'!N$32)-SUM('MDA1:NCA9'!N$34))</f>
        <v>0</v>
      </c>
      <c r="O49" s="12">
        <f>'Corp.'!O$50*(O$37-(O31-O32-O34)*$C$35)/(SUM('MDA1:NCA9'!O$37)-SUM('MDA1:NCA9'!O$31)-SUM('MDA1:NCA9'!O$32)-SUM('MDA1:NCA9'!O$34))</f>
        <v>0</v>
      </c>
      <c r="P49" s="12">
        <f>'Corp.'!P$50*(P$37-(P31-P32-P34)*$C$35)/(SUM('MDA1:NCA9'!P$37)-SUM('MDA1:NCA9'!P$31)-SUM('MDA1:NCA9'!P$32)-SUM('MDA1:NCA9'!P$34))</f>
        <v>0</v>
      </c>
      <c r="Q49" s="12">
        <f>'Corp.'!Q$50*(Q$37-(Q31-Q32-Q34)*$C$35)/(SUM('MDA1:NCA9'!Q$37)-SUM('MDA1:NCA9'!Q$31)-SUM('MDA1:NCA9'!Q$32)-SUM('MDA1:NCA9'!Q$34))</f>
        <v>0</v>
      </c>
      <c r="R49" s="12">
        <f>'Corp.'!R$50*(R$37-(R31-R32-R34)*$C$35)/(SUM('MDA1:NCA9'!R$37)-SUM('MDA1:NCA9'!R$31)-SUM('MDA1:NCA9'!R$32)-SUM('MDA1:NCA9'!R$34))</f>
        <v>0</v>
      </c>
      <c r="S49" s="12">
        <f>'Corp.'!S$50*(S$37-(S31-S32-S34)*$C$35)/(SUM('MDA1:NCA9'!S$37)-SUM('MDA1:NCA9'!S$31)-SUM('MDA1:NCA9'!S$32)-SUM('MDA1:NCA9'!S$34))</f>
        <v>0</v>
      </c>
      <c r="T49" s="12">
        <f>'Corp.'!T$50*(T$37-(T31-T32-T34)*$C$35)/(SUM('MDA1:NCA9'!T$37)-SUM('MDA1:NCA9'!T$31)-SUM('MDA1:NCA9'!T$32)-SUM('MDA1:NCA9'!T$34))</f>
        <v>0</v>
      </c>
      <c r="U49" s="12">
        <f>'Corp.'!U$50*(U$37-(U31-U32-U34)*$C$35)/(SUM('MDA1:NCA9'!U$37)-SUM('MDA1:NCA9'!U$31)-SUM('MDA1:NCA9'!U$32)-SUM('MDA1:NCA9'!U$34))</f>
        <v>0</v>
      </c>
      <c r="V49" s="12">
        <f>'Corp.'!V$50*(V$37-(V31-V32-V34)*$C$35)/(SUM('MDA1:NCA9'!V$37)-SUM('MDA1:NCA9'!V$31)-SUM('MDA1:NCA9'!V$32)-SUM('MDA1:NCA9'!V$34))</f>
        <v>0</v>
      </c>
      <c r="W49" s="12">
        <f>'Corp.'!W$50*(W$37-(W31-W32-W34)*$C$35)/(SUM('MDA1:NCA9'!W$37)-SUM('MDA1:NCA9'!W$31)-SUM('MDA1:NCA9'!W$32)-SUM('MDA1:NCA9'!W$34))</f>
        <v>0</v>
      </c>
      <c r="X49" s="12">
        <f>'Corp.'!X$50*(X$37-(X31-X32-X34)*$C$35)/(SUM('MDA1:NCA9'!X$37)-SUM('MDA1:NCA9'!X$31)-SUM('MDA1:NCA9'!X$32)-SUM('MDA1:NCA9'!X$34))</f>
        <v>0</v>
      </c>
      <c r="Y49" s="12">
        <f>'Corp.'!Y$50*(Y$37-(Y31-Y32-Y34)*$C$35)/(SUM('MDA1:NCA9'!Y$37)-SUM('MDA1:NCA9'!Y$31)-SUM('MDA1:NCA9'!Y$32)-SUM('MDA1:NCA9'!Y$34))</f>
        <v>0</v>
      </c>
      <c r="Z49" s="12">
        <f>'Corp.'!Z$50*(Z$37-(Z31-Z32-Z34)*$C$35)/(SUM('MDA1:NCA9'!Z$37)-SUM('MDA1:NCA9'!Z$31)-SUM('MDA1:NCA9'!Z$32)-SUM('MDA1:NCA9'!Z$34))</f>
        <v>0</v>
      </c>
      <c r="AA49" s="12">
        <f>'Corp.'!AA$50*(AA$37-(AA31-AA32-AA34)*$C$35)/(SUM('MDA1:NCA9'!AA$37)-SUM('MDA1:NCA9'!AA$31)-SUM('MDA1:NCA9'!AA$32)-SUM('MDA1:NCA9'!AA$34))</f>
        <v>8132.4295206712932</v>
      </c>
      <c r="AB49" s="12">
        <f>'Corp.'!AB$50*(AB$37-(AB31-AB32-AB34)*$C$35)/(SUM('MDA1:NCA9'!AB$37)-SUM('MDA1:NCA9'!AB$31)-SUM('MDA1:NCA9'!AB$32)-SUM('MDA1:NCA9'!AB$34))</f>
        <v>13270.142765556971</v>
      </c>
      <c r="AC49" s="12">
        <f>'Corp.'!AC$50*(AC$37-(AC31-AC32-AC34)*$C$35)/(SUM('MDA1:NCA9'!AC$37)-SUM('MDA1:NCA9'!AC$31)-SUM('MDA1:NCA9'!AC$32)-SUM('MDA1:NCA9'!AC$34))</f>
        <v>19954.256988471509</v>
      </c>
      <c r="AD49" s="12">
        <f>'Corp.'!AD$50*(AD$37-(AD31-AD32-AD34)*$C$35)/(SUM('MDA1:NCA9'!AD$37)-SUM('MDA1:NCA9'!AD$31)-SUM('MDA1:NCA9'!AD$32)-SUM('MDA1:NCA9'!AD$34))</f>
        <v>25244.720231325697</v>
      </c>
      <c r="AE49" s="12">
        <f>'Corp.'!AE$50*(AE$37-(AE31-AE32-AE34)*$C$35)/(SUM('MDA1:NCA9'!AE$37)-SUM('MDA1:NCA9'!AE$31)-SUM('MDA1:NCA9'!AE$32)-SUM('MDA1:NCA9'!AE$34))</f>
        <v>30376.937037576776</v>
      </c>
      <c r="AF49" s="12">
        <f>'Corp.'!AF$50*(AF$37-(AF31-AF32-AF34)*$C$35)/(SUM('MDA1:NCA9'!AF$37)-SUM('MDA1:NCA9'!AF$31)-SUM('MDA1:NCA9'!AF$32)-SUM('MDA1:NCA9'!AF$34))</f>
        <v>35368.368251649881</v>
      </c>
      <c r="AG49" s="12">
        <f>'Corp.'!AG$50*(AG$37-(AG31-AG32-AG34)*$C$35)/(SUM('MDA1:NCA9'!AG$37)-SUM('MDA1:NCA9'!AG$31)-SUM('MDA1:NCA9'!AG$32)-SUM('MDA1:NCA9'!AG$34))</f>
        <v>40317.020169977397</v>
      </c>
      <c r="AH49" s="12">
        <f>'Corp.'!AH$50*(AH$37-(AH31-AH32-AH34)*$C$35)/(SUM('MDA1:NCA9'!AH$37)-SUM('MDA1:NCA9'!AH$31)-SUM('MDA1:NCA9'!AH$32)-SUM('MDA1:NCA9'!AH$34))</f>
        <v>44954.594657438582</v>
      </c>
      <c r="AI49" s="12">
        <f>'Corp.'!AI$50*(AI$37-(AI31-AI32-AI34)*$C$35)/(SUM('MDA1:NCA9'!AI$37)-SUM('MDA1:NCA9'!AI$31)-SUM('MDA1:NCA9'!AI$32)-SUM('MDA1:NCA9'!AI$34))</f>
        <v>49382.282355944371</v>
      </c>
      <c r="AJ49" s="12">
        <f>'Corp.'!AJ$50*(AJ$37-(AJ31-AJ32-AJ34)*$C$35)/(SUM('MDA1:NCA9'!AJ$37)-SUM('MDA1:NCA9'!AJ$31)-SUM('MDA1:NCA9'!AJ$32)-SUM('MDA1:NCA9'!AJ$34))</f>
        <v>53604.192128173563</v>
      </c>
      <c r="AK49" s="12">
        <f>'Corp.'!AK$50*(AK$37-(AK31-AK32-AK34)*$C$35)/(SUM('MDA1:NCA9'!AK$37)-SUM('MDA1:NCA9'!AK$31)-SUM('MDA1:NCA9'!AK$32)-SUM('MDA1:NCA9'!AK$34))</f>
        <v>57721.577146947107</v>
      </c>
      <c r="AL49" s="12">
        <f>'Corp.'!AL$50*(AL$37-(AL31-AL32-AL34)*$C$35)/(SUM('MDA1:NCA9'!AL$37)-SUM('MDA1:NCA9'!AL$31)-SUM('MDA1:NCA9'!AL$32)-SUM('MDA1:NCA9'!AL$34))</f>
        <v>61755.210005761255</v>
      </c>
      <c r="AM49" s="12">
        <f>'Corp.'!AM$50*(AM$37-(AM31-AM32-AM34)*$C$35)/(SUM('MDA1:NCA9'!AM$37)-SUM('MDA1:NCA9'!AM$31)-SUM('MDA1:NCA9'!AM$32)-SUM('MDA1:NCA9'!AM$34))</f>
        <v>65548.432407223023</v>
      </c>
      <c r="AN49" s="12">
        <f>'Corp.'!AN$50*(AN$37-(AN31-AN32-AN34)*$C$35)/(SUM('MDA1:NCA9'!AN$37)-SUM('MDA1:NCA9'!AN$31)-SUM('MDA1:NCA9'!AN$32)-SUM('MDA1:NCA9'!AN$34))</f>
        <v>69353.495383390065</v>
      </c>
    </row>
    <row r="50" spans="2:40" x14ac:dyDescent="0.25">
      <c r="B50" s="1" t="s">
        <v>272</v>
      </c>
      <c r="E50" s="13" cm="1">
        <f t="array" ref="E50:AN50">_xlfn.BYCOL(_xlfn.VSTACK(_xlfn.ANCHORARRAY(E40),_xlfn.ANCHORARRAY(E42),_xlfn.ANCHORARRAY(E43),_xlfn.ANCHORARRAY(E45),_xlfn.ANCHORARRAY(E46),_xlfn.ANCHORARRAY(E47),_xlfn.ANCHORARRAY(E48),_xlfn.HSTACK(E49:AN49)),_xlfn.LAMBDA(_xlpm.a,SUM(_xlpm.a)))</f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0</v>
      </c>
      <c r="Q50" s="13">
        <v>0</v>
      </c>
      <c r="R50" s="13">
        <v>0</v>
      </c>
      <c r="S50" s="13">
        <v>0</v>
      </c>
      <c r="T50" s="13">
        <v>0</v>
      </c>
      <c r="U50" s="13">
        <v>0</v>
      </c>
      <c r="V50" s="13">
        <v>0</v>
      </c>
      <c r="W50" s="13">
        <v>0</v>
      </c>
      <c r="X50" s="13">
        <v>0</v>
      </c>
      <c r="Y50" s="13">
        <v>151234.47</v>
      </c>
      <c r="Z50" s="13">
        <v>0</v>
      </c>
      <c r="AA50" s="13">
        <v>97936.898118074911</v>
      </c>
      <c r="AB50" s="13">
        <v>139664.70494703087</v>
      </c>
      <c r="AC50" s="13">
        <v>181833.02264523681</v>
      </c>
      <c r="AD50" s="13">
        <v>212826.29409723493</v>
      </c>
      <c r="AE50" s="13">
        <v>243701.08777929668</v>
      </c>
      <c r="AF50" s="13">
        <v>274781.3976505138</v>
      </c>
      <c r="AG50" s="13">
        <v>305233.16481131857</v>
      </c>
      <c r="AH50" s="13">
        <v>335694.15557459038</v>
      </c>
      <c r="AI50" s="13">
        <v>365876.96973024018</v>
      </c>
      <c r="AJ50" s="13">
        <v>395720.84831161331</v>
      </c>
      <c r="AK50" s="13">
        <v>425793.9543395309</v>
      </c>
      <c r="AL50" s="13">
        <v>455703.32172215561</v>
      </c>
      <c r="AM50" s="13">
        <v>485199.35233276139</v>
      </c>
      <c r="AN50" s="13">
        <v>508201.04201807233</v>
      </c>
    </row>
    <row r="52" spans="2:40" x14ac:dyDescent="0.25">
      <c r="B52" s="1" t="s">
        <v>48</v>
      </c>
      <c r="E52" s="74">
        <f>E37-E50</f>
        <v>0</v>
      </c>
      <c r="F52" s="74">
        <f t="shared" ref="F52:AN52" si="0">F37-F50</f>
        <v>0</v>
      </c>
      <c r="G52" s="74">
        <f t="shared" si="0"/>
        <v>0</v>
      </c>
      <c r="H52" s="74">
        <f t="shared" si="0"/>
        <v>0</v>
      </c>
      <c r="I52" s="74">
        <f t="shared" si="0"/>
        <v>0</v>
      </c>
      <c r="J52" s="74">
        <f t="shared" si="0"/>
        <v>0</v>
      </c>
      <c r="K52" s="74">
        <f t="shared" si="0"/>
        <v>0</v>
      </c>
      <c r="L52" s="74">
        <f t="shared" si="0"/>
        <v>0</v>
      </c>
      <c r="M52" s="74">
        <f t="shared" si="0"/>
        <v>0</v>
      </c>
      <c r="N52" s="74">
        <f t="shared" si="0"/>
        <v>0</v>
      </c>
      <c r="O52" s="74">
        <f t="shared" si="0"/>
        <v>0</v>
      </c>
      <c r="P52" s="74">
        <f t="shared" si="0"/>
        <v>0</v>
      </c>
      <c r="Q52" s="74">
        <f t="shared" si="0"/>
        <v>0</v>
      </c>
      <c r="R52" s="74">
        <f t="shared" si="0"/>
        <v>0</v>
      </c>
      <c r="S52" s="74">
        <f t="shared" si="0"/>
        <v>0</v>
      </c>
      <c r="T52" s="74">
        <f t="shared" si="0"/>
        <v>0</v>
      </c>
      <c r="U52" s="74">
        <f t="shared" si="0"/>
        <v>0</v>
      </c>
      <c r="V52" s="74">
        <f t="shared" si="0"/>
        <v>0</v>
      </c>
      <c r="W52" s="74">
        <f t="shared" si="0"/>
        <v>0</v>
      </c>
      <c r="X52" s="74">
        <f t="shared" si="0"/>
        <v>0</v>
      </c>
      <c r="Y52" s="74">
        <f t="shared" si="0"/>
        <v>-151234.47</v>
      </c>
      <c r="Z52" s="74">
        <f t="shared" si="0"/>
        <v>0</v>
      </c>
      <c r="AA52" s="74">
        <f t="shared" si="0"/>
        <v>-26842.670513008241</v>
      </c>
      <c r="AB52" s="74">
        <f t="shared" si="0"/>
        <v>-20962.425783564191</v>
      </c>
      <c r="AC52" s="74">
        <f t="shared" si="0"/>
        <v>-15522.691923370148</v>
      </c>
      <c r="AD52" s="74">
        <f t="shared" si="0"/>
        <v>1092.0881830317376</v>
      </c>
      <c r="AE52" s="74">
        <f t="shared" si="0"/>
        <v>17825.346059369971</v>
      </c>
      <c r="AF52" s="74">
        <f t="shared" si="0"/>
        <v>34353.08774655289</v>
      </c>
      <c r="AG52" s="74">
        <f t="shared" si="0"/>
        <v>51509.372144148045</v>
      </c>
      <c r="AH52" s="74">
        <f t="shared" si="0"/>
        <v>68656.432939276332</v>
      </c>
      <c r="AI52" s="74">
        <f t="shared" si="0"/>
        <v>86081.670342026511</v>
      </c>
      <c r="AJ52" s="74">
        <f t="shared" si="0"/>
        <v>103845.8433190533</v>
      </c>
      <c r="AK52" s="74">
        <f t="shared" si="0"/>
        <v>121380.78884953575</v>
      </c>
      <c r="AL52" s="74">
        <f t="shared" si="0"/>
        <v>139079.47302531096</v>
      </c>
      <c r="AM52" s="74">
        <f t="shared" si="0"/>
        <v>157191.4939731051</v>
      </c>
      <c r="AN52" s="74">
        <f t="shared" si="0"/>
        <v>181797.8558461942</v>
      </c>
    </row>
    <row r="53" spans="2:40" x14ac:dyDescent="0.25">
      <c r="E53" s="105" t="str">
        <f>IFERROR(E52/E37,"")</f>
        <v/>
      </c>
      <c r="F53" s="105" t="str">
        <f t="shared" ref="F53:AN53" si="1">IFERROR(F52/F37,"")</f>
        <v/>
      </c>
      <c r="G53" s="105" t="str">
        <f t="shared" si="1"/>
        <v/>
      </c>
      <c r="H53" s="105" t="str">
        <f t="shared" si="1"/>
        <v/>
      </c>
      <c r="I53" s="105" t="str">
        <f t="shared" si="1"/>
        <v/>
      </c>
      <c r="J53" s="105" t="str">
        <f t="shared" si="1"/>
        <v/>
      </c>
      <c r="K53" s="105" t="str">
        <f t="shared" si="1"/>
        <v/>
      </c>
      <c r="L53" s="105" t="str">
        <f t="shared" si="1"/>
        <v/>
      </c>
      <c r="M53" s="105" t="str">
        <f t="shared" si="1"/>
        <v/>
      </c>
      <c r="N53" s="105" t="str">
        <f t="shared" si="1"/>
        <v/>
      </c>
      <c r="O53" s="105" t="str">
        <f t="shared" si="1"/>
        <v/>
      </c>
      <c r="P53" s="105" t="str">
        <f t="shared" si="1"/>
        <v/>
      </c>
      <c r="Q53" s="105" t="str">
        <f t="shared" si="1"/>
        <v/>
      </c>
      <c r="R53" s="105" t="str">
        <f t="shared" si="1"/>
        <v/>
      </c>
      <c r="S53" s="105" t="str">
        <f t="shared" si="1"/>
        <v/>
      </c>
      <c r="T53" s="105" t="str">
        <f t="shared" si="1"/>
        <v/>
      </c>
      <c r="U53" s="105" t="str">
        <f t="shared" si="1"/>
        <v/>
      </c>
      <c r="V53" s="105" t="str">
        <f t="shared" si="1"/>
        <v/>
      </c>
      <c r="W53" s="105" t="str">
        <f t="shared" si="1"/>
        <v/>
      </c>
      <c r="X53" s="105" t="str">
        <f t="shared" si="1"/>
        <v/>
      </c>
      <c r="Y53" s="105" t="str">
        <f t="shared" si="1"/>
        <v/>
      </c>
      <c r="Z53" s="105" t="str">
        <f t="shared" si="1"/>
        <v/>
      </c>
      <c r="AA53" s="105">
        <f t="shared" si="1"/>
        <v>-0.37756469712451374</v>
      </c>
      <c r="AB53" s="105">
        <f t="shared" si="1"/>
        <v>-0.1765966578846942</v>
      </c>
      <c r="AC53" s="105">
        <f t="shared" si="1"/>
        <v>-9.3335704739412245E-2</v>
      </c>
      <c r="AD53" s="105">
        <f t="shared" si="1"/>
        <v>5.1051628728237602E-3</v>
      </c>
      <c r="AE53" s="105">
        <f t="shared" si="1"/>
        <v>6.8158869440961639E-2</v>
      </c>
      <c r="AF53" s="105">
        <f t="shared" si="1"/>
        <v>0.11112667582986799</v>
      </c>
      <c r="AG53" s="105">
        <f t="shared" si="1"/>
        <v>0.14438808610753961</v>
      </c>
      <c r="AH53" s="105">
        <f t="shared" si="1"/>
        <v>0.16979431930991698</v>
      </c>
      <c r="AI53" s="105">
        <f t="shared" si="1"/>
        <v>0.19046360155491737</v>
      </c>
      <c r="AJ53" s="105">
        <f t="shared" si="1"/>
        <v>0.20787183184708261</v>
      </c>
      <c r="AK53" s="105">
        <f t="shared" si="1"/>
        <v>0.22183185602116642</v>
      </c>
      <c r="AL53" s="105">
        <f t="shared" si="1"/>
        <v>0.23383237419361039</v>
      </c>
      <c r="AM53" s="105">
        <f t="shared" si="1"/>
        <v>0.24469759318186221</v>
      </c>
      <c r="AN53" s="105">
        <f t="shared" si="1"/>
        <v>0.2634755742493326</v>
      </c>
    </row>
    <row r="55" spans="2:40" x14ac:dyDescent="0.25">
      <c r="B55" t="s">
        <v>57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1411000</v>
      </c>
      <c r="D55" s="12">
        <f>C55-SUM(_xlfn.ANCHORARRAY(E55))</f>
        <v>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235166.66666666666</v>
      </c>
      <c r="Z55" s="12">
        <v>235166.66666666666</v>
      </c>
      <c r="AA55" s="12">
        <v>235166.66666666666</v>
      </c>
      <c r="AB55" s="12">
        <v>235166.66666666666</v>
      </c>
      <c r="AC55" s="12">
        <v>235166.66666666666</v>
      </c>
      <c r="AD55" s="12">
        <v>235166.66666666666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</row>
    <row r="56" spans="2:40" x14ac:dyDescent="0.25">
      <c r="B56" t="s">
        <v>285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0</v>
      </c>
      <c r="F56" s="90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0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0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0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0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-84424.829083026663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-92772.130592373302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-98739.029523800025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-105880.23725755996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-113021.44499132005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-120162.65272507997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-39228.965075799999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-46370.172809560005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-53511.380543319989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-60652.588277080002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-67793.79601084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276</v>
      </c>
      <c r="E58" s="13">
        <f>E37-E50-E55+E56</f>
        <v>0</v>
      </c>
      <c r="F58" s="13">
        <f t="shared" ref="F58:AN58" si="2">F37-F50-F55+F56</f>
        <v>0</v>
      </c>
      <c r="G58" s="13">
        <f t="shared" si="2"/>
        <v>0</v>
      </c>
      <c r="H58" s="13">
        <f t="shared" si="2"/>
        <v>0</v>
      </c>
      <c r="I58" s="13">
        <f t="shared" si="2"/>
        <v>0</v>
      </c>
      <c r="J58" s="13">
        <f t="shared" si="2"/>
        <v>0</v>
      </c>
      <c r="K58" s="13">
        <f t="shared" si="2"/>
        <v>0</v>
      </c>
      <c r="L58" s="13">
        <f t="shared" si="2"/>
        <v>0</v>
      </c>
      <c r="M58" s="13">
        <f t="shared" si="2"/>
        <v>0</v>
      </c>
      <c r="N58" s="13">
        <f t="shared" si="2"/>
        <v>0</v>
      </c>
      <c r="O58" s="13">
        <f t="shared" si="2"/>
        <v>0</v>
      </c>
      <c r="P58" s="13">
        <f t="shared" si="2"/>
        <v>0</v>
      </c>
      <c r="Q58" s="13">
        <f t="shared" si="2"/>
        <v>0</v>
      </c>
      <c r="R58" s="13">
        <f t="shared" si="2"/>
        <v>0</v>
      </c>
      <c r="S58" s="13">
        <f t="shared" si="2"/>
        <v>0</v>
      </c>
      <c r="T58" s="13">
        <f t="shared" si="2"/>
        <v>0</v>
      </c>
      <c r="U58" s="13">
        <f t="shared" si="2"/>
        <v>0</v>
      </c>
      <c r="V58" s="13">
        <f t="shared" si="2"/>
        <v>0</v>
      </c>
      <c r="W58" s="13">
        <f t="shared" si="2"/>
        <v>0</v>
      </c>
      <c r="X58" s="13">
        <f t="shared" si="2"/>
        <v>0</v>
      </c>
      <c r="Y58" s="13">
        <f t="shared" si="2"/>
        <v>-386401.13666666666</v>
      </c>
      <c r="Z58" s="13">
        <f t="shared" si="2"/>
        <v>-235166.66666666666</v>
      </c>
      <c r="AA58" s="13">
        <f t="shared" si="2"/>
        <v>-262009.33717967488</v>
      </c>
      <c r="AB58" s="13">
        <f t="shared" si="2"/>
        <v>-256129.09245023085</v>
      </c>
      <c r="AC58" s="13">
        <f t="shared" si="2"/>
        <v>-250689.35859003681</v>
      </c>
      <c r="AD58" s="13">
        <f t="shared" si="2"/>
        <v>-318499.4075666616</v>
      </c>
      <c r="AE58" s="13">
        <f t="shared" si="2"/>
        <v>-74946.784533003331</v>
      </c>
      <c r="AF58" s="13">
        <f t="shared" si="2"/>
        <v>-64385.941777247135</v>
      </c>
      <c r="AG58" s="13">
        <f t="shared" si="2"/>
        <v>-54370.865113411914</v>
      </c>
      <c r="AH58" s="13">
        <f t="shared" si="2"/>
        <v>-44365.012052043719</v>
      </c>
      <c r="AI58" s="13">
        <f t="shared" si="2"/>
        <v>-34080.982383053459</v>
      </c>
      <c r="AJ58" s="13">
        <f t="shared" si="2"/>
        <v>64616.878243253297</v>
      </c>
      <c r="AK58" s="13">
        <f t="shared" si="2"/>
        <v>75010.61603997575</v>
      </c>
      <c r="AL58" s="13">
        <f t="shared" si="2"/>
        <v>85568.092481990971</v>
      </c>
      <c r="AM58" s="13">
        <f t="shared" si="2"/>
        <v>96538.905696025089</v>
      </c>
      <c r="AN58" s="13">
        <f t="shared" si="2"/>
        <v>114004.0598353542</v>
      </c>
    </row>
    <row r="59" spans="2:40" x14ac:dyDescent="0.25">
      <c r="B59" t="s">
        <v>277</v>
      </c>
      <c r="E59" s="12" cm="1">
        <f t="array" ref="E59:AN59">_xlfn.SCAN(-D55,E58:AN58,_xlfn.LAMBDA(_xlpm.capex,_xlpm.fcf,_xlpm.capex+_xlpm.fcf))</f>
        <v>0</v>
      </c>
      <c r="F59" s="12">
        <v>0</v>
      </c>
      <c r="G59" s="12">
        <v>0</v>
      </c>
      <c r="H59" s="12">
        <v>0</v>
      </c>
      <c r="I59" s="12">
        <v>0</v>
      </c>
      <c r="J59" s="12">
        <v>0</v>
      </c>
      <c r="K59" s="12">
        <v>0</v>
      </c>
      <c r="L59" s="12">
        <v>0</v>
      </c>
      <c r="M59" s="12">
        <v>0</v>
      </c>
      <c r="N59" s="12">
        <v>0</v>
      </c>
      <c r="O59" s="12">
        <v>0</v>
      </c>
      <c r="P59" s="12">
        <v>0</v>
      </c>
      <c r="Q59" s="12">
        <v>0</v>
      </c>
      <c r="R59" s="12">
        <v>0</v>
      </c>
      <c r="S59" s="12">
        <v>0</v>
      </c>
      <c r="T59" s="12">
        <v>0</v>
      </c>
      <c r="U59" s="12">
        <v>0</v>
      </c>
      <c r="V59" s="12">
        <v>0</v>
      </c>
      <c r="W59" s="12">
        <v>0</v>
      </c>
      <c r="X59" s="12">
        <v>0</v>
      </c>
      <c r="Y59" s="12">
        <v>-386401.13666666666</v>
      </c>
      <c r="Z59" s="12">
        <v>-621567.80333333334</v>
      </c>
      <c r="AA59" s="12">
        <v>-883577.14051300823</v>
      </c>
      <c r="AB59" s="12">
        <v>-1139706.2329632391</v>
      </c>
      <c r="AC59" s="12">
        <v>-1390395.5915532759</v>
      </c>
      <c r="AD59" s="12">
        <v>-1708894.9991199374</v>
      </c>
      <c r="AE59" s="12">
        <v>-1783841.7836529408</v>
      </c>
      <c r="AF59" s="12">
        <v>-1848227.725430188</v>
      </c>
      <c r="AG59" s="12">
        <v>-1902598.5905435998</v>
      </c>
      <c r="AH59" s="12">
        <v>-1946963.6025956436</v>
      </c>
      <c r="AI59" s="12">
        <v>-1981044.5849786971</v>
      </c>
      <c r="AJ59" s="12">
        <v>-1916427.7067354438</v>
      </c>
      <c r="AK59" s="12">
        <v>-1841417.090695468</v>
      </c>
      <c r="AL59" s="12">
        <v>-1755848.998213477</v>
      </c>
      <c r="AM59" s="12">
        <v>-1659310.0925174518</v>
      </c>
      <c r="AN59" s="12">
        <v>-1545306.0326820977</v>
      </c>
    </row>
    <row r="61" spans="2:40" x14ac:dyDescent="0.25">
      <c r="B61" s="1" t="s">
        <v>302</v>
      </c>
    </row>
    <row r="63" spans="2:40" x14ac:dyDescent="0.25">
      <c r="B63" s="39" t="s">
        <v>103</v>
      </c>
      <c r="E63" s="12" cm="1">
        <f t="array" ref="E63:AN63">_xlfn.LET(_xlpm.site,$B$1&amp;"-"&amp;$C$1,_xlpm.locations,Base!$D$4:$BD$4,_xlpm.rates,Base!$D$36:$BD$36,_xlpm.hours,Base!$D$79:$BD$79,_xlpm.comp,_xlpm.rates*_xlpm.hours,_xlpm.Customer,_xlfn.ANCHORARRAY($E$1),
_xlpm.Customer_comp,_xlfn.XLOOKUP(_xlpm.site,_xlpm.locations,_xlpm.comp,0,0),_xlpm.ann_incr,_xlfn.XLOOKUP(YEAR(_xlfn.ANCHORARRAY($E$25)),Base!$BJ$4:$BL$4,Base!$BJ$79:$BL$79,0,0),
_xlpm.bad_debt,_xlfn.XLOOKUP(_xlpm.site,_xlpm.locations,Base!$D$28:$BD$28,0,0),_xlpm.Customer_comp*_xlpm.Customer*_xlpm.bad_debt*_xlpm.ann_incr*(52/12)*(1-$C$35))</f>
        <v>0</v>
      </c>
      <c r="F63" s="12">
        <v>0</v>
      </c>
      <c r="G63" s="12">
        <v>0</v>
      </c>
      <c r="H63" s="12">
        <v>0</v>
      </c>
      <c r="I63" s="12">
        <v>0</v>
      </c>
      <c r="J63" s="12">
        <v>0</v>
      </c>
      <c r="K63" s="12">
        <v>0</v>
      </c>
      <c r="L63" s="12">
        <v>0</v>
      </c>
      <c r="M63" s="12">
        <v>0</v>
      </c>
      <c r="N63" s="12">
        <v>0</v>
      </c>
      <c r="O63" s="12">
        <v>0</v>
      </c>
      <c r="P63" s="12">
        <v>0</v>
      </c>
      <c r="Q63" s="12">
        <v>0</v>
      </c>
      <c r="R63" s="12">
        <v>0</v>
      </c>
      <c r="S63" s="12">
        <v>0</v>
      </c>
      <c r="T63" s="12">
        <v>0</v>
      </c>
      <c r="U63" s="12">
        <v>0</v>
      </c>
      <c r="V63" s="12">
        <v>0</v>
      </c>
      <c r="W63" s="12">
        <v>0</v>
      </c>
      <c r="X63" s="12">
        <v>0</v>
      </c>
      <c r="Y63" s="12">
        <v>0</v>
      </c>
      <c r="Z63" s="12">
        <v>0</v>
      </c>
      <c r="AA63" s="12">
        <v>2179.0924014745592</v>
      </c>
      <c r="AB63" s="12">
        <v>4358.1848029491184</v>
      </c>
      <c r="AC63" s="12">
        <v>6537.2772044236781</v>
      </c>
      <c r="AD63" s="12">
        <v>8716.3696058982368</v>
      </c>
      <c r="AE63" s="12">
        <v>10895.4620073728</v>
      </c>
      <c r="AF63" s="12">
        <v>13074.554408847356</v>
      </c>
      <c r="AG63" s="12">
        <v>15253.646810321916</v>
      </c>
      <c r="AH63" s="12">
        <v>17432.739211796474</v>
      </c>
      <c r="AI63" s="12">
        <v>19611.831613271035</v>
      </c>
      <c r="AJ63" s="12">
        <v>21790.9240147456</v>
      </c>
      <c r="AK63" s="12">
        <v>23970.016416220154</v>
      </c>
      <c r="AL63" s="12">
        <v>26149.108817694712</v>
      </c>
      <c r="AM63" s="12">
        <v>28328.201219169274</v>
      </c>
      <c r="AN63" s="12">
        <v>30507.293620643832</v>
      </c>
    </row>
    <row r="64" spans="2:40" x14ac:dyDescent="0.25">
      <c r="B64" s="39" t="s">
        <v>104</v>
      </c>
      <c r="E64" s="12" cm="1">
        <f t="array" ref="E64:AN64">_xlfn.LET(_xlpm.site,$B$1&amp;"-"&amp;$C$1,_xlpm.locations,Base!$D$4:$BD$4,_xlpm.rates,Base!$D$37:$BD$37,_xlpm.hours,Base!$D$80:$BD$80,_xlpm.comp,_xlpm.rates*_xlpm.hours,_xlpm.Customer,_xlfn.ANCHORARRAY($E$1),
_xlpm.Customer_comp,_xlfn.XLOOKUP(_xlpm.site,_xlpm.locations,_xlpm.comp,0,0),_xlpm.ann_incr,_xlfn.XLOOKUP(YEAR(_xlfn.ANCHORARRAY($E$25)),Base!$BJ$4:$BL$4,Base!$BJ$80:$BL$80,0,0),
_xlpm.bad_debt,_xlfn.XLOOKUP(_xlpm.site,_xlpm.locations,Base!$D$28:$BD$28,0,0),_xlpm.Customer_comp*_xlpm.Customer*_xlpm.bad_debt*_xlpm.ann_incr*(52/12)*(1-$C$35))</f>
        <v>0</v>
      </c>
      <c r="F64" s="12">
        <v>0</v>
      </c>
      <c r="G64" s="12">
        <v>0</v>
      </c>
      <c r="H64" s="12">
        <v>0</v>
      </c>
      <c r="I64" s="12">
        <v>0</v>
      </c>
      <c r="J64" s="12">
        <v>0</v>
      </c>
      <c r="K64" s="12">
        <v>0</v>
      </c>
      <c r="L64" s="12">
        <v>0</v>
      </c>
      <c r="M64" s="12">
        <v>0</v>
      </c>
      <c r="N64" s="12">
        <v>0</v>
      </c>
      <c r="O64" s="12">
        <v>0</v>
      </c>
      <c r="P64" s="12">
        <v>0</v>
      </c>
      <c r="Q64" s="12">
        <v>0</v>
      </c>
      <c r="R64" s="12">
        <v>0</v>
      </c>
      <c r="S64" s="12">
        <v>0</v>
      </c>
      <c r="T64" s="12">
        <v>0</v>
      </c>
      <c r="U64" s="12">
        <v>0</v>
      </c>
      <c r="V64" s="12">
        <v>0</v>
      </c>
      <c r="W64" s="12">
        <v>0</v>
      </c>
      <c r="X64" s="12">
        <v>0</v>
      </c>
      <c r="Y64" s="12">
        <v>0</v>
      </c>
      <c r="Z64" s="12">
        <v>0</v>
      </c>
      <c r="AA64" s="12">
        <v>291.17026532352008</v>
      </c>
      <c r="AB64" s="12">
        <v>582.34053064704017</v>
      </c>
      <c r="AC64" s="12">
        <v>873.51079597056014</v>
      </c>
      <c r="AD64" s="12">
        <v>1164.6810612940803</v>
      </c>
      <c r="AE64" s="12">
        <v>1455.8513266176003</v>
      </c>
      <c r="AF64" s="12">
        <v>1747.0215919411203</v>
      </c>
      <c r="AG64" s="12">
        <v>2038.1918572646407</v>
      </c>
      <c r="AH64" s="12">
        <v>2329.3621225881607</v>
      </c>
      <c r="AI64" s="12">
        <v>2620.5323879116804</v>
      </c>
      <c r="AJ64" s="12">
        <v>2911.7026532352006</v>
      </c>
      <c r="AK64" s="12">
        <v>3202.8729185587208</v>
      </c>
      <c r="AL64" s="12">
        <v>3494.0431838822406</v>
      </c>
      <c r="AM64" s="12">
        <v>3785.2134492057612</v>
      </c>
      <c r="AN64" s="12">
        <v>4076.3837145292814</v>
      </c>
    </row>
    <row r="65" spans="2:40" x14ac:dyDescent="0.25">
      <c r="B65" s="39" t="s">
        <v>56</v>
      </c>
      <c r="E65" s="12" cm="1">
        <f t="array" ref="E65:AN65">_xlfn.LET(_xlpm.site,$B$1&amp;"-"&amp;$C$1,_xlpm.locations,Base!$D$4:$BD$4,_xlpm.rates,Base!$D$39:$BD$39,_xlpm.hours,Base!$D$82:$BD$82,_xlpm.comp,_xlpm.rates*_xlpm.hours,_xlpm.Customer,_xlfn.ANCHORARRAY($E$1),
_xlpm.Customer_comp,_xlfn.XLOOKUP(_xlpm.site,_xlpm.locations,_xlpm.comp,0,0),_xlpm.ann_incr,_xlfn.XLOOKUP(YEAR(_xlfn.ANCHORARRAY($E$25)),Base!$BJ$4:$BL$4,Base!$BJ$82:$BL$82,0,0),
_xlpm.bad_debt,_xlfn.XLOOKUP(_xlpm.site,_xlpm.locations,Base!$D$28:$BD$28,0,0),_xlpm.Customer_comp*_xlpm.Customer*_xlpm.bad_debt*_xlpm.ann_incr*(52/12)*(1-$C$35))</f>
        <v>0</v>
      </c>
      <c r="F65" s="12">
        <v>0</v>
      </c>
      <c r="G65" s="12">
        <v>0</v>
      </c>
      <c r="H65" s="12">
        <v>0</v>
      </c>
      <c r="I65" s="12">
        <v>0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  <c r="O65" s="12">
        <v>0</v>
      </c>
      <c r="P65" s="12">
        <v>0</v>
      </c>
      <c r="Q65" s="12">
        <v>0</v>
      </c>
      <c r="R65" s="12">
        <v>0</v>
      </c>
      <c r="S65" s="12">
        <v>0</v>
      </c>
      <c r="T65" s="12">
        <v>0</v>
      </c>
      <c r="U65" s="12">
        <v>0</v>
      </c>
      <c r="V65" s="12">
        <v>0</v>
      </c>
      <c r="W65" s="12">
        <v>0</v>
      </c>
      <c r="X65" s="12">
        <v>0</v>
      </c>
      <c r="Y65" s="12">
        <v>0</v>
      </c>
      <c r="Z65" s="12">
        <v>0</v>
      </c>
      <c r="AA65" s="12">
        <v>1770.8074248550399</v>
      </c>
      <c r="AB65" s="12">
        <v>3541.6148497100799</v>
      </c>
      <c r="AC65" s="12">
        <v>5312.4222745651196</v>
      </c>
      <c r="AD65" s="12">
        <v>7083.2296994201597</v>
      </c>
      <c r="AE65" s="12">
        <v>8854.0371242752008</v>
      </c>
      <c r="AF65" s="12">
        <v>10624.844549130239</v>
      </c>
      <c r="AG65" s="12">
        <v>12395.651973985277</v>
      </c>
      <c r="AH65" s="12">
        <v>14166.459398840319</v>
      </c>
      <c r="AI65" s="12">
        <v>15937.266823695358</v>
      </c>
      <c r="AJ65" s="12">
        <v>17708.074248550402</v>
      </c>
      <c r="AK65" s="12">
        <v>19478.881673405438</v>
      </c>
      <c r="AL65" s="12">
        <v>21249.689098260478</v>
      </c>
      <c r="AM65" s="12">
        <v>23020.496523115518</v>
      </c>
      <c r="AN65" s="12">
        <v>24791.303947970555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303</v>
      </c>
      <c r="C67" s="12"/>
      <c r="E67" s="13" cm="1">
        <f t="array" ref="E67:AN67">_xlfn.BYCOL(_xlfn.VSTACK(_xlfn.ANCHORARRAY($E$63),_xlfn.ANCHORARRAY($E$64),_xlfn.ANCHORARRAY($E$65)),_xlfn.LAMBDA(_xlpm.a,SUM(_xlpm.a)))</f>
        <v>0</v>
      </c>
      <c r="F67" s="13">
        <v>0</v>
      </c>
      <c r="G67" s="13">
        <v>0</v>
      </c>
      <c r="H67" s="13">
        <v>0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  <c r="W67" s="13">
        <v>0</v>
      </c>
      <c r="X67" s="13">
        <v>0</v>
      </c>
      <c r="Y67" s="13">
        <v>0</v>
      </c>
      <c r="Z67" s="13">
        <v>0</v>
      </c>
      <c r="AA67" s="13">
        <v>4241.0700916531196</v>
      </c>
      <c r="AB67" s="13">
        <v>8482.1401833062391</v>
      </c>
      <c r="AC67" s="13">
        <v>12723.210274959358</v>
      </c>
      <c r="AD67" s="13">
        <v>16964.280366612478</v>
      </c>
      <c r="AE67" s="13">
        <v>21205.350458265602</v>
      </c>
      <c r="AF67" s="13">
        <v>25446.420549918716</v>
      </c>
      <c r="AG67" s="13">
        <v>29687.490641571832</v>
      </c>
      <c r="AH67" s="13">
        <v>33928.560733224956</v>
      </c>
      <c r="AI67" s="13">
        <v>38169.63082487807</v>
      </c>
      <c r="AJ67" s="13">
        <v>42410.700916531205</v>
      </c>
      <c r="AK67" s="13">
        <v>46651.771008184311</v>
      </c>
      <c r="AL67" s="13">
        <v>50892.841099837431</v>
      </c>
      <c r="AM67" s="13">
        <v>55133.911191490552</v>
      </c>
      <c r="AN67" s="13">
        <v>59374.981283143665</v>
      </c>
    </row>
    <row r="68" spans="2:40" x14ac:dyDescent="0.25">
      <c r="B68" s="39"/>
      <c r="C68" s="12"/>
    </row>
    <row r="69" spans="2:40" x14ac:dyDescent="0.25">
      <c r="B69" s="39" t="s">
        <v>304</v>
      </c>
      <c r="C69" s="12"/>
      <c r="E69" s="106" cm="1">
        <f t="array" ref="E69:AN70">_xlfn.LET(_xlpm.Customer_staff,_xlfn._xlws.FILTER(Base!$D$96:$BD$97,ISNUMBER(SEARCH($B$1&amp;"-"&amp;$C$1,Base!$D$4:$BD$4))),_xlpm.Customer,_xlfn.ANCHORARRAY($E$1),_xlpm.headcount,_xlpm.Customer/_xlpm.Customer_staff,
_xlpm.rounding,_xlfn.VSTACK(0,0),IFERROR(ROUND(_xlpm.headcount,_xlpm.rounding),0))</f>
        <v>0</v>
      </c>
      <c r="F69" s="106">
        <v>0</v>
      </c>
      <c r="G69" s="106">
        <v>0</v>
      </c>
      <c r="H69" s="106">
        <v>0</v>
      </c>
      <c r="I69" s="106">
        <v>0</v>
      </c>
      <c r="J69" s="106">
        <v>0</v>
      </c>
      <c r="K69" s="106">
        <v>0</v>
      </c>
      <c r="L69" s="106">
        <v>0</v>
      </c>
      <c r="M69" s="106">
        <v>0</v>
      </c>
      <c r="N69" s="106">
        <v>0</v>
      </c>
      <c r="O69" s="106">
        <v>0</v>
      </c>
      <c r="P69" s="106">
        <v>0</v>
      </c>
      <c r="Q69" s="106">
        <v>0</v>
      </c>
      <c r="R69" s="106">
        <v>0</v>
      </c>
      <c r="S69" s="106">
        <v>0</v>
      </c>
      <c r="T69" s="106">
        <v>0</v>
      </c>
      <c r="U69" s="106">
        <v>0</v>
      </c>
      <c r="V69" s="106">
        <v>0</v>
      </c>
      <c r="W69" s="106">
        <v>0</v>
      </c>
      <c r="X69" s="106">
        <v>0</v>
      </c>
      <c r="Y69" s="106">
        <v>0</v>
      </c>
      <c r="Z69" s="106">
        <v>0</v>
      </c>
      <c r="AA69" s="106">
        <v>0</v>
      </c>
      <c r="AB69" s="106">
        <v>0</v>
      </c>
      <c r="AC69" s="106">
        <v>0</v>
      </c>
      <c r="AD69" s="106">
        <v>0</v>
      </c>
      <c r="AE69" s="106">
        <v>0</v>
      </c>
      <c r="AF69" s="106">
        <v>0</v>
      </c>
      <c r="AG69" s="106">
        <v>1</v>
      </c>
      <c r="AH69" s="106">
        <v>1</v>
      </c>
      <c r="AI69" s="106">
        <v>1</v>
      </c>
      <c r="AJ69" s="106">
        <v>1</v>
      </c>
      <c r="AK69" s="106">
        <v>1</v>
      </c>
      <c r="AL69" s="106">
        <v>1</v>
      </c>
      <c r="AM69" s="106">
        <v>1</v>
      </c>
      <c r="AN69" s="106">
        <v>1</v>
      </c>
    </row>
    <row r="70" spans="2:40" x14ac:dyDescent="0.25">
      <c r="B70" s="39" t="s">
        <v>305</v>
      </c>
      <c r="C70" s="12"/>
      <c r="E70" s="106">
        <v>0</v>
      </c>
      <c r="F70" s="106">
        <v>0</v>
      </c>
      <c r="G70" s="106">
        <v>0</v>
      </c>
      <c r="H70" s="106">
        <v>0</v>
      </c>
      <c r="I70" s="106">
        <v>0</v>
      </c>
      <c r="J70" s="106">
        <v>0</v>
      </c>
      <c r="K70" s="106">
        <v>0</v>
      </c>
      <c r="L70" s="106">
        <v>0</v>
      </c>
      <c r="M70" s="106">
        <v>0</v>
      </c>
      <c r="N70" s="106">
        <v>0</v>
      </c>
      <c r="O70" s="106">
        <v>0</v>
      </c>
      <c r="P70" s="106">
        <v>0</v>
      </c>
      <c r="Q70" s="106">
        <v>0</v>
      </c>
      <c r="R70" s="106">
        <v>0</v>
      </c>
      <c r="S70" s="106">
        <v>0</v>
      </c>
      <c r="T70" s="106">
        <v>0</v>
      </c>
      <c r="U70" s="106">
        <v>0</v>
      </c>
      <c r="V70" s="106">
        <v>0</v>
      </c>
      <c r="W70" s="106">
        <v>0</v>
      </c>
      <c r="X70" s="106">
        <v>0</v>
      </c>
      <c r="Y70" s="106">
        <v>0</v>
      </c>
      <c r="Z70" s="106">
        <v>0</v>
      </c>
      <c r="AA70" s="106">
        <v>0</v>
      </c>
      <c r="AB70" s="106">
        <v>0</v>
      </c>
      <c r="AC70" s="106">
        <v>0</v>
      </c>
      <c r="AD70" s="106">
        <v>0</v>
      </c>
      <c r="AE70" s="106">
        <v>0</v>
      </c>
      <c r="AF70" s="106">
        <v>0</v>
      </c>
      <c r="AG70" s="106">
        <v>0</v>
      </c>
      <c r="AH70" s="106">
        <v>1</v>
      </c>
      <c r="AI70" s="106">
        <v>1</v>
      </c>
      <c r="AJ70" s="106">
        <v>1</v>
      </c>
      <c r="AK70" s="106">
        <v>1</v>
      </c>
      <c r="AL70" s="106">
        <v>1</v>
      </c>
      <c r="AM70" s="106">
        <v>1</v>
      </c>
      <c r="AN70" s="106">
        <v>1</v>
      </c>
    </row>
    <row r="71" spans="2:40" x14ac:dyDescent="0.25">
      <c r="B71" s="39"/>
      <c r="C71" s="12"/>
    </row>
    <row r="72" spans="2:40" x14ac:dyDescent="0.25">
      <c r="B72" s="39" t="s">
        <v>23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0</v>
      </c>
      <c r="F72" s="12">
        <v>0</v>
      </c>
      <c r="G72" s="12">
        <v>0</v>
      </c>
      <c r="H72" s="12">
        <v>0</v>
      </c>
      <c r="I72" s="12">
        <v>0</v>
      </c>
      <c r="J72" s="12">
        <v>0</v>
      </c>
      <c r="K72" s="12">
        <v>0</v>
      </c>
      <c r="L72" s="12">
        <v>0</v>
      </c>
      <c r="M72" s="12">
        <v>0</v>
      </c>
      <c r="N72" s="12">
        <v>0</v>
      </c>
      <c r="O72" s="12">
        <v>0</v>
      </c>
      <c r="P72" s="12">
        <v>0</v>
      </c>
      <c r="Q72" s="12">
        <v>0</v>
      </c>
      <c r="R72" s="12">
        <v>0</v>
      </c>
      <c r="S72" s="12">
        <v>0</v>
      </c>
      <c r="T72" s="12">
        <v>0</v>
      </c>
      <c r="U72" s="12">
        <v>0</v>
      </c>
      <c r="V72" s="12">
        <v>0</v>
      </c>
      <c r="W72" s="12">
        <v>0</v>
      </c>
      <c r="X72" s="12">
        <v>0</v>
      </c>
      <c r="Y72" s="12">
        <v>0</v>
      </c>
      <c r="Z72" s="12">
        <v>0</v>
      </c>
      <c r="AA72" s="12">
        <v>1489.7914907369507</v>
      </c>
      <c r="AB72" s="12">
        <v>2979.5829814739013</v>
      </c>
      <c r="AC72" s="12">
        <v>4916.3119194319379</v>
      </c>
      <c r="AD72" s="12">
        <v>6555.0825592425836</v>
      </c>
      <c r="AE72" s="12">
        <v>8193.8531990532283</v>
      </c>
      <c r="AF72" s="12">
        <v>9832.6238388638758</v>
      </c>
      <c r="AG72" s="12">
        <v>28174.234478674523</v>
      </c>
      <c r="AH72" s="12">
        <v>46515.845118485166</v>
      </c>
      <c r="AI72" s="12">
        <v>48154.615758295811</v>
      </c>
      <c r="AJ72" s="12">
        <v>49793.386398106457</v>
      </c>
      <c r="AK72" s="12">
        <v>51432.157037917103</v>
      </c>
      <c r="AL72" s="12">
        <v>53070.927677727756</v>
      </c>
      <c r="AM72" s="12">
        <v>54709.698317538408</v>
      </c>
      <c r="AN72" s="12">
        <v>56348.468957349047</v>
      </c>
    </row>
    <row r="73" spans="2:40" x14ac:dyDescent="0.25">
      <c r="B73" s="39" t="s">
        <v>24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306</v>
      </c>
      <c r="E75" s="74" cm="1">
        <f t="array" ref="E75:AN75">_xlfn.ANCHORARRAY(E67)-_xlfn.ANCHORARRAY(E72)-_xlfn.ANCHORARRAY(E73)</f>
        <v>0</v>
      </c>
      <c r="F75" s="74">
        <v>0</v>
      </c>
      <c r="G75" s="74">
        <v>0</v>
      </c>
      <c r="H75" s="74">
        <v>0</v>
      </c>
      <c r="I75" s="74">
        <v>0</v>
      </c>
      <c r="J75" s="74">
        <v>0</v>
      </c>
      <c r="K75" s="74">
        <v>0</v>
      </c>
      <c r="L75" s="74">
        <v>0</v>
      </c>
      <c r="M75" s="74">
        <v>0</v>
      </c>
      <c r="N75" s="74">
        <v>0</v>
      </c>
      <c r="O75" s="74">
        <v>0</v>
      </c>
      <c r="P75" s="74">
        <v>0</v>
      </c>
      <c r="Q75" s="74">
        <v>0</v>
      </c>
      <c r="R75" s="74">
        <v>0</v>
      </c>
      <c r="S75" s="74">
        <v>0</v>
      </c>
      <c r="T75" s="74">
        <v>0</v>
      </c>
      <c r="U75" s="74">
        <v>0</v>
      </c>
      <c r="V75" s="74">
        <v>0</v>
      </c>
      <c r="W75" s="74">
        <v>0</v>
      </c>
      <c r="X75" s="74">
        <v>0</v>
      </c>
      <c r="Y75" s="74">
        <v>0</v>
      </c>
      <c r="Z75" s="74">
        <v>0</v>
      </c>
      <c r="AA75" s="74">
        <v>2751.2786009161691</v>
      </c>
      <c r="AB75" s="74">
        <v>5502.5572018323383</v>
      </c>
      <c r="AC75" s="74">
        <v>7806.8983555274199</v>
      </c>
      <c r="AD75" s="74">
        <v>10409.197807369896</v>
      </c>
      <c r="AE75" s="74">
        <v>13011.497259212374</v>
      </c>
      <c r="AF75" s="74">
        <v>15613.79671105484</v>
      </c>
      <c r="AG75" s="74">
        <v>1513.256162897309</v>
      </c>
      <c r="AH75" s="74">
        <v>-12587.284385260209</v>
      </c>
      <c r="AI75" s="74">
        <v>-9984.9849334177416</v>
      </c>
      <c r="AJ75" s="74">
        <v>-7382.6854815752522</v>
      </c>
      <c r="AK75" s="74">
        <v>-4780.3860297327919</v>
      </c>
      <c r="AL75" s="74">
        <v>-2178.0865778903244</v>
      </c>
      <c r="AM75" s="74">
        <v>424.21287395214313</v>
      </c>
      <c r="AN75" s="74">
        <v>3026.5123257946179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33CDA6-FE8C-40C5-B315-85867B998257}">
  <dimension ref="A1:AX75"/>
  <sheetViews>
    <sheetView workbookViewId="0">
      <pane xSplit="4" ySplit="25" topLeftCell="E26" activePane="bottomRight" state="frozen"/>
      <selection activeCell="E63" sqref="E63:E65"/>
      <selection pane="topRight" activeCell="E63" sqref="E63:E65"/>
      <selection pane="bottomLeft" activeCell="E63" sqref="E63:E65"/>
      <selection pane="bottomRight" activeCell="E63" sqref="E63:E65"/>
    </sheetView>
  </sheetViews>
  <sheetFormatPr defaultRowHeight="15" outlineLevelRow="1" x14ac:dyDescent="0.25"/>
  <cols>
    <col min="2" max="2" width="24.5703125" bestFit="1" customWidth="1"/>
    <col min="3" max="3" width="11.5703125" bestFit="1" customWidth="1"/>
    <col min="4" max="4" width="10" bestFit="1" customWidth="1"/>
    <col min="5" max="5" width="11.42578125" bestFit="1" customWidth="1"/>
    <col min="6" max="6" width="11.7109375" bestFit="1" customWidth="1"/>
    <col min="7" max="13" width="12.28515625" bestFit="1" customWidth="1"/>
    <col min="14" max="18" width="11.5703125" bestFit="1" customWidth="1"/>
    <col min="19" max="40" width="12.5703125" bestFit="1" customWidth="1"/>
  </cols>
  <sheetData>
    <row r="1" spans="1:40" x14ac:dyDescent="0.25">
      <c r="A1" s="96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>2027</v>
      </c>
      <c r="B1" s="58" t="s">
        <v>70</v>
      </c>
      <c r="C1" s="16" t="s">
        <v>61</v>
      </c>
      <c r="D1" s="3" t="s">
        <v>307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IFERROR(_xlpm.kiddos,0))</f>
        <v>0</v>
      </c>
      <c r="F1" s="69">
        <v>0</v>
      </c>
      <c r="G1" s="69">
        <v>0</v>
      </c>
      <c r="H1" s="69">
        <v>0</v>
      </c>
      <c r="I1" s="69">
        <v>0</v>
      </c>
      <c r="J1" s="69">
        <v>0</v>
      </c>
      <c r="K1" s="69">
        <v>0</v>
      </c>
      <c r="L1" s="69">
        <v>0</v>
      </c>
      <c r="M1" s="69">
        <v>0</v>
      </c>
      <c r="N1" s="69">
        <v>0</v>
      </c>
      <c r="O1" s="69">
        <v>0</v>
      </c>
      <c r="P1" s="69">
        <v>0</v>
      </c>
      <c r="Q1" s="69">
        <v>0</v>
      </c>
      <c r="R1" s="69">
        <v>0</v>
      </c>
      <c r="S1" s="69">
        <v>0</v>
      </c>
      <c r="T1" s="69">
        <v>0</v>
      </c>
      <c r="U1" s="69">
        <v>0</v>
      </c>
      <c r="V1" s="69">
        <v>0</v>
      </c>
      <c r="W1" s="69">
        <v>0</v>
      </c>
      <c r="X1" s="69">
        <v>0</v>
      </c>
      <c r="Y1" s="69">
        <v>0</v>
      </c>
      <c r="Z1" s="69">
        <v>0</v>
      </c>
      <c r="AA1" s="69">
        <v>0</v>
      </c>
      <c r="AB1" s="69">
        <v>3</v>
      </c>
      <c r="AC1" s="69">
        <v>6</v>
      </c>
      <c r="AD1" s="69">
        <v>9</v>
      </c>
      <c r="AE1" s="69">
        <v>12</v>
      </c>
      <c r="AF1" s="69">
        <v>15</v>
      </c>
      <c r="AG1" s="69">
        <v>18</v>
      </c>
      <c r="AH1" s="69">
        <v>21</v>
      </c>
      <c r="AI1" s="69">
        <v>24</v>
      </c>
      <c r="AJ1" s="69">
        <v>27</v>
      </c>
      <c r="AK1" s="69">
        <v>30</v>
      </c>
      <c r="AL1" s="69">
        <v>33</v>
      </c>
      <c r="AM1" s="69">
        <v>36</v>
      </c>
      <c r="AN1" s="69">
        <v>39</v>
      </c>
    </row>
    <row r="2" spans="1:40" x14ac:dyDescent="0.25">
      <c r="A2" s="65"/>
      <c r="B2" s="3" t="str">
        <f>_xlfn.XLOOKUP($B$1&amp;"-"&amp;$C$1,Base!$D$4:$BD$4,Base!$D$2:$BD$2,"",0)</f>
        <v>New Jersey</v>
      </c>
      <c r="C2" s="55"/>
      <c r="D2" s="55" t="s">
        <v>259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0</v>
      </c>
      <c r="F2" s="69">
        <v>0</v>
      </c>
      <c r="G2" s="69">
        <v>0</v>
      </c>
      <c r="H2" s="69">
        <v>0</v>
      </c>
      <c r="I2" s="69">
        <v>0</v>
      </c>
      <c r="J2" s="69">
        <v>0</v>
      </c>
      <c r="K2" s="69">
        <v>0</v>
      </c>
      <c r="L2" s="69">
        <v>0</v>
      </c>
      <c r="M2" s="69">
        <v>0</v>
      </c>
      <c r="N2" s="69">
        <v>0</v>
      </c>
      <c r="O2" s="69">
        <v>0</v>
      </c>
      <c r="P2" s="69">
        <v>0</v>
      </c>
      <c r="Q2" s="69">
        <v>0</v>
      </c>
      <c r="R2" s="69">
        <v>0</v>
      </c>
      <c r="S2" s="69">
        <v>0</v>
      </c>
      <c r="T2" s="69">
        <v>0</v>
      </c>
      <c r="U2" s="69">
        <v>0</v>
      </c>
      <c r="V2" s="69">
        <v>0</v>
      </c>
      <c r="W2" s="69">
        <v>0</v>
      </c>
      <c r="X2" s="69">
        <v>0</v>
      </c>
      <c r="Y2" s="69">
        <v>0</v>
      </c>
      <c r="Z2" s="69">
        <v>0</v>
      </c>
      <c r="AA2" s="69">
        <v>0</v>
      </c>
      <c r="AB2" s="69">
        <v>0</v>
      </c>
      <c r="AC2" s="69">
        <v>3.1666666666666665</v>
      </c>
      <c r="AD2" s="69">
        <v>3.3333333333333335</v>
      </c>
      <c r="AE2" s="69">
        <v>3.5</v>
      </c>
      <c r="AF2" s="69">
        <v>3.6666666666666665</v>
      </c>
      <c r="AG2" s="69">
        <v>3.8333333333333335</v>
      </c>
      <c r="AH2" s="69">
        <v>4</v>
      </c>
      <c r="AI2" s="69">
        <v>4.166666666666667</v>
      </c>
      <c r="AJ2" s="69">
        <v>4.333333333333333</v>
      </c>
      <c r="AK2" s="69">
        <v>4.5</v>
      </c>
      <c r="AL2" s="69">
        <v>4.666666666666667</v>
      </c>
      <c r="AM2" s="69">
        <v>4.833333333333333</v>
      </c>
      <c r="AN2" s="69">
        <v>5</v>
      </c>
    </row>
    <row r="3" spans="1:40" x14ac:dyDescent="0.25">
      <c r="A3" s="65"/>
      <c r="B3" s="55"/>
      <c r="C3" s="55"/>
      <c r="D3" s="55" t="s">
        <v>62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_xlpm.months_since,DATEDIF(_xlpm.launchdate,_xlfn.ANCHORARRAY($E$25),"m"),_xlfn.BYCOL(_xlpm.months_since,_xlfn.LAMBDA(_xlpm.a,IFERROR(MIN(_xlpm.a/6,_xlpm.max_kiddos),0))))</f>
        <v>0</v>
      </c>
      <c r="F3" s="69">
        <v>0</v>
      </c>
      <c r="G3" s="69">
        <v>0</v>
      </c>
      <c r="H3" s="69">
        <v>0</v>
      </c>
      <c r="I3" s="69">
        <v>0</v>
      </c>
      <c r="J3" s="69">
        <v>0</v>
      </c>
      <c r="K3" s="69">
        <v>0</v>
      </c>
      <c r="L3" s="69">
        <v>0</v>
      </c>
      <c r="M3" s="69">
        <v>0</v>
      </c>
      <c r="N3" s="69">
        <v>0</v>
      </c>
      <c r="O3" s="69">
        <v>0</v>
      </c>
      <c r="P3" s="69">
        <v>0</v>
      </c>
      <c r="Q3" s="69">
        <v>0</v>
      </c>
      <c r="R3" s="69">
        <v>0</v>
      </c>
      <c r="S3" s="69">
        <v>0</v>
      </c>
      <c r="T3" s="69">
        <v>0</v>
      </c>
      <c r="U3" s="69">
        <v>0</v>
      </c>
      <c r="V3" s="69">
        <v>0</v>
      </c>
      <c r="W3" s="69">
        <v>0</v>
      </c>
      <c r="X3" s="69">
        <v>0</v>
      </c>
      <c r="Y3" s="69">
        <v>0</v>
      </c>
      <c r="Z3" s="69">
        <v>0</v>
      </c>
      <c r="AA3" s="69">
        <v>0</v>
      </c>
      <c r="AB3" s="69">
        <v>0</v>
      </c>
      <c r="AC3" s="69">
        <v>0.16666666666666666</v>
      </c>
      <c r="AD3" s="69">
        <v>0.33333333333333331</v>
      </c>
      <c r="AE3" s="69">
        <v>0.5</v>
      </c>
      <c r="AF3" s="69">
        <v>0.66666666666666663</v>
      </c>
      <c r="AG3" s="69">
        <v>0.83333333333333337</v>
      </c>
      <c r="AH3" s="69">
        <v>1</v>
      </c>
      <c r="AI3" s="69">
        <v>1.1666666666666667</v>
      </c>
      <c r="AJ3" s="69">
        <v>1.3333333333333333</v>
      </c>
      <c r="AK3" s="69">
        <v>1.5</v>
      </c>
      <c r="AL3" s="69">
        <v>1.6666666666666667</v>
      </c>
      <c r="AM3" s="69">
        <v>1.8333333333333333</v>
      </c>
      <c r="AN3" s="69">
        <v>2</v>
      </c>
    </row>
    <row r="4" spans="1:40" x14ac:dyDescent="0.25">
      <c r="A4" s="65"/>
      <c r="B4" s="55"/>
      <c r="C4" s="55"/>
      <c r="D4" s="55" t="s">
        <v>260</v>
      </c>
      <c r="E4" s="69" cm="1">
        <f t="array" ref="E4:AN4">_xlfn.BYCOL(_xlfn.VSTACK(_xlfn.ANCHORARRAY($E$1),_xlfn.ANCHORARRAY($E$2)),_xlfn.LAMBDA(_xlpm.a,SUM(_xlpm.a)))</f>
        <v>0</v>
      </c>
      <c r="F4" s="69">
        <v>0</v>
      </c>
      <c r="G4" s="69">
        <v>0</v>
      </c>
      <c r="H4" s="69">
        <v>0</v>
      </c>
      <c r="I4" s="69">
        <v>0</v>
      </c>
      <c r="J4" s="69">
        <v>0</v>
      </c>
      <c r="K4" s="69">
        <v>0</v>
      </c>
      <c r="L4" s="69">
        <v>0</v>
      </c>
      <c r="M4" s="69">
        <v>0</v>
      </c>
      <c r="N4" s="69">
        <v>0</v>
      </c>
      <c r="O4" s="69">
        <v>0</v>
      </c>
      <c r="P4" s="69">
        <v>0</v>
      </c>
      <c r="Q4" s="69">
        <v>0</v>
      </c>
      <c r="R4" s="69">
        <v>0</v>
      </c>
      <c r="S4" s="69">
        <v>0</v>
      </c>
      <c r="T4" s="69">
        <v>0</v>
      </c>
      <c r="U4" s="69">
        <v>0</v>
      </c>
      <c r="V4" s="69">
        <v>0</v>
      </c>
      <c r="W4" s="69">
        <v>0</v>
      </c>
      <c r="X4" s="69">
        <v>0</v>
      </c>
      <c r="Y4" s="69">
        <v>0</v>
      </c>
      <c r="Z4" s="69">
        <v>0</v>
      </c>
      <c r="AA4" s="69">
        <v>0</v>
      </c>
      <c r="AB4" s="69">
        <v>3</v>
      </c>
      <c r="AC4" s="69">
        <v>9.1666666666666661</v>
      </c>
      <c r="AD4" s="69">
        <v>12.333333333333334</v>
      </c>
      <c r="AE4" s="69">
        <v>15.5</v>
      </c>
      <c r="AF4" s="69">
        <v>18.666666666666668</v>
      </c>
      <c r="AG4" s="69">
        <v>21.833333333333332</v>
      </c>
      <c r="AH4" s="69">
        <v>25</v>
      </c>
      <c r="AI4" s="69">
        <v>28.166666666666668</v>
      </c>
      <c r="AJ4" s="69">
        <v>31.333333333333332</v>
      </c>
      <c r="AK4" s="69">
        <v>34.5</v>
      </c>
      <c r="AL4" s="69">
        <v>37.666666666666664</v>
      </c>
      <c r="AM4" s="69">
        <v>40.833333333333336</v>
      </c>
      <c r="AN4" s="69">
        <v>44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107</v>
      </c>
      <c r="C6" s="3"/>
      <c r="D6" s="3"/>
      <c r="E6" s="66" cm="1">
        <f t="array" ref="E6:AN6">ROUND(_xlfn.BYCOL(_xlfn.ANCHORARRAY(E7),_xlfn.LAMBDA(_xlpm.a,SUM(_xlpm.a))),0)</f>
        <v>0</v>
      </c>
      <c r="F6" s="66">
        <v>0</v>
      </c>
      <c r="G6" s="66">
        <v>0</v>
      </c>
      <c r="H6" s="66">
        <v>0</v>
      </c>
      <c r="I6" s="66">
        <v>0</v>
      </c>
      <c r="J6" s="66">
        <v>0</v>
      </c>
      <c r="K6" s="66">
        <v>0</v>
      </c>
      <c r="L6" s="66">
        <v>0</v>
      </c>
      <c r="M6" s="66">
        <v>0</v>
      </c>
      <c r="N6" s="66">
        <v>0</v>
      </c>
      <c r="O6" s="66">
        <v>0</v>
      </c>
      <c r="P6" s="66">
        <v>0</v>
      </c>
      <c r="Q6" s="66">
        <v>0</v>
      </c>
      <c r="R6" s="66">
        <v>0</v>
      </c>
      <c r="S6" s="66">
        <v>0</v>
      </c>
      <c r="T6" s="66">
        <v>0</v>
      </c>
      <c r="U6" s="66">
        <v>0</v>
      </c>
      <c r="V6" s="66">
        <v>0</v>
      </c>
      <c r="W6" s="66">
        <v>0</v>
      </c>
      <c r="X6" s="66">
        <v>0</v>
      </c>
      <c r="Y6" s="66">
        <v>0</v>
      </c>
      <c r="Z6" s="66">
        <v>0</v>
      </c>
      <c r="AA6" s="66">
        <v>0</v>
      </c>
      <c r="AB6" s="66">
        <v>6</v>
      </c>
      <c r="AC6" s="66">
        <v>11</v>
      </c>
      <c r="AD6" s="66">
        <v>15</v>
      </c>
      <c r="AE6" s="66">
        <v>18</v>
      </c>
      <c r="AF6" s="66">
        <v>22</v>
      </c>
      <c r="AG6" s="66">
        <v>26</v>
      </c>
      <c r="AH6" s="66">
        <v>29</v>
      </c>
      <c r="AI6" s="66">
        <v>33</v>
      </c>
      <c r="AJ6" s="66">
        <v>37</v>
      </c>
      <c r="AK6" s="66">
        <v>40</v>
      </c>
      <c r="AL6" s="66">
        <v>44</v>
      </c>
      <c r="AM6" s="66">
        <v>47</v>
      </c>
      <c r="AN6" s="66">
        <v>51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1"/>
      <c r="E7" s="106" cm="1">
        <f t="array" ref="E7:AN20">_xlfn.LET(_xlpm.Customer_staff,_xlfn._xlws.FILTER(Base!$D$85:$BD$98,ISNUMBER(SEARCH($B$1&amp;"-"&amp;$C$1,Base!$D$4:$BD$4))),_xlpm.Customer,_xlfn.ANCHORARRAY($E$1),_xlpm.headcount,_xlpm.Customer/_xlpm.Customer_staff,
_xlpm.patient_staff,_xlfn.ANCHORARRAY($E$2)/_xlpm.Customer_staff,_xlpm.prim_staff_tr_rec,_xlfn.ANCHORARRAY($E$2)/_xlfn.CHOOSEROWS(_xlpm.Customer_staff,{7,8})+(_xlfn.ANCHORARRAY($E$1)*0.0055),_xlpm.rounding,_xlfn.VSTACK(2,2,0,0,2,2,2,2,2,2,2,0,0,0),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prim_staff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0</v>
      </c>
      <c r="F7" s="106">
        <v>0</v>
      </c>
      <c r="G7" s="106">
        <v>0</v>
      </c>
      <c r="H7" s="106">
        <v>0</v>
      </c>
      <c r="I7" s="106">
        <v>0</v>
      </c>
      <c r="J7" s="106">
        <v>0</v>
      </c>
      <c r="K7" s="106">
        <v>0</v>
      </c>
      <c r="L7" s="106">
        <v>0</v>
      </c>
      <c r="M7" s="106">
        <v>0</v>
      </c>
      <c r="N7" s="106">
        <v>0</v>
      </c>
      <c r="O7" s="106">
        <v>0</v>
      </c>
      <c r="P7" s="106">
        <v>0</v>
      </c>
      <c r="Q7" s="106">
        <v>0</v>
      </c>
      <c r="R7" s="106">
        <v>0</v>
      </c>
      <c r="S7" s="106">
        <v>0</v>
      </c>
      <c r="T7" s="106">
        <v>0</v>
      </c>
      <c r="U7" s="106">
        <v>0</v>
      </c>
      <c r="V7" s="106">
        <v>0</v>
      </c>
      <c r="W7" s="106">
        <v>0</v>
      </c>
      <c r="X7" s="106">
        <v>0</v>
      </c>
      <c r="Y7" s="106">
        <v>0</v>
      </c>
      <c r="Z7" s="106">
        <v>0</v>
      </c>
      <c r="AA7" s="106">
        <v>0</v>
      </c>
      <c r="AB7" s="106">
        <v>2.8299999999999996</v>
      </c>
      <c r="AC7" s="106">
        <v>5.6499999999999995</v>
      </c>
      <c r="AD7" s="106">
        <v>8.48</v>
      </c>
      <c r="AE7" s="106">
        <v>11.299999999999999</v>
      </c>
      <c r="AF7" s="106">
        <v>14.12</v>
      </c>
      <c r="AG7" s="106">
        <v>16.950000000000003</v>
      </c>
      <c r="AH7" s="106">
        <v>19.770000000000003</v>
      </c>
      <c r="AI7" s="106">
        <v>22.59</v>
      </c>
      <c r="AJ7" s="106">
        <v>25.42</v>
      </c>
      <c r="AK7" s="106">
        <v>28.240000000000002</v>
      </c>
      <c r="AL7" s="106">
        <v>31.060000000000002</v>
      </c>
      <c r="AM7" s="106">
        <v>33.89</v>
      </c>
      <c r="AN7" s="106">
        <v>36.71</v>
      </c>
    </row>
    <row r="8" spans="1:40" hidden="1" outlineLevel="1" x14ac:dyDescent="0.25">
      <c r="B8" s="39" t="str">
        <v>Secondary Direct Staff</v>
      </c>
      <c r="C8" s="3"/>
      <c r="D8" s="3"/>
      <c r="E8" s="106">
        <v>0</v>
      </c>
      <c r="F8" s="106">
        <v>0</v>
      </c>
      <c r="G8" s="106">
        <v>0</v>
      </c>
      <c r="H8" s="106">
        <v>0</v>
      </c>
      <c r="I8" s="106">
        <v>0</v>
      </c>
      <c r="J8" s="106">
        <v>0</v>
      </c>
      <c r="K8" s="106">
        <v>0</v>
      </c>
      <c r="L8" s="106">
        <v>0</v>
      </c>
      <c r="M8" s="106">
        <v>0</v>
      </c>
      <c r="N8" s="106">
        <v>0</v>
      </c>
      <c r="O8" s="106">
        <v>0</v>
      </c>
      <c r="P8" s="106">
        <v>0</v>
      </c>
      <c r="Q8" s="106">
        <v>0</v>
      </c>
      <c r="R8" s="106">
        <v>0</v>
      </c>
      <c r="S8" s="106">
        <v>0</v>
      </c>
      <c r="T8" s="106">
        <v>0</v>
      </c>
      <c r="U8" s="106">
        <v>0</v>
      </c>
      <c r="V8" s="106">
        <v>0</v>
      </c>
      <c r="W8" s="106">
        <v>0</v>
      </c>
      <c r="X8" s="106">
        <v>0</v>
      </c>
      <c r="Y8" s="106">
        <v>0</v>
      </c>
      <c r="Z8" s="106">
        <v>0</v>
      </c>
      <c r="AA8" s="106">
        <v>0</v>
      </c>
      <c r="AB8" s="106">
        <v>0.43</v>
      </c>
      <c r="AC8" s="106">
        <v>0.86</v>
      </c>
      <c r="AD8" s="106">
        <v>1.29</v>
      </c>
      <c r="AE8" s="106">
        <v>1.72</v>
      </c>
      <c r="AF8" s="106">
        <v>2.15</v>
      </c>
      <c r="AG8" s="106">
        <v>2.5799999999999996</v>
      </c>
      <c r="AH8" s="106">
        <v>3</v>
      </c>
      <c r="AI8" s="106">
        <v>3.4299999999999997</v>
      </c>
      <c r="AJ8" s="106">
        <v>3.86</v>
      </c>
      <c r="AK8" s="106">
        <v>4.29</v>
      </c>
      <c r="AL8" s="106">
        <v>4.72</v>
      </c>
      <c r="AM8" s="106">
        <v>5.1499999999999995</v>
      </c>
      <c r="AN8" s="106">
        <v>5.58</v>
      </c>
    </row>
    <row r="9" spans="1:40" hidden="1" outlineLevel="1" x14ac:dyDescent="0.25">
      <c r="B9" s="39" t="str">
        <v>Center Manager</v>
      </c>
      <c r="C9" s="3"/>
      <c r="D9" s="3"/>
      <c r="E9" s="106">
        <v>0</v>
      </c>
      <c r="F9" s="106">
        <v>0</v>
      </c>
      <c r="G9" s="106">
        <v>0</v>
      </c>
      <c r="H9" s="106">
        <v>0</v>
      </c>
      <c r="I9" s="106">
        <v>0</v>
      </c>
      <c r="J9" s="106">
        <v>0</v>
      </c>
      <c r="K9" s="106">
        <v>0</v>
      </c>
      <c r="L9" s="106">
        <v>0</v>
      </c>
      <c r="M9" s="106">
        <v>0</v>
      </c>
      <c r="N9" s="106">
        <v>0</v>
      </c>
      <c r="O9" s="106">
        <v>0</v>
      </c>
      <c r="P9" s="106">
        <v>0</v>
      </c>
      <c r="Q9" s="106">
        <v>0</v>
      </c>
      <c r="R9" s="106">
        <v>0</v>
      </c>
      <c r="S9" s="106">
        <v>0</v>
      </c>
      <c r="T9" s="106">
        <v>0</v>
      </c>
      <c r="U9" s="106">
        <v>0</v>
      </c>
      <c r="V9" s="106">
        <v>0</v>
      </c>
      <c r="W9" s="106">
        <v>0</v>
      </c>
      <c r="X9" s="106">
        <v>0</v>
      </c>
      <c r="Y9" s="106">
        <v>0</v>
      </c>
      <c r="Z9" s="106">
        <v>0</v>
      </c>
      <c r="AA9" s="106">
        <v>0</v>
      </c>
      <c r="AB9" s="106">
        <v>1</v>
      </c>
      <c r="AC9" s="106">
        <v>1</v>
      </c>
      <c r="AD9" s="106">
        <v>1</v>
      </c>
      <c r="AE9" s="106">
        <v>1</v>
      </c>
      <c r="AF9" s="106">
        <v>1</v>
      </c>
      <c r="AG9" s="106">
        <v>1</v>
      </c>
      <c r="AH9" s="106">
        <v>1</v>
      </c>
      <c r="AI9" s="106">
        <v>1</v>
      </c>
      <c r="AJ9" s="106">
        <v>1</v>
      </c>
      <c r="AK9" s="106">
        <v>1</v>
      </c>
      <c r="AL9" s="106">
        <v>1</v>
      </c>
      <c r="AM9" s="106">
        <v>1</v>
      </c>
      <c r="AN9" s="106">
        <v>1</v>
      </c>
    </row>
    <row r="10" spans="1:40" hidden="1" outlineLevel="1" x14ac:dyDescent="0.25">
      <c r="B10" s="39" t="str">
        <v>Intake</v>
      </c>
      <c r="C10" s="3"/>
      <c r="D10" s="3"/>
      <c r="E10" s="106">
        <v>0</v>
      </c>
      <c r="F10" s="106">
        <v>0</v>
      </c>
      <c r="G10" s="106">
        <v>0</v>
      </c>
      <c r="H10" s="106">
        <v>0</v>
      </c>
      <c r="I10" s="106">
        <v>0</v>
      </c>
      <c r="J10" s="106">
        <v>0</v>
      </c>
      <c r="K10" s="106">
        <v>0</v>
      </c>
      <c r="L10" s="106">
        <v>0</v>
      </c>
      <c r="M10" s="106">
        <v>0</v>
      </c>
      <c r="N10" s="106">
        <v>0</v>
      </c>
      <c r="O10" s="106">
        <v>0</v>
      </c>
      <c r="P10" s="106">
        <v>0</v>
      </c>
      <c r="Q10" s="106">
        <v>0</v>
      </c>
      <c r="R10" s="106">
        <v>0</v>
      </c>
      <c r="S10" s="106">
        <v>0</v>
      </c>
      <c r="T10" s="106">
        <v>0</v>
      </c>
      <c r="U10" s="106">
        <v>0</v>
      </c>
      <c r="V10" s="106">
        <v>0</v>
      </c>
      <c r="W10" s="106">
        <v>0</v>
      </c>
      <c r="X10" s="106">
        <v>0</v>
      </c>
      <c r="Y10" s="106">
        <v>0</v>
      </c>
      <c r="Z10" s="106">
        <v>0</v>
      </c>
      <c r="AA10" s="106">
        <v>0</v>
      </c>
      <c r="AB10" s="106">
        <v>0</v>
      </c>
      <c r="AC10" s="106">
        <v>1</v>
      </c>
      <c r="AD10" s="106">
        <v>1</v>
      </c>
      <c r="AE10" s="106">
        <v>1</v>
      </c>
      <c r="AF10" s="106">
        <v>1</v>
      </c>
      <c r="AG10" s="106">
        <v>1</v>
      </c>
      <c r="AH10" s="106">
        <v>1</v>
      </c>
      <c r="AI10" s="106">
        <v>1</v>
      </c>
      <c r="AJ10" s="106">
        <v>1</v>
      </c>
      <c r="AK10" s="106">
        <v>1</v>
      </c>
      <c r="AL10" s="106">
        <v>1</v>
      </c>
      <c r="AM10" s="106">
        <v>1</v>
      </c>
      <c r="AN10" s="106">
        <v>1</v>
      </c>
    </row>
    <row r="11" spans="1:40" hidden="1" outlineLevel="1" x14ac:dyDescent="0.25">
      <c r="B11" s="39" t="str">
        <v>Scheduler</v>
      </c>
      <c r="C11" s="3"/>
      <c r="D11" s="3"/>
      <c r="E11" s="106">
        <v>0</v>
      </c>
      <c r="F11" s="106">
        <v>0</v>
      </c>
      <c r="G11" s="106">
        <v>0</v>
      </c>
      <c r="H11" s="106">
        <v>0</v>
      </c>
      <c r="I11" s="106">
        <v>0</v>
      </c>
      <c r="J11" s="106">
        <v>0</v>
      </c>
      <c r="K11" s="106">
        <v>0</v>
      </c>
      <c r="L11" s="106">
        <v>0</v>
      </c>
      <c r="M11" s="106">
        <v>0</v>
      </c>
      <c r="N11" s="106">
        <v>0</v>
      </c>
      <c r="O11" s="106">
        <v>0</v>
      </c>
      <c r="P11" s="106">
        <v>0</v>
      </c>
      <c r="Q11" s="106">
        <v>0</v>
      </c>
      <c r="R11" s="106">
        <v>0</v>
      </c>
      <c r="S11" s="106">
        <v>0</v>
      </c>
      <c r="T11" s="106">
        <v>0</v>
      </c>
      <c r="U11" s="106">
        <v>0</v>
      </c>
      <c r="V11" s="106">
        <v>0</v>
      </c>
      <c r="W11" s="106">
        <v>0</v>
      </c>
      <c r="X11" s="106">
        <v>0</v>
      </c>
      <c r="Y11" s="106">
        <v>0</v>
      </c>
      <c r="Z11" s="106">
        <v>0</v>
      </c>
      <c r="AA11" s="106">
        <v>0</v>
      </c>
      <c r="AB11" s="106">
        <v>0</v>
      </c>
      <c r="AC11" s="106">
        <v>0</v>
      </c>
      <c r="AD11" s="106">
        <v>0</v>
      </c>
      <c r="AE11" s="106">
        <v>0</v>
      </c>
      <c r="AF11" s="106">
        <v>0</v>
      </c>
      <c r="AG11" s="106">
        <v>0</v>
      </c>
      <c r="AH11" s="106">
        <v>0</v>
      </c>
      <c r="AI11" s="106">
        <v>0</v>
      </c>
      <c r="AJ11" s="106">
        <v>0</v>
      </c>
      <c r="AK11" s="106">
        <v>0</v>
      </c>
      <c r="AL11" s="106">
        <v>0</v>
      </c>
      <c r="AM11" s="106">
        <v>0</v>
      </c>
      <c r="AN11" s="106">
        <v>0</v>
      </c>
    </row>
    <row r="12" spans="1:40" hidden="1" outlineLevel="1" x14ac:dyDescent="0.25">
      <c r="B12" s="39" t="str">
        <v>Initial Consultation Expert</v>
      </c>
      <c r="C12" s="3"/>
      <c r="D12" s="3"/>
      <c r="E12" s="106">
        <v>0</v>
      </c>
      <c r="F12" s="106">
        <v>0</v>
      </c>
      <c r="G12" s="106">
        <v>0</v>
      </c>
      <c r="H12" s="106">
        <v>0</v>
      </c>
      <c r="I12" s="106">
        <v>0</v>
      </c>
      <c r="J12" s="106">
        <v>0</v>
      </c>
      <c r="K12" s="106">
        <v>0</v>
      </c>
      <c r="L12" s="106">
        <v>0</v>
      </c>
      <c r="M12" s="106">
        <v>0</v>
      </c>
      <c r="N12" s="106">
        <v>0</v>
      </c>
      <c r="O12" s="106">
        <v>0</v>
      </c>
      <c r="P12" s="106">
        <v>0</v>
      </c>
      <c r="Q12" s="106">
        <v>0</v>
      </c>
      <c r="R12" s="106">
        <v>0</v>
      </c>
      <c r="S12" s="106">
        <v>0</v>
      </c>
      <c r="T12" s="106">
        <v>0</v>
      </c>
      <c r="U12" s="106">
        <v>0</v>
      </c>
      <c r="V12" s="106">
        <v>0</v>
      </c>
      <c r="W12" s="106">
        <v>0</v>
      </c>
      <c r="X12" s="106">
        <v>0</v>
      </c>
      <c r="Y12" s="106">
        <v>0</v>
      </c>
      <c r="Z12" s="106">
        <v>0</v>
      </c>
      <c r="AA12" s="106">
        <v>0</v>
      </c>
      <c r="AB12" s="106">
        <v>0</v>
      </c>
      <c r="AC12" s="106">
        <v>0.25</v>
      </c>
      <c r="AD12" s="106">
        <v>0.26</v>
      </c>
      <c r="AE12" s="106">
        <v>0.27</v>
      </c>
      <c r="AF12" s="106">
        <v>0.29000000000000004</v>
      </c>
      <c r="AG12" s="106">
        <v>0.3</v>
      </c>
      <c r="AH12" s="106">
        <v>0.31</v>
      </c>
      <c r="AI12" s="106">
        <v>0.33</v>
      </c>
      <c r="AJ12" s="106">
        <v>0.34</v>
      </c>
      <c r="AK12" s="106">
        <v>0.35000000000000003</v>
      </c>
      <c r="AL12" s="106">
        <v>0.36</v>
      </c>
      <c r="AM12" s="106">
        <v>0.38</v>
      </c>
      <c r="AN12" s="106">
        <v>0.39</v>
      </c>
    </row>
    <row r="13" spans="1:40" hidden="1" outlineLevel="1" x14ac:dyDescent="0.25">
      <c r="B13" s="39" t="str">
        <v>Trainer</v>
      </c>
      <c r="C13" s="3"/>
      <c r="D13" s="3"/>
      <c r="E13" s="106">
        <v>0</v>
      </c>
      <c r="F13" s="106">
        <v>0</v>
      </c>
      <c r="G13" s="106">
        <v>0</v>
      </c>
      <c r="H13" s="106">
        <v>0</v>
      </c>
      <c r="I13" s="106">
        <v>0</v>
      </c>
      <c r="J13" s="106">
        <v>0</v>
      </c>
      <c r="K13" s="106">
        <v>0</v>
      </c>
      <c r="L13" s="106">
        <v>0</v>
      </c>
      <c r="M13" s="106">
        <v>0</v>
      </c>
      <c r="N13" s="106">
        <v>0</v>
      </c>
      <c r="O13" s="106">
        <v>0</v>
      </c>
      <c r="P13" s="106">
        <v>0</v>
      </c>
      <c r="Q13" s="106">
        <v>0</v>
      </c>
      <c r="R13" s="106">
        <v>0</v>
      </c>
      <c r="S13" s="106">
        <v>0</v>
      </c>
      <c r="T13" s="106">
        <v>0</v>
      </c>
      <c r="U13" s="106">
        <v>0</v>
      </c>
      <c r="V13" s="106">
        <v>0</v>
      </c>
      <c r="W13" s="106">
        <v>0</v>
      </c>
      <c r="X13" s="106">
        <v>0</v>
      </c>
      <c r="Y13" s="106">
        <v>0</v>
      </c>
      <c r="Z13" s="106">
        <v>0</v>
      </c>
      <c r="AA13" s="106">
        <v>0</v>
      </c>
      <c r="AB13" s="106">
        <v>0.02</v>
      </c>
      <c r="AC13" s="106">
        <v>0.35000000000000003</v>
      </c>
      <c r="AD13" s="106">
        <v>0.39</v>
      </c>
      <c r="AE13" s="106">
        <v>0.42</v>
      </c>
      <c r="AF13" s="106">
        <v>0.45</v>
      </c>
      <c r="AG13" s="106">
        <v>0.49</v>
      </c>
      <c r="AH13" s="106">
        <v>0.52</v>
      </c>
      <c r="AI13" s="106">
        <v>0.55000000000000004</v>
      </c>
      <c r="AJ13" s="106">
        <v>0.59</v>
      </c>
      <c r="AK13" s="106">
        <v>0.62</v>
      </c>
      <c r="AL13" s="106">
        <v>0.65</v>
      </c>
      <c r="AM13" s="106">
        <v>0.69000000000000006</v>
      </c>
      <c r="AN13" s="106">
        <v>0.72</v>
      </c>
    </row>
    <row r="14" spans="1:40" hidden="1" outlineLevel="1" x14ac:dyDescent="0.25">
      <c r="B14" s="39" t="str">
        <v>Recruiter</v>
      </c>
      <c r="C14" s="3"/>
      <c r="D14" s="3"/>
      <c r="E14" s="106">
        <v>0</v>
      </c>
      <c r="F14" s="106">
        <v>0</v>
      </c>
      <c r="G14" s="106">
        <v>0</v>
      </c>
      <c r="H14" s="106">
        <v>0</v>
      </c>
      <c r="I14" s="106">
        <v>0</v>
      </c>
      <c r="J14" s="106">
        <v>0</v>
      </c>
      <c r="K14" s="106">
        <v>0</v>
      </c>
      <c r="L14" s="106">
        <v>0</v>
      </c>
      <c r="M14" s="106">
        <v>0</v>
      </c>
      <c r="N14" s="106">
        <v>0</v>
      </c>
      <c r="O14" s="106">
        <v>0</v>
      </c>
      <c r="P14" s="106">
        <v>0</v>
      </c>
      <c r="Q14" s="106">
        <v>0</v>
      </c>
      <c r="R14" s="106">
        <v>0</v>
      </c>
      <c r="S14" s="106">
        <v>0</v>
      </c>
      <c r="T14" s="106">
        <v>0</v>
      </c>
      <c r="U14" s="106">
        <v>0</v>
      </c>
      <c r="V14" s="106">
        <v>0</v>
      </c>
      <c r="W14" s="106">
        <v>0</v>
      </c>
      <c r="X14" s="106">
        <v>0</v>
      </c>
      <c r="Y14" s="106">
        <v>0</v>
      </c>
      <c r="Z14" s="106">
        <v>0</v>
      </c>
      <c r="AA14" s="106">
        <v>0</v>
      </c>
      <c r="AB14" s="106">
        <v>0.02</v>
      </c>
      <c r="AC14" s="106">
        <v>0.2</v>
      </c>
      <c r="AD14" s="106">
        <v>0.22</v>
      </c>
      <c r="AE14" s="106">
        <v>0.25</v>
      </c>
      <c r="AF14" s="106">
        <v>0.27</v>
      </c>
      <c r="AG14" s="106">
        <v>0.3</v>
      </c>
      <c r="AH14" s="106">
        <v>0.32</v>
      </c>
      <c r="AI14" s="106">
        <v>0.35000000000000003</v>
      </c>
      <c r="AJ14" s="106">
        <v>0.37</v>
      </c>
      <c r="AK14" s="106">
        <v>0.39</v>
      </c>
      <c r="AL14" s="106">
        <v>0.42</v>
      </c>
      <c r="AM14" s="106">
        <v>0.44</v>
      </c>
      <c r="AN14" s="106">
        <v>0.47000000000000003</v>
      </c>
    </row>
    <row r="15" spans="1:40" hidden="1" outlineLevel="1" x14ac:dyDescent="0.25">
      <c r="B15" s="39" t="str">
        <v>Center Director / Remote Site Director</v>
      </c>
      <c r="C15" s="3"/>
      <c r="D15" s="3"/>
      <c r="E15" s="106">
        <v>0</v>
      </c>
      <c r="F15" s="106">
        <v>0</v>
      </c>
      <c r="G15" s="106">
        <v>0</v>
      </c>
      <c r="H15" s="106">
        <v>0</v>
      </c>
      <c r="I15" s="106">
        <v>0</v>
      </c>
      <c r="J15" s="106">
        <v>0</v>
      </c>
      <c r="K15" s="106">
        <v>0</v>
      </c>
      <c r="L15" s="106">
        <v>0</v>
      </c>
      <c r="M15" s="106">
        <v>0</v>
      </c>
      <c r="N15" s="106">
        <v>0</v>
      </c>
      <c r="O15" s="106">
        <v>0</v>
      </c>
      <c r="P15" s="106">
        <v>0</v>
      </c>
      <c r="Q15" s="106">
        <v>0</v>
      </c>
      <c r="R15" s="106">
        <v>0</v>
      </c>
      <c r="S15" s="106">
        <v>0</v>
      </c>
      <c r="T15" s="106">
        <v>0</v>
      </c>
      <c r="U15" s="106">
        <v>0</v>
      </c>
      <c r="V15" s="106">
        <v>0</v>
      </c>
      <c r="W15" s="106">
        <v>0</v>
      </c>
      <c r="X15" s="106">
        <v>0</v>
      </c>
      <c r="Y15" s="106">
        <v>0</v>
      </c>
      <c r="Z15" s="106">
        <v>0</v>
      </c>
      <c r="AA15" s="106">
        <v>0</v>
      </c>
      <c r="AB15" s="106">
        <v>0.02</v>
      </c>
      <c r="AC15" s="106">
        <v>0.03</v>
      </c>
      <c r="AD15" s="106">
        <v>0.04</v>
      </c>
      <c r="AE15" s="106">
        <v>0.05</v>
      </c>
      <c r="AF15" s="106">
        <v>0.06</v>
      </c>
      <c r="AG15" s="106">
        <v>0.08</v>
      </c>
      <c r="AH15" s="106">
        <v>0.09</v>
      </c>
      <c r="AI15" s="106">
        <v>9.9999999999999992E-2</v>
      </c>
      <c r="AJ15" s="106">
        <v>0.11</v>
      </c>
      <c r="AK15" s="106">
        <v>0.12</v>
      </c>
      <c r="AL15" s="106">
        <v>0.14000000000000001</v>
      </c>
      <c r="AM15" s="106">
        <v>0.15000000000000002</v>
      </c>
      <c r="AN15" s="106">
        <v>0.16</v>
      </c>
    </row>
    <row r="16" spans="1:40" hidden="1" outlineLevel="1" x14ac:dyDescent="0.25">
      <c r="B16" s="39" t="str">
        <v>Center Marketing Outreach</v>
      </c>
      <c r="C16" s="3"/>
      <c r="D16" s="3"/>
      <c r="E16" s="106">
        <v>0</v>
      </c>
      <c r="F16" s="106">
        <v>0</v>
      </c>
      <c r="G16" s="106">
        <v>0</v>
      </c>
      <c r="H16" s="106">
        <v>0</v>
      </c>
      <c r="I16" s="106">
        <v>0</v>
      </c>
      <c r="J16" s="106">
        <v>0</v>
      </c>
      <c r="K16" s="106">
        <v>0</v>
      </c>
      <c r="L16" s="106">
        <v>0</v>
      </c>
      <c r="M16" s="106">
        <v>0</v>
      </c>
      <c r="N16" s="106">
        <v>0</v>
      </c>
      <c r="O16" s="106">
        <v>0</v>
      </c>
      <c r="P16" s="106">
        <v>0</v>
      </c>
      <c r="Q16" s="106">
        <v>0</v>
      </c>
      <c r="R16" s="106">
        <v>0</v>
      </c>
      <c r="S16" s="106">
        <v>0</v>
      </c>
      <c r="T16" s="106">
        <v>0</v>
      </c>
      <c r="U16" s="106">
        <v>0</v>
      </c>
      <c r="V16" s="106">
        <v>0</v>
      </c>
      <c r="W16" s="106">
        <v>0</v>
      </c>
      <c r="X16" s="106">
        <v>0</v>
      </c>
      <c r="Y16" s="106">
        <v>0</v>
      </c>
      <c r="Z16" s="106">
        <v>0</v>
      </c>
      <c r="AA16" s="106">
        <v>0</v>
      </c>
      <c r="AB16" s="106">
        <v>0.02</v>
      </c>
      <c r="AC16" s="106">
        <v>0.03</v>
      </c>
      <c r="AD16" s="106">
        <v>0.04</v>
      </c>
      <c r="AE16" s="106">
        <v>0.05</v>
      </c>
      <c r="AF16" s="106">
        <v>0.06</v>
      </c>
      <c r="AG16" s="106">
        <v>0.08</v>
      </c>
      <c r="AH16" s="106">
        <v>0.09</v>
      </c>
      <c r="AI16" s="106">
        <v>9.9999999999999992E-2</v>
      </c>
      <c r="AJ16" s="106">
        <v>0.11</v>
      </c>
      <c r="AK16" s="106">
        <v>0.12</v>
      </c>
      <c r="AL16" s="106">
        <v>0.14000000000000001</v>
      </c>
      <c r="AM16" s="106">
        <v>0.15000000000000002</v>
      </c>
      <c r="AN16" s="106">
        <v>0.16</v>
      </c>
    </row>
    <row r="17" spans="2:50" hidden="1" outlineLevel="1" x14ac:dyDescent="0.25">
      <c r="B17" s="39" t="str">
        <v>Primary Direct Staff Lead</v>
      </c>
      <c r="C17" s="3"/>
      <c r="D17" s="3"/>
      <c r="E17" s="106">
        <v>0</v>
      </c>
      <c r="F17" s="106">
        <v>0</v>
      </c>
      <c r="G17" s="106">
        <v>0</v>
      </c>
      <c r="H17" s="106">
        <v>0</v>
      </c>
      <c r="I17" s="106">
        <v>0</v>
      </c>
      <c r="J17" s="106">
        <v>0</v>
      </c>
      <c r="K17" s="106">
        <v>0</v>
      </c>
      <c r="L17" s="106">
        <v>0</v>
      </c>
      <c r="M17" s="106">
        <v>0</v>
      </c>
      <c r="N17" s="106">
        <v>0</v>
      </c>
      <c r="O17" s="106">
        <v>0</v>
      </c>
      <c r="P17" s="106">
        <v>0</v>
      </c>
      <c r="Q17" s="106">
        <v>0</v>
      </c>
      <c r="R17" s="106">
        <v>0</v>
      </c>
      <c r="S17" s="106">
        <v>0</v>
      </c>
      <c r="T17" s="106">
        <v>0</v>
      </c>
      <c r="U17" s="106">
        <v>0</v>
      </c>
      <c r="V17" s="106">
        <v>0</v>
      </c>
      <c r="W17" s="106">
        <v>0</v>
      </c>
      <c r="X17" s="106">
        <v>0</v>
      </c>
      <c r="Y17" s="106">
        <v>0</v>
      </c>
      <c r="Z17" s="106">
        <v>0</v>
      </c>
      <c r="AA17" s="106">
        <v>0</v>
      </c>
      <c r="AB17" s="106">
        <v>0.3</v>
      </c>
      <c r="AC17" s="106">
        <v>0.6</v>
      </c>
      <c r="AD17" s="106">
        <v>0.9</v>
      </c>
      <c r="AE17" s="106">
        <v>1.2</v>
      </c>
      <c r="AF17" s="106">
        <v>1.5</v>
      </c>
      <c r="AG17" s="106">
        <v>1.8</v>
      </c>
      <c r="AH17" s="106">
        <v>2.1</v>
      </c>
      <c r="AI17" s="106">
        <v>2.4</v>
      </c>
      <c r="AJ17" s="106">
        <v>2.7</v>
      </c>
      <c r="AK17" s="106">
        <v>3</v>
      </c>
      <c r="AL17" s="106">
        <v>3.3</v>
      </c>
      <c r="AM17" s="106">
        <v>3.6</v>
      </c>
      <c r="AN17" s="106">
        <v>3.9</v>
      </c>
    </row>
    <row r="18" spans="2:50" hidden="1" outlineLevel="1" x14ac:dyDescent="0.25">
      <c r="B18" s="39" t="str">
        <v>Tertiary Direct Staff</v>
      </c>
      <c r="C18" s="3"/>
      <c r="D18" s="3"/>
      <c r="E18" s="106">
        <v>0</v>
      </c>
      <c r="F18" s="106">
        <v>0</v>
      </c>
      <c r="G18" s="106">
        <v>0</v>
      </c>
      <c r="H18" s="106">
        <v>0</v>
      </c>
      <c r="I18" s="106">
        <v>0</v>
      </c>
      <c r="J18" s="106">
        <v>0</v>
      </c>
      <c r="K18" s="106">
        <v>0</v>
      </c>
      <c r="L18" s="106">
        <v>0</v>
      </c>
      <c r="M18" s="106">
        <v>0</v>
      </c>
      <c r="N18" s="106">
        <v>0</v>
      </c>
      <c r="O18" s="106">
        <v>0</v>
      </c>
      <c r="P18" s="106">
        <v>0</v>
      </c>
      <c r="Q18" s="106">
        <v>0</v>
      </c>
      <c r="R18" s="106">
        <v>0</v>
      </c>
      <c r="S18" s="106">
        <v>0</v>
      </c>
      <c r="T18" s="106">
        <v>0</v>
      </c>
      <c r="U18" s="106">
        <v>0</v>
      </c>
      <c r="V18" s="106">
        <v>0</v>
      </c>
      <c r="W18" s="106">
        <v>0</v>
      </c>
      <c r="X18" s="106">
        <v>0</v>
      </c>
      <c r="Y18" s="106">
        <v>0</v>
      </c>
      <c r="Z18" s="106">
        <v>0</v>
      </c>
      <c r="AA18" s="106">
        <v>0</v>
      </c>
      <c r="AB18" s="106">
        <v>0</v>
      </c>
      <c r="AC18" s="106">
        <v>0</v>
      </c>
      <c r="AD18" s="106">
        <v>0</v>
      </c>
      <c r="AE18" s="106">
        <v>0</v>
      </c>
      <c r="AF18" s="106">
        <v>0</v>
      </c>
      <c r="AG18" s="106">
        <v>0</v>
      </c>
      <c r="AH18" s="106">
        <v>0</v>
      </c>
      <c r="AI18" s="106">
        <v>0</v>
      </c>
      <c r="AJ18" s="106">
        <v>0</v>
      </c>
      <c r="AK18" s="106">
        <v>0</v>
      </c>
      <c r="AL18" s="106">
        <v>0</v>
      </c>
      <c r="AM18" s="106">
        <v>0</v>
      </c>
      <c r="AN18" s="106">
        <v>0</v>
      </c>
    </row>
    <row r="19" spans="2:50" hidden="1" outlineLevel="1" x14ac:dyDescent="0.25">
      <c r="B19" s="39" t="str">
        <v>Quinary Direct Staff</v>
      </c>
      <c r="C19" s="3"/>
      <c r="D19" s="3"/>
      <c r="E19" s="106">
        <v>0</v>
      </c>
      <c r="F19" s="106">
        <v>0</v>
      </c>
      <c r="G19" s="106">
        <v>0</v>
      </c>
      <c r="H19" s="106">
        <v>0</v>
      </c>
      <c r="I19" s="106">
        <v>0</v>
      </c>
      <c r="J19" s="106">
        <v>0</v>
      </c>
      <c r="K19" s="106">
        <v>0</v>
      </c>
      <c r="L19" s="106">
        <v>0</v>
      </c>
      <c r="M19" s="106">
        <v>0</v>
      </c>
      <c r="N19" s="106">
        <v>0</v>
      </c>
      <c r="O19" s="106">
        <v>0</v>
      </c>
      <c r="P19" s="106">
        <v>0</v>
      </c>
      <c r="Q19" s="106">
        <v>0</v>
      </c>
      <c r="R19" s="106">
        <v>0</v>
      </c>
      <c r="S19" s="106">
        <v>0</v>
      </c>
      <c r="T19" s="106">
        <v>0</v>
      </c>
      <c r="U19" s="106">
        <v>0</v>
      </c>
      <c r="V19" s="106">
        <v>0</v>
      </c>
      <c r="W19" s="106">
        <v>0</v>
      </c>
      <c r="X19" s="106">
        <v>0</v>
      </c>
      <c r="Y19" s="106">
        <v>0</v>
      </c>
      <c r="Z19" s="106">
        <v>0</v>
      </c>
      <c r="AA19" s="106">
        <v>0</v>
      </c>
      <c r="AB19" s="106">
        <v>0</v>
      </c>
      <c r="AC19" s="106">
        <v>0</v>
      </c>
      <c r="AD19" s="106">
        <v>0</v>
      </c>
      <c r="AE19" s="106">
        <v>0</v>
      </c>
      <c r="AF19" s="106">
        <v>0</v>
      </c>
      <c r="AG19" s="106">
        <v>0</v>
      </c>
      <c r="AH19" s="106">
        <v>0</v>
      </c>
      <c r="AI19" s="106">
        <v>0</v>
      </c>
      <c r="AJ19" s="106">
        <v>0</v>
      </c>
      <c r="AK19" s="106">
        <v>0</v>
      </c>
      <c r="AL19" s="106">
        <v>0</v>
      </c>
      <c r="AM19" s="106">
        <v>0</v>
      </c>
      <c r="AN19" s="106">
        <v>0</v>
      </c>
    </row>
    <row r="20" spans="2:50" hidden="1" outlineLevel="1" x14ac:dyDescent="0.25">
      <c r="B20" s="39" t="str">
        <v>Quaternary Direct Staff</v>
      </c>
      <c r="C20" s="3"/>
      <c r="D20" s="3"/>
      <c r="E20" s="106">
        <v>0</v>
      </c>
      <c r="F20" s="106">
        <v>0</v>
      </c>
      <c r="G20" s="106">
        <v>0</v>
      </c>
      <c r="H20" s="106">
        <v>0</v>
      </c>
      <c r="I20" s="106">
        <v>0</v>
      </c>
      <c r="J20" s="106">
        <v>0</v>
      </c>
      <c r="K20" s="106">
        <v>0</v>
      </c>
      <c r="L20" s="106">
        <v>0</v>
      </c>
      <c r="M20" s="106">
        <v>0</v>
      </c>
      <c r="N20" s="106">
        <v>0</v>
      </c>
      <c r="O20" s="106">
        <v>0</v>
      </c>
      <c r="P20" s="106">
        <v>0</v>
      </c>
      <c r="Q20" s="106">
        <v>0</v>
      </c>
      <c r="R20" s="106">
        <v>0</v>
      </c>
      <c r="S20" s="106">
        <v>0</v>
      </c>
      <c r="T20" s="106">
        <v>0</v>
      </c>
      <c r="U20" s="106">
        <v>0</v>
      </c>
      <c r="V20" s="106">
        <v>0</v>
      </c>
      <c r="W20" s="106">
        <v>0</v>
      </c>
      <c r="X20" s="106">
        <v>0</v>
      </c>
      <c r="Y20" s="106">
        <v>0</v>
      </c>
      <c r="Z20" s="106">
        <v>0</v>
      </c>
      <c r="AA20" s="106">
        <v>0</v>
      </c>
      <c r="AB20" s="106">
        <v>1</v>
      </c>
      <c r="AC20" s="106">
        <v>1</v>
      </c>
      <c r="AD20" s="106">
        <v>1</v>
      </c>
      <c r="AE20" s="106">
        <v>1</v>
      </c>
      <c r="AF20" s="106">
        <v>1</v>
      </c>
      <c r="AG20" s="106">
        <v>1</v>
      </c>
      <c r="AH20" s="106">
        <v>1</v>
      </c>
      <c r="AI20" s="106">
        <v>1</v>
      </c>
      <c r="AJ20" s="106">
        <v>1</v>
      </c>
      <c r="AK20" s="106">
        <v>1</v>
      </c>
      <c r="AL20" s="106">
        <v>1</v>
      </c>
      <c r="AM20" s="106">
        <v>1</v>
      </c>
      <c r="AN20" s="106">
        <v>1</v>
      </c>
    </row>
    <row r="21" spans="2:50" collapsed="1" x14ac:dyDescent="0.25">
      <c r="B21" s="39" t="s">
        <v>389</v>
      </c>
      <c r="C21" s="3"/>
      <c r="D21" s="5"/>
      <c r="E21" s="117" cm="1">
        <f t="array" ref="E21:AN21">ROUND(_xlfn.BYCOL(_xlfn.CHOOSEROWS(_xlfn.ANCHORARRAY(E7),1,2),_xlfn.LAMBDA(_xlpm.col,SUM(_xlpm.col))),0)</f>
        <v>0</v>
      </c>
      <c r="F21" s="117">
        <v>0</v>
      </c>
      <c r="G21" s="117">
        <v>0</v>
      </c>
      <c r="H21" s="117">
        <v>0</v>
      </c>
      <c r="I21" s="117">
        <v>0</v>
      </c>
      <c r="J21" s="117">
        <v>0</v>
      </c>
      <c r="K21" s="117">
        <v>0</v>
      </c>
      <c r="L21" s="117">
        <v>0</v>
      </c>
      <c r="M21" s="117">
        <v>0</v>
      </c>
      <c r="N21" s="117">
        <v>0</v>
      </c>
      <c r="O21" s="117">
        <v>0</v>
      </c>
      <c r="P21" s="117">
        <v>0</v>
      </c>
      <c r="Q21" s="117">
        <v>0</v>
      </c>
      <c r="R21" s="117">
        <v>0</v>
      </c>
      <c r="S21" s="117">
        <v>0</v>
      </c>
      <c r="T21" s="117">
        <v>0</v>
      </c>
      <c r="U21" s="117">
        <v>0</v>
      </c>
      <c r="V21" s="117">
        <v>0</v>
      </c>
      <c r="W21" s="117">
        <v>0</v>
      </c>
      <c r="X21" s="117">
        <v>0</v>
      </c>
      <c r="Y21" s="117">
        <v>0</v>
      </c>
      <c r="Z21" s="117">
        <v>0</v>
      </c>
      <c r="AA21" s="117">
        <v>0</v>
      </c>
      <c r="AB21" s="117">
        <v>3</v>
      </c>
      <c r="AC21" s="117">
        <v>7</v>
      </c>
      <c r="AD21" s="117">
        <v>10</v>
      </c>
      <c r="AE21" s="117">
        <v>13</v>
      </c>
      <c r="AF21" s="117">
        <v>16</v>
      </c>
      <c r="AG21" s="117">
        <v>20</v>
      </c>
      <c r="AH21" s="117">
        <v>23</v>
      </c>
      <c r="AI21" s="117">
        <v>26</v>
      </c>
      <c r="AJ21" s="117">
        <v>29</v>
      </c>
      <c r="AK21" s="117">
        <v>33</v>
      </c>
      <c r="AL21" s="117">
        <v>36</v>
      </c>
      <c r="AM21" s="117">
        <v>39</v>
      </c>
      <c r="AN21" s="117">
        <v>42</v>
      </c>
    </row>
    <row r="22" spans="2:50" x14ac:dyDescent="0.25">
      <c r="B22" s="2" t="s">
        <v>394</v>
      </c>
      <c r="C22" s="3"/>
      <c r="D22" s="77">
        <f>MAX(_xlfn.ANCHORARRAY(E22))</f>
        <v>170.02883240223468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0</v>
      </c>
      <c r="F22" s="78">
        <v>0</v>
      </c>
      <c r="G22" s="78">
        <v>0</v>
      </c>
      <c r="H22" s="78">
        <v>0</v>
      </c>
      <c r="I22" s="78">
        <v>0</v>
      </c>
      <c r="J22" s="78">
        <v>0</v>
      </c>
      <c r="K22" s="78">
        <v>0</v>
      </c>
      <c r="L22" s="78">
        <v>0</v>
      </c>
      <c r="M22" s="78">
        <v>0</v>
      </c>
      <c r="N22" s="78">
        <v>0</v>
      </c>
      <c r="O22" s="78">
        <v>0</v>
      </c>
      <c r="P22" s="78">
        <v>0</v>
      </c>
      <c r="Q22" s="78">
        <v>0</v>
      </c>
      <c r="R22" s="78">
        <v>0</v>
      </c>
      <c r="S22" s="78">
        <v>0</v>
      </c>
      <c r="T22" s="78">
        <v>0</v>
      </c>
      <c r="U22" s="78">
        <v>0</v>
      </c>
      <c r="V22" s="78">
        <v>0</v>
      </c>
      <c r="W22" s="78">
        <v>0</v>
      </c>
      <c r="X22" s="78">
        <v>0</v>
      </c>
      <c r="Y22" s="78">
        <v>0</v>
      </c>
      <c r="Z22" s="78">
        <v>0</v>
      </c>
      <c r="AA22" s="78">
        <v>0</v>
      </c>
      <c r="AB22" s="78">
        <v>170.02883240223466</v>
      </c>
      <c r="AC22" s="78">
        <v>170.02883240223466</v>
      </c>
      <c r="AD22" s="78">
        <v>170.02883240223466</v>
      </c>
      <c r="AE22" s="78">
        <v>170.02883240223466</v>
      </c>
      <c r="AF22" s="78">
        <v>170.02883240223466</v>
      </c>
      <c r="AG22" s="78">
        <v>170.02883240223466</v>
      </c>
      <c r="AH22" s="78">
        <v>170.02883240223463</v>
      </c>
      <c r="AI22" s="78">
        <v>170.02883240223466</v>
      </c>
      <c r="AJ22" s="78">
        <v>170.02883240223468</v>
      </c>
      <c r="AK22" s="78">
        <v>170.02883240223466</v>
      </c>
      <c r="AL22" s="78">
        <v>170.02883240223468</v>
      </c>
      <c r="AM22" s="78">
        <v>170.02883240223466</v>
      </c>
      <c r="AN22" s="78">
        <v>170.02883240223466</v>
      </c>
    </row>
    <row r="23" spans="2:50" x14ac:dyDescent="0.25">
      <c r="B23" s="2" t="s">
        <v>53</v>
      </c>
      <c r="C23" s="3"/>
      <c r="D23" s="72"/>
      <c r="E23" s="52" cm="1">
        <f t="array" ref="E23:AN23">_xlfn.LET(_xlpm.site,$B$1&amp;"-"&amp;$C$1,_xlpm.locations,Base!$D$4:$BD$4,_xlpm.Customer,_xlfn.ANCHORARRAY(E1),_xlpm.hours,SUM(_xlfn.XLOOKUP(_xlpm.site,_xlpm.locations,Base!$D$74:$BD$78,0,0)),
_xlpm.collection,1-_xlfn.XLOOKUP(_xlpm.site,_xlpm.locations,Base!$D$26:$BD$26,0,0),
_xlpm.Customer*_xlpm.hours*_xlpm.collection*(52/12))</f>
        <v>0</v>
      </c>
      <c r="F23" s="52">
        <v>0</v>
      </c>
      <c r="G23" s="52">
        <v>0</v>
      </c>
      <c r="H23" s="52">
        <v>0</v>
      </c>
      <c r="I23" s="52">
        <v>0</v>
      </c>
      <c r="J23" s="52">
        <v>0</v>
      </c>
      <c r="K23" s="52">
        <v>0</v>
      </c>
      <c r="L23" s="52">
        <v>0</v>
      </c>
      <c r="M23" s="52">
        <v>0</v>
      </c>
      <c r="N23" s="52">
        <v>0</v>
      </c>
      <c r="O23" s="52">
        <v>0</v>
      </c>
      <c r="P23" s="52">
        <v>0</v>
      </c>
      <c r="Q23" s="52">
        <v>0</v>
      </c>
      <c r="R23" s="52">
        <v>0</v>
      </c>
      <c r="S23" s="52">
        <v>0</v>
      </c>
      <c r="T23" s="52">
        <v>0</v>
      </c>
      <c r="U23" s="52">
        <v>0</v>
      </c>
      <c r="V23" s="52">
        <v>0</v>
      </c>
      <c r="W23" s="52">
        <v>0</v>
      </c>
      <c r="X23" s="52">
        <v>0</v>
      </c>
      <c r="Y23" s="52">
        <v>0</v>
      </c>
      <c r="Z23" s="52">
        <v>0</v>
      </c>
      <c r="AA23" s="52">
        <v>0</v>
      </c>
      <c r="AB23" s="52">
        <v>315.03999999999996</v>
      </c>
      <c r="AC23" s="52">
        <v>630.07999999999993</v>
      </c>
      <c r="AD23" s="52">
        <v>945.11999999999989</v>
      </c>
      <c r="AE23" s="52">
        <v>1260.1599999999999</v>
      </c>
      <c r="AF23" s="52">
        <v>1575.1999999999996</v>
      </c>
      <c r="AG23" s="52">
        <v>1890.2399999999998</v>
      </c>
      <c r="AH23" s="52">
        <v>2205.2799999999997</v>
      </c>
      <c r="AI23" s="52">
        <v>2520.3199999999997</v>
      </c>
      <c r="AJ23" s="52">
        <v>2835.3599999999992</v>
      </c>
      <c r="AK23" s="52">
        <v>3150.3999999999992</v>
      </c>
      <c r="AL23" s="52">
        <v>3465.4399999999996</v>
      </c>
      <c r="AM23" s="52">
        <v>3780.4799999999996</v>
      </c>
      <c r="AN23" s="52">
        <v>4095.5199999999995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21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_xlfn.LET(_xlpm.site,$B$1&amp;"-"&amp;$C$1,_xlpm.locations,Base!$D$4:$BD$4,_xlpm.rates,Base!$D31:$BD31,_xlpm.hours,Base!$D74:$BD74,_xlpm.comp,_xlpm.rates*_xlpm.hours,_xlpm.Customer,_xlfn.ANCHORARRAY($E$1),
_xlpm.Customer_comp,_xlfn.XLOOKUP(_xlpm.site,_xlpm.locations,_xlpm.comp,0,0),_xlpm.ann_incr,_xlfn.XLOOKUP(YEAR(_xlfn.ANCHORARRAY($E$25)),Base!$BJ$4:$BL$4,Base!$BJ74:$BL74,0,0),
_xlpm.bad_debt,_xlfn.XLOOKUP(_xlpm.site,_xlpm.locations,Base!$D$28:$BD$28,0,0),_xlpm.Customer_comp*_xlpm.Customer*_xlpm.bad_debt*_xlpm.ann_incr*(52/12))</f>
        <v>0</v>
      </c>
      <c r="F26" s="12">
        <v>0</v>
      </c>
      <c r="G26" s="12">
        <v>0</v>
      </c>
      <c r="H26" s="12">
        <v>0</v>
      </c>
      <c r="I26" s="12">
        <v>0</v>
      </c>
      <c r="J26" s="12">
        <v>0</v>
      </c>
      <c r="K26" s="12">
        <v>0</v>
      </c>
      <c r="L26" s="12">
        <v>0</v>
      </c>
      <c r="M26" s="12">
        <v>0</v>
      </c>
      <c r="N26" s="12">
        <v>0</v>
      </c>
      <c r="O26" s="12">
        <v>0</v>
      </c>
      <c r="P26" s="12">
        <v>0</v>
      </c>
      <c r="Q26" s="12">
        <v>0</v>
      </c>
      <c r="R26" s="12">
        <v>0</v>
      </c>
      <c r="S26" s="12">
        <v>0</v>
      </c>
      <c r="T26" s="12">
        <v>0</v>
      </c>
      <c r="U26" s="12">
        <v>0</v>
      </c>
      <c r="V26" s="12">
        <v>0</v>
      </c>
      <c r="W26" s="12">
        <v>0</v>
      </c>
      <c r="X26" s="12">
        <v>0</v>
      </c>
      <c r="Y26" s="12">
        <v>0</v>
      </c>
      <c r="Z26" s="12">
        <v>0</v>
      </c>
      <c r="AA26" s="12">
        <v>0</v>
      </c>
      <c r="AB26" s="12">
        <v>46796.978800000004</v>
      </c>
      <c r="AC26" s="12">
        <v>93593.957600000009</v>
      </c>
      <c r="AD26" s="12">
        <v>140390.93640000001</v>
      </c>
      <c r="AE26" s="12">
        <v>187187.91520000002</v>
      </c>
      <c r="AF26" s="12">
        <v>233984.89399999997</v>
      </c>
      <c r="AG26" s="12">
        <v>280781.87280000001</v>
      </c>
      <c r="AH26" s="12">
        <v>327578.85159999994</v>
      </c>
      <c r="AI26" s="12">
        <v>374375.83040000004</v>
      </c>
      <c r="AJ26" s="12">
        <v>421172.80919999996</v>
      </c>
      <c r="AK26" s="12">
        <v>467969.78799999994</v>
      </c>
      <c r="AL26" s="12">
        <v>514766.76679999998</v>
      </c>
      <c r="AM26" s="12">
        <v>561563.74560000002</v>
      </c>
      <c r="AN26" s="12">
        <v>608360.72439999995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_xlfn.LET(_xlpm.site,$B$1&amp;"-"&amp;$C$1,_xlpm.locations,Base!$D$4:$BD$4,_xlpm.rates,Base!$D32:$BD32,_xlpm.hours,Base!$D75:$BD75,_xlpm.comp,_xlpm.rates*_xlpm.hours,_xlpm.Customer,_xlfn.ANCHORARRAY($E$1),
_xlpm.Customer_comp,_xlfn.XLOOKUP(_xlpm.site,_xlpm.locations,_xlpm.comp,0,0),_xlpm.ann_incr,_xlfn.XLOOKUP(YEAR(_xlfn.ANCHORARRAY($E$25)),Base!$BJ$4:$BL$4,Base!$BJ75:$BL75,0,0),
_xlpm.bad_debt,_xlfn.XLOOKUP(_xlpm.site,_xlpm.locations,Base!$D$28:$BD$28,0,0),_xlpm.Customer_comp*_xlpm.Customer*_xlpm.bad_debt*_xlpm.ann_incr*(52/12))</f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12">
        <v>0</v>
      </c>
      <c r="AA27" s="12">
        <v>0</v>
      </c>
      <c r="AB27" s="12">
        <v>2743.8788</v>
      </c>
      <c r="AC27" s="12">
        <v>5487.7575999999999</v>
      </c>
      <c r="AD27" s="12">
        <v>8231.6363999999994</v>
      </c>
      <c r="AE27" s="12">
        <v>10975.5152</v>
      </c>
      <c r="AF27" s="12">
        <v>13719.393999999998</v>
      </c>
      <c r="AG27" s="12">
        <v>16463.272799999999</v>
      </c>
      <c r="AH27" s="12">
        <v>19207.151600000001</v>
      </c>
      <c r="AI27" s="12">
        <v>21951.0304</v>
      </c>
      <c r="AJ27" s="12">
        <v>24694.909199999995</v>
      </c>
      <c r="AK27" s="12">
        <v>27438.787999999997</v>
      </c>
      <c r="AL27" s="12">
        <v>30182.666799999999</v>
      </c>
      <c r="AM27" s="12">
        <v>32926.545599999998</v>
      </c>
      <c r="AN27" s="12">
        <v>35670.424399999996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_xlfn.LET(_xlpm.site,$B$1&amp;"-"&amp;$C$1,_xlpm.locations,Base!$D$4:$BD$4,_xlpm.rates,Base!$D33:$BD33,_xlpm.hours,Base!$D76:$BD76,_xlpm.comp,_xlpm.rates*_xlpm.hours,_xlpm.Customer,_xlfn.ANCHORARRAY($E$1),
_xlpm.Customer_comp,_xlfn.XLOOKUP(_xlpm.site,_xlpm.locations,_xlpm.comp,0,0),_xlpm.ann_incr,_xlfn.XLOOKUP(YEAR(_xlfn.ANCHORARRAY($E$25)),Base!$BJ$4:$BL$4,Base!$BJ76:$BL76,0,0),
_xlpm.bad_debt,_xlfn.XLOOKUP(_xlpm.site,_xlpm.locations,Base!$D$28:$BD$28,0,0),_xlpm.Customer_comp*_xlpm.Customer*_xlpm.bad_debt*_xlpm.ann_incr*(52/12))</f>
        <v>0</v>
      </c>
      <c r="F28" s="12">
        <v>0</v>
      </c>
      <c r="G28" s="12">
        <v>0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0</v>
      </c>
      <c r="N28" s="12">
        <v>0</v>
      </c>
      <c r="O28" s="12">
        <v>0</v>
      </c>
      <c r="P28" s="12">
        <v>0</v>
      </c>
      <c r="Q28" s="12">
        <v>0</v>
      </c>
      <c r="R28" s="12">
        <v>0</v>
      </c>
      <c r="S28" s="12">
        <v>0</v>
      </c>
      <c r="T28" s="12">
        <v>0</v>
      </c>
      <c r="U28" s="12">
        <v>0</v>
      </c>
      <c r="V28" s="12">
        <v>0</v>
      </c>
      <c r="W28" s="12">
        <v>0</v>
      </c>
      <c r="X28" s="12">
        <v>0</v>
      </c>
      <c r="Y28" s="12">
        <v>0</v>
      </c>
      <c r="Z28" s="12">
        <v>0</v>
      </c>
      <c r="AA28" s="12">
        <v>0</v>
      </c>
      <c r="AB28" s="12">
        <v>6521.1174599999977</v>
      </c>
      <c r="AC28" s="12">
        <v>13042.234919999995</v>
      </c>
      <c r="AD28" s="12">
        <v>19563.352379999993</v>
      </c>
      <c r="AE28" s="12">
        <v>26084.469839999991</v>
      </c>
      <c r="AF28" s="12">
        <v>32605.587299999992</v>
      </c>
      <c r="AG28" s="12">
        <v>39126.704759999986</v>
      </c>
      <c r="AH28" s="12">
        <v>45647.822219999987</v>
      </c>
      <c r="AI28" s="12">
        <v>52168.939679999981</v>
      </c>
      <c r="AJ28" s="12">
        <v>58690.057139999983</v>
      </c>
      <c r="AK28" s="12">
        <v>65211.174599999984</v>
      </c>
      <c r="AL28" s="12">
        <v>71732.292059999978</v>
      </c>
      <c r="AM28" s="12">
        <v>78253.409519999972</v>
      </c>
      <c r="AN28" s="12">
        <v>84774.526979999995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_xlfn.LET(_xlpm.site,$B$1&amp;"-"&amp;$C$1,_xlpm.locations,Base!$D$4:$BD$4,_xlpm.rates,Base!$D34:$BD34,_xlpm.hours,Base!$D77:$BD77,_xlpm.comp,_xlpm.rates*_xlpm.hours,_xlpm.Customer,_xlfn.ANCHORARRAY($E$1),
_xlpm.Customer_comp,_xlfn.XLOOKUP(_xlpm.site,_xlpm.locations,_xlpm.comp,0,0),_xlpm.ann_incr,_xlfn.XLOOKUP(YEAR(_xlfn.ANCHORARRAY($E$25)),Base!$BJ$4:$BL$4,Base!$BJ77:$BL77,0,0),
_xlpm.bad_debt,_xlfn.XLOOKUP(_xlpm.site,_xlpm.locations,Base!$D$28:$BD$28,0,0),_xlpm.Customer_comp*_xlpm.Customer*_xlpm.bad_debt*_xlpm.ann_incr*(52/12))</f>
        <v>0</v>
      </c>
      <c r="F29" s="12">
        <v>0</v>
      </c>
      <c r="G29" s="12">
        <v>0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0</v>
      </c>
      <c r="N29" s="12">
        <v>0</v>
      </c>
      <c r="O29" s="12">
        <v>0</v>
      </c>
      <c r="P29" s="12">
        <v>0</v>
      </c>
      <c r="Q29" s="12">
        <v>0</v>
      </c>
      <c r="R29" s="12">
        <v>0</v>
      </c>
      <c r="S29" s="12">
        <v>0</v>
      </c>
      <c r="T29" s="12">
        <v>0</v>
      </c>
      <c r="U29" s="12">
        <v>0</v>
      </c>
      <c r="V29" s="12">
        <v>0</v>
      </c>
      <c r="W29" s="12">
        <v>0</v>
      </c>
      <c r="X29" s="12">
        <v>0</v>
      </c>
      <c r="Y29" s="12">
        <v>0</v>
      </c>
      <c r="Z29" s="12">
        <v>0</v>
      </c>
      <c r="AA29" s="12">
        <v>0</v>
      </c>
      <c r="AB29" s="12">
        <v>501.62441999999999</v>
      </c>
      <c r="AC29" s="12">
        <v>1003.24884</v>
      </c>
      <c r="AD29" s="12">
        <v>1504.8732600000001</v>
      </c>
      <c r="AE29" s="12">
        <v>2006.4976799999999</v>
      </c>
      <c r="AF29" s="12">
        <v>2508.1221</v>
      </c>
      <c r="AG29" s="12">
        <v>3009.7465200000001</v>
      </c>
      <c r="AH29" s="12">
        <v>3511.3709400000002</v>
      </c>
      <c r="AI29" s="12">
        <v>4012.9953599999999</v>
      </c>
      <c r="AJ29" s="12">
        <v>4514.61978</v>
      </c>
      <c r="AK29" s="12">
        <v>5016.2442000000001</v>
      </c>
      <c r="AL29" s="12">
        <v>5517.8686199999993</v>
      </c>
      <c r="AM29" s="12">
        <v>6019.4930400000003</v>
      </c>
      <c r="AN29" s="12">
        <v>6521.1174600000013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_xlfn.LET(_xlpm.site,$B$1&amp;"-"&amp;$C$1,_xlpm.locations,Base!$D$4:$BD$4,_xlpm.rates,Base!$D35:$BD35,_xlpm.hours,Base!$D78:$BD78,_xlpm.comp,_xlpm.rates*_xlpm.hours,_xlpm.Customer,_xlfn.ANCHORARRAY($E$1),
_xlpm.Customer_comp,_xlfn.XLOOKUP(_xlpm.site,_xlpm.locations,_xlpm.comp,0,0),_xlpm.ann_incr,_xlfn.XLOOKUP(YEAR(_xlfn.ANCHORARRAY($E$25)),Base!$BJ$4:$BL$4,Base!$BJ78:$BL78,0,0),
_xlpm.bad_debt,_xlfn.XLOOKUP(_xlpm.site,_xlpm.locations,Base!$D$28:$BD$28,0,0),_xlpm.Customer_comp*_xlpm.Customer*_xlpm.bad_debt*_xlpm.ann_incr*(52/12))</f>
        <v>0</v>
      </c>
      <c r="F30" s="12">
        <v>0</v>
      </c>
      <c r="G30" s="12">
        <v>0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0</v>
      </c>
      <c r="N30" s="12">
        <v>0</v>
      </c>
      <c r="O30" s="12">
        <v>0</v>
      </c>
      <c r="P30" s="12">
        <v>0</v>
      </c>
      <c r="Q30" s="12">
        <v>0</v>
      </c>
      <c r="R30" s="12">
        <v>0</v>
      </c>
      <c r="S30" s="12">
        <v>0</v>
      </c>
      <c r="T30" s="12">
        <v>0</v>
      </c>
      <c r="U30" s="12">
        <v>0</v>
      </c>
      <c r="V30" s="12">
        <v>0</v>
      </c>
      <c r="W30" s="12">
        <v>0</v>
      </c>
      <c r="X30" s="12">
        <v>0</v>
      </c>
      <c r="Y30" s="12">
        <v>0</v>
      </c>
      <c r="Z30" s="12">
        <v>0</v>
      </c>
      <c r="AA30" s="12">
        <v>0</v>
      </c>
      <c r="AB30" s="12">
        <v>654.50319999999988</v>
      </c>
      <c r="AC30" s="12">
        <v>1309.0063999999998</v>
      </c>
      <c r="AD30" s="12">
        <v>1963.5095999999999</v>
      </c>
      <c r="AE30" s="12">
        <v>2618.0127999999995</v>
      </c>
      <c r="AF30" s="12">
        <v>3272.5159999999996</v>
      </c>
      <c r="AG30" s="12">
        <v>3927.0191999999997</v>
      </c>
      <c r="AH30" s="12">
        <v>4581.5223999999998</v>
      </c>
      <c r="AI30" s="12">
        <v>5236.025599999999</v>
      </c>
      <c r="AJ30" s="12">
        <v>5890.5288</v>
      </c>
      <c r="AK30" s="12">
        <v>6545.0319999999992</v>
      </c>
      <c r="AL30" s="12">
        <v>7199.5351999999993</v>
      </c>
      <c r="AM30" s="12">
        <v>7854.0383999999995</v>
      </c>
      <c r="AN30" s="12">
        <v>8508.5416000000005</v>
      </c>
    </row>
    <row r="31" spans="2:50" x14ac:dyDescent="0.25">
      <c r="B31" s="39" t="str">
        <f>Base!B36</f>
        <v>Tertiary Direct Staff - Service A</v>
      </c>
      <c r="C31" s="4"/>
      <c r="E31" s="183" cm="1">
        <f t="array" ref="E31:AN31">_xlfn.LET(_xlpm.site,$B$1&amp;"-"&amp;$C$1,_xlpm.locations,Base!$D$4:$BD$4,_xlpm.rates,Base!$D36:$BD36,_xlpm.hours,Base!$D79:$BD79,_xlpm.comp,_xlpm.rates*_xlpm.hours,_xlpm.Customer,_xlfn.ANCHORARRAY($E$1)*0,
_xlpm.Customer_comp,_xlfn.XLOOKUP(_xlpm.site,_xlpm.locations,_xlpm.comp,0,0),_xlpm.ann_incr,_xlfn.XLOOKUP(YEAR(_xlfn.ANCHORARRAY($E$25)),Base!$BJ$4:$BL$4,Base!$BJ79:$BL79,0,0),
_xlpm.bad_debt,_xlfn.XLOOKUP(_xlpm.site,_xlpm.locations,Base!$D$28:$BD$28,0,0),_xlpm.Customer_comp*_xlpm.Customer*_xlpm.bad_debt*_xlpm.ann_incr*(52/12))</f>
        <v>0</v>
      </c>
      <c r="F31" s="183">
        <v>0</v>
      </c>
      <c r="G31" s="183">
        <v>0</v>
      </c>
      <c r="H31" s="183">
        <v>0</v>
      </c>
      <c r="I31" s="183">
        <v>0</v>
      </c>
      <c r="J31" s="183">
        <v>0</v>
      </c>
      <c r="K31" s="183">
        <v>0</v>
      </c>
      <c r="L31" s="183">
        <v>0</v>
      </c>
      <c r="M31" s="183">
        <v>0</v>
      </c>
      <c r="N31" s="183">
        <v>0</v>
      </c>
      <c r="O31" s="183">
        <v>0</v>
      </c>
      <c r="P31" s="183">
        <v>0</v>
      </c>
      <c r="Q31" s="183">
        <v>0</v>
      </c>
      <c r="R31" s="183">
        <v>0</v>
      </c>
      <c r="S31" s="183">
        <v>0</v>
      </c>
      <c r="T31" s="183">
        <v>0</v>
      </c>
      <c r="U31" s="183">
        <v>0</v>
      </c>
      <c r="V31" s="183">
        <v>0</v>
      </c>
      <c r="W31" s="183">
        <v>0</v>
      </c>
      <c r="X31" s="183">
        <v>0</v>
      </c>
      <c r="Y31" s="183">
        <v>0</v>
      </c>
      <c r="Z31" s="183">
        <v>0</v>
      </c>
      <c r="AA31" s="183">
        <v>0</v>
      </c>
      <c r="AB31" s="183">
        <v>0</v>
      </c>
      <c r="AC31" s="183">
        <v>0</v>
      </c>
      <c r="AD31" s="183">
        <v>0</v>
      </c>
      <c r="AE31" s="183">
        <v>0</v>
      </c>
      <c r="AF31" s="183">
        <v>0</v>
      </c>
      <c r="AG31" s="183">
        <v>0</v>
      </c>
      <c r="AH31" s="183">
        <v>0</v>
      </c>
      <c r="AI31" s="183">
        <v>0</v>
      </c>
      <c r="AJ31" s="183">
        <v>0</v>
      </c>
      <c r="AK31" s="183">
        <v>0</v>
      </c>
      <c r="AL31" s="183">
        <v>0</v>
      </c>
      <c r="AM31" s="183">
        <v>0</v>
      </c>
      <c r="AN31" s="183">
        <v>0</v>
      </c>
    </row>
    <row r="32" spans="2:50" x14ac:dyDescent="0.25">
      <c r="B32" s="39" t="str">
        <f>Base!B37</f>
        <v>Tertiary Direct Staff - Service B</v>
      </c>
      <c r="C32" s="4"/>
      <c r="E32" s="183" cm="1">
        <f t="array" ref="E32:AN32">_xlfn.LET(_xlpm.site,$B$1&amp;"-"&amp;$C$1,_xlpm.locations,Base!$D$4:$BD$4,_xlpm.rates,Base!$D37:$BD37,_xlpm.hours,Base!$D80:$BD80,_xlpm.comp,_xlpm.rates*_xlpm.hours,_xlpm.Customer,_xlfn.ANCHORARRAY($E$1)*0,
_xlpm.Customer_comp,_xlfn.XLOOKUP(_xlpm.site,_xlpm.locations,_xlpm.comp,0,0),_xlpm.ann_incr,_xlfn.XLOOKUP(YEAR(_xlfn.ANCHORARRAY($E$25)),Base!$BJ$4:$BL$4,Base!$BJ80:$BL80,0,0),
_xlpm.bad_debt,_xlfn.XLOOKUP(_xlpm.site,_xlpm.locations,Base!$D$28:$BD$28,0,0),_xlpm.Customer_comp*_xlpm.Customer*_xlpm.bad_debt*_xlpm.ann_incr*(52/12))</f>
        <v>0</v>
      </c>
      <c r="F32" s="183">
        <v>0</v>
      </c>
      <c r="G32" s="183">
        <v>0</v>
      </c>
      <c r="H32" s="183">
        <v>0</v>
      </c>
      <c r="I32" s="183">
        <v>0</v>
      </c>
      <c r="J32" s="183">
        <v>0</v>
      </c>
      <c r="K32" s="183">
        <v>0</v>
      </c>
      <c r="L32" s="183">
        <v>0</v>
      </c>
      <c r="M32" s="183">
        <v>0</v>
      </c>
      <c r="N32" s="183">
        <v>0</v>
      </c>
      <c r="O32" s="183">
        <v>0</v>
      </c>
      <c r="P32" s="183">
        <v>0</v>
      </c>
      <c r="Q32" s="183">
        <v>0</v>
      </c>
      <c r="R32" s="183">
        <v>0</v>
      </c>
      <c r="S32" s="183">
        <v>0</v>
      </c>
      <c r="T32" s="183">
        <v>0</v>
      </c>
      <c r="U32" s="183">
        <v>0</v>
      </c>
      <c r="V32" s="183">
        <v>0</v>
      </c>
      <c r="W32" s="183">
        <v>0</v>
      </c>
      <c r="X32" s="183">
        <v>0</v>
      </c>
      <c r="Y32" s="183">
        <v>0</v>
      </c>
      <c r="Z32" s="183">
        <v>0</v>
      </c>
      <c r="AA32" s="183">
        <v>0</v>
      </c>
      <c r="AB32" s="183">
        <v>0</v>
      </c>
      <c r="AC32" s="183">
        <v>0</v>
      </c>
      <c r="AD32" s="183">
        <v>0</v>
      </c>
      <c r="AE32" s="183">
        <v>0</v>
      </c>
      <c r="AF32" s="183">
        <v>0</v>
      </c>
      <c r="AG32" s="183">
        <v>0</v>
      </c>
      <c r="AH32" s="183">
        <v>0</v>
      </c>
      <c r="AI32" s="183">
        <v>0</v>
      </c>
      <c r="AJ32" s="183">
        <v>0</v>
      </c>
      <c r="AK32" s="183">
        <v>0</v>
      </c>
      <c r="AL32" s="183">
        <v>0</v>
      </c>
      <c r="AM32" s="183">
        <v>0</v>
      </c>
      <c r="AN32" s="183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_xlpm.Customer,_xlfn.ANCHORARRAY($E$2),_xlpm.ann_incr,_xlfn.XLOOKUP(YEAR(_xlfn.ANCHORARRAY($E$25)),Base!$BJ$4:$BL$4,Base!$BJ$81:$BL$81,0,0),
_xlpm.bad_debt,_xlfn.XLOOKUP(_xlpm.site,_xlpm.locations,Base!$D$28:$BD$28,0,0),
_xlpm.comp*_xlpm.bad_debt*_xlpm.ann_incr*(52/12))</f>
        <v>0</v>
      </c>
      <c r="F33" s="12">
        <v>0</v>
      </c>
      <c r="G33" s="12">
        <v>0</v>
      </c>
      <c r="H33" s="12">
        <v>0</v>
      </c>
      <c r="I33" s="12">
        <v>0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2">
        <v>0</v>
      </c>
      <c r="Y33" s="12">
        <v>0</v>
      </c>
      <c r="Z33" s="12">
        <v>0</v>
      </c>
      <c r="AA33" s="12">
        <v>0</v>
      </c>
      <c r="AB33" s="12">
        <v>26688.836416666662</v>
      </c>
      <c r="AC33" s="12">
        <v>26688.836416666662</v>
      </c>
      <c r="AD33" s="12">
        <v>26688.836416666662</v>
      </c>
      <c r="AE33" s="12">
        <v>26688.836416666662</v>
      </c>
      <c r="AF33" s="12">
        <v>26688.836416666662</v>
      </c>
      <c r="AG33" s="12">
        <v>26688.836416666662</v>
      </c>
      <c r="AH33" s="12">
        <v>26688.836416666662</v>
      </c>
      <c r="AI33" s="12">
        <v>26688.836416666662</v>
      </c>
      <c r="AJ33" s="12">
        <v>26688.836416666662</v>
      </c>
      <c r="AK33" s="12">
        <v>26688.836416666662</v>
      </c>
      <c r="AL33" s="12">
        <v>26688.836416666662</v>
      </c>
      <c r="AM33" s="12">
        <v>26688.836416666662</v>
      </c>
      <c r="AN33" s="12">
        <v>26688.836416666662</v>
      </c>
    </row>
    <row r="34" spans="2:40" x14ac:dyDescent="0.25">
      <c r="B34" s="39" t="str">
        <f>Base!B39</f>
        <v>Quinary Direct Staff - Service A</v>
      </c>
      <c r="C34" s="4"/>
      <c r="E34" s="183" cm="1">
        <f t="array" ref="E34:AN34">_xlfn.LET(_xlpm.site,$B$1&amp;"-"&amp;$C$1,_xlpm.locations,Base!$D$4:$BD$4,_xlpm.rates,Base!$D39:$BD39,_xlpm.hours,Base!$D82:$BD82,_xlpm.comp,_xlpm.rates*_xlpm.hours,_xlpm.Customer,_xlfn.ANCHORARRAY($E$1)*0,
_xlpm.Customer_comp,_xlfn.XLOOKUP(_xlpm.site,_xlpm.locations,_xlpm.comp,0,0),_xlpm.ann_incr,_xlfn.XLOOKUP(YEAR(_xlfn.ANCHORARRAY($E$25)),Base!$BJ$4:$BL$4,Base!$BJ82:$BL82,0,0),
_xlpm.bad_debt,_xlfn.XLOOKUP(_xlpm.site,_xlpm.locations,Base!$D$28:$BD$28,0,0),_xlpm.Customer_comp*_xlpm.Customer*_xlpm.bad_debt*_xlpm.ann_incr*(52/12))</f>
        <v>0</v>
      </c>
      <c r="F34" s="183">
        <v>0</v>
      </c>
      <c r="G34" s="183">
        <v>0</v>
      </c>
      <c r="H34" s="183">
        <v>0</v>
      </c>
      <c r="I34" s="183">
        <v>0</v>
      </c>
      <c r="J34" s="183">
        <v>0</v>
      </c>
      <c r="K34" s="183">
        <v>0</v>
      </c>
      <c r="L34" s="183">
        <v>0</v>
      </c>
      <c r="M34" s="183">
        <v>0</v>
      </c>
      <c r="N34" s="183">
        <v>0</v>
      </c>
      <c r="O34" s="183">
        <v>0</v>
      </c>
      <c r="P34" s="183">
        <v>0</v>
      </c>
      <c r="Q34" s="183">
        <v>0</v>
      </c>
      <c r="R34" s="183">
        <v>0</v>
      </c>
      <c r="S34" s="183">
        <v>0</v>
      </c>
      <c r="T34" s="183">
        <v>0</v>
      </c>
      <c r="U34" s="183">
        <v>0</v>
      </c>
      <c r="V34" s="183">
        <v>0</v>
      </c>
      <c r="W34" s="183">
        <v>0</v>
      </c>
      <c r="X34" s="183">
        <v>0</v>
      </c>
      <c r="Y34" s="183">
        <v>0</v>
      </c>
      <c r="Z34" s="183">
        <v>0</v>
      </c>
      <c r="AA34" s="183">
        <v>0</v>
      </c>
      <c r="AB34" s="183">
        <v>0</v>
      </c>
      <c r="AC34" s="183">
        <v>0</v>
      </c>
      <c r="AD34" s="183">
        <v>0</v>
      </c>
      <c r="AE34" s="183">
        <v>0</v>
      </c>
      <c r="AF34" s="183">
        <v>0</v>
      </c>
      <c r="AG34" s="183">
        <v>0</v>
      </c>
      <c r="AH34" s="183">
        <v>0</v>
      </c>
      <c r="AI34" s="183">
        <v>0</v>
      </c>
      <c r="AJ34" s="183">
        <v>0</v>
      </c>
      <c r="AK34" s="183">
        <v>0</v>
      </c>
      <c r="AL34" s="183">
        <v>0</v>
      </c>
      <c r="AM34" s="183">
        <v>0</v>
      </c>
      <c r="AN34" s="183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0</v>
      </c>
      <c r="F35" s="12">
        <v>0</v>
      </c>
      <c r="G35" s="12">
        <v>0</v>
      </c>
      <c r="H35" s="12">
        <v>0</v>
      </c>
      <c r="I35" s="12">
        <v>0</v>
      </c>
      <c r="J35" s="12">
        <v>0</v>
      </c>
      <c r="K35" s="12">
        <v>0</v>
      </c>
      <c r="L35" s="12">
        <v>0</v>
      </c>
      <c r="M35" s="12">
        <v>0</v>
      </c>
      <c r="N35" s="12">
        <v>0</v>
      </c>
      <c r="O35" s="12">
        <v>0</v>
      </c>
      <c r="P35" s="12">
        <v>0</v>
      </c>
      <c r="Q35" s="12">
        <v>0</v>
      </c>
      <c r="R35" s="12">
        <v>0</v>
      </c>
      <c r="S35" s="12">
        <v>0</v>
      </c>
      <c r="T35" s="12">
        <v>0</v>
      </c>
      <c r="U35" s="12">
        <v>0</v>
      </c>
      <c r="V35" s="12">
        <v>0</v>
      </c>
      <c r="W35" s="12">
        <v>0</v>
      </c>
      <c r="X35" s="12">
        <v>0</v>
      </c>
      <c r="Y35" s="12">
        <v>0</v>
      </c>
      <c r="Z35" s="12">
        <v>0</v>
      </c>
      <c r="AA35" s="12">
        <v>0</v>
      </c>
      <c r="AB35" s="12">
        <v>-10068.832691599999</v>
      </c>
      <c r="AC35" s="12">
        <v>-16935.005013199996</v>
      </c>
      <c r="AD35" s="12">
        <v>-23801.177334799995</v>
      </c>
      <c r="AE35" s="12">
        <v>-30667.349656399994</v>
      </c>
      <c r="AF35" s="12">
        <v>-37533.521977999997</v>
      </c>
      <c r="AG35" s="12">
        <v>-44399.694299599993</v>
      </c>
      <c r="AH35" s="12">
        <v>-51265.866621199988</v>
      </c>
      <c r="AI35" s="12">
        <v>-58132.038942799998</v>
      </c>
      <c r="AJ35" s="12">
        <v>-64998.211264399994</v>
      </c>
      <c r="AK35" s="12">
        <v>-71864.383585999982</v>
      </c>
      <c r="AL35" s="12">
        <v>-78730.555907599992</v>
      </c>
      <c r="AM35" s="12">
        <v>-85596.728229199987</v>
      </c>
      <c r="AN35" s="12">
        <v>-92462.900550799983</v>
      </c>
    </row>
    <row r="36" spans="2:40" x14ac:dyDescent="0.25">
      <c r="B36" s="39" t="s">
        <v>261</v>
      </c>
      <c r="C36" s="15"/>
      <c r="E36" s="183" cm="1">
        <f t="array" ref="E36:AN36">_xlfn.BYCOL(_xlfn.ANCHORARRAY($E$25),_xlfn.LAMBDA(_xlpm.a,0))</f>
        <v>0</v>
      </c>
      <c r="F36" s="183">
        <v>0</v>
      </c>
      <c r="G36" s="183">
        <v>0</v>
      </c>
      <c r="H36" s="183">
        <v>0</v>
      </c>
      <c r="I36" s="183">
        <v>0</v>
      </c>
      <c r="J36" s="183">
        <v>0</v>
      </c>
      <c r="K36" s="183">
        <v>0</v>
      </c>
      <c r="L36" s="183">
        <v>0</v>
      </c>
      <c r="M36" s="183">
        <v>0</v>
      </c>
      <c r="N36" s="183">
        <v>0</v>
      </c>
      <c r="O36" s="183">
        <v>0</v>
      </c>
      <c r="P36" s="183">
        <v>0</v>
      </c>
      <c r="Q36" s="183">
        <v>0</v>
      </c>
      <c r="R36" s="183">
        <v>0</v>
      </c>
      <c r="S36" s="183">
        <v>0</v>
      </c>
      <c r="T36" s="183">
        <v>0</v>
      </c>
      <c r="U36" s="183">
        <v>0</v>
      </c>
      <c r="V36" s="183">
        <v>0</v>
      </c>
      <c r="W36" s="183">
        <v>0</v>
      </c>
      <c r="X36" s="183">
        <v>0</v>
      </c>
      <c r="Y36" s="183">
        <v>0</v>
      </c>
      <c r="Z36" s="183">
        <v>0</v>
      </c>
      <c r="AA36" s="183">
        <v>0</v>
      </c>
      <c r="AB36" s="183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271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0</v>
      </c>
      <c r="S37" s="13">
        <v>0</v>
      </c>
      <c r="T37" s="13">
        <v>0</v>
      </c>
      <c r="U37" s="13">
        <v>0</v>
      </c>
      <c r="V37" s="13">
        <v>0</v>
      </c>
      <c r="W37" s="13">
        <v>0</v>
      </c>
      <c r="X37" s="13">
        <v>0</v>
      </c>
      <c r="Y37" s="13">
        <v>0</v>
      </c>
      <c r="Z37" s="13">
        <v>0</v>
      </c>
      <c r="AA37" s="13">
        <v>0</v>
      </c>
      <c r="AB37" s="13">
        <v>71094.22760506667</v>
      </c>
      <c r="AC37" s="13">
        <v>118702.27916346668</v>
      </c>
      <c r="AD37" s="13">
        <v>166310.33072186666</v>
      </c>
      <c r="AE37" s="13">
        <v>213918.38228026667</v>
      </c>
      <c r="AF37" s="13">
        <v>261526.43383866665</v>
      </c>
      <c r="AG37" s="13">
        <v>309134.48539706669</v>
      </c>
      <c r="AH37" s="13">
        <v>356742.53695546661</v>
      </c>
      <c r="AI37" s="13">
        <v>404350.58851386671</v>
      </c>
      <c r="AJ37" s="13">
        <v>451958.64007226669</v>
      </c>
      <c r="AK37" s="13">
        <v>499566.69163066661</v>
      </c>
      <c r="AL37" s="13">
        <v>547174.74318906665</v>
      </c>
      <c r="AM37" s="13">
        <v>594782.79474746657</v>
      </c>
      <c r="AN37" s="13">
        <v>642390.84630586649</v>
      </c>
    </row>
    <row r="38" spans="2:40" x14ac:dyDescent="0.25">
      <c r="E38" s="67"/>
      <c r="F38" s="67"/>
    </row>
    <row r="39" spans="2:40" x14ac:dyDescent="0.25">
      <c r="B39" s="1" t="s">
        <v>118</v>
      </c>
    </row>
    <row r="40" spans="2:40" x14ac:dyDescent="0.25">
      <c r="B40" s="39" t="s">
        <v>23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0</v>
      </c>
      <c r="F40" s="12">
        <v>0</v>
      </c>
      <c r="G40" s="12">
        <v>0</v>
      </c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0</v>
      </c>
      <c r="N40" s="12">
        <v>0</v>
      </c>
      <c r="O40" s="12">
        <v>0</v>
      </c>
      <c r="P40" s="12">
        <v>0</v>
      </c>
      <c r="Q40" s="12">
        <v>0</v>
      </c>
      <c r="R40" s="12">
        <v>0</v>
      </c>
      <c r="S40" s="12">
        <v>0</v>
      </c>
      <c r="T40" s="12">
        <v>0</v>
      </c>
      <c r="U40" s="12">
        <v>0</v>
      </c>
      <c r="V40" s="12">
        <v>0</v>
      </c>
      <c r="W40" s="12">
        <v>0</v>
      </c>
      <c r="X40" s="12">
        <v>0</v>
      </c>
      <c r="Y40" s="12">
        <v>0</v>
      </c>
      <c r="Z40" s="12">
        <v>0</v>
      </c>
      <c r="AA40" s="12">
        <v>0</v>
      </c>
      <c r="AB40" s="12">
        <v>47974.288916403617</v>
      </c>
      <c r="AC40" s="12">
        <v>90050.480101421301</v>
      </c>
      <c r="AD40" s="12">
        <v>113599.24590946527</v>
      </c>
      <c r="AE40" s="12">
        <v>137099.33486950924</v>
      </c>
      <c r="AF40" s="12">
        <v>160639.19249621988</v>
      </c>
      <c r="AG40" s="12">
        <v>184510.78630426392</v>
      </c>
      <c r="AH40" s="12">
        <v>207818.46509764122</v>
      </c>
      <c r="AI40" s="12">
        <v>231435.52072435187</v>
      </c>
      <c r="AJ40" s="12">
        <v>254984.28653239587</v>
      </c>
      <c r="AK40" s="12">
        <v>278407.17749243981</v>
      </c>
      <c r="AL40" s="12">
        <v>302152.89645248384</v>
      </c>
      <c r="AM40" s="12">
        <v>325818.6289271944</v>
      </c>
      <c r="AN40" s="12">
        <v>349318.71788723842</v>
      </c>
    </row>
    <row r="41" spans="2:40" x14ac:dyDescent="0.25">
      <c r="B41" s="39" t="s">
        <v>388</v>
      </c>
      <c r="C41" s="142">
        <f>_xlfn.XLOOKUP($B$1&amp;"-"&amp;$C$1,Base!$D$4:$BD$4,Base!$D$12:$BD$12,0,0)</f>
        <v>0</v>
      </c>
      <c r="E41" s="183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28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15450</v>
      </c>
      <c r="AC42" s="12">
        <v>15913.5</v>
      </c>
      <c r="AD42" s="12">
        <v>15913.5</v>
      </c>
      <c r="AE42" s="12">
        <v>15913.5</v>
      </c>
      <c r="AF42" s="12">
        <v>15913.5</v>
      </c>
      <c r="AG42" s="12">
        <v>15913.5</v>
      </c>
      <c r="AH42" s="12">
        <v>15913.5</v>
      </c>
      <c r="AI42" s="12">
        <v>15913.5</v>
      </c>
      <c r="AJ42" s="12">
        <v>15913.5</v>
      </c>
      <c r="AK42" s="12">
        <v>15913.5</v>
      </c>
      <c r="AL42" s="12">
        <v>15913.5</v>
      </c>
      <c r="AM42" s="12">
        <v>15913.5</v>
      </c>
      <c r="AN42" s="12">
        <v>15913.5</v>
      </c>
    </row>
    <row r="43" spans="2:40" x14ac:dyDescent="0.25">
      <c r="B43" s="39" t="s">
        <v>31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0</v>
      </c>
      <c r="X43" s="12">
        <v>0</v>
      </c>
      <c r="Y43" s="12">
        <v>0</v>
      </c>
      <c r="Z43" s="12">
        <v>0</v>
      </c>
      <c r="AA43" s="12">
        <v>0</v>
      </c>
      <c r="AB43" s="12">
        <v>9048</v>
      </c>
      <c r="AC43" s="12">
        <v>9409.9200000000019</v>
      </c>
      <c r="AD43" s="12">
        <v>9409.9200000000019</v>
      </c>
      <c r="AE43" s="12">
        <v>9409.9200000000019</v>
      </c>
      <c r="AF43" s="12">
        <v>9409.9200000000019</v>
      </c>
      <c r="AG43" s="12">
        <v>9409.9200000000019</v>
      </c>
      <c r="AH43" s="12">
        <v>9409.9200000000019</v>
      </c>
      <c r="AI43" s="12">
        <v>9409.9200000000019</v>
      </c>
      <c r="AJ43" s="12">
        <v>9409.9200000000019</v>
      </c>
      <c r="AK43" s="12">
        <v>9409.9200000000019</v>
      </c>
      <c r="AL43" s="12">
        <v>9409.9200000000019</v>
      </c>
      <c r="AM43" s="12">
        <v>9409.9200000000019</v>
      </c>
      <c r="AN43" s="12">
        <v>9409.9200000000019</v>
      </c>
    </row>
    <row r="44" spans="2:40" x14ac:dyDescent="0.25">
      <c r="B44" s="39" t="s">
        <v>34</v>
      </c>
      <c r="C44" s="96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  <c r="O44" s="12">
        <v>0</v>
      </c>
      <c r="P44" s="12">
        <v>0</v>
      </c>
      <c r="Q44" s="12">
        <v>0</v>
      </c>
      <c r="R44" s="12">
        <v>0</v>
      </c>
      <c r="S44" s="12">
        <v>0</v>
      </c>
      <c r="T44" s="12">
        <v>0</v>
      </c>
      <c r="U44" s="12">
        <v>0</v>
      </c>
      <c r="V44" s="12">
        <v>0</v>
      </c>
      <c r="W44" s="12">
        <v>0</v>
      </c>
      <c r="X44" s="12">
        <v>0</v>
      </c>
      <c r="Y44" s="12">
        <v>0</v>
      </c>
      <c r="Z44" s="12">
        <v>0</v>
      </c>
      <c r="AA44" s="12">
        <v>0</v>
      </c>
      <c r="AB44" s="12">
        <v>378.451008</v>
      </c>
      <c r="AC44" s="12">
        <v>1042.2821094400001</v>
      </c>
      <c r="AD44" s="12">
        <v>1075.0811968000003</v>
      </c>
      <c r="AE44" s="12">
        <v>1107.88028416</v>
      </c>
      <c r="AF44" s="12">
        <v>1140.6793715200004</v>
      </c>
      <c r="AG44" s="12">
        <v>1184.4114880000002</v>
      </c>
      <c r="AH44" s="12">
        <v>1213.5662323200002</v>
      </c>
      <c r="AI44" s="12">
        <v>1250.0096627200003</v>
      </c>
      <c r="AJ44" s="12">
        <v>1282.80875008</v>
      </c>
      <c r="AK44" s="12">
        <v>1311.9634944000004</v>
      </c>
      <c r="AL44" s="12">
        <v>1352.0512678400003</v>
      </c>
      <c r="AM44" s="12">
        <v>1388.4946982400002</v>
      </c>
      <c r="AN44" s="12">
        <v>1421.2937856000005</v>
      </c>
    </row>
    <row r="45" spans="2:40" x14ac:dyDescent="0.25">
      <c r="B45" s="39" t="s">
        <v>36</v>
      </c>
      <c r="C45" s="96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0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12">
        <v>0</v>
      </c>
      <c r="R45" s="12">
        <v>0</v>
      </c>
      <c r="S45" s="12">
        <v>0</v>
      </c>
      <c r="T45" s="12">
        <v>0</v>
      </c>
      <c r="U45" s="12">
        <v>0</v>
      </c>
      <c r="V45" s="12">
        <v>0</v>
      </c>
      <c r="W45" s="12">
        <v>0</v>
      </c>
      <c r="X45" s="12">
        <v>0</v>
      </c>
      <c r="Y45" s="12">
        <v>0</v>
      </c>
      <c r="Z45" s="12">
        <v>0</v>
      </c>
      <c r="AA45" s="12">
        <v>0</v>
      </c>
      <c r="AB45" s="12">
        <v>6630</v>
      </c>
      <c r="AC45" s="12">
        <v>6762.6</v>
      </c>
      <c r="AD45" s="12">
        <v>6762.6</v>
      </c>
      <c r="AE45" s="12">
        <v>6762.6</v>
      </c>
      <c r="AF45" s="12">
        <v>6762.6</v>
      </c>
      <c r="AG45" s="12">
        <v>6762.6</v>
      </c>
      <c r="AH45" s="12">
        <v>6762.6</v>
      </c>
      <c r="AI45" s="12">
        <v>6762.6</v>
      </c>
      <c r="AJ45" s="12">
        <v>6762.6</v>
      </c>
      <c r="AK45" s="12">
        <v>6762.6</v>
      </c>
      <c r="AL45" s="12">
        <v>6762.6</v>
      </c>
      <c r="AM45" s="12">
        <v>6762.6</v>
      </c>
      <c r="AN45" s="12">
        <v>6762.6</v>
      </c>
    </row>
    <row r="46" spans="2:40" x14ac:dyDescent="0.25">
      <c r="B46" s="39" t="s">
        <v>38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0</v>
      </c>
      <c r="F46" s="12">
        <v>0</v>
      </c>
      <c r="G46" s="12">
        <v>0</v>
      </c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0</v>
      </c>
      <c r="N46" s="12">
        <v>0</v>
      </c>
      <c r="O46" s="12">
        <v>0</v>
      </c>
      <c r="P46" s="12">
        <v>0</v>
      </c>
      <c r="Q46" s="12">
        <v>0</v>
      </c>
      <c r="R46" s="12">
        <v>0</v>
      </c>
      <c r="S46" s="12">
        <v>0</v>
      </c>
      <c r="T46" s="12">
        <v>0</v>
      </c>
      <c r="U46" s="12">
        <v>0</v>
      </c>
      <c r="V46" s="12">
        <v>0</v>
      </c>
      <c r="W46" s="12">
        <v>0</v>
      </c>
      <c r="X46" s="12">
        <v>0</v>
      </c>
      <c r="Y46" s="12">
        <v>0</v>
      </c>
      <c r="Z46" s="12">
        <v>0</v>
      </c>
      <c r="AA46" s="12">
        <v>0</v>
      </c>
      <c r="AB46" s="12">
        <v>3604.6799999999994</v>
      </c>
      <c r="AC46" s="12">
        <v>5617.639799999999</v>
      </c>
      <c r="AD46" s="12">
        <v>6946.7507999999998</v>
      </c>
      <c r="AE46" s="12">
        <v>8272.2203999999983</v>
      </c>
      <c r="AF46" s="12">
        <v>9597.6899999999969</v>
      </c>
      <c r="AG46" s="12">
        <v>10937.725199999999</v>
      </c>
      <c r="AH46" s="12">
        <v>12255.912</v>
      </c>
      <c r="AI46" s="12">
        <v>13585.022999999999</v>
      </c>
      <c r="AJ46" s="12">
        <v>14914.133999999998</v>
      </c>
      <c r="AK46" s="12">
        <v>16235.962199999998</v>
      </c>
      <c r="AL46" s="12">
        <v>17568.714599999999</v>
      </c>
      <c r="AM46" s="12">
        <v>18901.467000000001</v>
      </c>
      <c r="AN46" s="12">
        <v>20226.936599999997</v>
      </c>
    </row>
    <row r="47" spans="2:40" x14ac:dyDescent="0.25">
      <c r="B47" s="39" t="s">
        <v>40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  <c r="O47" s="12">
        <v>0</v>
      </c>
      <c r="P47" s="12">
        <v>0</v>
      </c>
      <c r="Q47" s="12">
        <v>0</v>
      </c>
      <c r="R47" s="12">
        <v>0</v>
      </c>
      <c r="S47" s="12">
        <v>0</v>
      </c>
      <c r="T47" s="12">
        <v>0</v>
      </c>
      <c r="U47" s="12">
        <v>0</v>
      </c>
      <c r="V47" s="12">
        <v>0</v>
      </c>
      <c r="W47" s="12">
        <v>0</v>
      </c>
      <c r="X47" s="12">
        <v>0</v>
      </c>
      <c r="Y47" s="12">
        <v>0</v>
      </c>
      <c r="Z47" s="12">
        <v>0</v>
      </c>
      <c r="AA47" s="12">
        <v>0</v>
      </c>
      <c r="AB47" s="12">
        <v>6300</v>
      </c>
      <c r="AC47" s="12">
        <v>6615</v>
      </c>
      <c r="AD47" s="12">
        <v>6615</v>
      </c>
      <c r="AE47" s="12">
        <v>6615</v>
      </c>
      <c r="AF47" s="12">
        <v>6615</v>
      </c>
      <c r="AG47" s="12">
        <v>6615</v>
      </c>
      <c r="AH47" s="12">
        <v>6615</v>
      </c>
      <c r="AI47" s="12">
        <v>6615</v>
      </c>
      <c r="AJ47" s="12">
        <v>6615</v>
      </c>
      <c r="AK47" s="12">
        <v>6615</v>
      </c>
      <c r="AL47" s="12">
        <v>6615</v>
      </c>
      <c r="AM47" s="12">
        <v>6615</v>
      </c>
      <c r="AN47" s="12">
        <v>6615</v>
      </c>
    </row>
    <row r="48" spans="2:40" x14ac:dyDescent="0.25">
      <c r="B48" s="39" t="s">
        <v>41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151234.47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42</v>
      </c>
      <c r="E49" s="12">
        <f>'Corp.'!E$50*(E$37-(E31-E32-E34)*$C$35)/(SUM('MDA1:NCA9'!E$37)-SUM('MDA1:NCA9'!E$31)-SUM('MDA1:NCA9'!E$32)-SUM('MDA1:NCA9'!E$34))</f>
        <v>0</v>
      </c>
      <c r="F49" s="12">
        <f>'Corp.'!F$50*(F$37-(F31-F32-F34)*$C$35)/(SUM('MDA1:NCA9'!F$37)-SUM('MDA1:NCA9'!F$31)-SUM('MDA1:NCA9'!F$32)-SUM('MDA1:NCA9'!F$34))</f>
        <v>0</v>
      </c>
      <c r="G49" s="12">
        <f>'Corp.'!G$50*(G$37-(G31-G32-G34)*$C$35)/(SUM('MDA1:NCA9'!G$37)-SUM('MDA1:NCA9'!G$31)-SUM('MDA1:NCA9'!G$32)-SUM('MDA1:NCA9'!G$34))</f>
        <v>0</v>
      </c>
      <c r="H49" s="12">
        <f>'Corp.'!H$50*(H$37-(H31-H32-H34)*$C$35)/(SUM('MDA1:NCA9'!H$37)-SUM('MDA1:NCA9'!H$31)-SUM('MDA1:NCA9'!H$32)-SUM('MDA1:NCA9'!H$34))</f>
        <v>0</v>
      </c>
      <c r="I49" s="12">
        <f>'Corp.'!I$50*(I$37-(I31-I32-I34)*$C$35)/(SUM('MDA1:NCA9'!I$37)-SUM('MDA1:NCA9'!I$31)-SUM('MDA1:NCA9'!I$32)-SUM('MDA1:NCA9'!I$34))</f>
        <v>0</v>
      </c>
      <c r="J49" s="12">
        <f>'Corp.'!J$50*(J$37-(J31-J32-J34)*$C$35)/(SUM('MDA1:NCA9'!J$37)-SUM('MDA1:NCA9'!J$31)-SUM('MDA1:NCA9'!J$32)-SUM('MDA1:NCA9'!J$34))</f>
        <v>0</v>
      </c>
      <c r="K49" s="12">
        <f>'Corp.'!K$50*(K$37-(K31-K32-K34)*$C$35)/(SUM('MDA1:NCA9'!K$37)-SUM('MDA1:NCA9'!K$31)-SUM('MDA1:NCA9'!K$32)-SUM('MDA1:NCA9'!K$34))</f>
        <v>0</v>
      </c>
      <c r="L49" s="12">
        <f>'Corp.'!L$50*(L$37-(L31-L32-L34)*$C$35)/(SUM('MDA1:NCA9'!L$37)-SUM('MDA1:NCA9'!L$31)-SUM('MDA1:NCA9'!L$32)-SUM('MDA1:NCA9'!L$34))</f>
        <v>0</v>
      </c>
      <c r="M49" s="12">
        <f>'Corp.'!M$50*(M$37-(M31-M32-M34)*$C$35)/(SUM('MDA1:NCA9'!M$37)-SUM('MDA1:NCA9'!M$31)-SUM('MDA1:NCA9'!M$32)-SUM('MDA1:NCA9'!M$34))</f>
        <v>0</v>
      </c>
      <c r="N49" s="12">
        <f>'Corp.'!N$50*(N$37-(N31-N32-N34)*$C$35)/(SUM('MDA1:NCA9'!N$37)-SUM('MDA1:NCA9'!N$31)-SUM('MDA1:NCA9'!N$32)-SUM('MDA1:NCA9'!N$34))</f>
        <v>0</v>
      </c>
      <c r="O49" s="12">
        <f>'Corp.'!O$50*(O$37-(O31-O32-O34)*$C$35)/(SUM('MDA1:NCA9'!O$37)-SUM('MDA1:NCA9'!O$31)-SUM('MDA1:NCA9'!O$32)-SUM('MDA1:NCA9'!O$34))</f>
        <v>0</v>
      </c>
      <c r="P49" s="12">
        <f>'Corp.'!P$50*(P$37-(P31-P32-P34)*$C$35)/(SUM('MDA1:NCA9'!P$37)-SUM('MDA1:NCA9'!P$31)-SUM('MDA1:NCA9'!P$32)-SUM('MDA1:NCA9'!P$34))</f>
        <v>0</v>
      </c>
      <c r="Q49" s="12">
        <f>'Corp.'!Q$50*(Q$37-(Q31-Q32-Q34)*$C$35)/(SUM('MDA1:NCA9'!Q$37)-SUM('MDA1:NCA9'!Q$31)-SUM('MDA1:NCA9'!Q$32)-SUM('MDA1:NCA9'!Q$34))</f>
        <v>0</v>
      </c>
      <c r="R49" s="12">
        <f>'Corp.'!R$50*(R$37-(R31-R32-R34)*$C$35)/(SUM('MDA1:NCA9'!R$37)-SUM('MDA1:NCA9'!R$31)-SUM('MDA1:NCA9'!R$32)-SUM('MDA1:NCA9'!R$34))</f>
        <v>0</v>
      </c>
      <c r="S49" s="12">
        <f>'Corp.'!S$50*(S$37-(S31-S32-S34)*$C$35)/(SUM('MDA1:NCA9'!S$37)-SUM('MDA1:NCA9'!S$31)-SUM('MDA1:NCA9'!S$32)-SUM('MDA1:NCA9'!S$34))</f>
        <v>0</v>
      </c>
      <c r="T49" s="12">
        <f>'Corp.'!T$50*(T$37-(T31-T32-T34)*$C$35)/(SUM('MDA1:NCA9'!T$37)-SUM('MDA1:NCA9'!T$31)-SUM('MDA1:NCA9'!T$32)-SUM('MDA1:NCA9'!T$34))</f>
        <v>0</v>
      </c>
      <c r="U49" s="12">
        <f>'Corp.'!U$50*(U$37-(U31-U32-U34)*$C$35)/(SUM('MDA1:NCA9'!U$37)-SUM('MDA1:NCA9'!U$31)-SUM('MDA1:NCA9'!U$32)-SUM('MDA1:NCA9'!U$34))</f>
        <v>0</v>
      </c>
      <c r="V49" s="12">
        <f>'Corp.'!V$50*(V$37-(V31-V32-V34)*$C$35)/(SUM('MDA1:NCA9'!V$37)-SUM('MDA1:NCA9'!V$31)-SUM('MDA1:NCA9'!V$32)-SUM('MDA1:NCA9'!V$34))</f>
        <v>0</v>
      </c>
      <c r="W49" s="12">
        <f>'Corp.'!W$50*(W$37-(W31-W32-W34)*$C$35)/(SUM('MDA1:NCA9'!W$37)-SUM('MDA1:NCA9'!W$31)-SUM('MDA1:NCA9'!W$32)-SUM('MDA1:NCA9'!W$34))</f>
        <v>0</v>
      </c>
      <c r="X49" s="12">
        <f>'Corp.'!X$50*(X$37-(X31-X32-X34)*$C$35)/(SUM('MDA1:NCA9'!X$37)-SUM('MDA1:NCA9'!X$31)-SUM('MDA1:NCA9'!X$32)-SUM('MDA1:NCA9'!X$34))</f>
        <v>0</v>
      </c>
      <c r="Y49" s="12">
        <f>'Corp.'!Y$50*(Y$37-(Y31-Y32-Y34)*$C$35)/(SUM('MDA1:NCA9'!Y$37)-SUM('MDA1:NCA9'!Y$31)-SUM('MDA1:NCA9'!Y$32)-SUM('MDA1:NCA9'!Y$34))</f>
        <v>0</v>
      </c>
      <c r="Z49" s="12">
        <f>'Corp.'!Z$50*(Z$37-(Z31-Z32-Z34)*$C$35)/(SUM('MDA1:NCA9'!Z$37)-SUM('MDA1:NCA9'!Z$31)-SUM('MDA1:NCA9'!Z$32)-SUM('MDA1:NCA9'!Z$34))</f>
        <v>0</v>
      </c>
      <c r="AA49" s="12">
        <f>'Corp.'!AA$50*(AA$37-(AA31-AA32-AA34)*$C$35)/(SUM('MDA1:NCA9'!AA$37)-SUM('MDA1:NCA9'!AA$31)-SUM('MDA1:NCA9'!AA$32)-SUM('MDA1:NCA9'!AA$34))</f>
        <v>0</v>
      </c>
      <c r="AB49" s="12">
        <f>'Corp.'!AB$50*(AB$37-(AB31-AB32-AB34)*$C$35)/(SUM('MDA1:NCA9'!AB$37)-SUM('MDA1:NCA9'!AB$31)-SUM('MDA1:NCA9'!AB$32)-SUM('MDA1:NCA9'!AB$34))</f>
        <v>7947.8722462188271</v>
      </c>
      <c r="AC49" s="12">
        <f>'Corp.'!AC$50*(AC$37-(AC31-AC32-AC34)*$C$35)/(SUM('MDA1:NCA9'!AC$37)-SUM('MDA1:NCA9'!AC$31)-SUM('MDA1:NCA9'!AC$32)-SUM('MDA1:NCA9'!AC$34))</f>
        <v>14242.144629646105</v>
      </c>
      <c r="AD49" s="12">
        <f>'Corp.'!AD$50*(AD$37-(AD31-AD32-AD34)*$C$35)/(SUM('MDA1:NCA9'!AD$37)-SUM('MDA1:NCA9'!AD$31)-SUM('MDA1:NCA9'!AD$32)-SUM('MDA1:NCA9'!AD$34))</f>
        <v>19626.446899510189</v>
      </c>
      <c r="AE49" s="12">
        <f>'Corp.'!AE$50*(AE$37-(AE31-AE32-AE34)*$C$35)/(SUM('MDA1:NCA9'!AE$37)-SUM('MDA1:NCA9'!AE$31)-SUM('MDA1:NCA9'!AE$32)-SUM('MDA1:NCA9'!AE$34))</f>
        <v>24847.145025946451</v>
      </c>
      <c r="AF49" s="12">
        <f>'Corp.'!AF$50*(AF$37-(AF31-AF32-AF34)*$C$35)/(SUM('MDA1:NCA9'!AF$37)-SUM('MDA1:NCA9'!AF$31)-SUM('MDA1:NCA9'!AF$32)-SUM('MDA1:NCA9'!AF$34))</f>
        <v>29921.486137872605</v>
      </c>
      <c r="AG49" s="12">
        <f>'Corp.'!AG$50*(AG$37-(AG31-AG32-AG34)*$C$35)/(SUM('MDA1:NCA9'!AG$37)-SUM('MDA1:NCA9'!AG$31)-SUM('MDA1:NCA9'!AG$32)-SUM('MDA1:NCA9'!AG$34))</f>
        <v>34936.627937208868</v>
      </c>
      <c r="AH49" s="12">
        <f>'Corp.'!AH$50*(AH$37-(AH31-AH32-AH34)*$C$35)/(SUM('MDA1:NCA9'!AH$37)-SUM('MDA1:NCA9'!AH$31)-SUM('MDA1:NCA9'!AH$32)-SUM('MDA1:NCA9'!AH$34))</f>
        <v>39661.661442961718</v>
      </c>
      <c r="AI49" s="12">
        <f>'Corp.'!AI$50*(AI$37-(AI31-AI32-AI34)*$C$35)/(SUM('MDA1:NCA9'!AI$37)-SUM('MDA1:NCA9'!AI$31)-SUM('MDA1:NCA9'!AI$32)-SUM('MDA1:NCA9'!AI$34))</f>
        <v>44180.49166974939</v>
      </c>
      <c r="AJ49" s="12">
        <f>'Corp.'!AJ$50*(AJ$37-(AJ31-AJ32-AJ34)*$C$35)/(SUM('MDA1:NCA9'!AJ$37)-SUM('MDA1:NCA9'!AJ$31)-SUM('MDA1:NCA9'!AJ$32)-SUM('MDA1:NCA9'!AJ$34))</f>
        <v>48495.782809981538</v>
      </c>
      <c r="AK49" s="12">
        <f>'Corp.'!AK$50*(AK$37-(AK31-AK32-AK34)*$C$35)/(SUM('MDA1:NCA9'!AK$37)-SUM('MDA1:NCA9'!AK$31)-SUM('MDA1:NCA9'!AK$32)-SUM('MDA1:NCA9'!AK$34))</f>
        <v>52699.393913803069</v>
      </c>
      <c r="AL49" s="12">
        <f>'Corp.'!AL$50*(AL$37-(AL31-AL32-AL34)*$C$35)/(SUM('MDA1:NCA9'!AL$37)-SUM('MDA1:NCA9'!AL$31)-SUM('MDA1:NCA9'!AL$32)-SUM('MDA1:NCA9'!AL$34))</f>
        <v>56812.153064777645</v>
      </c>
      <c r="AM49" s="12">
        <f>'Corp.'!AM$50*(AM$37-(AM31-AM32-AM34)*$C$35)/(SUM('MDA1:NCA9'!AM$37)-SUM('MDA1:NCA9'!AM$31)-SUM('MDA1:NCA9'!AM$32)-SUM('MDA1:NCA9'!AM$34))</f>
        <v>60690.59053796091</v>
      </c>
      <c r="AN49" s="12">
        <f>'Corp.'!AN$50*(AN$37-(AN31-AN32-AN34)*$C$35)/(SUM('MDA1:NCA9'!AN$37)-SUM('MDA1:NCA9'!AN$31)-SUM('MDA1:NCA9'!AN$32)-SUM('MDA1:NCA9'!AN$34))</f>
        <v>64568.292400910519</v>
      </c>
    </row>
    <row r="50" spans="2:40" x14ac:dyDescent="0.25">
      <c r="B50" s="1" t="s">
        <v>272</v>
      </c>
      <c r="E50" s="13" cm="1">
        <f t="array" ref="E50:AN50">_xlfn.BYCOL(_xlfn.VSTACK(_xlfn.ANCHORARRAY(E40),_xlfn.ANCHORARRAY(E42),_xlfn.ANCHORARRAY(E43),_xlfn.ANCHORARRAY(E45),_xlfn.ANCHORARRAY(E46),_xlfn.ANCHORARRAY(E47),_xlfn.ANCHORARRAY(E48),_xlfn.HSTACK(E49:AN49)),_xlfn.LAMBDA(_xlpm.a,SUM(_xlpm.a)))</f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0</v>
      </c>
      <c r="Q50" s="13">
        <v>0</v>
      </c>
      <c r="R50" s="13">
        <v>0</v>
      </c>
      <c r="S50" s="13">
        <v>0</v>
      </c>
      <c r="T50" s="13">
        <v>0</v>
      </c>
      <c r="U50" s="13">
        <v>0</v>
      </c>
      <c r="V50" s="13">
        <v>0</v>
      </c>
      <c r="W50" s="13">
        <v>0</v>
      </c>
      <c r="X50" s="13">
        <v>0</v>
      </c>
      <c r="Y50" s="13">
        <v>0</v>
      </c>
      <c r="Z50" s="13">
        <v>151234.47</v>
      </c>
      <c r="AA50" s="13">
        <v>0</v>
      </c>
      <c r="AB50" s="13">
        <v>96954.841162622441</v>
      </c>
      <c r="AC50" s="13">
        <v>148611.28453106742</v>
      </c>
      <c r="AD50" s="13">
        <v>178873.46360897549</v>
      </c>
      <c r="AE50" s="13">
        <v>208919.72029545571</v>
      </c>
      <c r="AF50" s="13">
        <v>238859.38863409252</v>
      </c>
      <c r="AG50" s="13">
        <v>269086.15944147279</v>
      </c>
      <c r="AH50" s="13">
        <v>298437.05854060297</v>
      </c>
      <c r="AI50" s="13">
        <v>327902.05539410125</v>
      </c>
      <c r="AJ50" s="13">
        <v>357095.2233423774</v>
      </c>
      <c r="AK50" s="13">
        <v>386043.55360624287</v>
      </c>
      <c r="AL50" s="13">
        <v>415234.78411726147</v>
      </c>
      <c r="AM50" s="13">
        <v>444111.70646515529</v>
      </c>
      <c r="AN50" s="13">
        <v>472814.96688814892</v>
      </c>
    </row>
    <row r="52" spans="2:40" x14ac:dyDescent="0.25">
      <c r="B52" s="1" t="s">
        <v>48</v>
      </c>
      <c r="E52" s="74">
        <f>E37-E50</f>
        <v>0</v>
      </c>
      <c r="F52" s="74">
        <f t="shared" ref="F52:AN52" si="0">F37-F50</f>
        <v>0</v>
      </c>
      <c r="G52" s="74">
        <f t="shared" si="0"/>
        <v>0</v>
      </c>
      <c r="H52" s="74">
        <f t="shared" si="0"/>
        <v>0</v>
      </c>
      <c r="I52" s="74">
        <f t="shared" si="0"/>
        <v>0</v>
      </c>
      <c r="J52" s="74">
        <f t="shared" si="0"/>
        <v>0</v>
      </c>
      <c r="K52" s="74">
        <f t="shared" si="0"/>
        <v>0</v>
      </c>
      <c r="L52" s="74">
        <f t="shared" si="0"/>
        <v>0</v>
      </c>
      <c r="M52" s="74">
        <f t="shared" si="0"/>
        <v>0</v>
      </c>
      <c r="N52" s="74">
        <f t="shared" si="0"/>
        <v>0</v>
      </c>
      <c r="O52" s="74">
        <f t="shared" si="0"/>
        <v>0</v>
      </c>
      <c r="P52" s="74">
        <f t="shared" si="0"/>
        <v>0</v>
      </c>
      <c r="Q52" s="74">
        <f t="shared" si="0"/>
        <v>0</v>
      </c>
      <c r="R52" s="74">
        <f t="shared" si="0"/>
        <v>0</v>
      </c>
      <c r="S52" s="74">
        <f t="shared" si="0"/>
        <v>0</v>
      </c>
      <c r="T52" s="74">
        <f t="shared" si="0"/>
        <v>0</v>
      </c>
      <c r="U52" s="74">
        <f t="shared" si="0"/>
        <v>0</v>
      </c>
      <c r="V52" s="74">
        <f t="shared" si="0"/>
        <v>0</v>
      </c>
      <c r="W52" s="74">
        <f t="shared" si="0"/>
        <v>0</v>
      </c>
      <c r="X52" s="74">
        <f t="shared" si="0"/>
        <v>0</v>
      </c>
      <c r="Y52" s="74">
        <f t="shared" si="0"/>
        <v>0</v>
      </c>
      <c r="Z52" s="74">
        <f t="shared" si="0"/>
        <v>-151234.47</v>
      </c>
      <c r="AA52" s="74">
        <f t="shared" si="0"/>
        <v>0</v>
      </c>
      <c r="AB52" s="74">
        <f t="shared" si="0"/>
        <v>-25860.613557555771</v>
      </c>
      <c r="AC52" s="74">
        <f t="shared" si="0"/>
        <v>-29909.005367600737</v>
      </c>
      <c r="AD52" s="74">
        <f t="shared" si="0"/>
        <v>-12563.132887108834</v>
      </c>
      <c r="AE52" s="74">
        <f t="shared" si="0"/>
        <v>4998.6619848109549</v>
      </c>
      <c r="AF52" s="74">
        <f t="shared" si="0"/>
        <v>22667.045204574126</v>
      </c>
      <c r="AG52" s="74">
        <f t="shared" si="0"/>
        <v>40048.3259555939</v>
      </c>
      <c r="AH52" s="74">
        <f t="shared" si="0"/>
        <v>58305.478414863639</v>
      </c>
      <c r="AI52" s="74">
        <f t="shared" si="0"/>
        <v>76448.53311976546</v>
      </c>
      <c r="AJ52" s="74">
        <f t="shared" si="0"/>
        <v>94863.416729889286</v>
      </c>
      <c r="AK52" s="74">
        <f t="shared" si="0"/>
        <v>113523.13802442374</v>
      </c>
      <c r="AL52" s="74">
        <f t="shared" si="0"/>
        <v>131939.95907180518</v>
      </c>
      <c r="AM52" s="74">
        <f t="shared" si="0"/>
        <v>150671.08828231128</v>
      </c>
      <c r="AN52" s="74">
        <f t="shared" si="0"/>
        <v>169575.87941771757</v>
      </c>
    </row>
    <row r="53" spans="2:40" x14ac:dyDescent="0.25">
      <c r="E53" s="105" t="str">
        <f>IFERROR(E52/E37,"")</f>
        <v/>
      </c>
      <c r="F53" s="105" t="str">
        <f t="shared" ref="F53:AN53" si="1">IFERROR(F52/F37,"")</f>
        <v/>
      </c>
      <c r="G53" s="105" t="str">
        <f t="shared" si="1"/>
        <v/>
      </c>
      <c r="H53" s="105" t="str">
        <f t="shared" si="1"/>
        <v/>
      </c>
      <c r="I53" s="105" t="str">
        <f t="shared" si="1"/>
        <v/>
      </c>
      <c r="J53" s="105" t="str">
        <f t="shared" si="1"/>
        <v/>
      </c>
      <c r="K53" s="105" t="str">
        <f t="shared" si="1"/>
        <v/>
      </c>
      <c r="L53" s="105" t="str">
        <f t="shared" si="1"/>
        <v/>
      </c>
      <c r="M53" s="105" t="str">
        <f t="shared" si="1"/>
        <v/>
      </c>
      <c r="N53" s="105" t="str">
        <f t="shared" si="1"/>
        <v/>
      </c>
      <c r="O53" s="105" t="str">
        <f t="shared" si="1"/>
        <v/>
      </c>
      <c r="P53" s="105" t="str">
        <f t="shared" si="1"/>
        <v/>
      </c>
      <c r="Q53" s="105" t="str">
        <f t="shared" si="1"/>
        <v/>
      </c>
      <c r="R53" s="105" t="str">
        <f t="shared" si="1"/>
        <v/>
      </c>
      <c r="S53" s="105" t="str">
        <f t="shared" si="1"/>
        <v/>
      </c>
      <c r="T53" s="105" t="str">
        <f t="shared" si="1"/>
        <v/>
      </c>
      <c r="U53" s="105" t="str">
        <f t="shared" si="1"/>
        <v/>
      </c>
      <c r="V53" s="105" t="str">
        <f t="shared" si="1"/>
        <v/>
      </c>
      <c r="W53" s="105" t="str">
        <f t="shared" si="1"/>
        <v/>
      </c>
      <c r="X53" s="105" t="str">
        <f t="shared" si="1"/>
        <v/>
      </c>
      <c r="Y53" s="105" t="str">
        <f t="shared" si="1"/>
        <v/>
      </c>
      <c r="Z53" s="105" t="str">
        <f t="shared" si="1"/>
        <v/>
      </c>
      <c r="AA53" s="105" t="str">
        <f t="shared" si="1"/>
        <v/>
      </c>
      <c r="AB53" s="105">
        <f t="shared" si="1"/>
        <v>-0.36375124153838845</v>
      </c>
      <c r="AC53" s="105">
        <f t="shared" si="1"/>
        <v>-0.25196656356035591</v>
      </c>
      <c r="AD53" s="105">
        <f t="shared" si="1"/>
        <v>-7.5540303675537213E-2</v>
      </c>
      <c r="AE53" s="105">
        <f t="shared" si="1"/>
        <v>2.3367145597903424E-2</v>
      </c>
      <c r="AF53" s="105">
        <f t="shared" si="1"/>
        <v>8.6672099916894924E-2</v>
      </c>
      <c r="AG53" s="105">
        <f t="shared" si="1"/>
        <v>0.12954984916727738</v>
      </c>
      <c r="AH53" s="105">
        <f t="shared" si="1"/>
        <v>0.16343853725002272</v>
      </c>
      <c r="AI53" s="105">
        <f t="shared" si="1"/>
        <v>0.18906497304910871</v>
      </c>
      <c r="AJ53" s="105">
        <f t="shared" si="1"/>
        <v>0.20989402197227813</v>
      </c>
      <c r="AK53" s="105">
        <f t="shared" si="1"/>
        <v>0.22724320881735693</v>
      </c>
      <c r="AL53" s="105">
        <f t="shared" si="1"/>
        <v>0.24112947593821163</v>
      </c>
      <c r="AM53" s="105">
        <f t="shared" si="1"/>
        <v>0.25332119491836236</v>
      </c>
      <c r="AN53" s="105">
        <f t="shared" si="1"/>
        <v>0.26397617648645028</v>
      </c>
    </row>
    <row r="55" spans="2:40" x14ac:dyDescent="0.25">
      <c r="B55" t="s">
        <v>57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1411000</v>
      </c>
      <c r="D55" s="12">
        <f>C55-SUM(_xlfn.ANCHORARRAY(E55))</f>
        <v>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235166.66666666666</v>
      </c>
      <c r="AA55" s="12">
        <v>235166.66666666666</v>
      </c>
      <c r="AB55" s="12">
        <v>235166.66666666666</v>
      </c>
      <c r="AC55" s="12">
        <v>235166.66666666666</v>
      </c>
      <c r="AD55" s="12">
        <v>235166.66666666666</v>
      </c>
      <c r="AE55" s="12">
        <v>235166.66666666666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</row>
    <row r="56" spans="2:40" x14ac:dyDescent="0.25">
      <c r="B56" t="s">
        <v>285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0</v>
      </c>
      <c r="F56" s="90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0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0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0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0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-84424.829083026663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-92772.130592373302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-98739.029523800025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-105880.23725755996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-113021.44499132005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-120162.65272507997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-39228.965075799999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-46370.172809560005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-53511.380543319989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-60652.588277080002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276</v>
      </c>
      <c r="E58" s="13">
        <f>E37-E50-E55+E56</f>
        <v>0</v>
      </c>
      <c r="F58" s="13">
        <f t="shared" ref="F58:AN58" si="2">F37-F50-F55+F56</f>
        <v>0</v>
      </c>
      <c r="G58" s="13">
        <f t="shared" si="2"/>
        <v>0</v>
      </c>
      <c r="H58" s="13">
        <f t="shared" si="2"/>
        <v>0</v>
      </c>
      <c r="I58" s="13">
        <f t="shared" si="2"/>
        <v>0</v>
      </c>
      <c r="J58" s="13">
        <f t="shared" si="2"/>
        <v>0</v>
      </c>
      <c r="K58" s="13">
        <f t="shared" si="2"/>
        <v>0</v>
      </c>
      <c r="L58" s="13">
        <f t="shared" si="2"/>
        <v>0</v>
      </c>
      <c r="M58" s="13">
        <f t="shared" si="2"/>
        <v>0</v>
      </c>
      <c r="N58" s="13">
        <f t="shared" si="2"/>
        <v>0</v>
      </c>
      <c r="O58" s="13">
        <f t="shared" si="2"/>
        <v>0</v>
      </c>
      <c r="P58" s="13">
        <f t="shared" si="2"/>
        <v>0</v>
      </c>
      <c r="Q58" s="13">
        <f t="shared" si="2"/>
        <v>0</v>
      </c>
      <c r="R58" s="13">
        <f t="shared" si="2"/>
        <v>0</v>
      </c>
      <c r="S58" s="13">
        <f t="shared" si="2"/>
        <v>0</v>
      </c>
      <c r="T58" s="13">
        <f t="shared" si="2"/>
        <v>0</v>
      </c>
      <c r="U58" s="13">
        <f t="shared" si="2"/>
        <v>0</v>
      </c>
      <c r="V58" s="13">
        <f t="shared" si="2"/>
        <v>0</v>
      </c>
      <c r="W58" s="13">
        <f t="shared" si="2"/>
        <v>0</v>
      </c>
      <c r="X58" s="13">
        <f t="shared" si="2"/>
        <v>0</v>
      </c>
      <c r="Y58" s="13">
        <f t="shared" si="2"/>
        <v>0</v>
      </c>
      <c r="Z58" s="13">
        <f t="shared" si="2"/>
        <v>-386401.13666666666</v>
      </c>
      <c r="AA58" s="13">
        <f t="shared" si="2"/>
        <v>-235166.66666666666</v>
      </c>
      <c r="AB58" s="13">
        <f t="shared" si="2"/>
        <v>-261027.28022422243</v>
      </c>
      <c r="AC58" s="13">
        <f t="shared" si="2"/>
        <v>-265075.67203426739</v>
      </c>
      <c r="AD58" s="13">
        <f t="shared" si="2"/>
        <v>-247729.79955377549</v>
      </c>
      <c r="AE58" s="13">
        <f t="shared" si="2"/>
        <v>-314592.83376488235</v>
      </c>
      <c r="AF58" s="13">
        <f t="shared" si="2"/>
        <v>-70105.085387799176</v>
      </c>
      <c r="AG58" s="13">
        <f t="shared" si="2"/>
        <v>-58690.703568206125</v>
      </c>
      <c r="AH58" s="13">
        <f t="shared" si="2"/>
        <v>-47574.758842696319</v>
      </c>
      <c r="AI58" s="13">
        <f t="shared" si="2"/>
        <v>-36572.911871554592</v>
      </c>
      <c r="AJ58" s="13">
        <f t="shared" si="2"/>
        <v>-25299.235995190684</v>
      </c>
      <c r="AK58" s="13">
        <f t="shared" si="2"/>
        <v>74294.172948623745</v>
      </c>
      <c r="AL58" s="13">
        <f t="shared" si="2"/>
        <v>85569.786262245179</v>
      </c>
      <c r="AM58" s="13">
        <f t="shared" si="2"/>
        <v>97159.707738991288</v>
      </c>
      <c r="AN58" s="13">
        <f t="shared" si="2"/>
        <v>108923.29114063756</v>
      </c>
    </row>
    <row r="59" spans="2:40" x14ac:dyDescent="0.25">
      <c r="B59" t="s">
        <v>277</v>
      </c>
      <c r="E59" s="12" cm="1">
        <f t="array" ref="E59:AN59">_xlfn.SCAN(-D55,E58:AN58,_xlfn.LAMBDA(_xlpm.capex,_xlpm.fcf,_xlpm.capex+_xlpm.fcf))</f>
        <v>0</v>
      </c>
      <c r="F59" s="12">
        <v>0</v>
      </c>
      <c r="G59" s="12">
        <v>0</v>
      </c>
      <c r="H59" s="12">
        <v>0</v>
      </c>
      <c r="I59" s="12">
        <v>0</v>
      </c>
      <c r="J59" s="12">
        <v>0</v>
      </c>
      <c r="K59" s="12">
        <v>0</v>
      </c>
      <c r="L59" s="12">
        <v>0</v>
      </c>
      <c r="M59" s="12">
        <v>0</v>
      </c>
      <c r="N59" s="12">
        <v>0</v>
      </c>
      <c r="O59" s="12">
        <v>0</v>
      </c>
      <c r="P59" s="12">
        <v>0</v>
      </c>
      <c r="Q59" s="12">
        <v>0</v>
      </c>
      <c r="R59" s="12">
        <v>0</v>
      </c>
      <c r="S59" s="12">
        <v>0</v>
      </c>
      <c r="T59" s="12">
        <v>0</v>
      </c>
      <c r="U59" s="12">
        <v>0</v>
      </c>
      <c r="V59" s="12">
        <v>0</v>
      </c>
      <c r="W59" s="12">
        <v>0</v>
      </c>
      <c r="X59" s="12">
        <v>0</v>
      </c>
      <c r="Y59" s="12">
        <v>0</v>
      </c>
      <c r="Z59" s="12">
        <v>-386401.13666666666</v>
      </c>
      <c r="AA59" s="12">
        <v>-621567.80333333334</v>
      </c>
      <c r="AB59" s="12">
        <v>-882595.0835575558</v>
      </c>
      <c r="AC59" s="12">
        <v>-1147670.7555918233</v>
      </c>
      <c r="AD59" s="12">
        <v>-1395400.5551455987</v>
      </c>
      <c r="AE59" s="12">
        <v>-1709993.388910481</v>
      </c>
      <c r="AF59" s="12">
        <v>-1780098.4742982802</v>
      </c>
      <c r="AG59" s="12">
        <v>-1838789.1778664864</v>
      </c>
      <c r="AH59" s="12">
        <v>-1886363.9367091828</v>
      </c>
      <c r="AI59" s="12">
        <v>-1922936.8485807374</v>
      </c>
      <c r="AJ59" s="12">
        <v>-1948236.084575928</v>
      </c>
      <c r="AK59" s="12">
        <v>-1873941.9116273043</v>
      </c>
      <c r="AL59" s="12">
        <v>-1788372.1253650591</v>
      </c>
      <c r="AM59" s="12">
        <v>-1691212.4176260678</v>
      </c>
      <c r="AN59" s="12">
        <v>-1582289.1264854302</v>
      </c>
    </row>
    <row r="61" spans="2:40" x14ac:dyDescent="0.25">
      <c r="B61" s="1" t="s">
        <v>302</v>
      </c>
    </row>
    <row r="63" spans="2:40" x14ac:dyDescent="0.25">
      <c r="B63" s="39" t="s">
        <v>103</v>
      </c>
      <c r="E63" s="12" cm="1">
        <f t="array" ref="E63:AN63">_xlfn.LET(_xlpm.site,$B$1&amp;"-"&amp;$C$1,_xlpm.locations,Base!$D$4:$BD$4,_xlpm.rates,Base!$D$36:$BD$36,_xlpm.hours,Base!$D$79:$BD$79,_xlpm.comp,_xlpm.rates*_xlpm.hours,_xlpm.Customer,_xlfn.ANCHORARRAY($E$1),
_xlpm.Customer_comp,_xlfn.XLOOKUP(_xlpm.site,_xlpm.locations,_xlpm.comp,0,0),_xlpm.ann_incr,_xlfn.XLOOKUP(YEAR(_xlfn.ANCHORARRAY($E$25)),Base!$BJ$4:$BL$4,Base!$BJ$79:$BL$79,0,0),
_xlpm.bad_debt,_xlfn.XLOOKUP(_xlpm.site,_xlpm.locations,Base!$D$28:$BD$28,0,0),_xlpm.Customer_comp*_xlpm.Customer*_xlpm.bad_debt*_xlpm.ann_incr*(52/12)*(1-$C$35))</f>
        <v>0</v>
      </c>
      <c r="F63" s="12">
        <v>0</v>
      </c>
      <c r="G63" s="12">
        <v>0</v>
      </c>
      <c r="H63" s="12">
        <v>0</v>
      </c>
      <c r="I63" s="12">
        <v>0</v>
      </c>
      <c r="J63" s="12">
        <v>0</v>
      </c>
      <c r="K63" s="12">
        <v>0</v>
      </c>
      <c r="L63" s="12">
        <v>0</v>
      </c>
      <c r="M63" s="12">
        <v>0</v>
      </c>
      <c r="N63" s="12">
        <v>0</v>
      </c>
      <c r="O63" s="12">
        <v>0</v>
      </c>
      <c r="P63" s="12">
        <v>0</v>
      </c>
      <c r="Q63" s="12">
        <v>0</v>
      </c>
      <c r="R63" s="12">
        <v>0</v>
      </c>
      <c r="S63" s="12">
        <v>0</v>
      </c>
      <c r="T63" s="12">
        <v>0</v>
      </c>
      <c r="U63" s="12">
        <v>0</v>
      </c>
      <c r="V63" s="12">
        <v>0</v>
      </c>
      <c r="W63" s="12">
        <v>0</v>
      </c>
      <c r="X63" s="12">
        <v>0</v>
      </c>
      <c r="Y63" s="12">
        <v>0</v>
      </c>
      <c r="Z63" s="12">
        <v>0</v>
      </c>
      <c r="AA63" s="12">
        <v>0</v>
      </c>
      <c r="AB63" s="12">
        <v>2179.0924014745592</v>
      </c>
      <c r="AC63" s="12">
        <v>4358.1848029491184</v>
      </c>
      <c r="AD63" s="12">
        <v>6537.2772044236781</v>
      </c>
      <c r="AE63" s="12">
        <v>8716.3696058982368</v>
      </c>
      <c r="AF63" s="12">
        <v>10895.4620073728</v>
      </c>
      <c r="AG63" s="12">
        <v>13074.554408847356</v>
      </c>
      <c r="AH63" s="12">
        <v>15253.646810321916</v>
      </c>
      <c r="AI63" s="12">
        <v>17432.739211796474</v>
      </c>
      <c r="AJ63" s="12">
        <v>19611.831613271035</v>
      </c>
      <c r="AK63" s="12">
        <v>21790.9240147456</v>
      </c>
      <c r="AL63" s="12">
        <v>23970.016416220154</v>
      </c>
      <c r="AM63" s="12">
        <v>26149.108817694712</v>
      </c>
      <c r="AN63" s="12">
        <v>28328.201219169274</v>
      </c>
    </row>
    <row r="64" spans="2:40" x14ac:dyDescent="0.25">
      <c r="B64" s="39" t="s">
        <v>104</v>
      </c>
      <c r="E64" s="12" cm="1">
        <f t="array" ref="E64:AN64">_xlfn.LET(_xlpm.site,$B$1&amp;"-"&amp;$C$1,_xlpm.locations,Base!$D$4:$BD$4,_xlpm.rates,Base!$D$37:$BD$37,_xlpm.hours,Base!$D$80:$BD$80,_xlpm.comp,_xlpm.rates*_xlpm.hours,_xlpm.Customer,_xlfn.ANCHORARRAY($E$1),
_xlpm.Customer_comp,_xlfn.XLOOKUP(_xlpm.site,_xlpm.locations,_xlpm.comp,0,0),_xlpm.ann_incr,_xlfn.XLOOKUP(YEAR(_xlfn.ANCHORARRAY($E$25)),Base!$BJ$4:$BL$4,Base!$BJ$80:$BL$80,0,0),
_xlpm.bad_debt,_xlfn.XLOOKUP(_xlpm.site,_xlpm.locations,Base!$D$28:$BD$28,0,0),_xlpm.Customer_comp*_xlpm.Customer*_xlpm.bad_debt*_xlpm.ann_incr*(52/12)*(1-$C$35))</f>
        <v>0</v>
      </c>
      <c r="F64" s="12">
        <v>0</v>
      </c>
      <c r="G64" s="12">
        <v>0</v>
      </c>
      <c r="H64" s="12">
        <v>0</v>
      </c>
      <c r="I64" s="12">
        <v>0</v>
      </c>
      <c r="J64" s="12">
        <v>0</v>
      </c>
      <c r="K64" s="12">
        <v>0</v>
      </c>
      <c r="L64" s="12">
        <v>0</v>
      </c>
      <c r="M64" s="12">
        <v>0</v>
      </c>
      <c r="N64" s="12">
        <v>0</v>
      </c>
      <c r="O64" s="12">
        <v>0</v>
      </c>
      <c r="P64" s="12">
        <v>0</v>
      </c>
      <c r="Q64" s="12">
        <v>0</v>
      </c>
      <c r="R64" s="12">
        <v>0</v>
      </c>
      <c r="S64" s="12">
        <v>0</v>
      </c>
      <c r="T64" s="12">
        <v>0</v>
      </c>
      <c r="U64" s="12">
        <v>0</v>
      </c>
      <c r="V64" s="12">
        <v>0</v>
      </c>
      <c r="W64" s="12">
        <v>0</v>
      </c>
      <c r="X64" s="12">
        <v>0</v>
      </c>
      <c r="Y64" s="12">
        <v>0</v>
      </c>
      <c r="Z64" s="12">
        <v>0</v>
      </c>
      <c r="AA64" s="12">
        <v>0</v>
      </c>
      <c r="AB64" s="12">
        <v>291.17026532352008</v>
      </c>
      <c r="AC64" s="12">
        <v>582.34053064704017</v>
      </c>
      <c r="AD64" s="12">
        <v>873.51079597056014</v>
      </c>
      <c r="AE64" s="12">
        <v>1164.6810612940803</v>
      </c>
      <c r="AF64" s="12">
        <v>1455.8513266176003</v>
      </c>
      <c r="AG64" s="12">
        <v>1747.0215919411203</v>
      </c>
      <c r="AH64" s="12">
        <v>2038.1918572646407</v>
      </c>
      <c r="AI64" s="12">
        <v>2329.3621225881607</v>
      </c>
      <c r="AJ64" s="12">
        <v>2620.5323879116804</v>
      </c>
      <c r="AK64" s="12">
        <v>2911.7026532352006</v>
      </c>
      <c r="AL64" s="12">
        <v>3202.8729185587208</v>
      </c>
      <c r="AM64" s="12">
        <v>3494.0431838822406</v>
      </c>
      <c r="AN64" s="12">
        <v>3785.2134492057612</v>
      </c>
    </row>
    <row r="65" spans="2:40" x14ac:dyDescent="0.25">
      <c r="B65" s="39" t="s">
        <v>56</v>
      </c>
      <c r="E65" s="12" cm="1">
        <f t="array" ref="E65:AN65">_xlfn.LET(_xlpm.site,$B$1&amp;"-"&amp;$C$1,_xlpm.locations,Base!$D$4:$BD$4,_xlpm.rates,Base!$D$39:$BD$39,_xlpm.hours,Base!$D$82:$BD$82,_xlpm.comp,_xlpm.rates*_xlpm.hours,_xlpm.Customer,_xlfn.ANCHORARRAY($E$1),
_xlpm.Customer_comp,_xlfn.XLOOKUP(_xlpm.site,_xlpm.locations,_xlpm.comp,0,0),_xlpm.ann_incr,_xlfn.XLOOKUP(YEAR(_xlfn.ANCHORARRAY($E$25)),Base!$BJ$4:$BL$4,Base!$BJ$82:$BL$82,0,0),
_xlpm.bad_debt,_xlfn.XLOOKUP(_xlpm.site,_xlpm.locations,Base!$D$28:$BD$28,0,0),_xlpm.Customer_comp*_xlpm.Customer*_xlpm.bad_debt*_xlpm.ann_incr*(52/12)*(1-$C$35))</f>
        <v>0</v>
      </c>
      <c r="F65" s="12">
        <v>0</v>
      </c>
      <c r="G65" s="12">
        <v>0</v>
      </c>
      <c r="H65" s="12">
        <v>0</v>
      </c>
      <c r="I65" s="12">
        <v>0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  <c r="O65" s="12">
        <v>0</v>
      </c>
      <c r="P65" s="12">
        <v>0</v>
      </c>
      <c r="Q65" s="12">
        <v>0</v>
      </c>
      <c r="R65" s="12">
        <v>0</v>
      </c>
      <c r="S65" s="12">
        <v>0</v>
      </c>
      <c r="T65" s="12">
        <v>0</v>
      </c>
      <c r="U65" s="12">
        <v>0</v>
      </c>
      <c r="V65" s="12">
        <v>0</v>
      </c>
      <c r="W65" s="12">
        <v>0</v>
      </c>
      <c r="X65" s="12">
        <v>0</v>
      </c>
      <c r="Y65" s="12">
        <v>0</v>
      </c>
      <c r="Z65" s="12">
        <v>0</v>
      </c>
      <c r="AA65" s="12">
        <v>0</v>
      </c>
      <c r="AB65" s="12">
        <v>1770.8074248550399</v>
      </c>
      <c r="AC65" s="12">
        <v>3541.6148497100799</v>
      </c>
      <c r="AD65" s="12">
        <v>5312.4222745651196</v>
      </c>
      <c r="AE65" s="12">
        <v>7083.2296994201597</v>
      </c>
      <c r="AF65" s="12">
        <v>8854.0371242752008</v>
      </c>
      <c r="AG65" s="12">
        <v>10624.844549130239</v>
      </c>
      <c r="AH65" s="12">
        <v>12395.651973985277</v>
      </c>
      <c r="AI65" s="12">
        <v>14166.459398840319</v>
      </c>
      <c r="AJ65" s="12">
        <v>15937.266823695358</v>
      </c>
      <c r="AK65" s="12">
        <v>17708.074248550402</v>
      </c>
      <c r="AL65" s="12">
        <v>19478.881673405438</v>
      </c>
      <c r="AM65" s="12">
        <v>21249.689098260478</v>
      </c>
      <c r="AN65" s="12">
        <v>23020.496523115518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303</v>
      </c>
      <c r="C67" s="12"/>
      <c r="E67" s="13" cm="1">
        <f t="array" ref="E67:AN67">_xlfn.BYCOL(_xlfn.VSTACK(_xlfn.ANCHORARRAY($E$63),_xlfn.ANCHORARRAY($E$64),_xlfn.ANCHORARRAY($E$65)),_xlfn.LAMBDA(_xlpm.a,SUM(_xlpm.a)))</f>
        <v>0</v>
      </c>
      <c r="F67" s="13">
        <v>0</v>
      </c>
      <c r="G67" s="13">
        <v>0</v>
      </c>
      <c r="H67" s="13">
        <v>0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  <c r="W67" s="13">
        <v>0</v>
      </c>
      <c r="X67" s="13">
        <v>0</v>
      </c>
      <c r="Y67" s="13">
        <v>0</v>
      </c>
      <c r="Z67" s="13">
        <v>0</v>
      </c>
      <c r="AA67" s="13">
        <v>0</v>
      </c>
      <c r="AB67" s="13">
        <v>4241.0700916531196</v>
      </c>
      <c r="AC67" s="13">
        <v>8482.1401833062391</v>
      </c>
      <c r="AD67" s="13">
        <v>12723.210274959358</v>
      </c>
      <c r="AE67" s="13">
        <v>16964.280366612478</v>
      </c>
      <c r="AF67" s="13">
        <v>21205.350458265602</v>
      </c>
      <c r="AG67" s="13">
        <v>25446.420549918716</v>
      </c>
      <c r="AH67" s="13">
        <v>29687.490641571832</v>
      </c>
      <c r="AI67" s="13">
        <v>33928.560733224956</v>
      </c>
      <c r="AJ67" s="13">
        <v>38169.63082487807</v>
      </c>
      <c r="AK67" s="13">
        <v>42410.700916531205</v>
      </c>
      <c r="AL67" s="13">
        <v>46651.771008184311</v>
      </c>
      <c r="AM67" s="13">
        <v>50892.841099837431</v>
      </c>
      <c r="AN67" s="13">
        <v>55133.911191490552</v>
      </c>
    </row>
    <row r="68" spans="2:40" x14ac:dyDescent="0.25">
      <c r="B68" s="39"/>
      <c r="C68" s="12"/>
    </row>
    <row r="69" spans="2:40" x14ac:dyDescent="0.25">
      <c r="B69" s="39" t="s">
        <v>304</v>
      </c>
      <c r="C69" s="12"/>
      <c r="E69" s="106" cm="1">
        <f t="array" ref="E69:AN70">_xlfn.LET(_xlpm.Customer_staff,_xlfn._xlws.FILTER(Base!$D$96:$BD$97,ISNUMBER(SEARCH($B$1&amp;"-"&amp;$C$1,Base!$D$4:$BD$4))),_xlpm.Customer,_xlfn.ANCHORARRAY($E$1),_xlpm.headcount,_xlpm.Customer/_xlpm.Customer_staff,
_xlpm.rounding,_xlfn.VSTACK(0,0),IFERROR(ROUND(_xlpm.headcount,_xlpm.rounding),0))</f>
        <v>0</v>
      </c>
      <c r="F69" s="106">
        <v>0</v>
      </c>
      <c r="G69" s="106">
        <v>0</v>
      </c>
      <c r="H69" s="106">
        <v>0</v>
      </c>
      <c r="I69" s="106">
        <v>0</v>
      </c>
      <c r="J69" s="106">
        <v>0</v>
      </c>
      <c r="K69" s="106">
        <v>0</v>
      </c>
      <c r="L69" s="106">
        <v>0</v>
      </c>
      <c r="M69" s="106">
        <v>0</v>
      </c>
      <c r="N69" s="106">
        <v>0</v>
      </c>
      <c r="O69" s="106">
        <v>0</v>
      </c>
      <c r="P69" s="106">
        <v>0</v>
      </c>
      <c r="Q69" s="106">
        <v>0</v>
      </c>
      <c r="R69" s="106">
        <v>0</v>
      </c>
      <c r="S69" s="106">
        <v>0</v>
      </c>
      <c r="T69" s="106">
        <v>0</v>
      </c>
      <c r="U69" s="106">
        <v>0</v>
      </c>
      <c r="V69" s="106">
        <v>0</v>
      </c>
      <c r="W69" s="106">
        <v>0</v>
      </c>
      <c r="X69" s="106">
        <v>0</v>
      </c>
      <c r="Y69" s="106">
        <v>0</v>
      </c>
      <c r="Z69" s="106">
        <v>0</v>
      </c>
      <c r="AA69" s="106">
        <v>0</v>
      </c>
      <c r="AB69" s="106">
        <v>0</v>
      </c>
      <c r="AC69" s="106">
        <v>0</v>
      </c>
      <c r="AD69" s="106">
        <v>0</v>
      </c>
      <c r="AE69" s="106">
        <v>0</v>
      </c>
      <c r="AF69" s="106">
        <v>0</v>
      </c>
      <c r="AG69" s="106">
        <v>0</v>
      </c>
      <c r="AH69" s="106">
        <v>1</v>
      </c>
      <c r="AI69" s="106">
        <v>1</v>
      </c>
      <c r="AJ69" s="106">
        <v>1</v>
      </c>
      <c r="AK69" s="106">
        <v>1</v>
      </c>
      <c r="AL69" s="106">
        <v>1</v>
      </c>
      <c r="AM69" s="106">
        <v>1</v>
      </c>
      <c r="AN69" s="106">
        <v>1</v>
      </c>
    </row>
    <row r="70" spans="2:40" x14ac:dyDescent="0.25">
      <c r="B70" s="39" t="s">
        <v>305</v>
      </c>
      <c r="C70" s="12"/>
      <c r="E70" s="106">
        <v>0</v>
      </c>
      <c r="F70" s="106">
        <v>0</v>
      </c>
      <c r="G70" s="106">
        <v>0</v>
      </c>
      <c r="H70" s="106">
        <v>0</v>
      </c>
      <c r="I70" s="106">
        <v>0</v>
      </c>
      <c r="J70" s="106">
        <v>0</v>
      </c>
      <c r="K70" s="106">
        <v>0</v>
      </c>
      <c r="L70" s="106">
        <v>0</v>
      </c>
      <c r="M70" s="106">
        <v>0</v>
      </c>
      <c r="N70" s="106">
        <v>0</v>
      </c>
      <c r="O70" s="106">
        <v>0</v>
      </c>
      <c r="P70" s="106">
        <v>0</v>
      </c>
      <c r="Q70" s="106">
        <v>0</v>
      </c>
      <c r="R70" s="106">
        <v>0</v>
      </c>
      <c r="S70" s="106">
        <v>0</v>
      </c>
      <c r="T70" s="106">
        <v>0</v>
      </c>
      <c r="U70" s="106">
        <v>0</v>
      </c>
      <c r="V70" s="106">
        <v>0</v>
      </c>
      <c r="W70" s="106">
        <v>0</v>
      </c>
      <c r="X70" s="106">
        <v>0</v>
      </c>
      <c r="Y70" s="106">
        <v>0</v>
      </c>
      <c r="Z70" s="106">
        <v>0</v>
      </c>
      <c r="AA70" s="106">
        <v>0</v>
      </c>
      <c r="AB70" s="106">
        <v>0</v>
      </c>
      <c r="AC70" s="106">
        <v>0</v>
      </c>
      <c r="AD70" s="106">
        <v>0</v>
      </c>
      <c r="AE70" s="106">
        <v>0</v>
      </c>
      <c r="AF70" s="106">
        <v>0</v>
      </c>
      <c r="AG70" s="106">
        <v>0</v>
      </c>
      <c r="AH70" s="106">
        <v>0</v>
      </c>
      <c r="AI70" s="106">
        <v>1</v>
      </c>
      <c r="AJ70" s="106">
        <v>1</v>
      </c>
      <c r="AK70" s="106">
        <v>1</v>
      </c>
      <c r="AL70" s="106">
        <v>1</v>
      </c>
      <c r="AM70" s="106">
        <v>1</v>
      </c>
      <c r="AN70" s="106">
        <v>1</v>
      </c>
    </row>
    <row r="71" spans="2:40" x14ac:dyDescent="0.25">
      <c r="B71" s="39"/>
      <c r="C71" s="12"/>
    </row>
    <row r="72" spans="2:40" x14ac:dyDescent="0.25">
      <c r="B72" s="39" t="s">
        <v>23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0</v>
      </c>
      <c r="F72" s="12">
        <v>0</v>
      </c>
      <c r="G72" s="12">
        <v>0</v>
      </c>
      <c r="H72" s="12">
        <v>0</v>
      </c>
      <c r="I72" s="12">
        <v>0</v>
      </c>
      <c r="J72" s="12">
        <v>0</v>
      </c>
      <c r="K72" s="12">
        <v>0</v>
      </c>
      <c r="L72" s="12">
        <v>0</v>
      </c>
      <c r="M72" s="12">
        <v>0</v>
      </c>
      <c r="N72" s="12">
        <v>0</v>
      </c>
      <c r="O72" s="12">
        <v>0</v>
      </c>
      <c r="P72" s="12">
        <v>0</v>
      </c>
      <c r="Q72" s="12">
        <v>0</v>
      </c>
      <c r="R72" s="12">
        <v>0</v>
      </c>
      <c r="S72" s="12">
        <v>0</v>
      </c>
      <c r="T72" s="12">
        <v>0</v>
      </c>
      <c r="U72" s="12">
        <v>0</v>
      </c>
      <c r="V72" s="12">
        <v>0</v>
      </c>
      <c r="W72" s="12">
        <v>0</v>
      </c>
      <c r="X72" s="12">
        <v>0</v>
      </c>
      <c r="Y72" s="12">
        <v>0</v>
      </c>
      <c r="Z72" s="12">
        <v>0</v>
      </c>
      <c r="AA72" s="12">
        <v>0</v>
      </c>
      <c r="AB72" s="12">
        <v>692.29180973695384</v>
      </c>
      <c r="AC72" s="12">
        <v>1523.0419814212987</v>
      </c>
      <c r="AD72" s="12">
        <v>2284.5629721319478</v>
      </c>
      <c r="AE72" s="12">
        <v>3046.0839628425974</v>
      </c>
      <c r="AF72" s="12">
        <v>3807.604953553247</v>
      </c>
      <c r="AG72" s="12">
        <v>4569.1259442638957</v>
      </c>
      <c r="AH72" s="12">
        <v>22033.486934974546</v>
      </c>
      <c r="AI72" s="12">
        <v>39497.847925685193</v>
      </c>
      <c r="AJ72" s="12">
        <v>40259.368916395848</v>
      </c>
      <c r="AK72" s="12">
        <v>41020.889907106495</v>
      </c>
      <c r="AL72" s="12">
        <v>41782.410897817143</v>
      </c>
      <c r="AM72" s="12">
        <v>42543.93188852779</v>
      </c>
      <c r="AN72" s="12">
        <v>43305.452879238444</v>
      </c>
    </row>
    <row r="73" spans="2:40" x14ac:dyDescent="0.25">
      <c r="B73" s="39" t="s">
        <v>24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306</v>
      </c>
      <c r="E75" s="74" cm="1">
        <f t="array" ref="E75:AN75">_xlfn.ANCHORARRAY(E67)-_xlfn.ANCHORARRAY(E72)-_xlfn.ANCHORARRAY(E73)</f>
        <v>0</v>
      </c>
      <c r="F75" s="74">
        <v>0</v>
      </c>
      <c r="G75" s="74">
        <v>0</v>
      </c>
      <c r="H75" s="74">
        <v>0</v>
      </c>
      <c r="I75" s="74">
        <v>0</v>
      </c>
      <c r="J75" s="74">
        <v>0</v>
      </c>
      <c r="K75" s="74">
        <v>0</v>
      </c>
      <c r="L75" s="74">
        <v>0</v>
      </c>
      <c r="M75" s="74">
        <v>0</v>
      </c>
      <c r="N75" s="74">
        <v>0</v>
      </c>
      <c r="O75" s="74">
        <v>0</v>
      </c>
      <c r="P75" s="74">
        <v>0</v>
      </c>
      <c r="Q75" s="74">
        <v>0</v>
      </c>
      <c r="R75" s="74">
        <v>0</v>
      </c>
      <c r="S75" s="74">
        <v>0</v>
      </c>
      <c r="T75" s="74">
        <v>0</v>
      </c>
      <c r="U75" s="74">
        <v>0</v>
      </c>
      <c r="V75" s="74">
        <v>0</v>
      </c>
      <c r="W75" s="74">
        <v>0</v>
      </c>
      <c r="X75" s="74">
        <v>0</v>
      </c>
      <c r="Y75" s="74">
        <v>0</v>
      </c>
      <c r="Z75" s="74">
        <v>0</v>
      </c>
      <c r="AA75" s="74">
        <v>0</v>
      </c>
      <c r="AB75" s="74">
        <v>3548.7782819161657</v>
      </c>
      <c r="AC75" s="74">
        <v>6959.0982018849409</v>
      </c>
      <c r="AD75" s="74">
        <v>10438.64730282741</v>
      </c>
      <c r="AE75" s="74">
        <v>13918.196403769882</v>
      </c>
      <c r="AF75" s="74">
        <v>17397.745504712355</v>
      </c>
      <c r="AG75" s="74">
        <v>20877.294605654821</v>
      </c>
      <c r="AH75" s="74">
        <v>7654.0037065972865</v>
      </c>
      <c r="AI75" s="74">
        <v>-5569.2871924602368</v>
      </c>
      <c r="AJ75" s="74">
        <v>-2089.7380915177782</v>
      </c>
      <c r="AK75" s="74">
        <v>1389.8110094247095</v>
      </c>
      <c r="AL75" s="74">
        <v>4869.3601103671681</v>
      </c>
      <c r="AM75" s="74">
        <v>8348.9092113096413</v>
      </c>
      <c r="AN75" s="74">
        <v>11828.458312252107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869F99-E092-47BB-9131-050926FD9B65}">
  <dimension ref="A1:AX75"/>
  <sheetViews>
    <sheetView workbookViewId="0">
      <pane xSplit="4" ySplit="25" topLeftCell="E26" activePane="bottomRight" state="frozen"/>
      <selection activeCell="E63" sqref="E63:E65"/>
      <selection pane="topRight" activeCell="E63" sqref="E63:E65"/>
      <selection pane="bottomLeft" activeCell="E63" sqref="E63:E65"/>
      <selection pane="bottomRight" activeCell="E63" sqref="E63:E65"/>
    </sheetView>
  </sheetViews>
  <sheetFormatPr defaultRowHeight="15" outlineLevelRow="1" x14ac:dyDescent="0.25"/>
  <cols>
    <col min="2" max="2" width="24.5703125" bestFit="1" customWidth="1"/>
    <col min="3" max="3" width="10.7109375" bestFit="1" customWidth="1"/>
    <col min="4" max="4" width="10" bestFit="1" customWidth="1"/>
    <col min="5" max="5" width="11.42578125" bestFit="1" customWidth="1"/>
    <col min="6" max="6" width="11.7109375" bestFit="1" customWidth="1"/>
    <col min="7" max="13" width="12.28515625" bestFit="1" customWidth="1"/>
    <col min="14" max="18" width="11.5703125" bestFit="1" customWidth="1"/>
    <col min="19" max="40" width="12.5703125" bestFit="1" customWidth="1"/>
  </cols>
  <sheetData>
    <row r="1" spans="1:40" x14ac:dyDescent="0.25">
      <c r="A1" s="96" t="str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/>
      </c>
      <c r="B1" s="58" t="s">
        <v>70</v>
      </c>
      <c r="C1" s="16" t="s">
        <v>344</v>
      </c>
      <c r="D1" s="3" t="s">
        <v>307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IFERROR(_xlpm.kiddos,0))</f>
        <v>0</v>
      </c>
      <c r="F1" s="69">
        <v>0</v>
      </c>
      <c r="G1" s="69">
        <v>0</v>
      </c>
      <c r="H1" s="69">
        <v>0</v>
      </c>
      <c r="I1" s="69">
        <v>0</v>
      </c>
      <c r="J1" s="69">
        <v>0</v>
      </c>
      <c r="K1" s="69">
        <v>0</v>
      </c>
      <c r="L1" s="69">
        <v>0</v>
      </c>
      <c r="M1" s="69">
        <v>0</v>
      </c>
      <c r="N1" s="69">
        <v>0</v>
      </c>
      <c r="O1" s="69">
        <v>0</v>
      </c>
      <c r="P1" s="69">
        <v>0</v>
      </c>
      <c r="Q1" s="69">
        <v>0</v>
      </c>
      <c r="R1" s="69">
        <v>0</v>
      </c>
      <c r="S1" s="69">
        <v>0</v>
      </c>
      <c r="T1" s="69">
        <v>0</v>
      </c>
      <c r="U1" s="69">
        <v>0</v>
      </c>
      <c r="V1" s="69">
        <v>0</v>
      </c>
      <c r="W1" s="69">
        <v>0</v>
      </c>
      <c r="X1" s="69">
        <v>0</v>
      </c>
      <c r="Y1" s="69">
        <v>0</v>
      </c>
      <c r="Z1" s="69">
        <v>0</v>
      </c>
      <c r="AA1" s="69">
        <v>0</v>
      </c>
      <c r="AB1" s="69">
        <v>0</v>
      </c>
      <c r="AC1" s="69">
        <v>0</v>
      </c>
      <c r="AD1" s="69">
        <v>0</v>
      </c>
      <c r="AE1" s="69">
        <v>1</v>
      </c>
      <c r="AF1" s="69">
        <v>3</v>
      </c>
      <c r="AG1" s="69">
        <v>5</v>
      </c>
      <c r="AH1" s="69">
        <v>6</v>
      </c>
      <c r="AI1" s="69">
        <v>8</v>
      </c>
      <c r="AJ1" s="69">
        <v>10</v>
      </c>
      <c r="AK1" s="69">
        <v>12</v>
      </c>
      <c r="AL1" s="69">
        <v>13</v>
      </c>
      <c r="AM1" s="69">
        <v>15</v>
      </c>
      <c r="AN1" s="69">
        <v>17</v>
      </c>
    </row>
    <row r="2" spans="1:40" x14ac:dyDescent="0.25">
      <c r="A2" s="65"/>
      <c r="B2" s="3" t="str">
        <f>_xlfn.XLOOKUP($B$1&amp;"-"&amp;$C$1,Base!$D$4:$BD$4,Base!$D$2:$BD$2,"",0)</f>
        <v>New Jersey</v>
      </c>
      <c r="C2" s="55"/>
      <c r="D2" s="55" t="s">
        <v>259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0</v>
      </c>
      <c r="F2" s="69">
        <v>0</v>
      </c>
      <c r="G2" s="69">
        <v>0</v>
      </c>
      <c r="H2" s="69">
        <v>0</v>
      </c>
      <c r="I2" s="69">
        <v>0</v>
      </c>
      <c r="J2" s="69">
        <v>0</v>
      </c>
      <c r="K2" s="69">
        <v>0</v>
      </c>
      <c r="L2" s="69">
        <v>0</v>
      </c>
      <c r="M2" s="69">
        <v>0</v>
      </c>
      <c r="N2" s="69">
        <v>0</v>
      </c>
      <c r="O2" s="69">
        <v>0</v>
      </c>
      <c r="P2" s="69">
        <v>0</v>
      </c>
      <c r="Q2" s="69">
        <v>0</v>
      </c>
      <c r="R2" s="69">
        <v>0</v>
      </c>
      <c r="S2" s="69">
        <v>0</v>
      </c>
      <c r="T2" s="69">
        <v>0</v>
      </c>
      <c r="U2" s="69">
        <v>0</v>
      </c>
      <c r="V2" s="69">
        <v>0</v>
      </c>
      <c r="W2" s="69">
        <v>0</v>
      </c>
      <c r="X2" s="69">
        <v>0</v>
      </c>
      <c r="Y2" s="69">
        <v>0</v>
      </c>
      <c r="Z2" s="69">
        <v>0</v>
      </c>
      <c r="AA2" s="69">
        <v>0</v>
      </c>
      <c r="AB2" s="69">
        <v>0</v>
      </c>
      <c r="AC2" s="69">
        <v>0</v>
      </c>
      <c r="AD2" s="69">
        <v>0</v>
      </c>
      <c r="AE2" s="69">
        <v>0</v>
      </c>
      <c r="AF2" s="69">
        <v>1.8809523809523809</v>
      </c>
      <c r="AG2" s="69">
        <v>2.0476190476190474</v>
      </c>
      <c r="AH2" s="69">
        <v>2.2142857142857144</v>
      </c>
      <c r="AI2" s="69">
        <v>2.3809523809523809</v>
      </c>
      <c r="AJ2" s="69">
        <v>2.5476190476190474</v>
      </c>
      <c r="AK2" s="69">
        <v>2.7142857142857144</v>
      </c>
      <c r="AL2" s="69">
        <v>2.8809523809523809</v>
      </c>
      <c r="AM2" s="69">
        <v>3.0476190476190474</v>
      </c>
      <c r="AN2" s="69">
        <v>3.2142857142857144</v>
      </c>
    </row>
    <row r="3" spans="1:40" x14ac:dyDescent="0.25">
      <c r="A3" s="65"/>
      <c r="B3" s="55"/>
      <c r="C3" s="55"/>
      <c r="D3" s="55" t="s">
        <v>62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_xlpm.months_since,DATEDIF(_xlpm.launchdate,_xlfn.ANCHORARRAY($E$25),"m"),_xlfn.BYCOL(_xlpm.months_since,_xlfn.LAMBDA(_xlpm.a,IFERROR(MIN(_xlpm.a/6,_xlpm.max_kiddos),0))))</f>
        <v>0</v>
      </c>
      <c r="F3" s="69">
        <v>0</v>
      </c>
      <c r="G3" s="69">
        <v>0</v>
      </c>
      <c r="H3" s="69">
        <v>0</v>
      </c>
      <c r="I3" s="69">
        <v>0</v>
      </c>
      <c r="J3" s="69">
        <v>0</v>
      </c>
      <c r="K3" s="69">
        <v>0</v>
      </c>
      <c r="L3" s="69">
        <v>0</v>
      </c>
      <c r="M3" s="69">
        <v>0</v>
      </c>
      <c r="N3" s="69">
        <v>0</v>
      </c>
      <c r="O3" s="69">
        <v>0</v>
      </c>
      <c r="P3" s="69">
        <v>0</v>
      </c>
      <c r="Q3" s="69">
        <v>0</v>
      </c>
      <c r="R3" s="69">
        <v>0</v>
      </c>
      <c r="S3" s="69">
        <v>0</v>
      </c>
      <c r="T3" s="69">
        <v>0</v>
      </c>
      <c r="U3" s="69">
        <v>0</v>
      </c>
      <c r="V3" s="69">
        <v>0</v>
      </c>
      <c r="W3" s="69">
        <v>0</v>
      </c>
      <c r="X3" s="69">
        <v>0</v>
      </c>
      <c r="Y3" s="69">
        <v>0</v>
      </c>
      <c r="Z3" s="69">
        <v>0</v>
      </c>
      <c r="AA3" s="69">
        <v>0</v>
      </c>
      <c r="AB3" s="69">
        <v>0</v>
      </c>
      <c r="AC3" s="69">
        <v>0</v>
      </c>
      <c r="AD3" s="69">
        <v>0</v>
      </c>
      <c r="AE3" s="69">
        <v>0</v>
      </c>
      <c r="AF3" s="69">
        <v>0.16666666666666666</v>
      </c>
      <c r="AG3" s="69">
        <v>0.33333333333333331</v>
      </c>
      <c r="AH3" s="69">
        <v>0.5</v>
      </c>
      <c r="AI3" s="69">
        <v>0.66666666666666663</v>
      </c>
      <c r="AJ3" s="69">
        <v>0.83333333333333337</v>
      </c>
      <c r="AK3" s="69">
        <v>1</v>
      </c>
      <c r="AL3" s="69">
        <v>1.1666666666666667</v>
      </c>
      <c r="AM3" s="69">
        <v>1.3333333333333333</v>
      </c>
      <c r="AN3" s="69">
        <v>1.5</v>
      </c>
    </row>
    <row r="4" spans="1:40" x14ac:dyDescent="0.25">
      <c r="A4" s="65"/>
      <c r="B4" s="55"/>
      <c r="C4" s="55"/>
      <c r="D4" s="55" t="s">
        <v>260</v>
      </c>
      <c r="E4" s="69" cm="1">
        <f t="array" ref="E4:AN4">_xlfn.BYCOL(_xlfn.VSTACK(_xlfn.ANCHORARRAY($E$1),_xlfn.ANCHORARRAY($E$2)),_xlfn.LAMBDA(_xlpm.a,SUM(_xlpm.a)))</f>
        <v>0</v>
      </c>
      <c r="F4" s="69">
        <v>0</v>
      </c>
      <c r="G4" s="69">
        <v>0</v>
      </c>
      <c r="H4" s="69">
        <v>0</v>
      </c>
      <c r="I4" s="69">
        <v>0</v>
      </c>
      <c r="J4" s="69">
        <v>0</v>
      </c>
      <c r="K4" s="69">
        <v>0</v>
      </c>
      <c r="L4" s="69">
        <v>0</v>
      </c>
      <c r="M4" s="69">
        <v>0</v>
      </c>
      <c r="N4" s="69">
        <v>0</v>
      </c>
      <c r="O4" s="69">
        <v>0</v>
      </c>
      <c r="P4" s="69">
        <v>0</v>
      </c>
      <c r="Q4" s="69">
        <v>0</v>
      </c>
      <c r="R4" s="69">
        <v>0</v>
      </c>
      <c r="S4" s="69">
        <v>0</v>
      </c>
      <c r="T4" s="69">
        <v>0</v>
      </c>
      <c r="U4" s="69">
        <v>0</v>
      </c>
      <c r="V4" s="69">
        <v>0</v>
      </c>
      <c r="W4" s="69">
        <v>0</v>
      </c>
      <c r="X4" s="69">
        <v>0</v>
      </c>
      <c r="Y4" s="69">
        <v>0</v>
      </c>
      <c r="Z4" s="69">
        <v>0</v>
      </c>
      <c r="AA4" s="69">
        <v>0</v>
      </c>
      <c r="AB4" s="69">
        <v>0</v>
      </c>
      <c r="AC4" s="69">
        <v>0</v>
      </c>
      <c r="AD4" s="69">
        <v>0</v>
      </c>
      <c r="AE4" s="69">
        <v>1</v>
      </c>
      <c r="AF4" s="69">
        <v>4.8809523809523814</v>
      </c>
      <c r="AG4" s="69">
        <v>7.0476190476190474</v>
      </c>
      <c r="AH4" s="69">
        <v>8.2142857142857153</v>
      </c>
      <c r="AI4" s="69">
        <v>10.380952380952381</v>
      </c>
      <c r="AJ4" s="69">
        <v>12.547619047619047</v>
      </c>
      <c r="AK4" s="69">
        <v>14.714285714285715</v>
      </c>
      <c r="AL4" s="69">
        <v>15.880952380952381</v>
      </c>
      <c r="AM4" s="69">
        <v>18.047619047619047</v>
      </c>
      <c r="AN4" s="69">
        <v>20.214285714285715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107</v>
      </c>
      <c r="C6" s="3"/>
      <c r="D6" s="3"/>
      <c r="E6" s="66" cm="1">
        <f t="array" ref="E6:AN6">ROUND(_xlfn.BYCOL(_xlfn.ANCHORARRAY(E7),_xlfn.LAMBDA(_xlpm.a,SUM(_xlpm.a))),0)</f>
        <v>0</v>
      </c>
      <c r="F6" s="66">
        <v>0</v>
      </c>
      <c r="G6" s="66">
        <v>0</v>
      </c>
      <c r="H6" s="66">
        <v>0</v>
      </c>
      <c r="I6" s="66">
        <v>0</v>
      </c>
      <c r="J6" s="66">
        <v>0</v>
      </c>
      <c r="K6" s="66">
        <v>0</v>
      </c>
      <c r="L6" s="66">
        <v>0</v>
      </c>
      <c r="M6" s="66">
        <v>0</v>
      </c>
      <c r="N6" s="66">
        <v>0</v>
      </c>
      <c r="O6" s="66">
        <v>0</v>
      </c>
      <c r="P6" s="66">
        <v>0</v>
      </c>
      <c r="Q6" s="66">
        <v>0</v>
      </c>
      <c r="R6" s="66">
        <v>0</v>
      </c>
      <c r="S6" s="66">
        <v>0</v>
      </c>
      <c r="T6" s="66">
        <v>0</v>
      </c>
      <c r="U6" s="66">
        <v>0</v>
      </c>
      <c r="V6" s="66">
        <v>0</v>
      </c>
      <c r="W6" s="66">
        <v>0</v>
      </c>
      <c r="X6" s="66">
        <v>0</v>
      </c>
      <c r="Y6" s="66">
        <v>0</v>
      </c>
      <c r="Z6" s="66">
        <v>0</v>
      </c>
      <c r="AA6" s="66">
        <v>0</v>
      </c>
      <c r="AB6" s="66">
        <v>0</v>
      </c>
      <c r="AC6" s="66">
        <v>0</v>
      </c>
      <c r="AD6" s="66">
        <v>0</v>
      </c>
      <c r="AE6" s="66">
        <v>2</v>
      </c>
      <c r="AF6" s="66">
        <v>4</v>
      </c>
      <c r="AG6" s="66">
        <v>5</v>
      </c>
      <c r="AH6" s="66">
        <v>6</v>
      </c>
      <c r="AI6" s="66">
        <v>7</v>
      </c>
      <c r="AJ6" s="66">
        <v>8</v>
      </c>
      <c r="AK6" s="66">
        <v>9</v>
      </c>
      <c r="AL6" s="66">
        <v>10</v>
      </c>
      <c r="AM6" s="66">
        <v>11</v>
      </c>
      <c r="AN6" s="66">
        <v>12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1"/>
      <c r="E7" s="106" cm="1">
        <f t="array" ref="E7:AN20">_xlfn.LET(_xlpm.Customer_staff,_xlfn._xlws.FILTER(Base!$D$85:$BD$98,ISNUMBER(SEARCH($B$1&amp;"-"&amp;$C$1,Base!$D$4:$BD$4))),_xlpm.Customer,_xlfn.ANCHORARRAY($E$1),_xlpm.headcount,_xlpm.Customer/_xlpm.Customer_staff,
_xlpm.patient_staff,_xlfn.ANCHORARRAY($E$2)/_xlpm.Customer_staff,_xlpm.prim_staff_tr_rec,_xlfn.ANCHORARRAY($E$2)/_xlfn.CHOOSEROWS(_xlpm.Customer_staff,{7,8})+(_xlfn.ANCHORARRAY($E$1)*0.0055),_xlpm.rounding,_xlfn.VSTACK(2,2,0,0,2,2,2,2,2,2,2,0,0,0),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prim_staff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0</v>
      </c>
      <c r="F7" s="106">
        <v>0</v>
      </c>
      <c r="G7" s="106">
        <v>0</v>
      </c>
      <c r="H7" s="106">
        <v>0</v>
      </c>
      <c r="I7" s="106">
        <v>0</v>
      </c>
      <c r="J7" s="106">
        <v>0</v>
      </c>
      <c r="K7" s="106">
        <v>0</v>
      </c>
      <c r="L7" s="106">
        <v>0</v>
      </c>
      <c r="M7" s="106">
        <v>0</v>
      </c>
      <c r="N7" s="106">
        <v>0</v>
      </c>
      <c r="O7" s="106">
        <v>0</v>
      </c>
      <c r="P7" s="106">
        <v>0</v>
      </c>
      <c r="Q7" s="106">
        <v>0</v>
      </c>
      <c r="R7" s="106">
        <v>0</v>
      </c>
      <c r="S7" s="106">
        <v>0</v>
      </c>
      <c r="T7" s="106">
        <v>0</v>
      </c>
      <c r="U7" s="106">
        <v>0</v>
      </c>
      <c r="V7" s="106">
        <v>0</v>
      </c>
      <c r="W7" s="106">
        <v>0</v>
      </c>
      <c r="X7" s="106">
        <v>0</v>
      </c>
      <c r="Y7" s="106">
        <v>0</v>
      </c>
      <c r="Z7" s="106">
        <v>0</v>
      </c>
      <c r="AA7" s="106">
        <v>0</v>
      </c>
      <c r="AB7" s="106">
        <v>0</v>
      </c>
      <c r="AC7" s="106">
        <v>0</v>
      </c>
      <c r="AD7" s="106">
        <v>0</v>
      </c>
      <c r="AE7" s="106">
        <v>0.46</v>
      </c>
      <c r="AF7" s="106">
        <v>1.36</v>
      </c>
      <c r="AG7" s="106">
        <v>2.2599999999999998</v>
      </c>
      <c r="AH7" s="106">
        <v>2.71</v>
      </c>
      <c r="AI7" s="106">
        <v>3.61</v>
      </c>
      <c r="AJ7" s="106">
        <v>4.51</v>
      </c>
      <c r="AK7" s="106">
        <v>5.42</v>
      </c>
      <c r="AL7" s="106">
        <v>5.87</v>
      </c>
      <c r="AM7" s="106">
        <v>6.77</v>
      </c>
      <c r="AN7" s="106">
        <v>7.67</v>
      </c>
    </row>
    <row r="8" spans="1:40" hidden="1" outlineLevel="1" x14ac:dyDescent="0.25">
      <c r="B8" s="39" t="str">
        <v>Secondary Direct Staff</v>
      </c>
      <c r="C8" s="3"/>
      <c r="D8" s="3"/>
      <c r="E8" s="106">
        <v>0</v>
      </c>
      <c r="F8" s="106">
        <v>0</v>
      </c>
      <c r="G8" s="106">
        <v>0</v>
      </c>
      <c r="H8" s="106">
        <v>0</v>
      </c>
      <c r="I8" s="106">
        <v>0</v>
      </c>
      <c r="J8" s="106">
        <v>0</v>
      </c>
      <c r="K8" s="106">
        <v>0</v>
      </c>
      <c r="L8" s="106">
        <v>0</v>
      </c>
      <c r="M8" s="106">
        <v>0</v>
      </c>
      <c r="N8" s="106">
        <v>0</v>
      </c>
      <c r="O8" s="106">
        <v>0</v>
      </c>
      <c r="P8" s="106">
        <v>0</v>
      </c>
      <c r="Q8" s="106">
        <v>0</v>
      </c>
      <c r="R8" s="106">
        <v>0</v>
      </c>
      <c r="S8" s="106">
        <v>0</v>
      </c>
      <c r="T8" s="106">
        <v>0</v>
      </c>
      <c r="U8" s="106">
        <v>0</v>
      </c>
      <c r="V8" s="106">
        <v>0</v>
      </c>
      <c r="W8" s="106">
        <v>0</v>
      </c>
      <c r="X8" s="106">
        <v>0</v>
      </c>
      <c r="Y8" s="106">
        <v>0</v>
      </c>
      <c r="Z8" s="106">
        <v>0</v>
      </c>
      <c r="AA8" s="106">
        <v>0</v>
      </c>
      <c r="AB8" s="106">
        <v>0</v>
      </c>
      <c r="AC8" s="106">
        <v>0</v>
      </c>
      <c r="AD8" s="106">
        <v>0</v>
      </c>
      <c r="AE8" s="106">
        <v>9.9999999999999992E-2</v>
      </c>
      <c r="AF8" s="106">
        <v>0.28000000000000003</v>
      </c>
      <c r="AG8" s="106">
        <v>0.46</v>
      </c>
      <c r="AH8" s="106">
        <v>0.55000000000000004</v>
      </c>
      <c r="AI8" s="106">
        <v>0.73</v>
      </c>
      <c r="AJ8" s="106">
        <v>0.91</v>
      </c>
      <c r="AK8" s="106">
        <v>1.1000000000000001</v>
      </c>
      <c r="AL8" s="106">
        <v>1.19</v>
      </c>
      <c r="AM8" s="106">
        <v>1.37</v>
      </c>
      <c r="AN8" s="106">
        <v>1.55</v>
      </c>
    </row>
    <row r="9" spans="1:40" hidden="1" outlineLevel="1" x14ac:dyDescent="0.25">
      <c r="B9" s="39" t="str">
        <v>Center Manager</v>
      </c>
      <c r="C9" s="3"/>
      <c r="D9" s="3"/>
      <c r="E9" s="106">
        <v>0</v>
      </c>
      <c r="F9" s="106">
        <v>0</v>
      </c>
      <c r="G9" s="106">
        <v>0</v>
      </c>
      <c r="H9" s="106">
        <v>0</v>
      </c>
      <c r="I9" s="106">
        <v>0</v>
      </c>
      <c r="J9" s="106">
        <v>0</v>
      </c>
      <c r="K9" s="106">
        <v>0</v>
      </c>
      <c r="L9" s="106">
        <v>0</v>
      </c>
      <c r="M9" s="106">
        <v>0</v>
      </c>
      <c r="N9" s="106">
        <v>0</v>
      </c>
      <c r="O9" s="106">
        <v>0</v>
      </c>
      <c r="P9" s="106">
        <v>0</v>
      </c>
      <c r="Q9" s="106">
        <v>0</v>
      </c>
      <c r="R9" s="106">
        <v>0</v>
      </c>
      <c r="S9" s="106">
        <v>0</v>
      </c>
      <c r="T9" s="106">
        <v>0</v>
      </c>
      <c r="U9" s="106">
        <v>0</v>
      </c>
      <c r="V9" s="106">
        <v>0</v>
      </c>
      <c r="W9" s="106">
        <v>0</v>
      </c>
      <c r="X9" s="106">
        <v>0</v>
      </c>
      <c r="Y9" s="106">
        <v>0</v>
      </c>
      <c r="Z9" s="106">
        <v>0</v>
      </c>
      <c r="AA9" s="106">
        <v>0</v>
      </c>
      <c r="AB9" s="106">
        <v>0</v>
      </c>
      <c r="AC9" s="106">
        <v>0</v>
      </c>
      <c r="AD9" s="106">
        <v>0</v>
      </c>
      <c r="AE9" s="106">
        <v>1</v>
      </c>
      <c r="AF9" s="106">
        <v>1</v>
      </c>
      <c r="AG9" s="106">
        <v>1</v>
      </c>
      <c r="AH9" s="106">
        <v>1</v>
      </c>
      <c r="AI9" s="106">
        <v>1</v>
      </c>
      <c r="AJ9" s="106">
        <v>1</v>
      </c>
      <c r="AK9" s="106">
        <v>1</v>
      </c>
      <c r="AL9" s="106">
        <v>1</v>
      </c>
      <c r="AM9" s="106">
        <v>1</v>
      </c>
      <c r="AN9" s="106">
        <v>1</v>
      </c>
    </row>
    <row r="10" spans="1:40" hidden="1" outlineLevel="1" x14ac:dyDescent="0.25">
      <c r="B10" s="39" t="str">
        <v>Intake</v>
      </c>
      <c r="C10" s="3"/>
      <c r="D10" s="3"/>
      <c r="E10" s="106">
        <v>0</v>
      </c>
      <c r="F10" s="106">
        <v>0</v>
      </c>
      <c r="G10" s="106">
        <v>0</v>
      </c>
      <c r="H10" s="106">
        <v>0</v>
      </c>
      <c r="I10" s="106">
        <v>0</v>
      </c>
      <c r="J10" s="106">
        <v>0</v>
      </c>
      <c r="K10" s="106">
        <v>0</v>
      </c>
      <c r="L10" s="106">
        <v>0</v>
      </c>
      <c r="M10" s="106">
        <v>0</v>
      </c>
      <c r="N10" s="106">
        <v>0</v>
      </c>
      <c r="O10" s="106">
        <v>0</v>
      </c>
      <c r="P10" s="106">
        <v>0</v>
      </c>
      <c r="Q10" s="106">
        <v>0</v>
      </c>
      <c r="R10" s="106">
        <v>0</v>
      </c>
      <c r="S10" s="106">
        <v>0</v>
      </c>
      <c r="T10" s="106">
        <v>0</v>
      </c>
      <c r="U10" s="106">
        <v>0</v>
      </c>
      <c r="V10" s="106">
        <v>0</v>
      </c>
      <c r="W10" s="106">
        <v>0</v>
      </c>
      <c r="X10" s="106">
        <v>0</v>
      </c>
      <c r="Y10" s="106">
        <v>0</v>
      </c>
      <c r="Z10" s="106">
        <v>0</v>
      </c>
      <c r="AA10" s="106">
        <v>0</v>
      </c>
      <c r="AB10" s="106">
        <v>0</v>
      </c>
      <c r="AC10" s="106">
        <v>0</v>
      </c>
      <c r="AD10" s="106">
        <v>0</v>
      </c>
      <c r="AE10" s="106">
        <v>0</v>
      </c>
      <c r="AF10" s="106">
        <v>1</v>
      </c>
      <c r="AG10" s="106">
        <v>1</v>
      </c>
      <c r="AH10" s="106">
        <v>1</v>
      </c>
      <c r="AI10" s="106">
        <v>1</v>
      </c>
      <c r="AJ10" s="106">
        <v>1</v>
      </c>
      <c r="AK10" s="106">
        <v>1</v>
      </c>
      <c r="AL10" s="106">
        <v>1</v>
      </c>
      <c r="AM10" s="106">
        <v>1</v>
      </c>
      <c r="AN10" s="106">
        <v>1</v>
      </c>
    </row>
    <row r="11" spans="1:40" hidden="1" outlineLevel="1" x14ac:dyDescent="0.25">
      <c r="B11" s="39" t="str">
        <v>Scheduler</v>
      </c>
      <c r="C11" s="3"/>
      <c r="D11" s="3"/>
      <c r="E11" s="106">
        <v>0</v>
      </c>
      <c r="F11" s="106">
        <v>0</v>
      </c>
      <c r="G11" s="106">
        <v>0</v>
      </c>
      <c r="H11" s="106">
        <v>0</v>
      </c>
      <c r="I11" s="106">
        <v>0</v>
      </c>
      <c r="J11" s="106">
        <v>0</v>
      </c>
      <c r="K11" s="106">
        <v>0</v>
      </c>
      <c r="L11" s="106">
        <v>0</v>
      </c>
      <c r="M11" s="106">
        <v>0</v>
      </c>
      <c r="N11" s="106">
        <v>0</v>
      </c>
      <c r="O11" s="106">
        <v>0</v>
      </c>
      <c r="P11" s="106">
        <v>0</v>
      </c>
      <c r="Q11" s="106">
        <v>0</v>
      </c>
      <c r="R11" s="106">
        <v>0</v>
      </c>
      <c r="S11" s="106">
        <v>0</v>
      </c>
      <c r="T11" s="106">
        <v>0</v>
      </c>
      <c r="U11" s="106">
        <v>0</v>
      </c>
      <c r="V11" s="106">
        <v>0</v>
      </c>
      <c r="W11" s="106">
        <v>0</v>
      </c>
      <c r="X11" s="106">
        <v>0</v>
      </c>
      <c r="Y11" s="106">
        <v>0</v>
      </c>
      <c r="Z11" s="106">
        <v>0</v>
      </c>
      <c r="AA11" s="106">
        <v>0</v>
      </c>
      <c r="AB11" s="106">
        <v>0</v>
      </c>
      <c r="AC11" s="106">
        <v>0</v>
      </c>
      <c r="AD11" s="106">
        <v>0</v>
      </c>
      <c r="AE11" s="106">
        <v>0</v>
      </c>
      <c r="AF11" s="106">
        <v>0</v>
      </c>
      <c r="AG11" s="106">
        <v>0</v>
      </c>
      <c r="AH11" s="106">
        <v>0</v>
      </c>
      <c r="AI11" s="106">
        <v>0</v>
      </c>
      <c r="AJ11" s="106">
        <v>0</v>
      </c>
      <c r="AK11" s="106">
        <v>0</v>
      </c>
      <c r="AL11" s="106">
        <v>0</v>
      </c>
      <c r="AM11" s="106">
        <v>0</v>
      </c>
      <c r="AN11" s="106">
        <v>0</v>
      </c>
    </row>
    <row r="12" spans="1:40" hidden="1" outlineLevel="1" x14ac:dyDescent="0.25">
      <c r="B12" s="39" t="str">
        <v>Initial Consultation Expert</v>
      </c>
      <c r="C12" s="3"/>
      <c r="D12" s="3"/>
      <c r="E12" s="106">
        <v>0</v>
      </c>
      <c r="F12" s="106">
        <v>0</v>
      </c>
      <c r="G12" s="106">
        <v>0</v>
      </c>
      <c r="H12" s="106">
        <v>0</v>
      </c>
      <c r="I12" s="106">
        <v>0</v>
      </c>
      <c r="J12" s="106">
        <v>0</v>
      </c>
      <c r="K12" s="106">
        <v>0</v>
      </c>
      <c r="L12" s="106">
        <v>0</v>
      </c>
      <c r="M12" s="106">
        <v>0</v>
      </c>
      <c r="N12" s="106">
        <v>0</v>
      </c>
      <c r="O12" s="106">
        <v>0</v>
      </c>
      <c r="P12" s="106">
        <v>0</v>
      </c>
      <c r="Q12" s="106">
        <v>0</v>
      </c>
      <c r="R12" s="106">
        <v>0</v>
      </c>
      <c r="S12" s="106">
        <v>0</v>
      </c>
      <c r="T12" s="106">
        <v>0</v>
      </c>
      <c r="U12" s="106">
        <v>0</v>
      </c>
      <c r="V12" s="106">
        <v>0</v>
      </c>
      <c r="W12" s="106">
        <v>0</v>
      </c>
      <c r="X12" s="106">
        <v>0</v>
      </c>
      <c r="Y12" s="106">
        <v>0</v>
      </c>
      <c r="Z12" s="106">
        <v>0</v>
      </c>
      <c r="AA12" s="106">
        <v>0</v>
      </c>
      <c r="AB12" s="106">
        <v>0</v>
      </c>
      <c r="AC12" s="106">
        <v>0</v>
      </c>
      <c r="AD12" s="106">
        <v>0</v>
      </c>
      <c r="AE12" s="106">
        <v>0</v>
      </c>
      <c r="AF12" s="106">
        <v>0.15000000000000002</v>
      </c>
      <c r="AG12" s="106">
        <v>0.16</v>
      </c>
      <c r="AH12" s="106">
        <v>0.18000000000000002</v>
      </c>
      <c r="AI12" s="106">
        <v>0.19</v>
      </c>
      <c r="AJ12" s="106">
        <v>0.2</v>
      </c>
      <c r="AK12" s="106">
        <v>0.21000000000000002</v>
      </c>
      <c r="AL12" s="106">
        <v>0.23</v>
      </c>
      <c r="AM12" s="106">
        <v>0.24000000000000002</v>
      </c>
      <c r="AN12" s="106">
        <v>0.25</v>
      </c>
    </row>
    <row r="13" spans="1:40" hidden="1" outlineLevel="1" x14ac:dyDescent="0.25">
      <c r="B13" s="39" t="str">
        <v>Trainer</v>
      </c>
      <c r="C13" s="3"/>
      <c r="D13" s="3"/>
      <c r="E13" s="106">
        <v>0</v>
      </c>
      <c r="F13" s="106">
        <v>0</v>
      </c>
      <c r="G13" s="106">
        <v>0</v>
      </c>
      <c r="H13" s="106">
        <v>0</v>
      </c>
      <c r="I13" s="106">
        <v>0</v>
      </c>
      <c r="J13" s="106">
        <v>0</v>
      </c>
      <c r="K13" s="106">
        <v>0</v>
      </c>
      <c r="L13" s="106">
        <v>0</v>
      </c>
      <c r="M13" s="106">
        <v>0</v>
      </c>
      <c r="N13" s="106">
        <v>0</v>
      </c>
      <c r="O13" s="106">
        <v>0</v>
      </c>
      <c r="P13" s="106">
        <v>0</v>
      </c>
      <c r="Q13" s="106">
        <v>0</v>
      </c>
      <c r="R13" s="106">
        <v>0</v>
      </c>
      <c r="S13" s="106">
        <v>0</v>
      </c>
      <c r="T13" s="106">
        <v>0</v>
      </c>
      <c r="U13" s="106">
        <v>0</v>
      </c>
      <c r="V13" s="106">
        <v>0</v>
      </c>
      <c r="W13" s="106">
        <v>0</v>
      </c>
      <c r="X13" s="106">
        <v>0</v>
      </c>
      <c r="Y13" s="106">
        <v>0</v>
      </c>
      <c r="Z13" s="106">
        <v>0</v>
      </c>
      <c r="AA13" s="106">
        <v>0</v>
      </c>
      <c r="AB13" s="106">
        <v>0</v>
      </c>
      <c r="AC13" s="106">
        <v>0</v>
      </c>
      <c r="AD13" s="106">
        <v>0</v>
      </c>
      <c r="AE13" s="106">
        <v>0.01</v>
      </c>
      <c r="AF13" s="106">
        <v>0.21000000000000002</v>
      </c>
      <c r="AG13" s="106">
        <v>0.24000000000000002</v>
      </c>
      <c r="AH13" s="106">
        <v>0.26</v>
      </c>
      <c r="AI13" s="106">
        <v>0.29000000000000004</v>
      </c>
      <c r="AJ13" s="106">
        <v>0.31</v>
      </c>
      <c r="AK13" s="106">
        <v>0.34</v>
      </c>
      <c r="AL13" s="106">
        <v>0.36</v>
      </c>
      <c r="AM13" s="106">
        <v>0.39</v>
      </c>
      <c r="AN13" s="106">
        <v>0.42</v>
      </c>
    </row>
    <row r="14" spans="1:40" hidden="1" outlineLevel="1" x14ac:dyDescent="0.25">
      <c r="B14" s="39" t="str">
        <v>Recruiter</v>
      </c>
      <c r="C14" s="3"/>
      <c r="D14" s="3"/>
      <c r="E14" s="106">
        <v>0</v>
      </c>
      <c r="F14" s="106">
        <v>0</v>
      </c>
      <c r="G14" s="106">
        <v>0</v>
      </c>
      <c r="H14" s="106">
        <v>0</v>
      </c>
      <c r="I14" s="106">
        <v>0</v>
      </c>
      <c r="J14" s="106">
        <v>0</v>
      </c>
      <c r="K14" s="106">
        <v>0</v>
      </c>
      <c r="L14" s="106">
        <v>0</v>
      </c>
      <c r="M14" s="106">
        <v>0</v>
      </c>
      <c r="N14" s="106">
        <v>0</v>
      </c>
      <c r="O14" s="106">
        <v>0</v>
      </c>
      <c r="P14" s="106">
        <v>0</v>
      </c>
      <c r="Q14" s="106">
        <v>0</v>
      </c>
      <c r="R14" s="106">
        <v>0</v>
      </c>
      <c r="S14" s="106">
        <v>0</v>
      </c>
      <c r="T14" s="106">
        <v>0</v>
      </c>
      <c r="U14" s="106">
        <v>0</v>
      </c>
      <c r="V14" s="106">
        <v>0</v>
      </c>
      <c r="W14" s="106">
        <v>0</v>
      </c>
      <c r="X14" s="106">
        <v>0</v>
      </c>
      <c r="Y14" s="106">
        <v>0</v>
      </c>
      <c r="Z14" s="106">
        <v>0</v>
      </c>
      <c r="AA14" s="106">
        <v>0</v>
      </c>
      <c r="AB14" s="106">
        <v>0</v>
      </c>
      <c r="AC14" s="106">
        <v>0</v>
      </c>
      <c r="AD14" s="106">
        <v>0</v>
      </c>
      <c r="AE14" s="106">
        <v>0.01</v>
      </c>
      <c r="AF14" s="106">
        <v>0.12</v>
      </c>
      <c r="AG14" s="106">
        <v>0.13</v>
      </c>
      <c r="AH14" s="106">
        <v>0.15000000000000002</v>
      </c>
      <c r="AI14" s="106">
        <v>0.17</v>
      </c>
      <c r="AJ14" s="106">
        <v>0.19</v>
      </c>
      <c r="AK14" s="106">
        <v>0.21000000000000002</v>
      </c>
      <c r="AL14" s="106">
        <v>0.22</v>
      </c>
      <c r="AM14" s="106">
        <v>0.24000000000000002</v>
      </c>
      <c r="AN14" s="106">
        <v>0.26</v>
      </c>
    </row>
    <row r="15" spans="1:40" hidden="1" outlineLevel="1" x14ac:dyDescent="0.25">
      <c r="B15" s="39" t="str">
        <v>Center Director / Remote Site Director</v>
      </c>
      <c r="C15" s="3"/>
      <c r="D15" s="3"/>
      <c r="E15" s="106">
        <v>0</v>
      </c>
      <c r="F15" s="106">
        <v>0</v>
      </c>
      <c r="G15" s="106">
        <v>0</v>
      </c>
      <c r="H15" s="106">
        <v>0</v>
      </c>
      <c r="I15" s="106">
        <v>0</v>
      </c>
      <c r="J15" s="106">
        <v>0</v>
      </c>
      <c r="K15" s="106">
        <v>0</v>
      </c>
      <c r="L15" s="106">
        <v>0</v>
      </c>
      <c r="M15" s="106">
        <v>0</v>
      </c>
      <c r="N15" s="106">
        <v>0</v>
      </c>
      <c r="O15" s="106">
        <v>0</v>
      </c>
      <c r="P15" s="106">
        <v>0</v>
      </c>
      <c r="Q15" s="106">
        <v>0</v>
      </c>
      <c r="R15" s="106">
        <v>0</v>
      </c>
      <c r="S15" s="106">
        <v>0</v>
      </c>
      <c r="T15" s="106">
        <v>0</v>
      </c>
      <c r="U15" s="106">
        <v>0</v>
      </c>
      <c r="V15" s="106">
        <v>0</v>
      </c>
      <c r="W15" s="106">
        <v>0</v>
      </c>
      <c r="X15" s="106">
        <v>0</v>
      </c>
      <c r="Y15" s="106">
        <v>0</v>
      </c>
      <c r="Z15" s="106">
        <v>0</v>
      </c>
      <c r="AA15" s="106">
        <v>0</v>
      </c>
      <c r="AB15" s="106">
        <v>0</v>
      </c>
      <c r="AC15" s="106">
        <v>0</v>
      </c>
      <c r="AD15" s="106">
        <v>0</v>
      </c>
      <c r="AE15" s="106">
        <v>0.01</v>
      </c>
      <c r="AF15" s="106">
        <v>0.02</v>
      </c>
      <c r="AG15" s="106">
        <v>0.02</v>
      </c>
      <c r="AH15" s="106">
        <v>0.03</v>
      </c>
      <c r="AI15" s="106">
        <v>0.04</v>
      </c>
      <c r="AJ15" s="106">
        <v>0.04</v>
      </c>
      <c r="AK15" s="106">
        <v>0.05</v>
      </c>
      <c r="AL15" s="106">
        <v>6.0000000000000005E-2</v>
      </c>
      <c r="AM15" s="106">
        <v>0.06</v>
      </c>
      <c r="AN15" s="106">
        <v>6.9999999999999993E-2</v>
      </c>
    </row>
    <row r="16" spans="1:40" hidden="1" outlineLevel="1" x14ac:dyDescent="0.25">
      <c r="B16" s="39" t="str">
        <v>Center Marketing Outreach</v>
      </c>
      <c r="C16" s="3"/>
      <c r="D16" s="3"/>
      <c r="E16" s="106">
        <v>0</v>
      </c>
      <c r="F16" s="106">
        <v>0</v>
      </c>
      <c r="G16" s="106">
        <v>0</v>
      </c>
      <c r="H16" s="106">
        <v>0</v>
      </c>
      <c r="I16" s="106">
        <v>0</v>
      </c>
      <c r="J16" s="106">
        <v>0</v>
      </c>
      <c r="K16" s="106">
        <v>0</v>
      </c>
      <c r="L16" s="106">
        <v>0</v>
      </c>
      <c r="M16" s="106">
        <v>0</v>
      </c>
      <c r="N16" s="106">
        <v>0</v>
      </c>
      <c r="O16" s="106">
        <v>0</v>
      </c>
      <c r="P16" s="106">
        <v>0</v>
      </c>
      <c r="Q16" s="106">
        <v>0</v>
      </c>
      <c r="R16" s="106">
        <v>0</v>
      </c>
      <c r="S16" s="106">
        <v>0</v>
      </c>
      <c r="T16" s="106">
        <v>0</v>
      </c>
      <c r="U16" s="106">
        <v>0</v>
      </c>
      <c r="V16" s="106">
        <v>0</v>
      </c>
      <c r="W16" s="106">
        <v>0</v>
      </c>
      <c r="X16" s="106">
        <v>0</v>
      </c>
      <c r="Y16" s="106">
        <v>0</v>
      </c>
      <c r="Z16" s="106">
        <v>0</v>
      </c>
      <c r="AA16" s="106">
        <v>0</v>
      </c>
      <c r="AB16" s="106">
        <v>0</v>
      </c>
      <c r="AC16" s="106">
        <v>0</v>
      </c>
      <c r="AD16" s="106">
        <v>0</v>
      </c>
      <c r="AE16" s="106">
        <v>0.01</v>
      </c>
      <c r="AF16" s="106">
        <v>0.02</v>
      </c>
      <c r="AG16" s="106">
        <v>0.02</v>
      </c>
      <c r="AH16" s="106">
        <v>0.03</v>
      </c>
      <c r="AI16" s="106">
        <v>0.04</v>
      </c>
      <c r="AJ16" s="106">
        <v>0.04</v>
      </c>
      <c r="AK16" s="106">
        <v>0.05</v>
      </c>
      <c r="AL16" s="106">
        <v>6.0000000000000005E-2</v>
      </c>
      <c r="AM16" s="106">
        <v>0.06</v>
      </c>
      <c r="AN16" s="106">
        <v>6.9999999999999993E-2</v>
      </c>
    </row>
    <row r="17" spans="2:50" hidden="1" outlineLevel="1" x14ac:dyDescent="0.25">
      <c r="B17" s="39" t="str">
        <v>Primary Direct Staff Lead</v>
      </c>
      <c r="C17" s="3"/>
      <c r="D17" s="3"/>
      <c r="E17" s="106">
        <v>0</v>
      </c>
      <c r="F17" s="106">
        <v>0</v>
      </c>
      <c r="G17" s="106">
        <v>0</v>
      </c>
      <c r="H17" s="106">
        <v>0</v>
      </c>
      <c r="I17" s="106">
        <v>0</v>
      </c>
      <c r="J17" s="106">
        <v>0</v>
      </c>
      <c r="K17" s="106">
        <v>0</v>
      </c>
      <c r="L17" s="106">
        <v>0</v>
      </c>
      <c r="M17" s="106">
        <v>0</v>
      </c>
      <c r="N17" s="106">
        <v>0</v>
      </c>
      <c r="O17" s="106">
        <v>0</v>
      </c>
      <c r="P17" s="106">
        <v>0</v>
      </c>
      <c r="Q17" s="106">
        <v>0</v>
      </c>
      <c r="R17" s="106">
        <v>0</v>
      </c>
      <c r="S17" s="106">
        <v>0</v>
      </c>
      <c r="T17" s="106">
        <v>0</v>
      </c>
      <c r="U17" s="106">
        <v>0</v>
      </c>
      <c r="V17" s="106">
        <v>0</v>
      </c>
      <c r="W17" s="106">
        <v>0</v>
      </c>
      <c r="X17" s="106">
        <v>0</v>
      </c>
      <c r="Y17" s="106">
        <v>0</v>
      </c>
      <c r="Z17" s="106">
        <v>0</v>
      </c>
      <c r="AA17" s="106">
        <v>0</v>
      </c>
      <c r="AB17" s="106">
        <v>0</v>
      </c>
      <c r="AC17" s="106">
        <v>0</v>
      </c>
      <c r="AD17" s="106">
        <v>0</v>
      </c>
      <c r="AE17" s="106">
        <v>0</v>
      </c>
      <c r="AF17" s="106">
        <v>0</v>
      </c>
      <c r="AG17" s="106">
        <v>0</v>
      </c>
      <c r="AH17" s="106">
        <v>0</v>
      </c>
      <c r="AI17" s="106">
        <v>0</v>
      </c>
      <c r="AJ17" s="106">
        <v>0</v>
      </c>
      <c r="AK17" s="106">
        <v>0</v>
      </c>
      <c r="AL17" s="106">
        <v>0</v>
      </c>
      <c r="AM17" s="106">
        <v>0</v>
      </c>
      <c r="AN17" s="106">
        <v>0</v>
      </c>
    </row>
    <row r="18" spans="2:50" hidden="1" outlineLevel="1" x14ac:dyDescent="0.25">
      <c r="B18" s="39" t="str">
        <v>Tertiary Direct Staff</v>
      </c>
      <c r="C18" s="3"/>
      <c r="D18" s="3"/>
      <c r="E18" s="106">
        <v>0</v>
      </c>
      <c r="F18" s="106">
        <v>0</v>
      </c>
      <c r="G18" s="106">
        <v>0</v>
      </c>
      <c r="H18" s="106">
        <v>0</v>
      </c>
      <c r="I18" s="106">
        <v>0</v>
      </c>
      <c r="J18" s="106">
        <v>0</v>
      </c>
      <c r="K18" s="106">
        <v>0</v>
      </c>
      <c r="L18" s="106">
        <v>0</v>
      </c>
      <c r="M18" s="106">
        <v>0</v>
      </c>
      <c r="N18" s="106">
        <v>0</v>
      </c>
      <c r="O18" s="106">
        <v>0</v>
      </c>
      <c r="P18" s="106">
        <v>0</v>
      </c>
      <c r="Q18" s="106">
        <v>0</v>
      </c>
      <c r="R18" s="106">
        <v>0</v>
      </c>
      <c r="S18" s="106">
        <v>0</v>
      </c>
      <c r="T18" s="106">
        <v>0</v>
      </c>
      <c r="U18" s="106">
        <v>0</v>
      </c>
      <c r="V18" s="106">
        <v>0</v>
      </c>
      <c r="W18" s="106">
        <v>0</v>
      </c>
      <c r="X18" s="106">
        <v>0</v>
      </c>
      <c r="Y18" s="106">
        <v>0</v>
      </c>
      <c r="Z18" s="106">
        <v>0</v>
      </c>
      <c r="AA18" s="106">
        <v>0</v>
      </c>
      <c r="AB18" s="106">
        <v>0</v>
      </c>
      <c r="AC18" s="106">
        <v>0</v>
      </c>
      <c r="AD18" s="106">
        <v>0</v>
      </c>
      <c r="AE18" s="106">
        <v>0</v>
      </c>
      <c r="AF18" s="106">
        <v>0</v>
      </c>
      <c r="AG18" s="106">
        <v>0</v>
      </c>
      <c r="AH18" s="106">
        <v>0</v>
      </c>
      <c r="AI18" s="106">
        <v>0</v>
      </c>
      <c r="AJ18" s="106">
        <v>0</v>
      </c>
      <c r="AK18" s="106">
        <v>0</v>
      </c>
      <c r="AL18" s="106">
        <v>0</v>
      </c>
      <c r="AM18" s="106">
        <v>0</v>
      </c>
      <c r="AN18" s="106">
        <v>0</v>
      </c>
    </row>
    <row r="19" spans="2:50" hidden="1" outlineLevel="1" x14ac:dyDescent="0.25">
      <c r="B19" s="39" t="str">
        <v>Quinary Direct Staff</v>
      </c>
      <c r="C19" s="3"/>
      <c r="D19" s="3"/>
      <c r="E19" s="106">
        <v>0</v>
      </c>
      <c r="F19" s="106">
        <v>0</v>
      </c>
      <c r="G19" s="106">
        <v>0</v>
      </c>
      <c r="H19" s="106">
        <v>0</v>
      </c>
      <c r="I19" s="106">
        <v>0</v>
      </c>
      <c r="J19" s="106">
        <v>0</v>
      </c>
      <c r="K19" s="106">
        <v>0</v>
      </c>
      <c r="L19" s="106">
        <v>0</v>
      </c>
      <c r="M19" s="106">
        <v>0</v>
      </c>
      <c r="N19" s="106">
        <v>0</v>
      </c>
      <c r="O19" s="106">
        <v>0</v>
      </c>
      <c r="P19" s="106">
        <v>0</v>
      </c>
      <c r="Q19" s="106">
        <v>0</v>
      </c>
      <c r="R19" s="106">
        <v>0</v>
      </c>
      <c r="S19" s="106">
        <v>0</v>
      </c>
      <c r="T19" s="106">
        <v>0</v>
      </c>
      <c r="U19" s="106">
        <v>0</v>
      </c>
      <c r="V19" s="106">
        <v>0</v>
      </c>
      <c r="W19" s="106">
        <v>0</v>
      </c>
      <c r="X19" s="106">
        <v>0</v>
      </c>
      <c r="Y19" s="106">
        <v>0</v>
      </c>
      <c r="Z19" s="106">
        <v>0</v>
      </c>
      <c r="AA19" s="106">
        <v>0</v>
      </c>
      <c r="AB19" s="106">
        <v>0</v>
      </c>
      <c r="AC19" s="106">
        <v>0</v>
      </c>
      <c r="AD19" s="106">
        <v>0</v>
      </c>
      <c r="AE19" s="106">
        <v>0</v>
      </c>
      <c r="AF19" s="106">
        <v>0</v>
      </c>
      <c r="AG19" s="106">
        <v>0</v>
      </c>
      <c r="AH19" s="106">
        <v>0</v>
      </c>
      <c r="AI19" s="106">
        <v>0</v>
      </c>
      <c r="AJ19" s="106">
        <v>0</v>
      </c>
      <c r="AK19" s="106">
        <v>0</v>
      </c>
      <c r="AL19" s="106">
        <v>0</v>
      </c>
      <c r="AM19" s="106">
        <v>0</v>
      </c>
      <c r="AN19" s="106">
        <v>0</v>
      </c>
    </row>
    <row r="20" spans="2:50" hidden="1" outlineLevel="1" x14ac:dyDescent="0.25">
      <c r="B20" s="39" t="str">
        <v>Quaternary Direct Staff</v>
      </c>
      <c r="C20" s="3"/>
      <c r="D20" s="3"/>
      <c r="E20" s="106">
        <v>0</v>
      </c>
      <c r="F20" s="106">
        <v>0</v>
      </c>
      <c r="G20" s="106">
        <v>0</v>
      </c>
      <c r="H20" s="106">
        <v>0</v>
      </c>
      <c r="I20" s="106">
        <v>0</v>
      </c>
      <c r="J20" s="106">
        <v>0</v>
      </c>
      <c r="K20" s="106">
        <v>0</v>
      </c>
      <c r="L20" s="106">
        <v>0</v>
      </c>
      <c r="M20" s="106">
        <v>0</v>
      </c>
      <c r="N20" s="106">
        <v>0</v>
      </c>
      <c r="O20" s="106">
        <v>0</v>
      </c>
      <c r="P20" s="106">
        <v>0</v>
      </c>
      <c r="Q20" s="106">
        <v>0</v>
      </c>
      <c r="R20" s="106">
        <v>0</v>
      </c>
      <c r="S20" s="106">
        <v>0</v>
      </c>
      <c r="T20" s="106">
        <v>0</v>
      </c>
      <c r="U20" s="106">
        <v>0</v>
      </c>
      <c r="V20" s="106">
        <v>0</v>
      </c>
      <c r="W20" s="106">
        <v>0</v>
      </c>
      <c r="X20" s="106">
        <v>0</v>
      </c>
      <c r="Y20" s="106">
        <v>0</v>
      </c>
      <c r="Z20" s="106">
        <v>0</v>
      </c>
      <c r="AA20" s="106">
        <v>0</v>
      </c>
      <c r="AB20" s="106">
        <v>0</v>
      </c>
      <c r="AC20" s="106">
        <v>0</v>
      </c>
      <c r="AD20" s="106">
        <v>0</v>
      </c>
      <c r="AE20" s="106">
        <v>0</v>
      </c>
      <c r="AF20" s="106">
        <v>0</v>
      </c>
      <c r="AG20" s="106">
        <v>0</v>
      </c>
      <c r="AH20" s="106">
        <v>0</v>
      </c>
      <c r="AI20" s="106">
        <v>0</v>
      </c>
      <c r="AJ20" s="106">
        <v>0</v>
      </c>
      <c r="AK20" s="106">
        <v>0</v>
      </c>
      <c r="AL20" s="106">
        <v>0</v>
      </c>
      <c r="AM20" s="106">
        <v>0</v>
      </c>
      <c r="AN20" s="106">
        <v>0</v>
      </c>
    </row>
    <row r="21" spans="2:50" collapsed="1" x14ac:dyDescent="0.25">
      <c r="B21" s="39" t="s">
        <v>389</v>
      </c>
      <c r="C21" s="3"/>
      <c r="D21" s="5"/>
      <c r="E21" s="117" cm="1">
        <f t="array" ref="E21:AN21">ROUND(_xlfn.BYCOL(_xlfn.CHOOSEROWS(_xlfn.ANCHORARRAY(E7),1,2),_xlfn.LAMBDA(_xlpm.col,SUM(_xlpm.col))),0)</f>
        <v>0</v>
      </c>
      <c r="F21" s="117">
        <v>0</v>
      </c>
      <c r="G21" s="117">
        <v>0</v>
      </c>
      <c r="H21" s="117">
        <v>0</v>
      </c>
      <c r="I21" s="117">
        <v>0</v>
      </c>
      <c r="J21" s="117">
        <v>0</v>
      </c>
      <c r="K21" s="117">
        <v>0</v>
      </c>
      <c r="L21" s="117">
        <v>0</v>
      </c>
      <c r="M21" s="117">
        <v>0</v>
      </c>
      <c r="N21" s="117">
        <v>0</v>
      </c>
      <c r="O21" s="117">
        <v>0</v>
      </c>
      <c r="P21" s="117">
        <v>0</v>
      </c>
      <c r="Q21" s="117">
        <v>0</v>
      </c>
      <c r="R21" s="117">
        <v>0</v>
      </c>
      <c r="S21" s="117">
        <v>0</v>
      </c>
      <c r="T21" s="117">
        <v>0</v>
      </c>
      <c r="U21" s="117">
        <v>0</v>
      </c>
      <c r="V21" s="117">
        <v>0</v>
      </c>
      <c r="W21" s="117">
        <v>0</v>
      </c>
      <c r="X21" s="117">
        <v>0</v>
      </c>
      <c r="Y21" s="117">
        <v>0</v>
      </c>
      <c r="Z21" s="117">
        <v>0</v>
      </c>
      <c r="AA21" s="117">
        <v>0</v>
      </c>
      <c r="AB21" s="117">
        <v>0</v>
      </c>
      <c r="AC21" s="117">
        <v>0</v>
      </c>
      <c r="AD21" s="117">
        <v>0</v>
      </c>
      <c r="AE21" s="117">
        <v>1</v>
      </c>
      <c r="AF21" s="117">
        <v>2</v>
      </c>
      <c r="AG21" s="117">
        <v>3</v>
      </c>
      <c r="AH21" s="117">
        <v>3</v>
      </c>
      <c r="AI21" s="117">
        <v>4</v>
      </c>
      <c r="AJ21" s="117">
        <v>5</v>
      </c>
      <c r="AK21" s="117">
        <v>7</v>
      </c>
      <c r="AL21" s="117">
        <v>7</v>
      </c>
      <c r="AM21" s="117">
        <v>8</v>
      </c>
      <c r="AN21" s="117">
        <v>9</v>
      </c>
    </row>
    <row r="22" spans="2:50" x14ac:dyDescent="0.25">
      <c r="B22" s="2" t="s">
        <v>394</v>
      </c>
      <c r="C22" s="3"/>
      <c r="D22" s="77">
        <f>MAX(_xlfn.ANCHORARRAY(E22))</f>
        <v>174.55720170454555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0</v>
      </c>
      <c r="F22" s="78">
        <v>0</v>
      </c>
      <c r="G22" s="78">
        <v>0</v>
      </c>
      <c r="H22" s="78">
        <v>0</v>
      </c>
      <c r="I22" s="78">
        <v>0</v>
      </c>
      <c r="J22" s="78">
        <v>0</v>
      </c>
      <c r="K22" s="78">
        <v>0</v>
      </c>
      <c r="L22" s="78">
        <v>0</v>
      </c>
      <c r="M22" s="78">
        <v>0</v>
      </c>
      <c r="N22" s="78">
        <v>0</v>
      </c>
      <c r="O22" s="78">
        <v>0</v>
      </c>
      <c r="P22" s="78">
        <v>0</v>
      </c>
      <c r="Q22" s="78">
        <v>0</v>
      </c>
      <c r="R22" s="78">
        <v>0</v>
      </c>
      <c r="S22" s="78">
        <v>0</v>
      </c>
      <c r="T22" s="78">
        <v>0</v>
      </c>
      <c r="U22" s="78">
        <v>0</v>
      </c>
      <c r="V22" s="78">
        <v>0</v>
      </c>
      <c r="W22" s="78">
        <v>0</v>
      </c>
      <c r="X22" s="78">
        <v>0</v>
      </c>
      <c r="Y22" s="78">
        <v>0</v>
      </c>
      <c r="Z22" s="78">
        <v>0</v>
      </c>
      <c r="AA22" s="78">
        <v>0</v>
      </c>
      <c r="AB22" s="78">
        <v>0</v>
      </c>
      <c r="AC22" s="78">
        <v>0</v>
      </c>
      <c r="AD22" s="78">
        <v>0</v>
      </c>
      <c r="AE22" s="78">
        <v>174.55720170454555</v>
      </c>
      <c r="AF22" s="78">
        <v>174.55720170454543</v>
      </c>
      <c r="AG22" s="78">
        <v>174.55720170454541</v>
      </c>
      <c r="AH22" s="78">
        <v>174.55720170454543</v>
      </c>
      <c r="AI22" s="78">
        <v>174.55720170454555</v>
      </c>
      <c r="AJ22" s="78">
        <v>174.55720170454541</v>
      </c>
      <c r="AK22" s="78">
        <v>174.55720170454543</v>
      </c>
      <c r="AL22" s="78">
        <v>174.55720170454546</v>
      </c>
      <c r="AM22" s="78">
        <v>174.55720170454546</v>
      </c>
      <c r="AN22" s="78">
        <v>174.55720170454549</v>
      </c>
    </row>
    <row r="23" spans="2:50" x14ac:dyDescent="0.25">
      <c r="B23" s="2" t="s">
        <v>53</v>
      </c>
      <c r="C23" s="3"/>
      <c r="D23" s="72"/>
      <c r="E23" s="52" cm="1">
        <f t="array" ref="E23:AN23">_xlfn.LET(_xlpm.site,$B$1&amp;"-"&amp;$C$1,_xlpm.locations,Base!$D$4:$BD$4,_xlpm.Customer,_xlfn.ANCHORARRAY(E1),_xlpm.hours,SUM(_xlfn.XLOOKUP(_xlpm.site,_xlpm.locations,Base!$D$74:$BD$78,0,0)),
_xlpm.collection,1-_xlfn.XLOOKUP(_xlpm.site,_xlpm.locations,Base!$D$26:$BD$26,0,0),
_xlpm.Customer*_xlpm.hours*_xlpm.collection*(52/12))</f>
        <v>0</v>
      </c>
      <c r="F23" s="52">
        <v>0</v>
      </c>
      <c r="G23" s="52">
        <v>0</v>
      </c>
      <c r="H23" s="52">
        <v>0</v>
      </c>
      <c r="I23" s="52">
        <v>0</v>
      </c>
      <c r="J23" s="52">
        <v>0</v>
      </c>
      <c r="K23" s="52">
        <v>0</v>
      </c>
      <c r="L23" s="52">
        <v>0</v>
      </c>
      <c r="M23" s="52">
        <v>0</v>
      </c>
      <c r="N23" s="52">
        <v>0</v>
      </c>
      <c r="O23" s="52">
        <v>0</v>
      </c>
      <c r="P23" s="52">
        <v>0</v>
      </c>
      <c r="Q23" s="52">
        <v>0</v>
      </c>
      <c r="R23" s="52">
        <v>0</v>
      </c>
      <c r="S23" s="52">
        <v>0</v>
      </c>
      <c r="T23" s="52">
        <v>0</v>
      </c>
      <c r="U23" s="52">
        <v>0</v>
      </c>
      <c r="V23" s="52">
        <v>0</v>
      </c>
      <c r="W23" s="52">
        <v>0</v>
      </c>
      <c r="X23" s="52">
        <v>0</v>
      </c>
      <c r="Y23" s="52">
        <v>0</v>
      </c>
      <c r="Z23" s="52">
        <v>0</v>
      </c>
      <c r="AA23" s="52">
        <v>0</v>
      </c>
      <c r="AB23" s="52">
        <v>0</v>
      </c>
      <c r="AC23" s="52">
        <v>0</v>
      </c>
      <c r="AD23" s="52">
        <v>0</v>
      </c>
      <c r="AE23" s="52">
        <v>51.626666666666658</v>
      </c>
      <c r="AF23" s="52">
        <v>154.88</v>
      </c>
      <c r="AG23" s="52">
        <v>258.13333333333333</v>
      </c>
      <c r="AH23" s="52">
        <v>309.76</v>
      </c>
      <c r="AI23" s="52">
        <v>413.01333333333326</v>
      </c>
      <c r="AJ23" s="52">
        <v>516.26666666666665</v>
      </c>
      <c r="AK23" s="52">
        <v>619.52</v>
      </c>
      <c r="AL23" s="52">
        <v>671.14666666666665</v>
      </c>
      <c r="AM23" s="52">
        <v>774.39999999999986</v>
      </c>
      <c r="AN23" s="52">
        <v>877.65333333333331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21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_xlfn.LET(_xlpm.site,$B$1&amp;"-"&amp;$C$1,_xlpm.locations,Base!$D$4:$BD$4,_xlpm.rates,Base!$D31:$BD31,_xlpm.hours,Base!$D74:$BD74,_xlpm.comp,_xlpm.rates*_xlpm.hours,_xlpm.Customer,_xlfn.ANCHORARRAY($E$1),
_xlpm.Customer_comp,_xlfn.XLOOKUP(_xlpm.site,_xlpm.locations,_xlpm.comp,0,0),_xlpm.ann_incr,_xlfn.XLOOKUP(YEAR(_xlfn.ANCHORARRAY($E$25)),Base!$BJ$4:$BL$4,Base!$BJ74:$BL74,0,0),
_xlpm.bad_debt,_xlfn.XLOOKUP(_xlpm.site,_xlpm.locations,Base!$D$28:$BD$28,0,0),_xlpm.Customer_comp*_xlpm.Customer*_xlpm.bad_debt*_xlpm.ann_incr*(52/12))</f>
        <v>0</v>
      </c>
      <c r="F26" s="12">
        <v>0</v>
      </c>
      <c r="G26" s="12">
        <v>0</v>
      </c>
      <c r="H26" s="12">
        <v>0</v>
      </c>
      <c r="I26" s="12">
        <v>0</v>
      </c>
      <c r="J26" s="12">
        <v>0</v>
      </c>
      <c r="K26" s="12">
        <v>0</v>
      </c>
      <c r="L26" s="12">
        <v>0</v>
      </c>
      <c r="M26" s="12">
        <v>0</v>
      </c>
      <c r="N26" s="12">
        <v>0</v>
      </c>
      <c r="O26" s="12">
        <v>0</v>
      </c>
      <c r="P26" s="12">
        <v>0</v>
      </c>
      <c r="Q26" s="12">
        <v>0</v>
      </c>
      <c r="R26" s="12">
        <v>0</v>
      </c>
      <c r="S26" s="12">
        <v>0</v>
      </c>
      <c r="T26" s="12">
        <v>0</v>
      </c>
      <c r="U26" s="12">
        <v>0</v>
      </c>
      <c r="V26" s="12">
        <v>0</v>
      </c>
      <c r="W26" s="12">
        <v>0</v>
      </c>
      <c r="X26" s="12">
        <v>0</v>
      </c>
      <c r="Y26" s="12">
        <v>0</v>
      </c>
      <c r="Z26" s="12">
        <v>0</v>
      </c>
      <c r="AA26" s="12">
        <v>0</v>
      </c>
      <c r="AB26" s="12">
        <v>0</v>
      </c>
      <c r="AC26" s="12">
        <v>0</v>
      </c>
      <c r="AD26" s="12">
        <v>0</v>
      </c>
      <c r="AE26" s="12">
        <v>8154.019033333333</v>
      </c>
      <c r="AF26" s="12">
        <v>24462.057099999998</v>
      </c>
      <c r="AG26" s="12">
        <v>40770.095166666659</v>
      </c>
      <c r="AH26" s="12">
        <v>48924.114199999996</v>
      </c>
      <c r="AI26" s="12">
        <v>65232.152266666664</v>
      </c>
      <c r="AJ26" s="12">
        <v>81540.190333333318</v>
      </c>
      <c r="AK26" s="12">
        <v>97848.228399999993</v>
      </c>
      <c r="AL26" s="12">
        <v>106002.24743333334</v>
      </c>
      <c r="AM26" s="12">
        <v>122310.28549999998</v>
      </c>
      <c r="AN26" s="12">
        <v>138618.32356666666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_xlfn.LET(_xlpm.site,$B$1&amp;"-"&amp;$C$1,_xlpm.locations,Base!$D$4:$BD$4,_xlpm.rates,Base!$D32:$BD32,_xlpm.hours,Base!$D75:$BD75,_xlpm.comp,_xlpm.rates*_xlpm.hours,_xlpm.Customer,_xlfn.ANCHORARRAY($E$1),
_xlpm.Customer_comp,_xlfn.XLOOKUP(_xlpm.site,_xlpm.locations,_xlpm.comp,0,0),_xlpm.ann_incr,_xlfn.XLOOKUP(YEAR(_xlfn.ANCHORARRAY($E$25)),Base!$BJ$4:$BL$4,Base!$BJ75:$BL75,0,0),
_xlpm.bad_debt,_xlfn.XLOOKUP(_xlpm.site,_xlpm.locations,Base!$D$28:$BD$28,0,0),_xlpm.Customer_comp*_xlpm.Customer*_xlpm.bad_debt*_xlpm.ann_incr*(52/12))</f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12">
        <v>0</v>
      </c>
      <c r="AA27" s="12">
        <v>0</v>
      </c>
      <c r="AB27" s="12">
        <v>0</v>
      </c>
      <c r="AC27" s="12">
        <v>0</v>
      </c>
      <c r="AD27" s="12">
        <v>0</v>
      </c>
      <c r="AE27" s="12">
        <v>0</v>
      </c>
      <c r="AF27" s="12">
        <v>0</v>
      </c>
      <c r="AG27" s="12">
        <v>0</v>
      </c>
      <c r="AH27" s="12">
        <v>0</v>
      </c>
      <c r="AI27" s="12">
        <v>0</v>
      </c>
      <c r="AJ27" s="12">
        <v>0</v>
      </c>
      <c r="AK27" s="12">
        <v>0</v>
      </c>
      <c r="AL27" s="12">
        <v>0</v>
      </c>
      <c r="AM27" s="12">
        <v>0</v>
      </c>
      <c r="AN27" s="12">
        <v>0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_xlfn.LET(_xlpm.site,$B$1&amp;"-"&amp;$C$1,_xlpm.locations,Base!$D$4:$BD$4,_xlpm.rates,Base!$D33:$BD33,_xlpm.hours,Base!$D76:$BD76,_xlpm.comp,_xlpm.rates*_xlpm.hours,_xlpm.Customer,_xlfn.ANCHORARRAY($E$1),
_xlpm.Customer_comp,_xlfn.XLOOKUP(_xlpm.site,_xlpm.locations,_xlpm.comp,0,0),_xlpm.ann_incr,_xlfn.XLOOKUP(YEAR(_xlfn.ANCHORARRAY($E$25)),Base!$BJ$4:$BL$4,Base!$BJ76:$BL76,0,0),
_xlpm.bad_debt,_xlfn.XLOOKUP(_xlpm.site,_xlpm.locations,Base!$D$28:$BD$28,0,0),_xlpm.Customer_comp*_xlpm.Customer*_xlpm.bad_debt*_xlpm.ann_incr*(52/12))</f>
        <v>0</v>
      </c>
      <c r="F28" s="12">
        <v>0</v>
      </c>
      <c r="G28" s="12">
        <v>0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0</v>
      </c>
      <c r="N28" s="12">
        <v>0</v>
      </c>
      <c r="O28" s="12">
        <v>0</v>
      </c>
      <c r="P28" s="12">
        <v>0</v>
      </c>
      <c r="Q28" s="12">
        <v>0</v>
      </c>
      <c r="R28" s="12">
        <v>0</v>
      </c>
      <c r="S28" s="12">
        <v>0</v>
      </c>
      <c r="T28" s="12">
        <v>0</v>
      </c>
      <c r="U28" s="12">
        <v>0</v>
      </c>
      <c r="V28" s="12">
        <v>0</v>
      </c>
      <c r="W28" s="12">
        <v>0</v>
      </c>
      <c r="X28" s="12">
        <v>0</v>
      </c>
      <c r="Y28" s="12">
        <v>0</v>
      </c>
      <c r="Z28" s="12">
        <v>0</v>
      </c>
      <c r="AA28" s="12">
        <v>0</v>
      </c>
      <c r="AB28" s="12">
        <v>0</v>
      </c>
      <c r="AC28" s="12">
        <v>0</v>
      </c>
      <c r="AD28" s="12">
        <v>0</v>
      </c>
      <c r="AE28" s="12">
        <v>1086.8529099999998</v>
      </c>
      <c r="AF28" s="12">
        <v>3260.5587299999988</v>
      </c>
      <c r="AG28" s="12">
        <v>5434.2645499999981</v>
      </c>
      <c r="AH28" s="12">
        <v>6521.1174599999977</v>
      </c>
      <c r="AI28" s="12">
        <v>8694.8232799999987</v>
      </c>
      <c r="AJ28" s="12">
        <v>10868.529099999996</v>
      </c>
      <c r="AK28" s="12">
        <v>13042.234919999995</v>
      </c>
      <c r="AL28" s="12">
        <v>14129.087829999997</v>
      </c>
      <c r="AM28" s="12">
        <v>16302.793649999996</v>
      </c>
      <c r="AN28" s="12">
        <v>18476.499469999999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_xlfn.LET(_xlpm.site,$B$1&amp;"-"&amp;$C$1,_xlpm.locations,Base!$D$4:$BD$4,_xlpm.rates,Base!$D34:$BD34,_xlpm.hours,Base!$D77:$BD77,_xlpm.comp,_xlpm.rates*_xlpm.hours,_xlpm.Customer,_xlfn.ANCHORARRAY($E$1),
_xlpm.Customer_comp,_xlfn.XLOOKUP(_xlpm.site,_xlpm.locations,_xlpm.comp,0,0),_xlpm.ann_incr,_xlfn.XLOOKUP(YEAR(_xlfn.ANCHORARRAY($E$25)),Base!$BJ$4:$BL$4,Base!$BJ77:$BL77,0,0),
_xlpm.bad_debt,_xlfn.XLOOKUP(_xlpm.site,_xlpm.locations,Base!$D$28:$BD$28,0,0),_xlpm.Customer_comp*_xlpm.Customer*_xlpm.bad_debt*_xlpm.ann_incr*(52/12))</f>
        <v>0</v>
      </c>
      <c r="F29" s="12">
        <v>0</v>
      </c>
      <c r="G29" s="12">
        <v>0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0</v>
      </c>
      <c r="N29" s="12">
        <v>0</v>
      </c>
      <c r="O29" s="12">
        <v>0</v>
      </c>
      <c r="P29" s="12">
        <v>0</v>
      </c>
      <c r="Q29" s="12">
        <v>0</v>
      </c>
      <c r="R29" s="12">
        <v>0</v>
      </c>
      <c r="S29" s="12">
        <v>0</v>
      </c>
      <c r="T29" s="12">
        <v>0</v>
      </c>
      <c r="U29" s="12">
        <v>0</v>
      </c>
      <c r="V29" s="12">
        <v>0</v>
      </c>
      <c r="W29" s="12">
        <v>0</v>
      </c>
      <c r="X29" s="12">
        <v>0</v>
      </c>
      <c r="Y29" s="12">
        <v>0</v>
      </c>
      <c r="Z29" s="12">
        <v>0</v>
      </c>
      <c r="AA29" s="12">
        <v>0</v>
      </c>
      <c r="AB29" s="12">
        <v>0</v>
      </c>
      <c r="AC29" s="12">
        <v>0</v>
      </c>
      <c r="AD29" s="12">
        <v>0</v>
      </c>
      <c r="AE29" s="12">
        <v>167.20813999999999</v>
      </c>
      <c r="AF29" s="12">
        <v>501.62441999999999</v>
      </c>
      <c r="AG29" s="12">
        <v>836.04070000000002</v>
      </c>
      <c r="AH29" s="12">
        <v>1003.24884</v>
      </c>
      <c r="AI29" s="12">
        <v>1337.6651199999999</v>
      </c>
      <c r="AJ29" s="12">
        <v>1672.0814</v>
      </c>
      <c r="AK29" s="12">
        <v>2006.4976799999999</v>
      </c>
      <c r="AL29" s="12">
        <v>2173.7058200000001</v>
      </c>
      <c r="AM29" s="12">
        <v>2508.1221</v>
      </c>
      <c r="AN29" s="12">
        <v>2842.5383799999995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_xlfn.LET(_xlpm.site,$B$1&amp;"-"&amp;$C$1,_xlpm.locations,Base!$D$4:$BD$4,_xlpm.rates,Base!$D35:$BD35,_xlpm.hours,Base!$D78:$BD78,_xlpm.comp,_xlpm.rates*_xlpm.hours,_xlpm.Customer,_xlfn.ANCHORARRAY($E$1),
_xlpm.Customer_comp,_xlfn.XLOOKUP(_xlpm.site,_xlpm.locations,_xlpm.comp,0,0),_xlpm.ann_incr,_xlfn.XLOOKUP(YEAR(_xlfn.ANCHORARRAY($E$25)),Base!$BJ$4:$BL$4,Base!$BJ78:$BL78,0,0),
_xlpm.bad_debt,_xlfn.XLOOKUP(_xlpm.site,_xlpm.locations,Base!$D$28:$BD$28,0,0),_xlpm.Customer_comp*_xlpm.Customer*_xlpm.bad_debt*_xlpm.ann_incr*(52/12))</f>
        <v>0</v>
      </c>
      <c r="F30" s="12">
        <v>0</v>
      </c>
      <c r="G30" s="12">
        <v>0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0</v>
      </c>
      <c r="N30" s="12">
        <v>0</v>
      </c>
      <c r="O30" s="12">
        <v>0</v>
      </c>
      <c r="P30" s="12">
        <v>0</v>
      </c>
      <c r="Q30" s="12">
        <v>0</v>
      </c>
      <c r="R30" s="12">
        <v>0</v>
      </c>
      <c r="S30" s="12">
        <v>0</v>
      </c>
      <c r="T30" s="12">
        <v>0</v>
      </c>
      <c r="U30" s="12">
        <v>0</v>
      </c>
      <c r="V30" s="12">
        <v>0</v>
      </c>
      <c r="W30" s="12">
        <v>0</v>
      </c>
      <c r="X30" s="12">
        <v>0</v>
      </c>
      <c r="Y30" s="12">
        <v>0</v>
      </c>
      <c r="Z30" s="12">
        <v>0</v>
      </c>
      <c r="AA30" s="12">
        <v>0</v>
      </c>
      <c r="AB30" s="12">
        <v>0</v>
      </c>
      <c r="AC30" s="12">
        <v>0</v>
      </c>
      <c r="AD30" s="12">
        <v>0</v>
      </c>
      <c r="AE30" s="12">
        <v>218.1677333333333</v>
      </c>
      <c r="AF30" s="12">
        <v>654.50319999999988</v>
      </c>
      <c r="AG30" s="12">
        <v>1090.8386666666665</v>
      </c>
      <c r="AH30" s="12">
        <v>1309.0063999999998</v>
      </c>
      <c r="AI30" s="12">
        <v>1745.3418666666664</v>
      </c>
      <c r="AJ30" s="12">
        <v>2181.6773333333331</v>
      </c>
      <c r="AK30" s="12">
        <v>2618.0127999999995</v>
      </c>
      <c r="AL30" s="12">
        <v>2836.1805333333332</v>
      </c>
      <c r="AM30" s="12">
        <v>3272.5159999999996</v>
      </c>
      <c r="AN30" s="12">
        <v>3708.8514666666661</v>
      </c>
    </row>
    <row r="31" spans="2:50" x14ac:dyDescent="0.25">
      <c r="B31" s="39" t="str">
        <f>Base!B36</f>
        <v>Tertiary Direct Staff - Service A</v>
      </c>
      <c r="C31" s="4"/>
      <c r="E31" s="183" cm="1">
        <f t="array" ref="E31:AN31">_xlfn.LET(_xlpm.site,$B$1&amp;"-"&amp;$C$1,_xlpm.locations,Base!$D$4:$BD$4,_xlpm.rates,Base!$D36:$BD36,_xlpm.hours,Base!$D79:$BD79,_xlpm.comp,_xlpm.rates*_xlpm.hours,_xlpm.Customer,_xlfn.ANCHORARRAY($E$1)*0,
_xlpm.Customer_comp,_xlfn.XLOOKUP(_xlpm.site,_xlpm.locations,_xlpm.comp,0,0),_xlpm.ann_incr,_xlfn.XLOOKUP(YEAR(_xlfn.ANCHORARRAY($E$25)),Base!$BJ$4:$BL$4,Base!$BJ79:$BL79,0,0),
_xlpm.bad_debt,_xlfn.XLOOKUP(_xlpm.site,_xlpm.locations,Base!$D$28:$BD$28,0,0),_xlpm.Customer_comp*_xlpm.Customer*_xlpm.bad_debt*_xlpm.ann_incr*(52/12))</f>
        <v>0</v>
      </c>
      <c r="F31" s="183">
        <v>0</v>
      </c>
      <c r="G31" s="183">
        <v>0</v>
      </c>
      <c r="H31" s="183">
        <v>0</v>
      </c>
      <c r="I31" s="183">
        <v>0</v>
      </c>
      <c r="J31" s="183">
        <v>0</v>
      </c>
      <c r="K31" s="183">
        <v>0</v>
      </c>
      <c r="L31" s="183">
        <v>0</v>
      </c>
      <c r="M31" s="183">
        <v>0</v>
      </c>
      <c r="N31" s="183">
        <v>0</v>
      </c>
      <c r="O31" s="183">
        <v>0</v>
      </c>
      <c r="P31" s="183">
        <v>0</v>
      </c>
      <c r="Q31" s="183">
        <v>0</v>
      </c>
      <c r="R31" s="183">
        <v>0</v>
      </c>
      <c r="S31" s="183">
        <v>0</v>
      </c>
      <c r="T31" s="183">
        <v>0</v>
      </c>
      <c r="U31" s="183">
        <v>0</v>
      </c>
      <c r="V31" s="183">
        <v>0</v>
      </c>
      <c r="W31" s="183">
        <v>0</v>
      </c>
      <c r="X31" s="183">
        <v>0</v>
      </c>
      <c r="Y31" s="183">
        <v>0</v>
      </c>
      <c r="Z31" s="183">
        <v>0</v>
      </c>
      <c r="AA31" s="183">
        <v>0</v>
      </c>
      <c r="AB31" s="183">
        <v>0</v>
      </c>
      <c r="AC31" s="183">
        <v>0</v>
      </c>
      <c r="AD31" s="183">
        <v>0</v>
      </c>
      <c r="AE31" s="183">
        <v>0</v>
      </c>
      <c r="AF31" s="183">
        <v>0</v>
      </c>
      <c r="AG31" s="183">
        <v>0</v>
      </c>
      <c r="AH31" s="183">
        <v>0</v>
      </c>
      <c r="AI31" s="183">
        <v>0</v>
      </c>
      <c r="AJ31" s="183">
        <v>0</v>
      </c>
      <c r="AK31" s="183">
        <v>0</v>
      </c>
      <c r="AL31" s="183">
        <v>0</v>
      </c>
      <c r="AM31" s="183">
        <v>0</v>
      </c>
      <c r="AN31" s="183">
        <v>0</v>
      </c>
    </row>
    <row r="32" spans="2:50" x14ac:dyDescent="0.25">
      <c r="B32" s="39" t="str">
        <f>Base!B37</f>
        <v>Tertiary Direct Staff - Service B</v>
      </c>
      <c r="C32" s="4"/>
      <c r="E32" s="183" cm="1">
        <f t="array" ref="E32:AN32">_xlfn.LET(_xlpm.site,$B$1&amp;"-"&amp;$C$1,_xlpm.locations,Base!$D$4:$BD$4,_xlpm.rates,Base!$D37:$BD37,_xlpm.hours,Base!$D80:$BD80,_xlpm.comp,_xlpm.rates*_xlpm.hours,_xlpm.Customer,_xlfn.ANCHORARRAY($E$1)*0,
_xlpm.Customer_comp,_xlfn.XLOOKUP(_xlpm.site,_xlpm.locations,_xlpm.comp,0,0),_xlpm.ann_incr,_xlfn.XLOOKUP(YEAR(_xlfn.ANCHORARRAY($E$25)),Base!$BJ$4:$BL$4,Base!$BJ80:$BL80,0,0),
_xlpm.bad_debt,_xlfn.XLOOKUP(_xlpm.site,_xlpm.locations,Base!$D$28:$BD$28,0,0),_xlpm.Customer_comp*_xlpm.Customer*_xlpm.bad_debt*_xlpm.ann_incr*(52/12))</f>
        <v>0</v>
      </c>
      <c r="F32" s="183">
        <v>0</v>
      </c>
      <c r="G32" s="183">
        <v>0</v>
      </c>
      <c r="H32" s="183">
        <v>0</v>
      </c>
      <c r="I32" s="183">
        <v>0</v>
      </c>
      <c r="J32" s="183">
        <v>0</v>
      </c>
      <c r="K32" s="183">
        <v>0</v>
      </c>
      <c r="L32" s="183">
        <v>0</v>
      </c>
      <c r="M32" s="183">
        <v>0</v>
      </c>
      <c r="N32" s="183">
        <v>0</v>
      </c>
      <c r="O32" s="183">
        <v>0</v>
      </c>
      <c r="P32" s="183">
        <v>0</v>
      </c>
      <c r="Q32" s="183">
        <v>0</v>
      </c>
      <c r="R32" s="183">
        <v>0</v>
      </c>
      <c r="S32" s="183">
        <v>0</v>
      </c>
      <c r="T32" s="183">
        <v>0</v>
      </c>
      <c r="U32" s="183">
        <v>0</v>
      </c>
      <c r="V32" s="183">
        <v>0</v>
      </c>
      <c r="W32" s="183">
        <v>0</v>
      </c>
      <c r="X32" s="183">
        <v>0</v>
      </c>
      <c r="Y32" s="183">
        <v>0</v>
      </c>
      <c r="Z32" s="183">
        <v>0</v>
      </c>
      <c r="AA32" s="183">
        <v>0</v>
      </c>
      <c r="AB32" s="183">
        <v>0</v>
      </c>
      <c r="AC32" s="183">
        <v>0</v>
      </c>
      <c r="AD32" s="183">
        <v>0</v>
      </c>
      <c r="AE32" s="183">
        <v>0</v>
      </c>
      <c r="AF32" s="183">
        <v>0</v>
      </c>
      <c r="AG32" s="183">
        <v>0</v>
      </c>
      <c r="AH32" s="183">
        <v>0</v>
      </c>
      <c r="AI32" s="183">
        <v>0</v>
      </c>
      <c r="AJ32" s="183">
        <v>0</v>
      </c>
      <c r="AK32" s="183">
        <v>0</v>
      </c>
      <c r="AL32" s="183">
        <v>0</v>
      </c>
      <c r="AM32" s="183">
        <v>0</v>
      </c>
      <c r="AN32" s="183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_xlpm.Customer,_xlfn.ANCHORARRAY($E$2),_xlpm.ann_incr,_xlfn.XLOOKUP(YEAR(_xlfn.ANCHORARRAY($E$25)),Base!$BJ$4:$BL$4,Base!$BJ$81:$BL$81,0,0),
_xlpm.bad_debt,_xlfn.XLOOKUP(_xlpm.site,_xlpm.locations,Base!$D$28:$BD$28,0,0),
_xlpm.comp*_xlpm.bad_debt*_xlpm.ann_incr*(52/12))</f>
        <v>0</v>
      </c>
      <c r="F33" s="12">
        <v>0</v>
      </c>
      <c r="G33" s="12">
        <v>0</v>
      </c>
      <c r="H33" s="12">
        <v>0</v>
      </c>
      <c r="I33" s="12">
        <v>0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2">
        <v>0</v>
      </c>
      <c r="Y33" s="12">
        <v>0</v>
      </c>
      <c r="Z33" s="12">
        <v>0</v>
      </c>
      <c r="AA33" s="12">
        <v>0</v>
      </c>
      <c r="AB33" s="12">
        <v>0</v>
      </c>
      <c r="AC33" s="12">
        <v>0</v>
      </c>
      <c r="AD33" s="12">
        <v>0</v>
      </c>
      <c r="AE33" s="12">
        <v>0</v>
      </c>
      <c r="AF33" s="12">
        <v>0</v>
      </c>
      <c r="AG33" s="12">
        <v>0</v>
      </c>
      <c r="AH33" s="12">
        <v>0</v>
      </c>
      <c r="AI33" s="12">
        <v>0</v>
      </c>
      <c r="AJ33" s="12">
        <v>0</v>
      </c>
      <c r="AK33" s="12">
        <v>0</v>
      </c>
      <c r="AL33" s="12">
        <v>0</v>
      </c>
      <c r="AM33" s="12">
        <v>0</v>
      </c>
      <c r="AN33" s="12">
        <v>0</v>
      </c>
    </row>
    <row r="34" spans="2:40" x14ac:dyDescent="0.25">
      <c r="B34" s="39" t="str">
        <f>Base!B39</f>
        <v>Quinary Direct Staff - Service A</v>
      </c>
      <c r="C34" s="4"/>
      <c r="E34" s="183" cm="1">
        <f t="array" ref="E34:AN34">_xlfn.LET(_xlpm.site,$B$1&amp;"-"&amp;$C$1,_xlpm.locations,Base!$D$4:$BD$4,_xlpm.rates,Base!$D39:$BD39,_xlpm.hours,Base!$D82:$BD82,_xlpm.comp,_xlpm.rates*_xlpm.hours,_xlpm.Customer,_xlfn.ANCHORARRAY($E$1)*0,
_xlpm.Customer_comp,_xlfn.XLOOKUP(_xlpm.site,_xlpm.locations,_xlpm.comp,0,0),_xlpm.ann_incr,_xlfn.XLOOKUP(YEAR(_xlfn.ANCHORARRAY($E$25)),Base!$BJ$4:$BL$4,Base!$BJ82:$BL82,0,0),
_xlpm.bad_debt,_xlfn.XLOOKUP(_xlpm.site,_xlpm.locations,Base!$D$28:$BD$28,0,0),_xlpm.Customer_comp*_xlpm.Customer*_xlpm.bad_debt*_xlpm.ann_incr*(52/12))</f>
        <v>0</v>
      </c>
      <c r="F34" s="183">
        <v>0</v>
      </c>
      <c r="G34" s="183">
        <v>0</v>
      </c>
      <c r="H34" s="183">
        <v>0</v>
      </c>
      <c r="I34" s="183">
        <v>0</v>
      </c>
      <c r="J34" s="183">
        <v>0</v>
      </c>
      <c r="K34" s="183">
        <v>0</v>
      </c>
      <c r="L34" s="183">
        <v>0</v>
      </c>
      <c r="M34" s="183">
        <v>0</v>
      </c>
      <c r="N34" s="183">
        <v>0</v>
      </c>
      <c r="O34" s="183">
        <v>0</v>
      </c>
      <c r="P34" s="183">
        <v>0</v>
      </c>
      <c r="Q34" s="183">
        <v>0</v>
      </c>
      <c r="R34" s="183">
        <v>0</v>
      </c>
      <c r="S34" s="183">
        <v>0</v>
      </c>
      <c r="T34" s="183">
        <v>0</v>
      </c>
      <c r="U34" s="183">
        <v>0</v>
      </c>
      <c r="V34" s="183">
        <v>0</v>
      </c>
      <c r="W34" s="183">
        <v>0</v>
      </c>
      <c r="X34" s="183">
        <v>0</v>
      </c>
      <c r="Y34" s="183">
        <v>0</v>
      </c>
      <c r="Z34" s="183">
        <v>0</v>
      </c>
      <c r="AA34" s="183">
        <v>0</v>
      </c>
      <c r="AB34" s="183">
        <v>0</v>
      </c>
      <c r="AC34" s="183">
        <v>0</v>
      </c>
      <c r="AD34" s="183">
        <v>0</v>
      </c>
      <c r="AE34" s="183">
        <v>0</v>
      </c>
      <c r="AF34" s="183">
        <v>0</v>
      </c>
      <c r="AG34" s="183">
        <v>0</v>
      </c>
      <c r="AH34" s="183">
        <v>0</v>
      </c>
      <c r="AI34" s="183">
        <v>0</v>
      </c>
      <c r="AJ34" s="183">
        <v>0</v>
      </c>
      <c r="AK34" s="183">
        <v>0</v>
      </c>
      <c r="AL34" s="183">
        <v>0</v>
      </c>
      <c r="AM34" s="183">
        <v>0</v>
      </c>
      <c r="AN34" s="183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0</v>
      </c>
      <c r="F35" s="12">
        <v>0</v>
      </c>
      <c r="G35" s="12">
        <v>0</v>
      </c>
      <c r="H35" s="12">
        <v>0</v>
      </c>
      <c r="I35" s="12">
        <v>0</v>
      </c>
      <c r="J35" s="12">
        <v>0</v>
      </c>
      <c r="K35" s="12">
        <v>0</v>
      </c>
      <c r="L35" s="12">
        <v>0</v>
      </c>
      <c r="M35" s="12">
        <v>0</v>
      </c>
      <c r="N35" s="12">
        <v>0</v>
      </c>
      <c r="O35" s="12">
        <v>0</v>
      </c>
      <c r="P35" s="12">
        <v>0</v>
      </c>
      <c r="Q35" s="12">
        <v>0</v>
      </c>
      <c r="R35" s="12">
        <v>0</v>
      </c>
      <c r="S35" s="12">
        <v>0</v>
      </c>
      <c r="T35" s="12">
        <v>0</v>
      </c>
      <c r="U35" s="12">
        <v>0</v>
      </c>
      <c r="V35" s="12">
        <v>0</v>
      </c>
      <c r="W35" s="12">
        <v>0</v>
      </c>
      <c r="X35" s="12">
        <v>0</v>
      </c>
      <c r="Y35" s="12">
        <v>0</v>
      </c>
      <c r="Z35" s="12">
        <v>0</v>
      </c>
      <c r="AA35" s="12">
        <v>0</v>
      </c>
      <c r="AB35" s="12">
        <v>0</v>
      </c>
      <c r="AC35" s="12">
        <v>0</v>
      </c>
      <c r="AD35" s="12">
        <v>0</v>
      </c>
      <c r="AE35" s="12">
        <v>-1155.1497380000001</v>
      </c>
      <c r="AF35" s="12">
        <v>-3465.4492139999993</v>
      </c>
      <c r="AG35" s="12">
        <v>-5775.7486899999985</v>
      </c>
      <c r="AH35" s="12">
        <v>-6930.8984279999986</v>
      </c>
      <c r="AI35" s="12">
        <v>-9241.1979040000006</v>
      </c>
      <c r="AJ35" s="12">
        <v>-11551.497379999997</v>
      </c>
      <c r="AK35" s="12">
        <v>-13861.796855999997</v>
      </c>
      <c r="AL35" s="12">
        <v>-15016.946594000001</v>
      </c>
      <c r="AM35" s="12">
        <v>-17327.246069999997</v>
      </c>
      <c r="AN35" s="12">
        <v>-19637.545546000001</v>
      </c>
    </row>
    <row r="36" spans="2:40" x14ac:dyDescent="0.25">
      <c r="B36" s="39" t="s">
        <v>261</v>
      </c>
      <c r="C36" s="15"/>
      <c r="E36" s="183" cm="1">
        <f t="array" ref="E36:AN36">_xlfn.BYCOL(_xlfn.ANCHORARRAY($E$25),_xlfn.LAMBDA(_xlpm.a,0))</f>
        <v>0</v>
      </c>
      <c r="F36" s="183">
        <v>0</v>
      </c>
      <c r="G36" s="183">
        <v>0</v>
      </c>
      <c r="H36" s="183">
        <v>0</v>
      </c>
      <c r="I36" s="183">
        <v>0</v>
      </c>
      <c r="J36" s="183">
        <v>0</v>
      </c>
      <c r="K36" s="183">
        <v>0</v>
      </c>
      <c r="L36" s="183">
        <v>0</v>
      </c>
      <c r="M36" s="183">
        <v>0</v>
      </c>
      <c r="N36" s="183">
        <v>0</v>
      </c>
      <c r="O36" s="183">
        <v>0</v>
      </c>
      <c r="P36" s="183">
        <v>0</v>
      </c>
      <c r="Q36" s="183">
        <v>0</v>
      </c>
      <c r="R36" s="183">
        <v>0</v>
      </c>
      <c r="S36" s="183">
        <v>0</v>
      </c>
      <c r="T36" s="183">
        <v>0</v>
      </c>
      <c r="U36" s="183">
        <v>0</v>
      </c>
      <c r="V36" s="183">
        <v>0</v>
      </c>
      <c r="W36" s="183">
        <v>0</v>
      </c>
      <c r="X36" s="183">
        <v>0</v>
      </c>
      <c r="Y36" s="183">
        <v>0</v>
      </c>
      <c r="Z36" s="183">
        <v>0</v>
      </c>
      <c r="AA36" s="183">
        <v>0</v>
      </c>
      <c r="AB36" s="183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271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0</v>
      </c>
      <c r="S37" s="13">
        <v>0</v>
      </c>
      <c r="T37" s="13">
        <v>0</v>
      </c>
      <c r="U37" s="13">
        <v>0</v>
      </c>
      <c r="V37" s="13">
        <v>0</v>
      </c>
      <c r="W37" s="13">
        <v>0</v>
      </c>
      <c r="X37" s="13">
        <v>0</v>
      </c>
      <c r="Y37" s="13">
        <v>0</v>
      </c>
      <c r="Z37" s="13">
        <v>0</v>
      </c>
      <c r="AA37" s="13">
        <v>0</v>
      </c>
      <c r="AB37" s="13">
        <v>0</v>
      </c>
      <c r="AC37" s="13">
        <v>0</v>
      </c>
      <c r="AD37" s="13">
        <v>0</v>
      </c>
      <c r="AE37" s="13">
        <v>8471.0980786666678</v>
      </c>
      <c r="AF37" s="13">
        <v>25413.294235999994</v>
      </c>
      <c r="AG37" s="13">
        <v>42355.490393333319</v>
      </c>
      <c r="AH37" s="13">
        <v>50826.588471999989</v>
      </c>
      <c r="AI37" s="13">
        <v>67768.784629333342</v>
      </c>
      <c r="AJ37" s="13">
        <v>84710.980786666638</v>
      </c>
      <c r="AK37" s="13">
        <v>101653.17694399998</v>
      </c>
      <c r="AL37" s="13">
        <v>110124.27502266667</v>
      </c>
      <c r="AM37" s="13">
        <v>127066.47117999999</v>
      </c>
      <c r="AN37" s="13">
        <v>144008.66733733335</v>
      </c>
    </row>
    <row r="38" spans="2:40" x14ac:dyDescent="0.25">
      <c r="E38" s="67"/>
      <c r="F38" s="67"/>
    </row>
    <row r="39" spans="2:40" x14ac:dyDescent="0.25">
      <c r="B39" s="1" t="s">
        <v>118</v>
      </c>
    </row>
    <row r="40" spans="2:40" x14ac:dyDescent="0.25">
      <c r="B40" s="39" t="s">
        <v>23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0</v>
      </c>
      <c r="F40" s="12">
        <v>0</v>
      </c>
      <c r="G40" s="12">
        <v>0</v>
      </c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0</v>
      </c>
      <c r="N40" s="12">
        <v>0</v>
      </c>
      <c r="O40" s="12">
        <v>0</v>
      </c>
      <c r="P40" s="12">
        <v>0</v>
      </c>
      <c r="Q40" s="12">
        <v>0</v>
      </c>
      <c r="R40" s="12">
        <v>0</v>
      </c>
      <c r="S40" s="12">
        <v>0</v>
      </c>
      <c r="T40" s="12">
        <v>0</v>
      </c>
      <c r="U40" s="12">
        <v>0</v>
      </c>
      <c r="V40" s="12">
        <v>0</v>
      </c>
      <c r="W40" s="12">
        <v>0</v>
      </c>
      <c r="X40" s="12">
        <v>0</v>
      </c>
      <c r="Y40" s="12">
        <v>0</v>
      </c>
      <c r="Z40" s="12">
        <v>0</v>
      </c>
      <c r="AA40" s="12">
        <v>0</v>
      </c>
      <c r="AB40" s="12">
        <v>0</v>
      </c>
      <c r="AC40" s="12">
        <v>0</v>
      </c>
      <c r="AD40" s="12">
        <v>0</v>
      </c>
      <c r="AE40" s="12">
        <v>14500.139038435716</v>
      </c>
      <c r="AF40" s="12">
        <v>30954.988849973819</v>
      </c>
      <c r="AG40" s="12">
        <v>35899.148994845244</v>
      </c>
      <c r="AH40" s="12">
        <v>38944.950567280961</v>
      </c>
      <c r="AI40" s="12">
        <v>44211.938712152398</v>
      </c>
      <c r="AJ40" s="12">
        <v>49159.607857023817</v>
      </c>
      <c r="AK40" s="12">
        <v>54569.087134561916</v>
      </c>
      <c r="AL40" s="12">
        <v>57537.69070699763</v>
      </c>
      <c r="AM40" s="12">
        <v>62559.048851869062</v>
      </c>
      <c r="AN40" s="12">
        <v>67826.036996740484</v>
      </c>
    </row>
    <row r="41" spans="2:40" x14ac:dyDescent="0.25">
      <c r="B41" s="39" t="s">
        <v>388</v>
      </c>
      <c r="C41" s="142">
        <f>_xlfn.XLOOKUP($B$1&amp;"-"&amp;$C$1,Base!$D$4:$BD$4,Base!$D$12:$BD$12,0,0)</f>
        <v>0</v>
      </c>
      <c r="E41" s="183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28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0</v>
      </c>
      <c r="AJ42" s="12">
        <v>0</v>
      </c>
      <c r="AK42" s="12">
        <v>0</v>
      </c>
      <c r="AL42" s="12">
        <v>0</v>
      </c>
      <c r="AM42" s="12">
        <v>0</v>
      </c>
      <c r="AN42" s="12">
        <v>0</v>
      </c>
    </row>
    <row r="43" spans="2:40" x14ac:dyDescent="0.25">
      <c r="B43" s="39" t="s">
        <v>31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0</v>
      </c>
      <c r="X43" s="12">
        <v>0</v>
      </c>
      <c r="Y43" s="12">
        <v>0</v>
      </c>
      <c r="Z43" s="12">
        <v>0</v>
      </c>
      <c r="AA43" s="12">
        <v>0</v>
      </c>
      <c r="AB43" s="12">
        <v>0</v>
      </c>
      <c r="AC43" s="12">
        <v>0</v>
      </c>
      <c r="AD43" s="12">
        <v>0</v>
      </c>
      <c r="AE43" s="12">
        <v>0</v>
      </c>
      <c r="AF43" s="12">
        <v>0</v>
      </c>
      <c r="AG43" s="12">
        <v>0</v>
      </c>
      <c r="AH43" s="12">
        <v>0</v>
      </c>
      <c r="AI43" s="12">
        <v>0</v>
      </c>
      <c r="AJ43" s="12">
        <v>0</v>
      </c>
      <c r="AK43" s="12">
        <v>0</v>
      </c>
      <c r="AL43" s="12">
        <v>0</v>
      </c>
      <c r="AM43" s="12">
        <v>0</v>
      </c>
      <c r="AN43" s="12">
        <v>0</v>
      </c>
    </row>
    <row r="44" spans="2:40" x14ac:dyDescent="0.25">
      <c r="B44" s="39" t="s">
        <v>34</v>
      </c>
      <c r="C44" s="96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  <c r="O44" s="12">
        <v>0</v>
      </c>
      <c r="P44" s="12">
        <v>0</v>
      </c>
      <c r="Q44" s="12">
        <v>0</v>
      </c>
      <c r="R44" s="12">
        <v>0</v>
      </c>
      <c r="S44" s="12">
        <v>0</v>
      </c>
      <c r="T44" s="12">
        <v>0</v>
      </c>
      <c r="U44" s="12">
        <v>0</v>
      </c>
      <c r="V44" s="12">
        <v>0</v>
      </c>
      <c r="W44" s="12">
        <v>0</v>
      </c>
      <c r="X44" s="12">
        <v>0</v>
      </c>
      <c r="Y44" s="12">
        <v>0</v>
      </c>
      <c r="Z44" s="12">
        <v>0</v>
      </c>
      <c r="AA44" s="12">
        <v>0</v>
      </c>
      <c r="AB44" s="12">
        <v>0</v>
      </c>
      <c r="AC44" s="12">
        <v>0</v>
      </c>
      <c r="AD44" s="12">
        <v>0</v>
      </c>
      <c r="AE44" s="12">
        <v>379.01167616000009</v>
      </c>
      <c r="AF44" s="12">
        <v>918.3744460800001</v>
      </c>
      <c r="AG44" s="12">
        <v>936.59616128000027</v>
      </c>
      <c r="AH44" s="12">
        <v>965.75090560000012</v>
      </c>
      <c r="AI44" s="12">
        <v>994.90564992000009</v>
      </c>
      <c r="AJ44" s="12">
        <v>1013.1273651200003</v>
      </c>
      <c r="AK44" s="12">
        <v>1042.2821094399999</v>
      </c>
      <c r="AL44" s="12">
        <v>1067.7925107200001</v>
      </c>
      <c r="AM44" s="12">
        <v>1089.6585689600004</v>
      </c>
      <c r="AN44" s="12">
        <v>1118.8133132799999</v>
      </c>
    </row>
    <row r="45" spans="2:40" x14ac:dyDescent="0.25">
      <c r="B45" s="39" t="s">
        <v>36</v>
      </c>
      <c r="C45" s="96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0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12">
        <v>0</v>
      </c>
      <c r="R45" s="12">
        <v>0</v>
      </c>
      <c r="S45" s="12">
        <v>0</v>
      </c>
      <c r="T45" s="12">
        <v>0</v>
      </c>
      <c r="U45" s="12">
        <v>0</v>
      </c>
      <c r="V45" s="12">
        <v>0</v>
      </c>
      <c r="W45" s="12">
        <v>0</v>
      </c>
      <c r="X45" s="12">
        <v>0</v>
      </c>
      <c r="Y45" s="12">
        <v>0</v>
      </c>
      <c r="Z45" s="12">
        <v>0</v>
      </c>
      <c r="AA45" s="12">
        <v>0</v>
      </c>
      <c r="AB45" s="12">
        <v>0</v>
      </c>
      <c r="AC45" s="12">
        <v>0</v>
      </c>
      <c r="AD45" s="12">
        <v>0</v>
      </c>
      <c r="AE45" s="12">
        <v>0</v>
      </c>
      <c r="AF45" s="12">
        <v>0</v>
      </c>
      <c r="AG45" s="12">
        <v>0</v>
      </c>
      <c r="AH45" s="12">
        <v>0</v>
      </c>
      <c r="AI45" s="12">
        <v>0</v>
      </c>
      <c r="AJ45" s="12">
        <v>0</v>
      </c>
      <c r="AK45" s="12">
        <v>0</v>
      </c>
      <c r="AL45" s="12">
        <v>0</v>
      </c>
      <c r="AM45" s="12">
        <v>0</v>
      </c>
      <c r="AN45" s="12">
        <v>0</v>
      </c>
    </row>
    <row r="46" spans="2:40" x14ac:dyDescent="0.25">
      <c r="B46" s="39" t="s">
        <v>38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0</v>
      </c>
      <c r="F46" s="12">
        <v>0</v>
      </c>
      <c r="G46" s="12">
        <v>0</v>
      </c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0</v>
      </c>
      <c r="N46" s="12">
        <v>0</v>
      </c>
      <c r="O46" s="12">
        <v>0</v>
      </c>
      <c r="P46" s="12">
        <v>0</v>
      </c>
      <c r="Q46" s="12">
        <v>0</v>
      </c>
      <c r="R46" s="12">
        <v>0</v>
      </c>
      <c r="S46" s="12">
        <v>0</v>
      </c>
      <c r="T46" s="12">
        <v>0</v>
      </c>
      <c r="U46" s="12">
        <v>0</v>
      </c>
      <c r="V46" s="12">
        <v>0</v>
      </c>
      <c r="W46" s="12">
        <v>0</v>
      </c>
      <c r="X46" s="12">
        <v>0</v>
      </c>
      <c r="Y46" s="12">
        <v>0</v>
      </c>
      <c r="Z46" s="12">
        <v>0</v>
      </c>
      <c r="AA46" s="12">
        <v>0</v>
      </c>
      <c r="AB46" s="12">
        <v>0</v>
      </c>
      <c r="AC46" s="12">
        <v>0</v>
      </c>
      <c r="AD46" s="12">
        <v>0</v>
      </c>
      <c r="AE46" s="12">
        <v>2247.2640000000001</v>
      </c>
      <c r="AF46" s="12">
        <v>3578.9759999999997</v>
      </c>
      <c r="AG46" s="12">
        <v>4166.8019999999997</v>
      </c>
      <c r="AH46" s="12">
        <v>4489.3260000000009</v>
      </c>
      <c r="AI46" s="12">
        <v>5092.7579999999998</v>
      </c>
      <c r="AJ46" s="12">
        <v>5680.5839999999989</v>
      </c>
      <c r="AK46" s="12">
        <v>6294.4200000000019</v>
      </c>
      <c r="AL46" s="12">
        <v>6611.742000000002</v>
      </c>
      <c r="AM46" s="12">
        <v>7204.7700000000023</v>
      </c>
      <c r="AN46" s="12">
        <v>7808.2020000000011</v>
      </c>
    </row>
    <row r="47" spans="2:40" x14ac:dyDescent="0.25">
      <c r="B47" s="39" t="s">
        <v>40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  <c r="O47" s="12">
        <v>0</v>
      </c>
      <c r="P47" s="12">
        <v>0</v>
      </c>
      <c r="Q47" s="12">
        <v>0</v>
      </c>
      <c r="R47" s="12">
        <v>0</v>
      </c>
      <c r="S47" s="12">
        <v>0</v>
      </c>
      <c r="T47" s="12">
        <v>0</v>
      </c>
      <c r="U47" s="12">
        <v>0</v>
      </c>
      <c r="V47" s="12">
        <v>0</v>
      </c>
      <c r="W47" s="12">
        <v>0</v>
      </c>
      <c r="X47" s="12">
        <v>0</v>
      </c>
      <c r="Y47" s="12">
        <v>0</v>
      </c>
      <c r="Z47" s="12">
        <v>0</v>
      </c>
      <c r="AA47" s="12">
        <v>0</v>
      </c>
      <c r="AB47" s="12">
        <v>0</v>
      </c>
      <c r="AC47" s="12">
        <v>0</v>
      </c>
      <c r="AD47" s="12">
        <v>0</v>
      </c>
      <c r="AE47" s="12">
        <v>0</v>
      </c>
      <c r="AF47" s="12">
        <v>0</v>
      </c>
      <c r="AG47" s="12">
        <v>0</v>
      </c>
      <c r="AH47" s="12">
        <v>0</v>
      </c>
      <c r="AI47" s="12">
        <v>0</v>
      </c>
      <c r="AJ47" s="12">
        <v>0</v>
      </c>
      <c r="AK47" s="12">
        <v>0</v>
      </c>
      <c r="AL47" s="12">
        <v>0</v>
      </c>
      <c r="AM47" s="12">
        <v>0</v>
      </c>
      <c r="AN47" s="12">
        <v>0</v>
      </c>
    </row>
    <row r="48" spans="2:40" x14ac:dyDescent="0.25">
      <c r="B48" s="39" t="s">
        <v>41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42</v>
      </c>
      <c r="E49" s="12">
        <f>'Corp.'!E$50*(E$37-(E31-E32-E34)*$C$35)/(SUM('MDA1:NCA9'!E$37)-SUM('MDA1:NCA9'!E$31)-SUM('MDA1:NCA9'!E$32)-SUM('MDA1:NCA9'!E$34))</f>
        <v>0</v>
      </c>
      <c r="F49" s="12">
        <f>'Corp.'!F$50*(F$37-(F31-F32-F34)*$C$35)/(SUM('MDA1:NCA9'!F$37)-SUM('MDA1:NCA9'!F$31)-SUM('MDA1:NCA9'!F$32)-SUM('MDA1:NCA9'!F$34))</f>
        <v>0</v>
      </c>
      <c r="G49" s="12">
        <f>'Corp.'!G$50*(G$37-(G31-G32-G34)*$C$35)/(SUM('MDA1:NCA9'!G$37)-SUM('MDA1:NCA9'!G$31)-SUM('MDA1:NCA9'!G$32)-SUM('MDA1:NCA9'!G$34))</f>
        <v>0</v>
      </c>
      <c r="H49" s="12">
        <f>'Corp.'!H$50*(H$37-(H31-H32-H34)*$C$35)/(SUM('MDA1:NCA9'!H$37)-SUM('MDA1:NCA9'!H$31)-SUM('MDA1:NCA9'!H$32)-SUM('MDA1:NCA9'!H$34))</f>
        <v>0</v>
      </c>
      <c r="I49" s="12">
        <f>'Corp.'!I$50*(I$37-(I31-I32-I34)*$C$35)/(SUM('MDA1:NCA9'!I$37)-SUM('MDA1:NCA9'!I$31)-SUM('MDA1:NCA9'!I$32)-SUM('MDA1:NCA9'!I$34))</f>
        <v>0</v>
      </c>
      <c r="J49" s="12">
        <f>'Corp.'!J$50*(J$37-(J31-J32-J34)*$C$35)/(SUM('MDA1:NCA9'!J$37)-SUM('MDA1:NCA9'!J$31)-SUM('MDA1:NCA9'!J$32)-SUM('MDA1:NCA9'!J$34))</f>
        <v>0</v>
      </c>
      <c r="K49" s="12">
        <f>'Corp.'!K$50*(K$37-(K31-K32-K34)*$C$35)/(SUM('MDA1:NCA9'!K$37)-SUM('MDA1:NCA9'!K$31)-SUM('MDA1:NCA9'!K$32)-SUM('MDA1:NCA9'!K$34))</f>
        <v>0</v>
      </c>
      <c r="L49" s="12">
        <f>'Corp.'!L$50*(L$37-(L31-L32-L34)*$C$35)/(SUM('MDA1:NCA9'!L$37)-SUM('MDA1:NCA9'!L$31)-SUM('MDA1:NCA9'!L$32)-SUM('MDA1:NCA9'!L$34))</f>
        <v>0</v>
      </c>
      <c r="M49" s="12">
        <f>'Corp.'!M$50*(M$37-(M31-M32-M34)*$C$35)/(SUM('MDA1:NCA9'!M$37)-SUM('MDA1:NCA9'!M$31)-SUM('MDA1:NCA9'!M$32)-SUM('MDA1:NCA9'!M$34))</f>
        <v>0</v>
      </c>
      <c r="N49" s="12">
        <f>'Corp.'!N$50*(N$37-(N31-N32-N34)*$C$35)/(SUM('MDA1:NCA9'!N$37)-SUM('MDA1:NCA9'!N$31)-SUM('MDA1:NCA9'!N$32)-SUM('MDA1:NCA9'!N$34))</f>
        <v>0</v>
      </c>
      <c r="O49" s="12">
        <f>'Corp.'!O$50*(O$37-(O31-O32-O34)*$C$35)/(SUM('MDA1:NCA9'!O$37)-SUM('MDA1:NCA9'!O$31)-SUM('MDA1:NCA9'!O$32)-SUM('MDA1:NCA9'!O$34))</f>
        <v>0</v>
      </c>
      <c r="P49" s="12">
        <f>'Corp.'!P$50*(P$37-(P31-P32-P34)*$C$35)/(SUM('MDA1:NCA9'!P$37)-SUM('MDA1:NCA9'!P$31)-SUM('MDA1:NCA9'!P$32)-SUM('MDA1:NCA9'!P$34))</f>
        <v>0</v>
      </c>
      <c r="Q49" s="12">
        <f>'Corp.'!Q$50*(Q$37-(Q31-Q32-Q34)*$C$35)/(SUM('MDA1:NCA9'!Q$37)-SUM('MDA1:NCA9'!Q$31)-SUM('MDA1:NCA9'!Q$32)-SUM('MDA1:NCA9'!Q$34))</f>
        <v>0</v>
      </c>
      <c r="R49" s="12">
        <f>'Corp.'!R$50*(R$37-(R31-R32-R34)*$C$35)/(SUM('MDA1:NCA9'!R$37)-SUM('MDA1:NCA9'!R$31)-SUM('MDA1:NCA9'!R$32)-SUM('MDA1:NCA9'!R$34))</f>
        <v>0</v>
      </c>
      <c r="S49" s="12">
        <f>'Corp.'!S$50*(S$37-(S31-S32-S34)*$C$35)/(SUM('MDA1:NCA9'!S$37)-SUM('MDA1:NCA9'!S$31)-SUM('MDA1:NCA9'!S$32)-SUM('MDA1:NCA9'!S$34))</f>
        <v>0</v>
      </c>
      <c r="T49" s="12">
        <f>'Corp.'!T$50*(T$37-(T31-T32-T34)*$C$35)/(SUM('MDA1:NCA9'!T$37)-SUM('MDA1:NCA9'!T$31)-SUM('MDA1:NCA9'!T$32)-SUM('MDA1:NCA9'!T$34))</f>
        <v>0</v>
      </c>
      <c r="U49" s="12">
        <f>'Corp.'!U$50*(U$37-(U31-U32-U34)*$C$35)/(SUM('MDA1:NCA9'!U$37)-SUM('MDA1:NCA9'!U$31)-SUM('MDA1:NCA9'!U$32)-SUM('MDA1:NCA9'!U$34))</f>
        <v>0</v>
      </c>
      <c r="V49" s="12">
        <f>'Corp.'!V$50*(V$37-(V31-V32-V34)*$C$35)/(SUM('MDA1:NCA9'!V$37)-SUM('MDA1:NCA9'!V$31)-SUM('MDA1:NCA9'!V$32)-SUM('MDA1:NCA9'!V$34))</f>
        <v>0</v>
      </c>
      <c r="W49" s="12">
        <f>'Corp.'!W$50*(W$37-(W31-W32-W34)*$C$35)/(SUM('MDA1:NCA9'!W$37)-SUM('MDA1:NCA9'!W$31)-SUM('MDA1:NCA9'!W$32)-SUM('MDA1:NCA9'!W$34))</f>
        <v>0</v>
      </c>
      <c r="X49" s="12">
        <f>'Corp.'!X$50*(X$37-(X31-X32-X34)*$C$35)/(SUM('MDA1:NCA9'!X$37)-SUM('MDA1:NCA9'!X$31)-SUM('MDA1:NCA9'!X$32)-SUM('MDA1:NCA9'!X$34))</f>
        <v>0</v>
      </c>
      <c r="Y49" s="12">
        <f>'Corp.'!Y$50*(Y$37-(Y31-Y32-Y34)*$C$35)/(SUM('MDA1:NCA9'!Y$37)-SUM('MDA1:NCA9'!Y$31)-SUM('MDA1:NCA9'!Y$32)-SUM('MDA1:NCA9'!Y$34))</f>
        <v>0</v>
      </c>
      <c r="Z49" s="12">
        <f>'Corp.'!Z$50*(Z$37-(Z31-Z32-Z34)*$C$35)/(SUM('MDA1:NCA9'!Z$37)-SUM('MDA1:NCA9'!Z$31)-SUM('MDA1:NCA9'!Z$32)-SUM('MDA1:NCA9'!Z$34))</f>
        <v>0</v>
      </c>
      <c r="AA49" s="12">
        <f>'Corp.'!AA$50*(AA$37-(AA31-AA32-AA34)*$C$35)/(SUM('MDA1:NCA9'!AA$37)-SUM('MDA1:NCA9'!AA$31)-SUM('MDA1:NCA9'!AA$32)-SUM('MDA1:NCA9'!AA$34))</f>
        <v>0</v>
      </c>
      <c r="AB49" s="12">
        <f>'Corp.'!AB$50*(AB$37-(AB31-AB32-AB34)*$C$35)/(SUM('MDA1:NCA9'!AB$37)-SUM('MDA1:NCA9'!AB$31)-SUM('MDA1:NCA9'!AB$32)-SUM('MDA1:NCA9'!AB$34))</f>
        <v>0</v>
      </c>
      <c r="AC49" s="12">
        <f>'Corp.'!AC$50*(AC$37-(AC31-AC32-AC34)*$C$35)/(SUM('MDA1:NCA9'!AC$37)-SUM('MDA1:NCA9'!AC$31)-SUM('MDA1:NCA9'!AC$32)-SUM('MDA1:NCA9'!AC$34))</f>
        <v>0</v>
      </c>
      <c r="AD49" s="12">
        <f>'Corp.'!AD$50*(AD$37-(AD31-AD32-AD34)*$C$35)/(SUM('MDA1:NCA9'!AD$37)-SUM('MDA1:NCA9'!AD$31)-SUM('MDA1:NCA9'!AD$32)-SUM('MDA1:NCA9'!AD$34))</f>
        <v>0</v>
      </c>
      <c r="AE49" s="12">
        <f>'Corp.'!AE$50*(AE$37-(AE31-AE32-AE34)*$C$35)/(SUM('MDA1:NCA9'!AE$37)-SUM('MDA1:NCA9'!AE$31)-SUM('MDA1:NCA9'!AE$32)-SUM('MDA1:NCA9'!AE$34))</f>
        <v>983.93882865981004</v>
      </c>
      <c r="AF49" s="12">
        <f>'Corp.'!AF$50*(AF$37-(AF31-AF32-AF34)*$C$35)/(SUM('MDA1:NCA9'!AF$37)-SUM('MDA1:NCA9'!AF$31)-SUM('MDA1:NCA9'!AF$32)-SUM('MDA1:NCA9'!AF$34))</f>
        <v>2907.5589799432582</v>
      </c>
      <c r="AG49" s="12">
        <f>'Corp.'!AG$50*(AG$37-(AG31-AG32-AG34)*$C$35)/(SUM('MDA1:NCA9'!AG$37)-SUM('MDA1:NCA9'!AG$31)-SUM('MDA1:NCA9'!AG$32)-SUM('MDA1:NCA9'!AG$34))</f>
        <v>4786.7775316922043</v>
      </c>
      <c r="AH49" s="12">
        <f>'Corp.'!AH$50*(AH$37-(AH31-AH32-AH34)*$C$35)/(SUM('MDA1:NCA9'!AH$37)-SUM('MDA1:NCA9'!AH$31)-SUM('MDA1:NCA9'!AH$32)-SUM('MDA1:NCA9'!AH$34))</f>
        <v>5650.7613627495502</v>
      </c>
      <c r="AI49" s="12">
        <f>'Corp.'!AI$50*(AI$37-(AI31-AI32-AI34)*$C$35)/(SUM('MDA1:NCA9'!AI$37)-SUM('MDA1:NCA9'!AI$31)-SUM('MDA1:NCA9'!AI$32)-SUM('MDA1:NCA9'!AI$34))</f>
        <v>7404.6095389388183</v>
      </c>
      <c r="AJ49" s="12">
        <f>'Corp.'!AJ$50*(AJ$37-(AJ31-AJ32-AJ34)*$C$35)/(SUM('MDA1:NCA9'!AJ$37)-SUM('MDA1:NCA9'!AJ$31)-SUM('MDA1:NCA9'!AJ$32)-SUM('MDA1:NCA9'!AJ$34))</f>
        <v>9089.604582387954</v>
      </c>
      <c r="AK49" s="12">
        <f>'Corp.'!AK$50*(AK$37-(AK31-AK32-AK34)*$C$35)/(SUM('MDA1:NCA9'!AK$37)-SUM('MDA1:NCA9'!AK$31)-SUM('MDA1:NCA9'!AK$32)-SUM('MDA1:NCA9'!AK$34))</f>
        <v>10723.414719414268</v>
      </c>
      <c r="AL49" s="12">
        <f>'Corp.'!AL$50*(AL$37-(AL31-AL32-AL34)*$C$35)/(SUM('MDA1:NCA9'!AL$37)-SUM('MDA1:NCA9'!AL$31)-SUM('MDA1:NCA9'!AL$32)-SUM('MDA1:NCA9'!AL$34))</f>
        <v>11434.002111047035</v>
      </c>
      <c r="AM49" s="12">
        <f>'Corp.'!AM$50*(AM$37-(AM31-AM32-AM34)*$C$35)/(SUM('MDA1:NCA9'!AM$37)-SUM('MDA1:NCA9'!AM$31)-SUM('MDA1:NCA9'!AM$32)-SUM('MDA1:NCA9'!AM$34))</f>
        <v>12965.63929150514</v>
      </c>
      <c r="AN49" s="12">
        <f>'Corp.'!AN$50*(AN$37-(AN31-AN32-AN34)*$C$35)/(SUM('MDA1:NCA9'!AN$37)-SUM('MDA1:NCA9'!AN$31)-SUM('MDA1:NCA9'!AN$32)-SUM('MDA1:NCA9'!AN$34))</f>
        <v>14474.667244052036</v>
      </c>
    </row>
    <row r="50" spans="2:40" x14ac:dyDescent="0.25">
      <c r="B50" s="1" t="s">
        <v>272</v>
      </c>
      <c r="E50" s="13" cm="1">
        <f t="array" ref="E50:AN50">_xlfn.BYCOL(_xlfn.VSTACK(_xlfn.ANCHORARRAY(E40),_xlfn.ANCHORARRAY(E42),_xlfn.ANCHORARRAY(E43),_xlfn.ANCHORARRAY(E45),_xlfn.ANCHORARRAY(E46),_xlfn.ANCHORARRAY(E47),_xlfn.ANCHORARRAY(E48),_xlfn.HSTACK(E49:AN49)),_xlfn.LAMBDA(_xlpm.a,SUM(_xlpm.a)))</f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0</v>
      </c>
      <c r="Q50" s="13">
        <v>0</v>
      </c>
      <c r="R50" s="13">
        <v>0</v>
      </c>
      <c r="S50" s="13">
        <v>0</v>
      </c>
      <c r="T50" s="13">
        <v>0</v>
      </c>
      <c r="U50" s="13">
        <v>0</v>
      </c>
      <c r="V50" s="13">
        <v>0</v>
      </c>
      <c r="W50" s="13">
        <v>0</v>
      </c>
      <c r="X50" s="13">
        <v>0</v>
      </c>
      <c r="Y50" s="13">
        <v>0</v>
      </c>
      <c r="Z50" s="13">
        <v>0</v>
      </c>
      <c r="AA50" s="13">
        <v>0</v>
      </c>
      <c r="AB50" s="13">
        <v>0</v>
      </c>
      <c r="AC50" s="13">
        <v>0</v>
      </c>
      <c r="AD50" s="13">
        <v>0</v>
      </c>
      <c r="AE50" s="13">
        <v>17731.341867095529</v>
      </c>
      <c r="AF50" s="13">
        <v>37441.523829917074</v>
      </c>
      <c r="AG50" s="13">
        <v>44852.728526537452</v>
      </c>
      <c r="AH50" s="13">
        <v>49085.037930030514</v>
      </c>
      <c r="AI50" s="13">
        <v>56709.30625109122</v>
      </c>
      <c r="AJ50" s="13">
        <v>63929.796439411773</v>
      </c>
      <c r="AK50" s="13">
        <v>71586.921853976193</v>
      </c>
      <c r="AL50" s="13">
        <v>75583.434818044669</v>
      </c>
      <c r="AM50" s="13">
        <v>82729.458143374199</v>
      </c>
      <c r="AN50" s="13">
        <v>90108.906240792523</v>
      </c>
    </row>
    <row r="52" spans="2:40" x14ac:dyDescent="0.25">
      <c r="B52" s="1" t="s">
        <v>48</v>
      </c>
      <c r="E52" s="74">
        <f>E37-E50</f>
        <v>0</v>
      </c>
      <c r="F52" s="74">
        <f t="shared" ref="F52:AN52" si="0">F37-F50</f>
        <v>0</v>
      </c>
      <c r="G52" s="74">
        <f t="shared" si="0"/>
        <v>0</v>
      </c>
      <c r="H52" s="74">
        <f t="shared" si="0"/>
        <v>0</v>
      </c>
      <c r="I52" s="74">
        <f t="shared" si="0"/>
        <v>0</v>
      </c>
      <c r="J52" s="74">
        <f t="shared" si="0"/>
        <v>0</v>
      </c>
      <c r="K52" s="74">
        <f t="shared" si="0"/>
        <v>0</v>
      </c>
      <c r="L52" s="74">
        <f t="shared" si="0"/>
        <v>0</v>
      </c>
      <c r="M52" s="74">
        <f t="shared" si="0"/>
        <v>0</v>
      </c>
      <c r="N52" s="74">
        <f t="shared" si="0"/>
        <v>0</v>
      </c>
      <c r="O52" s="74">
        <f t="shared" si="0"/>
        <v>0</v>
      </c>
      <c r="P52" s="74">
        <f t="shared" si="0"/>
        <v>0</v>
      </c>
      <c r="Q52" s="74">
        <f t="shared" si="0"/>
        <v>0</v>
      </c>
      <c r="R52" s="74">
        <f t="shared" si="0"/>
        <v>0</v>
      </c>
      <c r="S52" s="74">
        <f t="shared" si="0"/>
        <v>0</v>
      </c>
      <c r="T52" s="74">
        <f t="shared" si="0"/>
        <v>0</v>
      </c>
      <c r="U52" s="74">
        <f t="shared" si="0"/>
        <v>0</v>
      </c>
      <c r="V52" s="74">
        <f t="shared" si="0"/>
        <v>0</v>
      </c>
      <c r="W52" s="74">
        <f t="shared" si="0"/>
        <v>0</v>
      </c>
      <c r="X52" s="74">
        <f t="shared" si="0"/>
        <v>0</v>
      </c>
      <c r="Y52" s="74">
        <f t="shared" si="0"/>
        <v>0</v>
      </c>
      <c r="Z52" s="74">
        <f t="shared" si="0"/>
        <v>0</v>
      </c>
      <c r="AA52" s="74">
        <f t="shared" si="0"/>
        <v>0</v>
      </c>
      <c r="AB52" s="74">
        <f t="shared" si="0"/>
        <v>0</v>
      </c>
      <c r="AC52" s="74">
        <f t="shared" si="0"/>
        <v>0</v>
      </c>
      <c r="AD52" s="74">
        <f t="shared" si="0"/>
        <v>0</v>
      </c>
      <c r="AE52" s="74">
        <f t="shared" si="0"/>
        <v>-9260.2437884288611</v>
      </c>
      <c r="AF52" s="74">
        <f t="shared" si="0"/>
        <v>-12028.22959391708</v>
      </c>
      <c r="AG52" s="74">
        <f t="shared" si="0"/>
        <v>-2497.2381332041332</v>
      </c>
      <c r="AH52" s="74">
        <f t="shared" si="0"/>
        <v>1741.5505419694746</v>
      </c>
      <c r="AI52" s="74">
        <f t="shared" si="0"/>
        <v>11059.478378242122</v>
      </c>
      <c r="AJ52" s="74">
        <f t="shared" si="0"/>
        <v>20781.184347254864</v>
      </c>
      <c r="AK52" s="74">
        <f t="shared" si="0"/>
        <v>30066.255090023784</v>
      </c>
      <c r="AL52" s="74">
        <f t="shared" si="0"/>
        <v>34540.840204622</v>
      </c>
      <c r="AM52" s="74">
        <f t="shared" si="0"/>
        <v>44337.013036625794</v>
      </c>
      <c r="AN52" s="74">
        <f t="shared" si="0"/>
        <v>53899.761096540824</v>
      </c>
    </row>
    <row r="53" spans="2:40" x14ac:dyDescent="0.25">
      <c r="E53" s="105" t="str">
        <f>IFERROR(E52/E37,"")</f>
        <v/>
      </c>
      <c r="F53" s="105" t="str">
        <f t="shared" ref="F53:AN53" si="1">IFERROR(F52/F37,"")</f>
        <v/>
      </c>
      <c r="G53" s="105" t="str">
        <f t="shared" si="1"/>
        <v/>
      </c>
      <c r="H53" s="105" t="str">
        <f t="shared" si="1"/>
        <v/>
      </c>
      <c r="I53" s="105" t="str">
        <f t="shared" si="1"/>
        <v/>
      </c>
      <c r="J53" s="105" t="str">
        <f t="shared" si="1"/>
        <v/>
      </c>
      <c r="K53" s="105" t="str">
        <f t="shared" si="1"/>
        <v/>
      </c>
      <c r="L53" s="105" t="str">
        <f t="shared" si="1"/>
        <v/>
      </c>
      <c r="M53" s="105" t="str">
        <f t="shared" si="1"/>
        <v/>
      </c>
      <c r="N53" s="105" t="str">
        <f t="shared" si="1"/>
        <v/>
      </c>
      <c r="O53" s="105" t="str">
        <f t="shared" si="1"/>
        <v/>
      </c>
      <c r="P53" s="105" t="str">
        <f t="shared" si="1"/>
        <v/>
      </c>
      <c r="Q53" s="105" t="str">
        <f t="shared" si="1"/>
        <v/>
      </c>
      <c r="R53" s="105" t="str">
        <f t="shared" si="1"/>
        <v/>
      </c>
      <c r="S53" s="105" t="str">
        <f t="shared" si="1"/>
        <v/>
      </c>
      <c r="T53" s="105" t="str">
        <f t="shared" si="1"/>
        <v/>
      </c>
      <c r="U53" s="105" t="str">
        <f t="shared" si="1"/>
        <v/>
      </c>
      <c r="V53" s="105" t="str">
        <f t="shared" si="1"/>
        <v/>
      </c>
      <c r="W53" s="105" t="str">
        <f t="shared" si="1"/>
        <v/>
      </c>
      <c r="X53" s="105" t="str">
        <f t="shared" si="1"/>
        <v/>
      </c>
      <c r="Y53" s="105" t="str">
        <f t="shared" si="1"/>
        <v/>
      </c>
      <c r="Z53" s="105" t="str">
        <f t="shared" si="1"/>
        <v/>
      </c>
      <c r="AA53" s="105" t="str">
        <f t="shared" si="1"/>
        <v/>
      </c>
      <c r="AB53" s="105" t="str">
        <f t="shared" si="1"/>
        <v/>
      </c>
      <c r="AC53" s="105" t="str">
        <f t="shared" si="1"/>
        <v/>
      </c>
      <c r="AD53" s="105" t="str">
        <f t="shared" si="1"/>
        <v/>
      </c>
      <c r="AE53" s="105">
        <f t="shared" si="1"/>
        <v>-1.0931574280493284</v>
      </c>
      <c r="AF53" s="105">
        <f t="shared" si="1"/>
        <v>-0.47330462088925551</v>
      </c>
      <c r="AG53" s="105">
        <f t="shared" si="1"/>
        <v>-5.8959018299955611E-2</v>
      </c>
      <c r="AH53" s="105">
        <f t="shared" si="1"/>
        <v>3.4264557081750281E-2</v>
      </c>
      <c r="AI53" s="105">
        <f t="shared" si="1"/>
        <v>0.16319428537390485</v>
      </c>
      <c r="AJ53" s="105">
        <f t="shared" si="1"/>
        <v>0.24531866063019053</v>
      </c>
      <c r="AK53" s="105">
        <f t="shared" si="1"/>
        <v>0.29577290148626711</v>
      </c>
      <c r="AL53" s="105">
        <f t="shared" si="1"/>
        <v>0.31365328123624447</v>
      </c>
      <c r="AM53" s="105">
        <f t="shared" si="1"/>
        <v>0.34892771181013449</v>
      </c>
      <c r="AN53" s="105">
        <f t="shared" si="1"/>
        <v>0.37428136856709632</v>
      </c>
    </row>
    <row r="55" spans="2:40" x14ac:dyDescent="0.25">
      <c r="B55" t="s">
        <v>57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0</v>
      </c>
      <c r="D55" s="12">
        <f>C55-SUM(_xlfn.ANCHORARRAY(E55))</f>
        <v>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</row>
    <row r="56" spans="2:40" x14ac:dyDescent="0.25">
      <c r="B56" t="s">
        <v>285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0</v>
      </c>
      <c r="F56" s="90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0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0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0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0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-1270.6647118000001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-3811.9941353999989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-6353.3235589999977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-7623.9882707999977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-10165.317694400001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276</v>
      </c>
      <c r="E58" s="13">
        <f>E37-E50-E55+E56</f>
        <v>0</v>
      </c>
      <c r="F58" s="13">
        <f t="shared" ref="F58:AN58" si="2">F37-F50-F55+F56</f>
        <v>0</v>
      </c>
      <c r="G58" s="13">
        <f t="shared" si="2"/>
        <v>0</v>
      </c>
      <c r="H58" s="13">
        <f t="shared" si="2"/>
        <v>0</v>
      </c>
      <c r="I58" s="13">
        <f t="shared" si="2"/>
        <v>0</v>
      </c>
      <c r="J58" s="13">
        <f t="shared" si="2"/>
        <v>0</v>
      </c>
      <c r="K58" s="13">
        <f t="shared" si="2"/>
        <v>0</v>
      </c>
      <c r="L58" s="13">
        <f t="shared" si="2"/>
        <v>0</v>
      </c>
      <c r="M58" s="13">
        <f t="shared" si="2"/>
        <v>0</v>
      </c>
      <c r="N58" s="13">
        <f t="shared" si="2"/>
        <v>0</v>
      </c>
      <c r="O58" s="13">
        <f t="shared" si="2"/>
        <v>0</v>
      </c>
      <c r="P58" s="13">
        <f t="shared" si="2"/>
        <v>0</v>
      </c>
      <c r="Q58" s="13">
        <f t="shared" si="2"/>
        <v>0</v>
      </c>
      <c r="R58" s="13">
        <f t="shared" si="2"/>
        <v>0</v>
      </c>
      <c r="S58" s="13">
        <f t="shared" si="2"/>
        <v>0</v>
      </c>
      <c r="T58" s="13">
        <f t="shared" si="2"/>
        <v>0</v>
      </c>
      <c r="U58" s="13">
        <f t="shared" si="2"/>
        <v>0</v>
      </c>
      <c r="V58" s="13">
        <f t="shared" si="2"/>
        <v>0</v>
      </c>
      <c r="W58" s="13">
        <f t="shared" si="2"/>
        <v>0</v>
      </c>
      <c r="X58" s="13">
        <f t="shared" si="2"/>
        <v>0</v>
      </c>
      <c r="Y58" s="13">
        <f t="shared" si="2"/>
        <v>0</v>
      </c>
      <c r="Z58" s="13">
        <f t="shared" si="2"/>
        <v>0</v>
      </c>
      <c r="AA58" s="13">
        <f t="shared" si="2"/>
        <v>0</v>
      </c>
      <c r="AB58" s="13">
        <f t="shared" si="2"/>
        <v>0</v>
      </c>
      <c r="AC58" s="13">
        <f t="shared" si="2"/>
        <v>0</v>
      </c>
      <c r="AD58" s="13">
        <f t="shared" si="2"/>
        <v>0</v>
      </c>
      <c r="AE58" s="13">
        <f t="shared" si="2"/>
        <v>-9260.2437884288611</v>
      </c>
      <c r="AF58" s="13">
        <f t="shared" si="2"/>
        <v>-12028.22959391708</v>
      </c>
      <c r="AG58" s="13">
        <f t="shared" si="2"/>
        <v>-2497.2381332041332</v>
      </c>
      <c r="AH58" s="13">
        <f t="shared" si="2"/>
        <v>1741.5505419694746</v>
      </c>
      <c r="AI58" s="13">
        <f t="shared" si="2"/>
        <v>11059.478378242122</v>
      </c>
      <c r="AJ58" s="13">
        <f t="shared" si="2"/>
        <v>19510.519635454864</v>
      </c>
      <c r="AK58" s="13">
        <f t="shared" si="2"/>
        <v>26254.260954623784</v>
      </c>
      <c r="AL58" s="13">
        <f t="shared" si="2"/>
        <v>28187.516645622003</v>
      </c>
      <c r="AM58" s="13">
        <f t="shared" si="2"/>
        <v>36713.024765825794</v>
      </c>
      <c r="AN58" s="13">
        <f t="shared" si="2"/>
        <v>43734.443402140823</v>
      </c>
    </row>
    <row r="59" spans="2:40" x14ac:dyDescent="0.25">
      <c r="B59" t="s">
        <v>277</v>
      </c>
      <c r="E59" s="12" cm="1">
        <f t="array" ref="E59:AN59">_xlfn.SCAN(-D55,E58:AN58,_xlfn.LAMBDA(_xlpm.capex,_xlpm.fcf,_xlpm.capex+_xlpm.fcf))</f>
        <v>0</v>
      </c>
      <c r="F59" s="12">
        <v>0</v>
      </c>
      <c r="G59" s="12">
        <v>0</v>
      </c>
      <c r="H59" s="12">
        <v>0</v>
      </c>
      <c r="I59" s="12">
        <v>0</v>
      </c>
      <c r="J59" s="12">
        <v>0</v>
      </c>
      <c r="K59" s="12">
        <v>0</v>
      </c>
      <c r="L59" s="12">
        <v>0</v>
      </c>
      <c r="M59" s="12">
        <v>0</v>
      </c>
      <c r="N59" s="12">
        <v>0</v>
      </c>
      <c r="O59" s="12">
        <v>0</v>
      </c>
      <c r="P59" s="12">
        <v>0</v>
      </c>
      <c r="Q59" s="12">
        <v>0</v>
      </c>
      <c r="R59" s="12">
        <v>0</v>
      </c>
      <c r="S59" s="12">
        <v>0</v>
      </c>
      <c r="T59" s="12">
        <v>0</v>
      </c>
      <c r="U59" s="12">
        <v>0</v>
      </c>
      <c r="V59" s="12">
        <v>0</v>
      </c>
      <c r="W59" s="12">
        <v>0</v>
      </c>
      <c r="X59" s="12">
        <v>0</v>
      </c>
      <c r="Y59" s="12">
        <v>0</v>
      </c>
      <c r="Z59" s="12">
        <v>0</v>
      </c>
      <c r="AA59" s="12">
        <v>0</v>
      </c>
      <c r="AB59" s="12">
        <v>0</v>
      </c>
      <c r="AC59" s="12">
        <v>0</v>
      </c>
      <c r="AD59" s="12">
        <v>0</v>
      </c>
      <c r="AE59" s="12">
        <v>-9260.2437884288611</v>
      </c>
      <c r="AF59" s="12">
        <v>-21288.473382345939</v>
      </c>
      <c r="AG59" s="12">
        <v>-23785.711515550072</v>
      </c>
      <c r="AH59" s="12">
        <v>-22044.160973580598</v>
      </c>
      <c r="AI59" s="12">
        <v>-10984.682595338476</v>
      </c>
      <c r="AJ59" s="12">
        <v>8525.8370401163884</v>
      </c>
      <c r="AK59" s="12">
        <v>34780.097994740172</v>
      </c>
      <c r="AL59" s="12">
        <v>62967.614640362175</v>
      </c>
      <c r="AM59" s="12">
        <v>99680.639406187969</v>
      </c>
      <c r="AN59" s="12">
        <v>143415.08280832879</v>
      </c>
    </row>
    <row r="61" spans="2:40" x14ac:dyDescent="0.25">
      <c r="B61" s="1" t="s">
        <v>302</v>
      </c>
    </row>
    <row r="63" spans="2:40" x14ac:dyDescent="0.25">
      <c r="B63" s="39" t="s">
        <v>103</v>
      </c>
      <c r="E63" s="12" cm="1">
        <f t="array" ref="E63:AN63">_xlfn.LET(_xlpm.site,$B$1&amp;"-"&amp;$C$1,_xlpm.locations,Base!$D$4:$BD$4,_xlpm.rates,Base!$D$36:$BD$36,_xlpm.hours,Base!$D$79:$BD$79,_xlpm.comp,_xlpm.rates*_xlpm.hours,_xlpm.Customer,_xlfn.ANCHORARRAY($E$1),
_xlpm.Customer_comp,_xlfn.XLOOKUP(_xlpm.site,_xlpm.locations,_xlpm.comp,0,0),_xlpm.ann_incr,_xlfn.XLOOKUP(YEAR(_xlfn.ANCHORARRAY($E$25)),Base!$BJ$4:$BL$4,Base!$BJ$79:$BL$79,0,0),
_xlpm.bad_debt,_xlfn.XLOOKUP(_xlpm.site,_xlpm.locations,Base!$D$28:$BD$28,0,0),_xlpm.Customer_comp*_xlpm.Customer*_xlpm.bad_debt*_xlpm.ann_incr*(52/12)*(1-$C$35))</f>
        <v>0</v>
      </c>
      <c r="F63" s="12">
        <v>0</v>
      </c>
      <c r="G63" s="12">
        <v>0</v>
      </c>
      <c r="H63" s="12">
        <v>0</v>
      </c>
      <c r="I63" s="12">
        <v>0</v>
      </c>
      <c r="J63" s="12">
        <v>0</v>
      </c>
      <c r="K63" s="12">
        <v>0</v>
      </c>
      <c r="L63" s="12">
        <v>0</v>
      </c>
      <c r="M63" s="12">
        <v>0</v>
      </c>
      <c r="N63" s="12">
        <v>0</v>
      </c>
      <c r="O63" s="12">
        <v>0</v>
      </c>
      <c r="P63" s="12">
        <v>0</v>
      </c>
      <c r="Q63" s="12">
        <v>0</v>
      </c>
      <c r="R63" s="12">
        <v>0</v>
      </c>
      <c r="S63" s="12">
        <v>0</v>
      </c>
      <c r="T63" s="12">
        <v>0</v>
      </c>
      <c r="U63" s="12">
        <v>0</v>
      </c>
      <c r="V63" s="12">
        <v>0</v>
      </c>
      <c r="W63" s="12">
        <v>0</v>
      </c>
      <c r="X63" s="12">
        <v>0</v>
      </c>
      <c r="Y63" s="12">
        <v>0</v>
      </c>
      <c r="Z63" s="12">
        <v>0</v>
      </c>
      <c r="AA63" s="12">
        <v>0</v>
      </c>
      <c r="AB63" s="12">
        <v>0</v>
      </c>
      <c r="AC63" s="12">
        <v>0</v>
      </c>
      <c r="AD63" s="12">
        <v>0</v>
      </c>
      <c r="AE63" s="12">
        <v>0</v>
      </c>
      <c r="AF63" s="12">
        <v>0</v>
      </c>
      <c r="AG63" s="12">
        <v>0</v>
      </c>
      <c r="AH63" s="12">
        <v>0</v>
      </c>
      <c r="AI63" s="12">
        <v>0</v>
      </c>
      <c r="AJ63" s="12">
        <v>0</v>
      </c>
      <c r="AK63" s="12">
        <v>0</v>
      </c>
      <c r="AL63" s="12">
        <v>0</v>
      </c>
      <c r="AM63" s="12">
        <v>0</v>
      </c>
      <c r="AN63" s="12">
        <v>0</v>
      </c>
    </row>
    <row r="64" spans="2:40" x14ac:dyDescent="0.25">
      <c r="B64" s="39" t="s">
        <v>104</v>
      </c>
      <c r="E64" s="12" cm="1">
        <f t="array" ref="E64:AN64">_xlfn.LET(_xlpm.site,$B$1&amp;"-"&amp;$C$1,_xlpm.locations,Base!$D$4:$BD$4,_xlpm.rates,Base!$D$37:$BD$37,_xlpm.hours,Base!$D$80:$BD$80,_xlpm.comp,_xlpm.rates*_xlpm.hours,_xlpm.Customer,_xlfn.ANCHORARRAY($E$1),
_xlpm.Customer_comp,_xlfn.XLOOKUP(_xlpm.site,_xlpm.locations,_xlpm.comp,0,0),_xlpm.ann_incr,_xlfn.XLOOKUP(YEAR(_xlfn.ANCHORARRAY($E$25)),Base!$BJ$4:$BL$4,Base!$BJ$80:$BL$80,0,0),
_xlpm.bad_debt,_xlfn.XLOOKUP(_xlpm.site,_xlpm.locations,Base!$D$28:$BD$28,0,0),_xlpm.Customer_comp*_xlpm.Customer*_xlpm.bad_debt*_xlpm.ann_incr*(52/12)*(1-$C$35))</f>
        <v>0</v>
      </c>
      <c r="F64" s="12">
        <v>0</v>
      </c>
      <c r="G64" s="12">
        <v>0</v>
      </c>
      <c r="H64" s="12">
        <v>0</v>
      </c>
      <c r="I64" s="12">
        <v>0</v>
      </c>
      <c r="J64" s="12">
        <v>0</v>
      </c>
      <c r="K64" s="12">
        <v>0</v>
      </c>
      <c r="L64" s="12">
        <v>0</v>
      </c>
      <c r="M64" s="12">
        <v>0</v>
      </c>
      <c r="N64" s="12">
        <v>0</v>
      </c>
      <c r="O64" s="12">
        <v>0</v>
      </c>
      <c r="P64" s="12">
        <v>0</v>
      </c>
      <c r="Q64" s="12">
        <v>0</v>
      </c>
      <c r="R64" s="12">
        <v>0</v>
      </c>
      <c r="S64" s="12">
        <v>0</v>
      </c>
      <c r="T64" s="12">
        <v>0</v>
      </c>
      <c r="U64" s="12">
        <v>0</v>
      </c>
      <c r="V64" s="12">
        <v>0</v>
      </c>
      <c r="W64" s="12">
        <v>0</v>
      </c>
      <c r="X64" s="12">
        <v>0</v>
      </c>
      <c r="Y64" s="12">
        <v>0</v>
      </c>
      <c r="Z64" s="12">
        <v>0</v>
      </c>
      <c r="AA64" s="12">
        <v>0</v>
      </c>
      <c r="AB64" s="12">
        <v>0</v>
      </c>
      <c r="AC64" s="12">
        <v>0</v>
      </c>
      <c r="AD64" s="12">
        <v>0</v>
      </c>
      <c r="AE64" s="12">
        <v>0</v>
      </c>
      <c r="AF64" s="12">
        <v>0</v>
      </c>
      <c r="AG64" s="12">
        <v>0</v>
      </c>
      <c r="AH64" s="12">
        <v>0</v>
      </c>
      <c r="AI64" s="12">
        <v>0</v>
      </c>
      <c r="AJ64" s="12">
        <v>0</v>
      </c>
      <c r="AK64" s="12">
        <v>0</v>
      </c>
      <c r="AL64" s="12">
        <v>0</v>
      </c>
      <c r="AM64" s="12">
        <v>0</v>
      </c>
      <c r="AN64" s="12">
        <v>0</v>
      </c>
    </row>
    <row r="65" spans="2:40" x14ac:dyDescent="0.25">
      <c r="B65" s="39" t="s">
        <v>56</v>
      </c>
      <c r="E65" s="12" cm="1">
        <f t="array" ref="E65:AN65">_xlfn.LET(_xlpm.site,$B$1&amp;"-"&amp;$C$1,_xlpm.locations,Base!$D$4:$BD$4,_xlpm.rates,Base!$D$39:$BD$39,_xlpm.hours,Base!$D$82:$BD$82,_xlpm.comp,_xlpm.rates*_xlpm.hours,_xlpm.Customer,_xlfn.ANCHORARRAY($E$1),
_xlpm.Customer_comp,_xlfn.XLOOKUP(_xlpm.site,_xlpm.locations,_xlpm.comp,0,0),_xlpm.ann_incr,_xlfn.XLOOKUP(YEAR(_xlfn.ANCHORARRAY($E$25)),Base!$BJ$4:$BL$4,Base!$BJ$82:$BL$82,0,0),
_xlpm.bad_debt,_xlfn.XLOOKUP(_xlpm.site,_xlpm.locations,Base!$D$28:$BD$28,0,0),_xlpm.Customer_comp*_xlpm.Customer*_xlpm.bad_debt*_xlpm.ann_incr*(52/12)*(1-$C$35))</f>
        <v>0</v>
      </c>
      <c r="F65" s="12">
        <v>0</v>
      </c>
      <c r="G65" s="12">
        <v>0</v>
      </c>
      <c r="H65" s="12">
        <v>0</v>
      </c>
      <c r="I65" s="12">
        <v>0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  <c r="O65" s="12">
        <v>0</v>
      </c>
      <c r="P65" s="12">
        <v>0</v>
      </c>
      <c r="Q65" s="12">
        <v>0</v>
      </c>
      <c r="R65" s="12">
        <v>0</v>
      </c>
      <c r="S65" s="12">
        <v>0</v>
      </c>
      <c r="T65" s="12">
        <v>0</v>
      </c>
      <c r="U65" s="12">
        <v>0</v>
      </c>
      <c r="V65" s="12">
        <v>0</v>
      </c>
      <c r="W65" s="12">
        <v>0</v>
      </c>
      <c r="X65" s="12">
        <v>0</v>
      </c>
      <c r="Y65" s="12">
        <v>0</v>
      </c>
      <c r="Z65" s="12">
        <v>0</v>
      </c>
      <c r="AA65" s="12">
        <v>0</v>
      </c>
      <c r="AB65" s="12">
        <v>0</v>
      </c>
      <c r="AC65" s="12">
        <v>0</v>
      </c>
      <c r="AD65" s="12">
        <v>0</v>
      </c>
      <c r="AE65" s="12">
        <v>0</v>
      </c>
      <c r="AF65" s="12">
        <v>0</v>
      </c>
      <c r="AG65" s="12">
        <v>0</v>
      </c>
      <c r="AH65" s="12">
        <v>0</v>
      </c>
      <c r="AI65" s="12">
        <v>0</v>
      </c>
      <c r="AJ65" s="12">
        <v>0</v>
      </c>
      <c r="AK65" s="12">
        <v>0</v>
      </c>
      <c r="AL65" s="12">
        <v>0</v>
      </c>
      <c r="AM65" s="12">
        <v>0</v>
      </c>
      <c r="AN65" s="12">
        <v>0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303</v>
      </c>
      <c r="C67" s="12"/>
      <c r="E67" s="13" cm="1">
        <f t="array" ref="E67:AN67">_xlfn.BYCOL(_xlfn.VSTACK(_xlfn.ANCHORARRAY($E$63),_xlfn.ANCHORARRAY($E$64),_xlfn.ANCHORARRAY($E$65)),_xlfn.LAMBDA(_xlpm.a,SUM(_xlpm.a)))</f>
        <v>0</v>
      </c>
      <c r="F67" s="13">
        <v>0</v>
      </c>
      <c r="G67" s="13">
        <v>0</v>
      </c>
      <c r="H67" s="13">
        <v>0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  <c r="W67" s="13">
        <v>0</v>
      </c>
      <c r="X67" s="13">
        <v>0</v>
      </c>
      <c r="Y67" s="13">
        <v>0</v>
      </c>
      <c r="Z67" s="13">
        <v>0</v>
      </c>
      <c r="AA67" s="13">
        <v>0</v>
      </c>
      <c r="AB67" s="13">
        <v>0</v>
      </c>
      <c r="AC67" s="13">
        <v>0</v>
      </c>
      <c r="AD67" s="13">
        <v>0</v>
      </c>
      <c r="AE67" s="13">
        <v>0</v>
      </c>
      <c r="AF67" s="13">
        <v>0</v>
      </c>
      <c r="AG67" s="13">
        <v>0</v>
      </c>
      <c r="AH67" s="13">
        <v>0</v>
      </c>
      <c r="AI67" s="13">
        <v>0</v>
      </c>
      <c r="AJ67" s="13">
        <v>0</v>
      </c>
      <c r="AK67" s="13">
        <v>0</v>
      </c>
      <c r="AL67" s="13">
        <v>0</v>
      </c>
      <c r="AM67" s="13">
        <v>0</v>
      </c>
      <c r="AN67" s="13">
        <v>0</v>
      </c>
    </row>
    <row r="68" spans="2:40" x14ac:dyDescent="0.25">
      <c r="B68" s="39"/>
      <c r="C68" s="12"/>
    </row>
    <row r="69" spans="2:40" x14ac:dyDescent="0.25">
      <c r="B69" s="39" t="s">
        <v>304</v>
      </c>
      <c r="C69" s="12"/>
      <c r="E69" s="106" cm="1">
        <f t="array" ref="E69:AN70">_xlfn.LET(_xlpm.Customer_staff,_xlfn._xlws.FILTER(Base!$D$96:$BD$97,ISNUMBER(SEARCH($B$1&amp;"-"&amp;$C$1,Base!$D$4:$BD$4))),_xlpm.Customer,_xlfn.ANCHORARRAY($E$1),_xlpm.headcount,_xlpm.Customer/_xlpm.Customer_staff,
_xlpm.rounding,_xlfn.VSTACK(0,0),IFERROR(ROUND(_xlpm.headcount,_xlpm.rounding),0))</f>
        <v>0</v>
      </c>
      <c r="F69" s="106">
        <v>0</v>
      </c>
      <c r="G69" s="106">
        <v>0</v>
      </c>
      <c r="H69" s="106">
        <v>0</v>
      </c>
      <c r="I69" s="106">
        <v>0</v>
      </c>
      <c r="J69" s="106">
        <v>0</v>
      </c>
      <c r="K69" s="106">
        <v>0</v>
      </c>
      <c r="L69" s="106">
        <v>0</v>
      </c>
      <c r="M69" s="106">
        <v>0</v>
      </c>
      <c r="N69" s="106">
        <v>0</v>
      </c>
      <c r="O69" s="106">
        <v>0</v>
      </c>
      <c r="P69" s="106">
        <v>0</v>
      </c>
      <c r="Q69" s="106">
        <v>0</v>
      </c>
      <c r="R69" s="106">
        <v>0</v>
      </c>
      <c r="S69" s="106">
        <v>0</v>
      </c>
      <c r="T69" s="106">
        <v>0</v>
      </c>
      <c r="U69" s="106">
        <v>0</v>
      </c>
      <c r="V69" s="106">
        <v>0</v>
      </c>
      <c r="W69" s="106">
        <v>0</v>
      </c>
      <c r="X69" s="106">
        <v>0</v>
      </c>
      <c r="Y69" s="106">
        <v>0</v>
      </c>
      <c r="Z69" s="106">
        <v>0</v>
      </c>
      <c r="AA69" s="106">
        <v>0</v>
      </c>
      <c r="AB69" s="106">
        <v>0</v>
      </c>
      <c r="AC69" s="106">
        <v>0</v>
      </c>
      <c r="AD69" s="106">
        <v>0</v>
      </c>
      <c r="AE69" s="106">
        <v>0</v>
      </c>
      <c r="AF69" s="106">
        <v>0</v>
      </c>
      <c r="AG69" s="106">
        <v>0</v>
      </c>
      <c r="AH69" s="106">
        <v>0</v>
      </c>
      <c r="AI69" s="106">
        <v>0</v>
      </c>
      <c r="AJ69" s="106">
        <v>0</v>
      </c>
      <c r="AK69" s="106">
        <v>0</v>
      </c>
      <c r="AL69" s="106">
        <v>0</v>
      </c>
      <c r="AM69" s="106">
        <v>0</v>
      </c>
      <c r="AN69" s="106">
        <v>0</v>
      </c>
    </row>
    <row r="70" spans="2:40" x14ac:dyDescent="0.25">
      <c r="B70" s="39" t="s">
        <v>305</v>
      </c>
      <c r="C70" s="12"/>
      <c r="E70" s="106">
        <v>0</v>
      </c>
      <c r="F70" s="106">
        <v>0</v>
      </c>
      <c r="G70" s="106">
        <v>0</v>
      </c>
      <c r="H70" s="106">
        <v>0</v>
      </c>
      <c r="I70" s="106">
        <v>0</v>
      </c>
      <c r="J70" s="106">
        <v>0</v>
      </c>
      <c r="K70" s="106">
        <v>0</v>
      </c>
      <c r="L70" s="106">
        <v>0</v>
      </c>
      <c r="M70" s="106">
        <v>0</v>
      </c>
      <c r="N70" s="106">
        <v>0</v>
      </c>
      <c r="O70" s="106">
        <v>0</v>
      </c>
      <c r="P70" s="106">
        <v>0</v>
      </c>
      <c r="Q70" s="106">
        <v>0</v>
      </c>
      <c r="R70" s="106">
        <v>0</v>
      </c>
      <c r="S70" s="106">
        <v>0</v>
      </c>
      <c r="T70" s="106">
        <v>0</v>
      </c>
      <c r="U70" s="106">
        <v>0</v>
      </c>
      <c r="V70" s="106">
        <v>0</v>
      </c>
      <c r="W70" s="106">
        <v>0</v>
      </c>
      <c r="X70" s="106">
        <v>0</v>
      </c>
      <c r="Y70" s="106">
        <v>0</v>
      </c>
      <c r="Z70" s="106">
        <v>0</v>
      </c>
      <c r="AA70" s="106">
        <v>0</v>
      </c>
      <c r="AB70" s="106">
        <v>0</v>
      </c>
      <c r="AC70" s="106">
        <v>0</v>
      </c>
      <c r="AD70" s="106">
        <v>0</v>
      </c>
      <c r="AE70" s="106">
        <v>0</v>
      </c>
      <c r="AF70" s="106">
        <v>0</v>
      </c>
      <c r="AG70" s="106">
        <v>0</v>
      </c>
      <c r="AH70" s="106">
        <v>0</v>
      </c>
      <c r="AI70" s="106">
        <v>0</v>
      </c>
      <c r="AJ70" s="106">
        <v>0</v>
      </c>
      <c r="AK70" s="106">
        <v>0</v>
      </c>
      <c r="AL70" s="106">
        <v>0</v>
      </c>
      <c r="AM70" s="106">
        <v>0</v>
      </c>
      <c r="AN70" s="106">
        <v>0</v>
      </c>
    </row>
    <row r="71" spans="2:40" x14ac:dyDescent="0.25">
      <c r="B71" s="39"/>
      <c r="C71" s="12"/>
    </row>
    <row r="72" spans="2:40" x14ac:dyDescent="0.25">
      <c r="B72" s="39" t="s">
        <v>23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0</v>
      </c>
      <c r="F72" s="12">
        <v>0</v>
      </c>
      <c r="G72" s="12">
        <v>0</v>
      </c>
      <c r="H72" s="12">
        <v>0</v>
      </c>
      <c r="I72" s="12">
        <v>0</v>
      </c>
      <c r="J72" s="12">
        <v>0</v>
      </c>
      <c r="K72" s="12">
        <v>0</v>
      </c>
      <c r="L72" s="12">
        <v>0</v>
      </c>
      <c r="M72" s="12">
        <v>0</v>
      </c>
      <c r="N72" s="12">
        <v>0</v>
      </c>
      <c r="O72" s="12">
        <v>0</v>
      </c>
      <c r="P72" s="12">
        <v>0</v>
      </c>
      <c r="Q72" s="12">
        <v>0</v>
      </c>
      <c r="R72" s="12">
        <v>0</v>
      </c>
      <c r="S72" s="12">
        <v>0</v>
      </c>
      <c r="T72" s="12">
        <v>0</v>
      </c>
      <c r="U72" s="12">
        <v>0</v>
      </c>
      <c r="V72" s="12">
        <v>0</v>
      </c>
      <c r="W72" s="12">
        <v>0</v>
      </c>
      <c r="X72" s="12">
        <v>0</v>
      </c>
      <c r="Y72" s="12">
        <v>0</v>
      </c>
      <c r="Z72" s="12">
        <v>0</v>
      </c>
      <c r="AA72" s="12">
        <v>0</v>
      </c>
      <c r="AB72" s="12">
        <v>0</v>
      </c>
      <c r="AC72" s="12">
        <v>0</v>
      </c>
      <c r="AD72" s="12">
        <v>0</v>
      </c>
      <c r="AE72" s="12">
        <v>1.2691023820243568E-3</v>
      </c>
      <c r="AF72" s="12">
        <v>3.8073071460730718E-3</v>
      </c>
      <c r="AG72" s="12">
        <v>6.3455119101217868E-3</v>
      </c>
      <c r="AH72" s="12">
        <v>7.6146142921461437E-3</v>
      </c>
      <c r="AI72" s="12">
        <v>1.0152819056194855E-2</v>
      </c>
      <c r="AJ72" s="12">
        <v>1.2691023820243574E-2</v>
      </c>
      <c r="AK72" s="12">
        <v>1.5229228584292287E-2</v>
      </c>
      <c r="AL72" s="12">
        <v>1.6498330966316647E-2</v>
      </c>
      <c r="AM72" s="12">
        <v>1.9036535730365362E-2</v>
      </c>
      <c r="AN72" s="12">
        <v>2.1574740494414067E-2</v>
      </c>
    </row>
    <row r="73" spans="2:40" x14ac:dyDescent="0.25">
      <c r="B73" s="39" t="s">
        <v>24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306</v>
      </c>
      <c r="E75" s="74" cm="1">
        <f t="array" ref="E75:AN75">_xlfn.ANCHORARRAY(E67)-_xlfn.ANCHORARRAY(E72)-_xlfn.ANCHORARRAY(E73)</f>
        <v>0</v>
      </c>
      <c r="F75" s="74">
        <v>0</v>
      </c>
      <c r="G75" s="74">
        <v>0</v>
      </c>
      <c r="H75" s="74">
        <v>0</v>
      </c>
      <c r="I75" s="74">
        <v>0</v>
      </c>
      <c r="J75" s="74">
        <v>0</v>
      </c>
      <c r="K75" s="74">
        <v>0</v>
      </c>
      <c r="L75" s="74">
        <v>0</v>
      </c>
      <c r="M75" s="74">
        <v>0</v>
      </c>
      <c r="N75" s="74">
        <v>0</v>
      </c>
      <c r="O75" s="74">
        <v>0</v>
      </c>
      <c r="P75" s="74">
        <v>0</v>
      </c>
      <c r="Q75" s="74">
        <v>0</v>
      </c>
      <c r="R75" s="74">
        <v>0</v>
      </c>
      <c r="S75" s="74">
        <v>0</v>
      </c>
      <c r="T75" s="74">
        <v>0</v>
      </c>
      <c r="U75" s="74">
        <v>0</v>
      </c>
      <c r="V75" s="74">
        <v>0</v>
      </c>
      <c r="W75" s="74">
        <v>0</v>
      </c>
      <c r="X75" s="74">
        <v>0</v>
      </c>
      <c r="Y75" s="74">
        <v>0</v>
      </c>
      <c r="Z75" s="74">
        <v>0</v>
      </c>
      <c r="AA75" s="74">
        <v>0</v>
      </c>
      <c r="AB75" s="74">
        <v>0</v>
      </c>
      <c r="AC75" s="74">
        <v>0</v>
      </c>
      <c r="AD75" s="74">
        <v>0</v>
      </c>
      <c r="AE75" s="74">
        <v>-1.2691023820243568E-3</v>
      </c>
      <c r="AF75" s="74">
        <v>-3.8073071460730718E-3</v>
      </c>
      <c r="AG75" s="74">
        <v>-6.3455119101217868E-3</v>
      </c>
      <c r="AH75" s="74">
        <v>-7.6146142921461437E-3</v>
      </c>
      <c r="AI75" s="74">
        <v>-1.0152819056194855E-2</v>
      </c>
      <c r="AJ75" s="74">
        <v>-1.2691023820243574E-2</v>
      </c>
      <c r="AK75" s="74">
        <v>-1.5229228584292287E-2</v>
      </c>
      <c r="AL75" s="74">
        <v>-1.6498330966316647E-2</v>
      </c>
      <c r="AM75" s="74">
        <v>-1.9036535730365362E-2</v>
      </c>
      <c r="AN75" s="74">
        <v>-2.1574740494414067E-2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7315F8-4AF5-494F-83ED-819B29B8E254}">
  <dimension ref="A1:AX75"/>
  <sheetViews>
    <sheetView workbookViewId="0">
      <pane xSplit="4" ySplit="25" topLeftCell="E26" activePane="bottomRight" state="frozen"/>
      <selection activeCell="E63" sqref="E63:E65"/>
      <selection pane="topRight" activeCell="E63" sqref="E63:E65"/>
      <selection pane="bottomLeft" activeCell="E63" sqref="E63:E65"/>
      <selection pane="bottomRight" activeCell="E63" sqref="E63:E65"/>
    </sheetView>
  </sheetViews>
  <sheetFormatPr defaultRowHeight="15" outlineLevelRow="1" x14ac:dyDescent="0.25"/>
  <cols>
    <col min="2" max="2" width="24.5703125" bestFit="1" customWidth="1"/>
    <col min="3" max="3" width="11.5703125" bestFit="1" customWidth="1"/>
    <col min="4" max="4" width="10" bestFit="1" customWidth="1"/>
    <col min="5" max="5" width="11.42578125" bestFit="1" customWidth="1"/>
    <col min="6" max="6" width="11.7109375" bestFit="1" customWidth="1"/>
    <col min="7" max="13" width="12.28515625" bestFit="1" customWidth="1"/>
    <col min="14" max="18" width="11.5703125" bestFit="1" customWidth="1"/>
    <col min="19" max="40" width="12.5703125" bestFit="1" customWidth="1"/>
  </cols>
  <sheetData>
    <row r="1" spans="1:40" x14ac:dyDescent="0.25">
      <c r="A1" s="96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>2027</v>
      </c>
      <c r="B1" s="58" t="s">
        <v>71</v>
      </c>
      <c r="C1" s="16" t="s">
        <v>61</v>
      </c>
      <c r="D1" s="3" t="s">
        <v>307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IFERROR(_xlpm.kiddos,0))</f>
        <v>0</v>
      </c>
      <c r="F1" s="69">
        <v>0</v>
      </c>
      <c r="G1" s="69">
        <v>0</v>
      </c>
      <c r="H1" s="69">
        <v>0</v>
      </c>
      <c r="I1" s="69">
        <v>0</v>
      </c>
      <c r="J1" s="69">
        <v>0</v>
      </c>
      <c r="K1" s="69">
        <v>0</v>
      </c>
      <c r="L1" s="69">
        <v>0</v>
      </c>
      <c r="M1" s="69">
        <v>0</v>
      </c>
      <c r="N1" s="69">
        <v>0</v>
      </c>
      <c r="O1" s="69">
        <v>0</v>
      </c>
      <c r="P1" s="69">
        <v>0</v>
      </c>
      <c r="Q1" s="69">
        <v>0</v>
      </c>
      <c r="R1" s="69">
        <v>0</v>
      </c>
      <c r="S1" s="69">
        <v>0</v>
      </c>
      <c r="T1" s="69">
        <v>0</v>
      </c>
      <c r="U1" s="69">
        <v>0</v>
      </c>
      <c r="V1" s="69">
        <v>0</v>
      </c>
      <c r="W1" s="69">
        <v>3</v>
      </c>
      <c r="X1" s="69">
        <v>6</v>
      </c>
      <c r="Y1" s="69">
        <v>9</v>
      </c>
      <c r="Z1" s="69">
        <v>12</v>
      </c>
      <c r="AA1" s="69">
        <v>15</v>
      </c>
      <c r="AB1" s="69">
        <v>18</v>
      </c>
      <c r="AC1" s="69">
        <v>21</v>
      </c>
      <c r="AD1" s="69">
        <v>24</v>
      </c>
      <c r="AE1" s="69">
        <v>27</v>
      </c>
      <c r="AF1" s="69">
        <v>30</v>
      </c>
      <c r="AG1" s="69">
        <v>33</v>
      </c>
      <c r="AH1" s="69">
        <v>36</v>
      </c>
      <c r="AI1" s="69">
        <v>39</v>
      </c>
      <c r="AJ1" s="69">
        <v>42</v>
      </c>
      <c r="AK1" s="69">
        <v>42</v>
      </c>
      <c r="AL1" s="69">
        <v>42</v>
      </c>
      <c r="AM1" s="69">
        <v>42</v>
      </c>
      <c r="AN1" s="69">
        <v>42</v>
      </c>
    </row>
    <row r="2" spans="1:40" x14ac:dyDescent="0.25">
      <c r="A2" s="65"/>
      <c r="B2" s="3" t="str">
        <f>_xlfn.XLOOKUP($B$1&amp;"-"&amp;$C$1,Base!$D$4:$BD$4,Base!$D$2:$BD$2,"",0)</f>
        <v>New Jersey</v>
      </c>
      <c r="C2" s="55"/>
      <c r="D2" s="55" t="s">
        <v>259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0</v>
      </c>
      <c r="F2" s="69">
        <v>0</v>
      </c>
      <c r="G2" s="69">
        <v>0</v>
      </c>
      <c r="H2" s="69">
        <v>0</v>
      </c>
      <c r="I2" s="69">
        <v>0</v>
      </c>
      <c r="J2" s="69">
        <v>0</v>
      </c>
      <c r="K2" s="69">
        <v>0</v>
      </c>
      <c r="L2" s="69">
        <v>0</v>
      </c>
      <c r="M2" s="69">
        <v>0</v>
      </c>
      <c r="N2" s="69">
        <v>0</v>
      </c>
      <c r="O2" s="69">
        <v>0</v>
      </c>
      <c r="P2" s="69">
        <v>0</v>
      </c>
      <c r="Q2" s="69">
        <v>0</v>
      </c>
      <c r="R2" s="69">
        <v>0</v>
      </c>
      <c r="S2" s="69">
        <v>0</v>
      </c>
      <c r="T2" s="69">
        <v>0</v>
      </c>
      <c r="U2" s="69">
        <v>0</v>
      </c>
      <c r="V2" s="69">
        <v>0</v>
      </c>
      <c r="W2" s="69">
        <v>0</v>
      </c>
      <c r="X2" s="69">
        <v>3.1666666666666665</v>
      </c>
      <c r="Y2" s="69">
        <v>3.3333333333333335</v>
      </c>
      <c r="Z2" s="69">
        <v>3.5</v>
      </c>
      <c r="AA2" s="69">
        <v>3.6666666666666665</v>
      </c>
      <c r="AB2" s="69">
        <v>3.8333333333333335</v>
      </c>
      <c r="AC2" s="69">
        <v>4</v>
      </c>
      <c r="AD2" s="69">
        <v>4.166666666666667</v>
      </c>
      <c r="AE2" s="69">
        <v>4.333333333333333</v>
      </c>
      <c r="AF2" s="69">
        <v>4.5</v>
      </c>
      <c r="AG2" s="69">
        <v>4.666666666666667</v>
      </c>
      <c r="AH2" s="69">
        <v>4.833333333333333</v>
      </c>
      <c r="AI2" s="69">
        <v>5</v>
      </c>
      <c r="AJ2" s="69">
        <v>2.1666666666666665</v>
      </c>
      <c r="AK2" s="69">
        <v>2.3333333333333335</v>
      </c>
      <c r="AL2" s="69">
        <v>2.5</v>
      </c>
      <c r="AM2" s="69">
        <v>2.6666666666666665</v>
      </c>
      <c r="AN2" s="69">
        <v>2.8333333333333335</v>
      </c>
    </row>
    <row r="3" spans="1:40" x14ac:dyDescent="0.25">
      <c r="A3" s="65"/>
      <c r="B3" s="55"/>
      <c r="C3" s="55"/>
      <c r="D3" s="55" t="s">
        <v>62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_xlpm.months_since,DATEDIF(_xlpm.launchdate,_xlfn.ANCHORARRAY($E$25),"m"),_xlfn.BYCOL(_xlpm.months_since,_xlfn.LAMBDA(_xlpm.a,IFERROR(MIN(_xlpm.a/6,_xlpm.max_kiddos),0))))</f>
        <v>0</v>
      </c>
      <c r="F3" s="69">
        <v>0</v>
      </c>
      <c r="G3" s="69">
        <v>0</v>
      </c>
      <c r="H3" s="69">
        <v>0</v>
      </c>
      <c r="I3" s="69">
        <v>0</v>
      </c>
      <c r="J3" s="69">
        <v>0</v>
      </c>
      <c r="K3" s="69">
        <v>0</v>
      </c>
      <c r="L3" s="69">
        <v>0</v>
      </c>
      <c r="M3" s="69">
        <v>0</v>
      </c>
      <c r="N3" s="69">
        <v>0</v>
      </c>
      <c r="O3" s="69">
        <v>0</v>
      </c>
      <c r="P3" s="69">
        <v>0</v>
      </c>
      <c r="Q3" s="69">
        <v>0</v>
      </c>
      <c r="R3" s="69">
        <v>0</v>
      </c>
      <c r="S3" s="69">
        <v>0</v>
      </c>
      <c r="T3" s="69">
        <v>0</v>
      </c>
      <c r="U3" s="69">
        <v>0</v>
      </c>
      <c r="V3" s="69">
        <v>0</v>
      </c>
      <c r="W3" s="69">
        <v>0</v>
      </c>
      <c r="X3" s="69">
        <v>0.16666666666666666</v>
      </c>
      <c r="Y3" s="69">
        <v>0.33333333333333331</v>
      </c>
      <c r="Z3" s="69">
        <v>0.5</v>
      </c>
      <c r="AA3" s="69">
        <v>0.66666666666666663</v>
      </c>
      <c r="AB3" s="69">
        <v>0.83333333333333337</v>
      </c>
      <c r="AC3" s="69">
        <v>1</v>
      </c>
      <c r="AD3" s="69">
        <v>1.1666666666666667</v>
      </c>
      <c r="AE3" s="69">
        <v>1.3333333333333333</v>
      </c>
      <c r="AF3" s="69">
        <v>1.5</v>
      </c>
      <c r="AG3" s="69">
        <v>1.6666666666666667</v>
      </c>
      <c r="AH3" s="69">
        <v>1.8333333333333333</v>
      </c>
      <c r="AI3" s="69">
        <v>2</v>
      </c>
      <c r="AJ3" s="69">
        <v>2.1666666666666665</v>
      </c>
      <c r="AK3" s="69">
        <v>2.3333333333333335</v>
      </c>
      <c r="AL3" s="69">
        <v>2.5</v>
      </c>
      <c r="AM3" s="69">
        <v>2.6666666666666665</v>
      </c>
      <c r="AN3" s="69">
        <v>2.8333333333333335</v>
      </c>
    </row>
    <row r="4" spans="1:40" x14ac:dyDescent="0.25">
      <c r="A4" s="65"/>
      <c r="B4" s="55"/>
      <c r="C4" s="55"/>
      <c r="D4" s="55" t="s">
        <v>260</v>
      </c>
      <c r="E4" s="69" cm="1">
        <f t="array" ref="E4:AN4">_xlfn.BYCOL(_xlfn.VSTACK(_xlfn.ANCHORARRAY($E$1),_xlfn.ANCHORARRAY($E$2)),_xlfn.LAMBDA(_xlpm.a,SUM(_xlpm.a)))</f>
        <v>0</v>
      </c>
      <c r="F4" s="69">
        <v>0</v>
      </c>
      <c r="G4" s="69">
        <v>0</v>
      </c>
      <c r="H4" s="69">
        <v>0</v>
      </c>
      <c r="I4" s="69">
        <v>0</v>
      </c>
      <c r="J4" s="69">
        <v>0</v>
      </c>
      <c r="K4" s="69">
        <v>0</v>
      </c>
      <c r="L4" s="69">
        <v>0</v>
      </c>
      <c r="M4" s="69">
        <v>0</v>
      </c>
      <c r="N4" s="69">
        <v>0</v>
      </c>
      <c r="O4" s="69">
        <v>0</v>
      </c>
      <c r="P4" s="69">
        <v>0</v>
      </c>
      <c r="Q4" s="69">
        <v>0</v>
      </c>
      <c r="R4" s="69">
        <v>0</v>
      </c>
      <c r="S4" s="69">
        <v>0</v>
      </c>
      <c r="T4" s="69">
        <v>0</v>
      </c>
      <c r="U4" s="69">
        <v>0</v>
      </c>
      <c r="V4" s="69">
        <v>0</v>
      </c>
      <c r="W4" s="69">
        <v>3</v>
      </c>
      <c r="X4" s="69">
        <v>9.1666666666666661</v>
      </c>
      <c r="Y4" s="69">
        <v>12.333333333333334</v>
      </c>
      <c r="Z4" s="69">
        <v>15.5</v>
      </c>
      <c r="AA4" s="69">
        <v>18.666666666666668</v>
      </c>
      <c r="AB4" s="69">
        <v>21.833333333333332</v>
      </c>
      <c r="AC4" s="69">
        <v>25</v>
      </c>
      <c r="AD4" s="69">
        <v>28.166666666666668</v>
      </c>
      <c r="AE4" s="69">
        <v>31.333333333333332</v>
      </c>
      <c r="AF4" s="69">
        <v>34.5</v>
      </c>
      <c r="AG4" s="69">
        <v>37.666666666666664</v>
      </c>
      <c r="AH4" s="69">
        <v>40.833333333333336</v>
      </c>
      <c r="AI4" s="69">
        <v>44</v>
      </c>
      <c r="AJ4" s="69">
        <v>44.166666666666664</v>
      </c>
      <c r="AK4" s="69">
        <v>44.333333333333336</v>
      </c>
      <c r="AL4" s="69">
        <v>44.5</v>
      </c>
      <c r="AM4" s="69">
        <v>44.666666666666664</v>
      </c>
      <c r="AN4" s="69">
        <v>44.833333333333336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107</v>
      </c>
      <c r="C6" s="3"/>
      <c r="D6" s="3"/>
      <c r="E6" s="66" cm="1">
        <f t="array" ref="E6:AN6">ROUND(_xlfn.BYCOL(_xlfn.ANCHORARRAY(E7),_xlfn.LAMBDA(_xlpm.a,SUM(_xlpm.a))),0)</f>
        <v>0</v>
      </c>
      <c r="F6" s="66">
        <v>0</v>
      </c>
      <c r="G6" s="66">
        <v>0</v>
      </c>
      <c r="H6" s="66">
        <v>0</v>
      </c>
      <c r="I6" s="66">
        <v>0</v>
      </c>
      <c r="J6" s="66">
        <v>0</v>
      </c>
      <c r="K6" s="66">
        <v>0</v>
      </c>
      <c r="L6" s="66">
        <v>0</v>
      </c>
      <c r="M6" s="66">
        <v>0</v>
      </c>
      <c r="N6" s="66">
        <v>0</v>
      </c>
      <c r="O6" s="66">
        <v>0</v>
      </c>
      <c r="P6" s="66">
        <v>0</v>
      </c>
      <c r="Q6" s="66">
        <v>0</v>
      </c>
      <c r="R6" s="66">
        <v>0</v>
      </c>
      <c r="S6" s="66">
        <v>0</v>
      </c>
      <c r="T6" s="66">
        <v>0</v>
      </c>
      <c r="U6" s="66">
        <v>0</v>
      </c>
      <c r="V6" s="66">
        <v>0</v>
      </c>
      <c r="W6" s="66">
        <v>6</v>
      </c>
      <c r="X6" s="66">
        <v>11</v>
      </c>
      <c r="Y6" s="66">
        <v>15</v>
      </c>
      <c r="Z6" s="66">
        <v>18</v>
      </c>
      <c r="AA6" s="66">
        <v>22</v>
      </c>
      <c r="AB6" s="66">
        <v>26</v>
      </c>
      <c r="AC6" s="66">
        <v>29</v>
      </c>
      <c r="AD6" s="66">
        <v>33</v>
      </c>
      <c r="AE6" s="66">
        <v>37</v>
      </c>
      <c r="AF6" s="66">
        <v>40</v>
      </c>
      <c r="AG6" s="66">
        <v>44</v>
      </c>
      <c r="AH6" s="66">
        <v>47</v>
      </c>
      <c r="AI6" s="66">
        <v>51</v>
      </c>
      <c r="AJ6" s="66">
        <v>54</v>
      </c>
      <c r="AK6" s="66">
        <v>54</v>
      </c>
      <c r="AL6" s="66">
        <v>54</v>
      </c>
      <c r="AM6" s="66">
        <v>54</v>
      </c>
      <c r="AN6" s="66">
        <v>54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1"/>
      <c r="E7" s="106" cm="1">
        <f t="array" ref="E7:AN20">_xlfn.LET(_xlpm.Customer_staff,_xlfn._xlws.FILTER(Base!$D$85:$BD$98,ISNUMBER(SEARCH($B$1&amp;"-"&amp;$C$1,Base!$D$4:$BD$4))),_xlpm.Customer,_xlfn.ANCHORARRAY($E$1),_xlpm.headcount,_xlpm.Customer/_xlpm.Customer_staff,
_xlpm.patient_staff,_xlfn.ANCHORARRAY($E$2)/_xlpm.Customer_staff,_xlpm.prim_staff_tr_rec,_xlfn.ANCHORARRAY($E$2)/_xlfn.CHOOSEROWS(_xlpm.Customer_staff,{7,8})+(_xlfn.ANCHORARRAY($E$1)*0.0055),_xlpm.rounding,_xlfn.VSTACK(2,2,0,0,2,2,2,2,2,2,2,0,0,0),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prim_staff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0</v>
      </c>
      <c r="F7" s="106">
        <v>0</v>
      </c>
      <c r="G7" s="106">
        <v>0</v>
      </c>
      <c r="H7" s="106">
        <v>0</v>
      </c>
      <c r="I7" s="106">
        <v>0</v>
      </c>
      <c r="J7" s="106">
        <v>0</v>
      </c>
      <c r="K7" s="106">
        <v>0</v>
      </c>
      <c r="L7" s="106">
        <v>0</v>
      </c>
      <c r="M7" s="106">
        <v>0</v>
      </c>
      <c r="N7" s="106">
        <v>0</v>
      </c>
      <c r="O7" s="106">
        <v>0</v>
      </c>
      <c r="P7" s="106">
        <v>0</v>
      </c>
      <c r="Q7" s="106">
        <v>0</v>
      </c>
      <c r="R7" s="106">
        <v>0</v>
      </c>
      <c r="S7" s="106">
        <v>0</v>
      </c>
      <c r="T7" s="106">
        <v>0</v>
      </c>
      <c r="U7" s="106">
        <v>0</v>
      </c>
      <c r="V7" s="106">
        <v>0</v>
      </c>
      <c r="W7" s="106">
        <v>2.8299999999999996</v>
      </c>
      <c r="X7" s="106">
        <v>5.6499999999999995</v>
      </c>
      <c r="Y7" s="106">
        <v>8.48</v>
      </c>
      <c r="Z7" s="106">
        <v>11.299999999999999</v>
      </c>
      <c r="AA7" s="106">
        <v>14.12</v>
      </c>
      <c r="AB7" s="106">
        <v>16.950000000000003</v>
      </c>
      <c r="AC7" s="106">
        <v>19.770000000000003</v>
      </c>
      <c r="AD7" s="106">
        <v>22.59</v>
      </c>
      <c r="AE7" s="106">
        <v>25.42</v>
      </c>
      <c r="AF7" s="106">
        <v>28.240000000000002</v>
      </c>
      <c r="AG7" s="106">
        <v>31.060000000000002</v>
      </c>
      <c r="AH7" s="106">
        <v>33.89</v>
      </c>
      <c r="AI7" s="106">
        <v>36.71</v>
      </c>
      <c r="AJ7" s="106">
        <v>39.53</v>
      </c>
      <c r="AK7" s="106">
        <v>39.53</v>
      </c>
      <c r="AL7" s="106">
        <v>39.53</v>
      </c>
      <c r="AM7" s="106">
        <v>39.53</v>
      </c>
      <c r="AN7" s="106">
        <v>39.53</v>
      </c>
    </row>
    <row r="8" spans="1:40" hidden="1" outlineLevel="1" x14ac:dyDescent="0.25">
      <c r="B8" s="39" t="str">
        <v>Secondary Direct Staff</v>
      </c>
      <c r="C8" s="3"/>
      <c r="D8" s="3"/>
      <c r="E8" s="106">
        <v>0</v>
      </c>
      <c r="F8" s="106">
        <v>0</v>
      </c>
      <c r="G8" s="106">
        <v>0</v>
      </c>
      <c r="H8" s="106">
        <v>0</v>
      </c>
      <c r="I8" s="106">
        <v>0</v>
      </c>
      <c r="J8" s="106">
        <v>0</v>
      </c>
      <c r="K8" s="106">
        <v>0</v>
      </c>
      <c r="L8" s="106">
        <v>0</v>
      </c>
      <c r="M8" s="106">
        <v>0</v>
      </c>
      <c r="N8" s="106">
        <v>0</v>
      </c>
      <c r="O8" s="106">
        <v>0</v>
      </c>
      <c r="P8" s="106">
        <v>0</v>
      </c>
      <c r="Q8" s="106">
        <v>0</v>
      </c>
      <c r="R8" s="106">
        <v>0</v>
      </c>
      <c r="S8" s="106">
        <v>0</v>
      </c>
      <c r="T8" s="106">
        <v>0</v>
      </c>
      <c r="U8" s="106">
        <v>0</v>
      </c>
      <c r="V8" s="106">
        <v>0</v>
      </c>
      <c r="W8" s="106">
        <v>0.43</v>
      </c>
      <c r="X8" s="106">
        <v>0.86</v>
      </c>
      <c r="Y8" s="106">
        <v>1.29</v>
      </c>
      <c r="Z8" s="106">
        <v>1.72</v>
      </c>
      <c r="AA8" s="106">
        <v>2.15</v>
      </c>
      <c r="AB8" s="106">
        <v>2.5799999999999996</v>
      </c>
      <c r="AC8" s="106">
        <v>3</v>
      </c>
      <c r="AD8" s="106">
        <v>3.4299999999999997</v>
      </c>
      <c r="AE8" s="106">
        <v>3.86</v>
      </c>
      <c r="AF8" s="106">
        <v>4.29</v>
      </c>
      <c r="AG8" s="106">
        <v>4.72</v>
      </c>
      <c r="AH8" s="106">
        <v>5.1499999999999995</v>
      </c>
      <c r="AI8" s="106">
        <v>5.58</v>
      </c>
      <c r="AJ8" s="106">
        <v>6</v>
      </c>
      <c r="AK8" s="106">
        <v>6</v>
      </c>
      <c r="AL8" s="106">
        <v>6</v>
      </c>
      <c r="AM8" s="106">
        <v>6</v>
      </c>
      <c r="AN8" s="106">
        <v>6</v>
      </c>
    </row>
    <row r="9" spans="1:40" hidden="1" outlineLevel="1" x14ac:dyDescent="0.25">
      <c r="B9" s="39" t="str">
        <v>Center Manager</v>
      </c>
      <c r="C9" s="3"/>
      <c r="D9" s="3"/>
      <c r="E9" s="106">
        <v>0</v>
      </c>
      <c r="F9" s="106">
        <v>0</v>
      </c>
      <c r="G9" s="106">
        <v>0</v>
      </c>
      <c r="H9" s="106">
        <v>0</v>
      </c>
      <c r="I9" s="106">
        <v>0</v>
      </c>
      <c r="J9" s="106">
        <v>0</v>
      </c>
      <c r="K9" s="106">
        <v>0</v>
      </c>
      <c r="L9" s="106">
        <v>0</v>
      </c>
      <c r="M9" s="106">
        <v>0</v>
      </c>
      <c r="N9" s="106">
        <v>0</v>
      </c>
      <c r="O9" s="106">
        <v>0</v>
      </c>
      <c r="P9" s="106">
        <v>0</v>
      </c>
      <c r="Q9" s="106">
        <v>0</v>
      </c>
      <c r="R9" s="106">
        <v>0</v>
      </c>
      <c r="S9" s="106">
        <v>0</v>
      </c>
      <c r="T9" s="106">
        <v>0</v>
      </c>
      <c r="U9" s="106">
        <v>0</v>
      </c>
      <c r="V9" s="106">
        <v>0</v>
      </c>
      <c r="W9" s="106">
        <v>1</v>
      </c>
      <c r="X9" s="106">
        <v>1</v>
      </c>
      <c r="Y9" s="106">
        <v>1</v>
      </c>
      <c r="Z9" s="106">
        <v>1</v>
      </c>
      <c r="AA9" s="106">
        <v>1</v>
      </c>
      <c r="AB9" s="106">
        <v>1</v>
      </c>
      <c r="AC9" s="106">
        <v>1</v>
      </c>
      <c r="AD9" s="106">
        <v>1</v>
      </c>
      <c r="AE9" s="106">
        <v>1</v>
      </c>
      <c r="AF9" s="106">
        <v>1</v>
      </c>
      <c r="AG9" s="106">
        <v>1</v>
      </c>
      <c r="AH9" s="106">
        <v>1</v>
      </c>
      <c r="AI9" s="106">
        <v>1</v>
      </c>
      <c r="AJ9" s="106">
        <v>1</v>
      </c>
      <c r="AK9" s="106">
        <v>1</v>
      </c>
      <c r="AL9" s="106">
        <v>1</v>
      </c>
      <c r="AM9" s="106">
        <v>1</v>
      </c>
      <c r="AN9" s="106">
        <v>1</v>
      </c>
    </row>
    <row r="10" spans="1:40" hidden="1" outlineLevel="1" x14ac:dyDescent="0.25">
      <c r="B10" s="39" t="str">
        <v>Intake</v>
      </c>
      <c r="C10" s="3"/>
      <c r="D10" s="3"/>
      <c r="E10" s="106">
        <v>0</v>
      </c>
      <c r="F10" s="106">
        <v>0</v>
      </c>
      <c r="G10" s="106">
        <v>0</v>
      </c>
      <c r="H10" s="106">
        <v>0</v>
      </c>
      <c r="I10" s="106">
        <v>0</v>
      </c>
      <c r="J10" s="106">
        <v>0</v>
      </c>
      <c r="K10" s="106">
        <v>0</v>
      </c>
      <c r="L10" s="106">
        <v>0</v>
      </c>
      <c r="M10" s="106">
        <v>0</v>
      </c>
      <c r="N10" s="106">
        <v>0</v>
      </c>
      <c r="O10" s="106">
        <v>0</v>
      </c>
      <c r="P10" s="106">
        <v>0</v>
      </c>
      <c r="Q10" s="106">
        <v>0</v>
      </c>
      <c r="R10" s="106">
        <v>0</v>
      </c>
      <c r="S10" s="106">
        <v>0</v>
      </c>
      <c r="T10" s="106">
        <v>0</v>
      </c>
      <c r="U10" s="106">
        <v>0</v>
      </c>
      <c r="V10" s="106">
        <v>0</v>
      </c>
      <c r="W10" s="106">
        <v>0</v>
      </c>
      <c r="X10" s="106">
        <v>1</v>
      </c>
      <c r="Y10" s="106">
        <v>1</v>
      </c>
      <c r="Z10" s="106">
        <v>1</v>
      </c>
      <c r="AA10" s="106">
        <v>1</v>
      </c>
      <c r="AB10" s="106">
        <v>1</v>
      </c>
      <c r="AC10" s="106">
        <v>1</v>
      </c>
      <c r="AD10" s="106">
        <v>1</v>
      </c>
      <c r="AE10" s="106">
        <v>1</v>
      </c>
      <c r="AF10" s="106">
        <v>1</v>
      </c>
      <c r="AG10" s="106">
        <v>1</v>
      </c>
      <c r="AH10" s="106">
        <v>1</v>
      </c>
      <c r="AI10" s="106">
        <v>1</v>
      </c>
      <c r="AJ10" s="106">
        <v>1</v>
      </c>
      <c r="AK10" s="106">
        <v>1</v>
      </c>
      <c r="AL10" s="106">
        <v>1</v>
      </c>
      <c r="AM10" s="106">
        <v>1</v>
      </c>
      <c r="AN10" s="106">
        <v>1</v>
      </c>
    </row>
    <row r="11" spans="1:40" hidden="1" outlineLevel="1" x14ac:dyDescent="0.25">
      <c r="B11" s="39" t="str">
        <v>Scheduler</v>
      </c>
      <c r="C11" s="3"/>
      <c r="D11" s="3"/>
      <c r="E11" s="106">
        <v>0</v>
      </c>
      <c r="F11" s="106">
        <v>0</v>
      </c>
      <c r="G11" s="106">
        <v>0</v>
      </c>
      <c r="H11" s="106">
        <v>0</v>
      </c>
      <c r="I11" s="106">
        <v>0</v>
      </c>
      <c r="J11" s="106">
        <v>0</v>
      </c>
      <c r="K11" s="106">
        <v>0</v>
      </c>
      <c r="L11" s="106">
        <v>0</v>
      </c>
      <c r="M11" s="106">
        <v>0</v>
      </c>
      <c r="N11" s="106">
        <v>0</v>
      </c>
      <c r="O11" s="106">
        <v>0</v>
      </c>
      <c r="P11" s="106">
        <v>0</v>
      </c>
      <c r="Q11" s="106">
        <v>0</v>
      </c>
      <c r="R11" s="106">
        <v>0</v>
      </c>
      <c r="S11" s="106">
        <v>0</v>
      </c>
      <c r="T11" s="106">
        <v>0</v>
      </c>
      <c r="U11" s="106">
        <v>0</v>
      </c>
      <c r="V11" s="106">
        <v>0</v>
      </c>
      <c r="W11" s="106">
        <v>0</v>
      </c>
      <c r="X11" s="106">
        <v>0</v>
      </c>
      <c r="Y11" s="106">
        <v>0</v>
      </c>
      <c r="Z11" s="106">
        <v>0</v>
      </c>
      <c r="AA11" s="106">
        <v>0</v>
      </c>
      <c r="AB11" s="106">
        <v>0</v>
      </c>
      <c r="AC11" s="106">
        <v>0</v>
      </c>
      <c r="AD11" s="106">
        <v>0</v>
      </c>
      <c r="AE11" s="106">
        <v>0</v>
      </c>
      <c r="AF11" s="106">
        <v>0</v>
      </c>
      <c r="AG11" s="106">
        <v>0</v>
      </c>
      <c r="AH11" s="106">
        <v>0</v>
      </c>
      <c r="AI11" s="106">
        <v>0</v>
      </c>
      <c r="AJ11" s="106">
        <v>0</v>
      </c>
      <c r="AK11" s="106">
        <v>0</v>
      </c>
      <c r="AL11" s="106">
        <v>0</v>
      </c>
      <c r="AM11" s="106">
        <v>0</v>
      </c>
      <c r="AN11" s="106">
        <v>0</v>
      </c>
    </row>
    <row r="12" spans="1:40" hidden="1" outlineLevel="1" x14ac:dyDescent="0.25">
      <c r="B12" s="39" t="str">
        <v>Initial Consultation Expert</v>
      </c>
      <c r="C12" s="3"/>
      <c r="D12" s="3"/>
      <c r="E12" s="106">
        <v>0</v>
      </c>
      <c r="F12" s="106">
        <v>0</v>
      </c>
      <c r="G12" s="106">
        <v>0</v>
      </c>
      <c r="H12" s="106">
        <v>0</v>
      </c>
      <c r="I12" s="106">
        <v>0</v>
      </c>
      <c r="J12" s="106">
        <v>0</v>
      </c>
      <c r="K12" s="106">
        <v>0</v>
      </c>
      <c r="L12" s="106">
        <v>0</v>
      </c>
      <c r="M12" s="106">
        <v>0</v>
      </c>
      <c r="N12" s="106">
        <v>0</v>
      </c>
      <c r="O12" s="106">
        <v>0</v>
      </c>
      <c r="P12" s="106">
        <v>0</v>
      </c>
      <c r="Q12" s="106">
        <v>0</v>
      </c>
      <c r="R12" s="106">
        <v>0</v>
      </c>
      <c r="S12" s="106">
        <v>0</v>
      </c>
      <c r="T12" s="106">
        <v>0</v>
      </c>
      <c r="U12" s="106">
        <v>0</v>
      </c>
      <c r="V12" s="106">
        <v>0</v>
      </c>
      <c r="W12" s="106">
        <v>0</v>
      </c>
      <c r="X12" s="106">
        <v>0.25</v>
      </c>
      <c r="Y12" s="106">
        <v>0.26</v>
      </c>
      <c r="Z12" s="106">
        <v>0.27</v>
      </c>
      <c r="AA12" s="106">
        <v>0.29000000000000004</v>
      </c>
      <c r="AB12" s="106">
        <v>0.3</v>
      </c>
      <c r="AC12" s="106">
        <v>0.31</v>
      </c>
      <c r="AD12" s="106">
        <v>0.33</v>
      </c>
      <c r="AE12" s="106">
        <v>0.34</v>
      </c>
      <c r="AF12" s="106">
        <v>0.35000000000000003</v>
      </c>
      <c r="AG12" s="106">
        <v>0.36</v>
      </c>
      <c r="AH12" s="106">
        <v>0.38</v>
      </c>
      <c r="AI12" s="106">
        <v>0.39</v>
      </c>
      <c r="AJ12" s="106">
        <v>0.17</v>
      </c>
      <c r="AK12" s="106">
        <v>0.18000000000000002</v>
      </c>
      <c r="AL12" s="106">
        <v>0.2</v>
      </c>
      <c r="AM12" s="106">
        <v>0.21000000000000002</v>
      </c>
      <c r="AN12" s="106">
        <v>0.22</v>
      </c>
    </row>
    <row r="13" spans="1:40" hidden="1" outlineLevel="1" x14ac:dyDescent="0.25">
      <c r="B13" s="39" t="str">
        <v>Trainer</v>
      </c>
      <c r="C13" s="3"/>
      <c r="D13" s="3"/>
      <c r="E13" s="106">
        <v>0</v>
      </c>
      <c r="F13" s="106">
        <v>0</v>
      </c>
      <c r="G13" s="106">
        <v>0</v>
      </c>
      <c r="H13" s="106">
        <v>0</v>
      </c>
      <c r="I13" s="106">
        <v>0</v>
      </c>
      <c r="J13" s="106">
        <v>0</v>
      </c>
      <c r="K13" s="106">
        <v>0</v>
      </c>
      <c r="L13" s="106">
        <v>0</v>
      </c>
      <c r="M13" s="106">
        <v>0</v>
      </c>
      <c r="N13" s="106">
        <v>0</v>
      </c>
      <c r="O13" s="106">
        <v>0</v>
      </c>
      <c r="P13" s="106">
        <v>0</v>
      </c>
      <c r="Q13" s="106">
        <v>0</v>
      </c>
      <c r="R13" s="106">
        <v>0</v>
      </c>
      <c r="S13" s="106">
        <v>0</v>
      </c>
      <c r="T13" s="106">
        <v>0</v>
      </c>
      <c r="U13" s="106">
        <v>0</v>
      </c>
      <c r="V13" s="106">
        <v>0</v>
      </c>
      <c r="W13" s="106">
        <v>0.02</v>
      </c>
      <c r="X13" s="106">
        <v>0.35000000000000003</v>
      </c>
      <c r="Y13" s="106">
        <v>0.39</v>
      </c>
      <c r="Z13" s="106">
        <v>0.42</v>
      </c>
      <c r="AA13" s="106">
        <v>0.45</v>
      </c>
      <c r="AB13" s="106">
        <v>0.49</v>
      </c>
      <c r="AC13" s="106">
        <v>0.52</v>
      </c>
      <c r="AD13" s="106">
        <v>0.55000000000000004</v>
      </c>
      <c r="AE13" s="106">
        <v>0.59</v>
      </c>
      <c r="AF13" s="106">
        <v>0.62</v>
      </c>
      <c r="AG13" s="106">
        <v>0.65</v>
      </c>
      <c r="AH13" s="106">
        <v>0.69000000000000006</v>
      </c>
      <c r="AI13" s="106">
        <v>0.72</v>
      </c>
      <c r="AJ13" s="106">
        <v>0.45</v>
      </c>
      <c r="AK13" s="106">
        <v>0.47000000000000003</v>
      </c>
      <c r="AL13" s="106">
        <v>0.49</v>
      </c>
      <c r="AM13" s="106">
        <v>0.5</v>
      </c>
      <c r="AN13" s="106">
        <v>0.52</v>
      </c>
    </row>
    <row r="14" spans="1:40" hidden="1" outlineLevel="1" x14ac:dyDescent="0.25">
      <c r="B14" s="39" t="str">
        <v>Recruiter</v>
      </c>
      <c r="C14" s="3"/>
      <c r="D14" s="3"/>
      <c r="E14" s="106">
        <v>0</v>
      </c>
      <c r="F14" s="106">
        <v>0</v>
      </c>
      <c r="G14" s="106">
        <v>0</v>
      </c>
      <c r="H14" s="106">
        <v>0</v>
      </c>
      <c r="I14" s="106">
        <v>0</v>
      </c>
      <c r="J14" s="106">
        <v>0</v>
      </c>
      <c r="K14" s="106">
        <v>0</v>
      </c>
      <c r="L14" s="106">
        <v>0</v>
      </c>
      <c r="M14" s="106">
        <v>0</v>
      </c>
      <c r="N14" s="106">
        <v>0</v>
      </c>
      <c r="O14" s="106">
        <v>0</v>
      </c>
      <c r="P14" s="106">
        <v>0</v>
      </c>
      <c r="Q14" s="106">
        <v>0</v>
      </c>
      <c r="R14" s="106">
        <v>0</v>
      </c>
      <c r="S14" s="106">
        <v>0</v>
      </c>
      <c r="T14" s="106">
        <v>0</v>
      </c>
      <c r="U14" s="106">
        <v>0</v>
      </c>
      <c r="V14" s="106">
        <v>0</v>
      </c>
      <c r="W14" s="106">
        <v>0.02</v>
      </c>
      <c r="X14" s="106">
        <v>0.2</v>
      </c>
      <c r="Y14" s="106">
        <v>0.22</v>
      </c>
      <c r="Z14" s="106">
        <v>0.25</v>
      </c>
      <c r="AA14" s="106">
        <v>0.27</v>
      </c>
      <c r="AB14" s="106">
        <v>0.3</v>
      </c>
      <c r="AC14" s="106">
        <v>0.32</v>
      </c>
      <c r="AD14" s="106">
        <v>0.35000000000000003</v>
      </c>
      <c r="AE14" s="106">
        <v>0.37</v>
      </c>
      <c r="AF14" s="106">
        <v>0.39</v>
      </c>
      <c r="AG14" s="106">
        <v>0.42</v>
      </c>
      <c r="AH14" s="106">
        <v>0.44</v>
      </c>
      <c r="AI14" s="106">
        <v>0.47000000000000003</v>
      </c>
      <c r="AJ14" s="106">
        <v>0.34</v>
      </c>
      <c r="AK14" s="106">
        <v>0.35000000000000003</v>
      </c>
      <c r="AL14" s="106">
        <v>0.36</v>
      </c>
      <c r="AM14" s="106">
        <v>0.37</v>
      </c>
      <c r="AN14" s="106">
        <v>0.38</v>
      </c>
    </row>
    <row r="15" spans="1:40" hidden="1" outlineLevel="1" x14ac:dyDescent="0.25">
      <c r="B15" s="39" t="str">
        <v>Center Director / Remote Site Director</v>
      </c>
      <c r="C15" s="3"/>
      <c r="D15" s="3"/>
      <c r="E15" s="106">
        <v>0</v>
      </c>
      <c r="F15" s="106">
        <v>0</v>
      </c>
      <c r="G15" s="106">
        <v>0</v>
      </c>
      <c r="H15" s="106">
        <v>0</v>
      </c>
      <c r="I15" s="106">
        <v>0</v>
      </c>
      <c r="J15" s="106">
        <v>0</v>
      </c>
      <c r="K15" s="106">
        <v>0</v>
      </c>
      <c r="L15" s="106">
        <v>0</v>
      </c>
      <c r="M15" s="106">
        <v>0</v>
      </c>
      <c r="N15" s="106">
        <v>0</v>
      </c>
      <c r="O15" s="106">
        <v>0</v>
      </c>
      <c r="P15" s="106">
        <v>0</v>
      </c>
      <c r="Q15" s="106">
        <v>0</v>
      </c>
      <c r="R15" s="106">
        <v>0</v>
      </c>
      <c r="S15" s="106">
        <v>0</v>
      </c>
      <c r="T15" s="106">
        <v>0</v>
      </c>
      <c r="U15" s="106">
        <v>0</v>
      </c>
      <c r="V15" s="106">
        <v>0</v>
      </c>
      <c r="W15" s="106">
        <v>0.02</v>
      </c>
      <c r="X15" s="106">
        <v>0.03</v>
      </c>
      <c r="Y15" s="106">
        <v>0.04</v>
      </c>
      <c r="Z15" s="106">
        <v>0.05</v>
      </c>
      <c r="AA15" s="106">
        <v>0.06</v>
      </c>
      <c r="AB15" s="106">
        <v>0.08</v>
      </c>
      <c r="AC15" s="106">
        <v>0.09</v>
      </c>
      <c r="AD15" s="106">
        <v>9.9999999999999992E-2</v>
      </c>
      <c r="AE15" s="106">
        <v>0.11</v>
      </c>
      <c r="AF15" s="106">
        <v>0.12</v>
      </c>
      <c r="AG15" s="106">
        <v>0.14000000000000001</v>
      </c>
      <c r="AH15" s="106">
        <v>0.15000000000000002</v>
      </c>
      <c r="AI15" s="106">
        <v>0.16</v>
      </c>
      <c r="AJ15" s="106">
        <v>0.17</v>
      </c>
      <c r="AK15" s="106">
        <v>0.17</v>
      </c>
      <c r="AL15" s="106">
        <v>0.17</v>
      </c>
      <c r="AM15" s="106">
        <v>0.17</v>
      </c>
      <c r="AN15" s="106">
        <v>0.17</v>
      </c>
    </row>
    <row r="16" spans="1:40" hidden="1" outlineLevel="1" x14ac:dyDescent="0.25">
      <c r="B16" s="39" t="str">
        <v>Center Marketing Outreach</v>
      </c>
      <c r="C16" s="3"/>
      <c r="D16" s="3"/>
      <c r="E16" s="106">
        <v>0</v>
      </c>
      <c r="F16" s="106">
        <v>0</v>
      </c>
      <c r="G16" s="106">
        <v>0</v>
      </c>
      <c r="H16" s="106">
        <v>0</v>
      </c>
      <c r="I16" s="106">
        <v>0</v>
      </c>
      <c r="J16" s="106">
        <v>0</v>
      </c>
      <c r="K16" s="106">
        <v>0</v>
      </c>
      <c r="L16" s="106">
        <v>0</v>
      </c>
      <c r="M16" s="106">
        <v>0</v>
      </c>
      <c r="N16" s="106">
        <v>0</v>
      </c>
      <c r="O16" s="106">
        <v>0</v>
      </c>
      <c r="P16" s="106">
        <v>0</v>
      </c>
      <c r="Q16" s="106">
        <v>0</v>
      </c>
      <c r="R16" s="106">
        <v>0</v>
      </c>
      <c r="S16" s="106">
        <v>0</v>
      </c>
      <c r="T16" s="106">
        <v>0</v>
      </c>
      <c r="U16" s="106">
        <v>0</v>
      </c>
      <c r="V16" s="106">
        <v>0</v>
      </c>
      <c r="W16" s="106">
        <v>0.02</v>
      </c>
      <c r="X16" s="106">
        <v>0.03</v>
      </c>
      <c r="Y16" s="106">
        <v>0.04</v>
      </c>
      <c r="Z16" s="106">
        <v>0.05</v>
      </c>
      <c r="AA16" s="106">
        <v>0.06</v>
      </c>
      <c r="AB16" s="106">
        <v>0.08</v>
      </c>
      <c r="AC16" s="106">
        <v>0.09</v>
      </c>
      <c r="AD16" s="106">
        <v>9.9999999999999992E-2</v>
      </c>
      <c r="AE16" s="106">
        <v>0.11</v>
      </c>
      <c r="AF16" s="106">
        <v>0.12</v>
      </c>
      <c r="AG16" s="106">
        <v>0.14000000000000001</v>
      </c>
      <c r="AH16" s="106">
        <v>0.15000000000000002</v>
      </c>
      <c r="AI16" s="106">
        <v>0.16</v>
      </c>
      <c r="AJ16" s="106">
        <v>0.17</v>
      </c>
      <c r="AK16" s="106">
        <v>0.17</v>
      </c>
      <c r="AL16" s="106">
        <v>0.17</v>
      </c>
      <c r="AM16" s="106">
        <v>0.17</v>
      </c>
      <c r="AN16" s="106">
        <v>0.17</v>
      </c>
    </row>
    <row r="17" spans="2:50" hidden="1" outlineLevel="1" x14ac:dyDescent="0.25">
      <c r="B17" s="39" t="str">
        <v>Primary Direct Staff Lead</v>
      </c>
      <c r="C17" s="3"/>
      <c r="D17" s="3"/>
      <c r="E17" s="106">
        <v>0</v>
      </c>
      <c r="F17" s="106">
        <v>0</v>
      </c>
      <c r="G17" s="106">
        <v>0</v>
      </c>
      <c r="H17" s="106">
        <v>0</v>
      </c>
      <c r="I17" s="106">
        <v>0</v>
      </c>
      <c r="J17" s="106">
        <v>0</v>
      </c>
      <c r="K17" s="106">
        <v>0</v>
      </c>
      <c r="L17" s="106">
        <v>0</v>
      </c>
      <c r="M17" s="106">
        <v>0</v>
      </c>
      <c r="N17" s="106">
        <v>0</v>
      </c>
      <c r="O17" s="106">
        <v>0</v>
      </c>
      <c r="P17" s="106">
        <v>0</v>
      </c>
      <c r="Q17" s="106">
        <v>0</v>
      </c>
      <c r="R17" s="106">
        <v>0</v>
      </c>
      <c r="S17" s="106">
        <v>0</v>
      </c>
      <c r="T17" s="106">
        <v>0</v>
      </c>
      <c r="U17" s="106">
        <v>0</v>
      </c>
      <c r="V17" s="106">
        <v>0</v>
      </c>
      <c r="W17" s="106">
        <v>0.3</v>
      </c>
      <c r="X17" s="106">
        <v>0.6</v>
      </c>
      <c r="Y17" s="106">
        <v>0.9</v>
      </c>
      <c r="Z17" s="106">
        <v>1.2</v>
      </c>
      <c r="AA17" s="106">
        <v>1.5</v>
      </c>
      <c r="AB17" s="106">
        <v>1.8</v>
      </c>
      <c r="AC17" s="106">
        <v>2.1</v>
      </c>
      <c r="AD17" s="106">
        <v>2.4</v>
      </c>
      <c r="AE17" s="106">
        <v>2.7</v>
      </c>
      <c r="AF17" s="106">
        <v>3</v>
      </c>
      <c r="AG17" s="106">
        <v>3.3</v>
      </c>
      <c r="AH17" s="106">
        <v>3.6</v>
      </c>
      <c r="AI17" s="106">
        <v>3.9</v>
      </c>
      <c r="AJ17" s="106">
        <v>4.2</v>
      </c>
      <c r="AK17" s="106">
        <v>4.2</v>
      </c>
      <c r="AL17" s="106">
        <v>4.2</v>
      </c>
      <c r="AM17" s="106">
        <v>4.2</v>
      </c>
      <c r="AN17" s="106">
        <v>4.2</v>
      </c>
    </row>
    <row r="18" spans="2:50" hidden="1" outlineLevel="1" x14ac:dyDescent="0.25">
      <c r="B18" s="39" t="str">
        <v>Tertiary Direct Staff</v>
      </c>
      <c r="C18" s="3"/>
      <c r="D18" s="3"/>
      <c r="E18" s="106">
        <v>0</v>
      </c>
      <c r="F18" s="106">
        <v>0</v>
      </c>
      <c r="G18" s="106">
        <v>0</v>
      </c>
      <c r="H18" s="106">
        <v>0</v>
      </c>
      <c r="I18" s="106">
        <v>0</v>
      </c>
      <c r="J18" s="106">
        <v>0</v>
      </c>
      <c r="K18" s="106">
        <v>0</v>
      </c>
      <c r="L18" s="106">
        <v>0</v>
      </c>
      <c r="M18" s="106">
        <v>0</v>
      </c>
      <c r="N18" s="106">
        <v>0</v>
      </c>
      <c r="O18" s="106">
        <v>0</v>
      </c>
      <c r="P18" s="106">
        <v>0</v>
      </c>
      <c r="Q18" s="106">
        <v>0</v>
      </c>
      <c r="R18" s="106">
        <v>0</v>
      </c>
      <c r="S18" s="106">
        <v>0</v>
      </c>
      <c r="T18" s="106">
        <v>0</v>
      </c>
      <c r="U18" s="106">
        <v>0</v>
      </c>
      <c r="V18" s="106">
        <v>0</v>
      </c>
      <c r="W18" s="106">
        <v>0</v>
      </c>
      <c r="X18" s="106">
        <v>0</v>
      </c>
      <c r="Y18" s="106">
        <v>0</v>
      </c>
      <c r="Z18" s="106">
        <v>0</v>
      </c>
      <c r="AA18" s="106">
        <v>0</v>
      </c>
      <c r="AB18" s="106">
        <v>0</v>
      </c>
      <c r="AC18" s="106">
        <v>0</v>
      </c>
      <c r="AD18" s="106">
        <v>0</v>
      </c>
      <c r="AE18" s="106">
        <v>0</v>
      </c>
      <c r="AF18" s="106">
        <v>0</v>
      </c>
      <c r="AG18" s="106">
        <v>0</v>
      </c>
      <c r="AH18" s="106">
        <v>0</v>
      </c>
      <c r="AI18" s="106">
        <v>0</v>
      </c>
      <c r="AJ18" s="106">
        <v>0</v>
      </c>
      <c r="AK18" s="106">
        <v>0</v>
      </c>
      <c r="AL18" s="106">
        <v>0</v>
      </c>
      <c r="AM18" s="106">
        <v>0</v>
      </c>
      <c r="AN18" s="106">
        <v>0</v>
      </c>
    </row>
    <row r="19" spans="2:50" hidden="1" outlineLevel="1" x14ac:dyDescent="0.25">
      <c r="B19" s="39" t="str">
        <v>Quinary Direct Staff</v>
      </c>
      <c r="C19" s="3"/>
      <c r="D19" s="3"/>
      <c r="E19" s="106">
        <v>0</v>
      </c>
      <c r="F19" s="106">
        <v>0</v>
      </c>
      <c r="G19" s="106">
        <v>0</v>
      </c>
      <c r="H19" s="106">
        <v>0</v>
      </c>
      <c r="I19" s="106">
        <v>0</v>
      </c>
      <c r="J19" s="106">
        <v>0</v>
      </c>
      <c r="K19" s="106">
        <v>0</v>
      </c>
      <c r="L19" s="106">
        <v>0</v>
      </c>
      <c r="M19" s="106">
        <v>0</v>
      </c>
      <c r="N19" s="106">
        <v>0</v>
      </c>
      <c r="O19" s="106">
        <v>0</v>
      </c>
      <c r="P19" s="106">
        <v>0</v>
      </c>
      <c r="Q19" s="106">
        <v>0</v>
      </c>
      <c r="R19" s="106">
        <v>0</v>
      </c>
      <c r="S19" s="106">
        <v>0</v>
      </c>
      <c r="T19" s="106">
        <v>0</v>
      </c>
      <c r="U19" s="106">
        <v>0</v>
      </c>
      <c r="V19" s="106">
        <v>0</v>
      </c>
      <c r="W19" s="106">
        <v>0</v>
      </c>
      <c r="X19" s="106">
        <v>0</v>
      </c>
      <c r="Y19" s="106">
        <v>0</v>
      </c>
      <c r="Z19" s="106">
        <v>0</v>
      </c>
      <c r="AA19" s="106">
        <v>0</v>
      </c>
      <c r="AB19" s="106">
        <v>0</v>
      </c>
      <c r="AC19" s="106">
        <v>0</v>
      </c>
      <c r="AD19" s="106">
        <v>0</v>
      </c>
      <c r="AE19" s="106">
        <v>0</v>
      </c>
      <c r="AF19" s="106">
        <v>0</v>
      </c>
      <c r="AG19" s="106">
        <v>0</v>
      </c>
      <c r="AH19" s="106">
        <v>0</v>
      </c>
      <c r="AI19" s="106">
        <v>0</v>
      </c>
      <c r="AJ19" s="106">
        <v>0</v>
      </c>
      <c r="AK19" s="106">
        <v>0</v>
      </c>
      <c r="AL19" s="106">
        <v>0</v>
      </c>
      <c r="AM19" s="106">
        <v>0</v>
      </c>
      <c r="AN19" s="106">
        <v>0</v>
      </c>
    </row>
    <row r="20" spans="2:50" hidden="1" outlineLevel="1" x14ac:dyDescent="0.25">
      <c r="B20" s="39" t="str">
        <v>Quaternary Direct Staff</v>
      </c>
      <c r="C20" s="3"/>
      <c r="D20" s="3"/>
      <c r="E20" s="106">
        <v>0</v>
      </c>
      <c r="F20" s="106">
        <v>0</v>
      </c>
      <c r="G20" s="106">
        <v>0</v>
      </c>
      <c r="H20" s="106">
        <v>0</v>
      </c>
      <c r="I20" s="106">
        <v>0</v>
      </c>
      <c r="J20" s="106">
        <v>0</v>
      </c>
      <c r="K20" s="106">
        <v>0</v>
      </c>
      <c r="L20" s="106">
        <v>0</v>
      </c>
      <c r="M20" s="106">
        <v>0</v>
      </c>
      <c r="N20" s="106">
        <v>0</v>
      </c>
      <c r="O20" s="106">
        <v>0</v>
      </c>
      <c r="P20" s="106">
        <v>0</v>
      </c>
      <c r="Q20" s="106">
        <v>0</v>
      </c>
      <c r="R20" s="106">
        <v>0</v>
      </c>
      <c r="S20" s="106">
        <v>0</v>
      </c>
      <c r="T20" s="106">
        <v>0</v>
      </c>
      <c r="U20" s="106">
        <v>0</v>
      </c>
      <c r="V20" s="106">
        <v>0</v>
      </c>
      <c r="W20" s="106">
        <v>1</v>
      </c>
      <c r="X20" s="106">
        <v>1</v>
      </c>
      <c r="Y20" s="106">
        <v>1</v>
      </c>
      <c r="Z20" s="106">
        <v>1</v>
      </c>
      <c r="AA20" s="106">
        <v>1</v>
      </c>
      <c r="AB20" s="106">
        <v>1</v>
      </c>
      <c r="AC20" s="106">
        <v>1</v>
      </c>
      <c r="AD20" s="106">
        <v>1</v>
      </c>
      <c r="AE20" s="106">
        <v>1</v>
      </c>
      <c r="AF20" s="106">
        <v>1</v>
      </c>
      <c r="AG20" s="106">
        <v>1</v>
      </c>
      <c r="AH20" s="106">
        <v>1</v>
      </c>
      <c r="AI20" s="106">
        <v>1</v>
      </c>
      <c r="AJ20" s="106">
        <v>1</v>
      </c>
      <c r="AK20" s="106">
        <v>1</v>
      </c>
      <c r="AL20" s="106">
        <v>1</v>
      </c>
      <c r="AM20" s="106">
        <v>1</v>
      </c>
      <c r="AN20" s="106">
        <v>1</v>
      </c>
    </row>
    <row r="21" spans="2:50" collapsed="1" x14ac:dyDescent="0.25">
      <c r="B21" s="39" t="s">
        <v>389</v>
      </c>
      <c r="C21" s="3"/>
      <c r="D21" s="5"/>
      <c r="E21" s="117" cm="1">
        <f t="array" ref="E21:AN21">ROUND(_xlfn.BYCOL(_xlfn.CHOOSEROWS(_xlfn.ANCHORARRAY(E7),1,2),_xlfn.LAMBDA(_xlpm.col,SUM(_xlpm.col))),0)</f>
        <v>0</v>
      </c>
      <c r="F21" s="117">
        <v>0</v>
      </c>
      <c r="G21" s="117">
        <v>0</v>
      </c>
      <c r="H21" s="117">
        <v>0</v>
      </c>
      <c r="I21" s="117">
        <v>0</v>
      </c>
      <c r="J21" s="117">
        <v>0</v>
      </c>
      <c r="K21" s="117">
        <v>0</v>
      </c>
      <c r="L21" s="117">
        <v>0</v>
      </c>
      <c r="M21" s="117">
        <v>0</v>
      </c>
      <c r="N21" s="117">
        <v>0</v>
      </c>
      <c r="O21" s="117">
        <v>0</v>
      </c>
      <c r="P21" s="117">
        <v>0</v>
      </c>
      <c r="Q21" s="117">
        <v>0</v>
      </c>
      <c r="R21" s="117">
        <v>0</v>
      </c>
      <c r="S21" s="117">
        <v>0</v>
      </c>
      <c r="T21" s="117">
        <v>0</v>
      </c>
      <c r="U21" s="117">
        <v>0</v>
      </c>
      <c r="V21" s="117">
        <v>0</v>
      </c>
      <c r="W21" s="117">
        <v>3</v>
      </c>
      <c r="X21" s="117">
        <v>7</v>
      </c>
      <c r="Y21" s="117">
        <v>10</v>
      </c>
      <c r="Z21" s="117">
        <v>13</v>
      </c>
      <c r="AA21" s="117">
        <v>16</v>
      </c>
      <c r="AB21" s="117">
        <v>20</v>
      </c>
      <c r="AC21" s="117">
        <v>23</v>
      </c>
      <c r="AD21" s="117">
        <v>26</v>
      </c>
      <c r="AE21" s="117">
        <v>29</v>
      </c>
      <c r="AF21" s="117">
        <v>33</v>
      </c>
      <c r="AG21" s="117">
        <v>36</v>
      </c>
      <c r="AH21" s="117">
        <v>39</v>
      </c>
      <c r="AI21" s="117">
        <v>42</v>
      </c>
      <c r="AJ21" s="117">
        <v>46</v>
      </c>
      <c r="AK21" s="117">
        <v>46</v>
      </c>
      <c r="AL21" s="117">
        <v>46</v>
      </c>
      <c r="AM21" s="117">
        <v>46</v>
      </c>
      <c r="AN21" s="117">
        <v>46</v>
      </c>
    </row>
    <row r="22" spans="2:50" x14ac:dyDescent="0.25">
      <c r="B22" s="2" t="s">
        <v>394</v>
      </c>
      <c r="C22" s="3"/>
      <c r="D22" s="77">
        <f>MAX(_xlfn.ANCHORARRAY(E22))</f>
        <v>170.02883240223468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0</v>
      </c>
      <c r="F22" s="78">
        <v>0</v>
      </c>
      <c r="G22" s="78">
        <v>0</v>
      </c>
      <c r="H22" s="78">
        <v>0</v>
      </c>
      <c r="I22" s="78">
        <v>0</v>
      </c>
      <c r="J22" s="78">
        <v>0</v>
      </c>
      <c r="K22" s="78">
        <v>0</v>
      </c>
      <c r="L22" s="78">
        <v>0</v>
      </c>
      <c r="M22" s="78">
        <v>0</v>
      </c>
      <c r="N22" s="78">
        <v>0</v>
      </c>
      <c r="O22" s="78">
        <v>0</v>
      </c>
      <c r="P22" s="78">
        <v>0</v>
      </c>
      <c r="Q22" s="78">
        <v>0</v>
      </c>
      <c r="R22" s="78">
        <v>0</v>
      </c>
      <c r="S22" s="78">
        <v>0</v>
      </c>
      <c r="T22" s="78">
        <v>0</v>
      </c>
      <c r="U22" s="78">
        <v>0</v>
      </c>
      <c r="V22" s="78">
        <v>0</v>
      </c>
      <c r="W22" s="78">
        <v>170.02883240223466</v>
      </c>
      <c r="X22" s="78">
        <v>170.02883240223466</v>
      </c>
      <c r="Y22" s="78">
        <v>170.02883240223466</v>
      </c>
      <c r="Z22" s="78">
        <v>170.02883240223466</v>
      </c>
      <c r="AA22" s="78">
        <v>170.02883240223466</v>
      </c>
      <c r="AB22" s="78">
        <v>170.02883240223466</v>
      </c>
      <c r="AC22" s="78">
        <v>170.02883240223463</v>
      </c>
      <c r="AD22" s="78">
        <v>170.02883240223466</v>
      </c>
      <c r="AE22" s="78">
        <v>170.02883240223468</v>
      </c>
      <c r="AF22" s="78">
        <v>170.02883240223466</v>
      </c>
      <c r="AG22" s="78">
        <v>170.02883240223468</v>
      </c>
      <c r="AH22" s="78">
        <v>170.02883240223466</v>
      </c>
      <c r="AI22" s="78">
        <v>170.02883240223466</v>
      </c>
      <c r="AJ22" s="78">
        <v>170.02883240223463</v>
      </c>
      <c r="AK22" s="78">
        <v>170.02883240223463</v>
      </c>
      <c r="AL22" s="78">
        <v>170.02883240223463</v>
      </c>
      <c r="AM22" s="78">
        <v>170.02883240223463</v>
      </c>
      <c r="AN22" s="78">
        <v>170.02883240223463</v>
      </c>
    </row>
    <row r="23" spans="2:50" x14ac:dyDescent="0.25">
      <c r="B23" s="2" t="s">
        <v>53</v>
      </c>
      <c r="C23" s="3"/>
      <c r="D23" s="72"/>
      <c r="E23" s="52" cm="1">
        <f t="array" ref="E23:AN23">_xlfn.LET(_xlpm.site,$B$1&amp;"-"&amp;$C$1,_xlpm.locations,Base!$D$4:$BD$4,_xlpm.Customer,_xlfn.ANCHORARRAY(E1),_xlpm.hours,SUM(_xlfn.XLOOKUP(_xlpm.site,_xlpm.locations,Base!$D$74:$BD$78,0,0)),
_xlpm.collection,1-_xlfn.XLOOKUP(_xlpm.site,_xlpm.locations,Base!$D$26:$BD$26,0,0),
_xlpm.Customer*_xlpm.hours*_xlpm.collection*(52/12))</f>
        <v>0</v>
      </c>
      <c r="F23" s="52">
        <v>0</v>
      </c>
      <c r="G23" s="52">
        <v>0</v>
      </c>
      <c r="H23" s="52">
        <v>0</v>
      </c>
      <c r="I23" s="52">
        <v>0</v>
      </c>
      <c r="J23" s="52">
        <v>0</v>
      </c>
      <c r="K23" s="52">
        <v>0</v>
      </c>
      <c r="L23" s="52">
        <v>0</v>
      </c>
      <c r="M23" s="52">
        <v>0</v>
      </c>
      <c r="N23" s="52">
        <v>0</v>
      </c>
      <c r="O23" s="52">
        <v>0</v>
      </c>
      <c r="P23" s="52">
        <v>0</v>
      </c>
      <c r="Q23" s="52">
        <v>0</v>
      </c>
      <c r="R23" s="52">
        <v>0</v>
      </c>
      <c r="S23" s="52">
        <v>0</v>
      </c>
      <c r="T23" s="52">
        <v>0</v>
      </c>
      <c r="U23" s="52">
        <v>0</v>
      </c>
      <c r="V23" s="52">
        <v>0</v>
      </c>
      <c r="W23" s="52">
        <v>315.03999999999996</v>
      </c>
      <c r="X23" s="52">
        <v>630.07999999999993</v>
      </c>
      <c r="Y23" s="52">
        <v>945.11999999999989</v>
      </c>
      <c r="Z23" s="52">
        <v>1260.1599999999999</v>
      </c>
      <c r="AA23" s="52">
        <v>1575.1999999999996</v>
      </c>
      <c r="AB23" s="52">
        <v>1890.2399999999998</v>
      </c>
      <c r="AC23" s="52">
        <v>2205.2799999999997</v>
      </c>
      <c r="AD23" s="52">
        <v>2520.3199999999997</v>
      </c>
      <c r="AE23" s="52">
        <v>2835.3599999999992</v>
      </c>
      <c r="AF23" s="52">
        <v>3150.3999999999992</v>
      </c>
      <c r="AG23" s="52">
        <v>3465.4399999999996</v>
      </c>
      <c r="AH23" s="52">
        <v>3780.4799999999996</v>
      </c>
      <c r="AI23" s="52">
        <v>4095.5199999999995</v>
      </c>
      <c r="AJ23" s="52">
        <v>4410.5599999999995</v>
      </c>
      <c r="AK23" s="52">
        <v>4410.5599999999995</v>
      </c>
      <c r="AL23" s="52">
        <v>4410.5599999999995</v>
      </c>
      <c r="AM23" s="52">
        <v>4410.5599999999995</v>
      </c>
      <c r="AN23" s="52">
        <v>4410.5599999999995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21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_xlfn.LET(_xlpm.site,$B$1&amp;"-"&amp;$C$1,_xlpm.locations,Base!$D$4:$BD$4,_xlpm.rates,Base!$D31:$BD31,_xlpm.hours,Base!$D74:$BD74,_xlpm.comp,_xlpm.rates*_xlpm.hours,_xlpm.Customer,_xlfn.ANCHORARRAY($E$1),
_xlpm.Customer_comp,_xlfn.XLOOKUP(_xlpm.site,_xlpm.locations,_xlpm.comp,0,0),_xlpm.ann_incr,_xlfn.XLOOKUP(YEAR(_xlfn.ANCHORARRAY($E$25)),Base!$BJ$4:$BL$4,Base!$BJ74:$BL74,0,0),
_xlpm.bad_debt,_xlfn.XLOOKUP(_xlpm.site,_xlpm.locations,Base!$D$28:$BD$28,0,0),_xlpm.Customer_comp*_xlpm.Customer*_xlpm.bad_debt*_xlpm.ann_incr*(52/12))</f>
        <v>0</v>
      </c>
      <c r="F26" s="12">
        <v>0</v>
      </c>
      <c r="G26" s="12">
        <v>0</v>
      </c>
      <c r="H26" s="12">
        <v>0</v>
      </c>
      <c r="I26" s="12">
        <v>0</v>
      </c>
      <c r="J26" s="12">
        <v>0</v>
      </c>
      <c r="K26" s="12">
        <v>0</v>
      </c>
      <c r="L26" s="12">
        <v>0</v>
      </c>
      <c r="M26" s="12">
        <v>0</v>
      </c>
      <c r="N26" s="12">
        <v>0</v>
      </c>
      <c r="O26" s="12">
        <v>0</v>
      </c>
      <c r="P26" s="12">
        <v>0</v>
      </c>
      <c r="Q26" s="12">
        <v>0</v>
      </c>
      <c r="R26" s="12">
        <v>0</v>
      </c>
      <c r="S26" s="12">
        <v>0</v>
      </c>
      <c r="T26" s="12">
        <v>0</v>
      </c>
      <c r="U26" s="12">
        <v>0</v>
      </c>
      <c r="V26" s="12">
        <v>0</v>
      </c>
      <c r="W26" s="12">
        <v>46796.978800000004</v>
      </c>
      <c r="X26" s="12">
        <v>93593.957600000009</v>
      </c>
      <c r="Y26" s="12">
        <v>140390.93640000001</v>
      </c>
      <c r="Z26" s="12">
        <v>187187.91520000002</v>
      </c>
      <c r="AA26" s="12">
        <v>233984.89399999997</v>
      </c>
      <c r="AB26" s="12">
        <v>280781.87280000001</v>
      </c>
      <c r="AC26" s="12">
        <v>327578.85159999994</v>
      </c>
      <c r="AD26" s="12">
        <v>374375.83040000004</v>
      </c>
      <c r="AE26" s="12">
        <v>421172.80919999996</v>
      </c>
      <c r="AF26" s="12">
        <v>467969.78799999994</v>
      </c>
      <c r="AG26" s="12">
        <v>514766.76679999998</v>
      </c>
      <c r="AH26" s="12">
        <v>561563.74560000002</v>
      </c>
      <c r="AI26" s="12">
        <v>608360.72439999995</v>
      </c>
      <c r="AJ26" s="12">
        <v>655157.70319999987</v>
      </c>
      <c r="AK26" s="12">
        <v>655157.70319999987</v>
      </c>
      <c r="AL26" s="12">
        <v>655157.70319999987</v>
      </c>
      <c r="AM26" s="12">
        <v>655157.70319999987</v>
      </c>
      <c r="AN26" s="12">
        <v>655157.70319999987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_xlfn.LET(_xlpm.site,$B$1&amp;"-"&amp;$C$1,_xlpm.locations,Base!$D$4:$BD$4,_xlpm.rates,Base!$D32:$BD32,_xlpm.hours,Base!$D75:$BD75,_xlpm.comp,_xlpm.rates*_xlpm.hours,_xlpm.Customer,_xlfn.ANCHORARRAY($E$1),
_xlpm.Customer_comp,_xlfn.XLOOKUP(_xlpm.site,_xlpm.locations,_xlpm.comp,0,0),_xlpm.ann_incr,_xlfn.XLOOKUP(YEAR(_xlfn.ANCHORARRAY($E$25)),Base!$BJ$4:$BL$4,Base!$BJ75:$BL75,0,0),
_xlpm.bad_debt,_xlfn.XLOOKUP(_xlpm.site,_xlpm.locations,Base!$D$28:$BD$28,0,0),_xlpm.Customer_comp*_xlpm.Customer*_xlpm.bad_debt*_xlpm.ann_incr*(52/12))</f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2743.8788</v>
      </c>
      <c r="X27" s="12">
        <v>5487.7575999999999</v>
      </c>
      <c r="Y27" s="12">
        <v>8231.6363999999994</v>
      </c>
      <c r="Z27" s="12">
        <v>10975.5152</v>
      </c>
      <c r="AA27" s="12">
        <v>13719.393999999998</v>
      </c>
      <c r="AB27" s="12">
        <v>16463.272799999999</v>
      </c>
      <c r="AC27" s="12">
        <v>19207.151600000001</v>
      </c>
      <c r="AD27" s="12">
        <v>21951.0304</v>
      </c>
      <c r="AE27" s="12">
        <v>24694.909199999995</v>
      </c>
      <c r="AF27" s="12">
        <v>27438.787999999997</v>
      </c>
      <c r="AG27" s="12">
        <v>30182.666799999999</v>
      </c>
      <c r="AH27" s="12">
        <v>32926.545599999998</v>
      </c>
      <c r="AI27" s="12">
        <v>35670.424399999996</v>
      </c>
      <c r="AJ27" s="12">
        <v>38414.303200000002</v>
      </c>
      <c r="AK27" s="12">
        <v>38414.303200000002</v>
      </c>
      <c r="AL27" s="12">
        <v>38414.303200000002</v>
      </c>
      <c r="AM27" s="12">
        <v>38414.303200000002</v>
      </c>
      <c r="AN27" s="12">
        <v>38414.303200000002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_xlfn.LET(_xlpm.site,$B$1&amp;"-"&amp;$C$1,_xlpm.locations,Base!$D$4:$BD$4,_xlpm.rates,Base!$D33:$BD33,_xlpm.hours,Base!$D76:$BD76,_xlpm.comp,_xlpm.rates*_xlpm.hours,_xlpm.Customer,_xlfn.ANCHORARRAY($E$1),
_xlpm.Customer_comp,_xlfn.XLOOKUP(_xlpm.site,_xlpm.locations,_xlpm.comp,0,0),_xlpm.ann_incr,_xlfn.XLOOKUP(YEAR(_xlfn.ANCHORARRAY($E$25)),Base!$BJ$4:$BL$4,Base!$BJ76:$BL76,0,0),
_xlpm.bad_debt,_xlfn.XLOOKUP(_xlpm.site,_xlpm.locations,Base!$D$28:$BD$28,0,0),_xlpm.Customer_comp*_xlpm.Customer*_xlpm.bad_debt*_xlpm.ann_incr*(52/12))</f>
        <v>0</v>
      </c>
      <c r="F28" s="12">
        <v>0</v>
      </c>
      <c r="G28" s="12">
        <v>0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0</v>
      </c>
      <c r="N28" s="12">
        <v>0</v>
      </c>
      <c r="O28" s="12">
        <v>0</v>
      </c>
      <c r="P28" s="12">
        <v>0</v>
      </c>
      <c r="Q28" s="12">
        <v>0</v>
      </c>
      <c r="R28" s="12">
        <v>0</v>
      </c>
      <c r="S28" s="12">
        <v>0</v>
      </c>
      <c r="T28" s="12">
        <v>0</v>
      </c>
      <c r="U28" s="12">
        <v>0</v>
      </c>
      <c r="V28" s="12">
        <v>0</v>
      </c>
      <c r="W28" s="12">
        <v>6521.1174599999977</v>
      </c>
      <c r="X28" s="12">
        <v>13042.234919999995</v>
      </c>
      <c r="Y28" s="12">
        <v>19563.352379999993</v>
      </c>
      <c r="Z28" s="12">
        <v>26084.469839999991</v>
      </c>
      <c r="AA28" s="12">
        <v>32605.587299999992</v>
      </c>
      <c r="AB28" s="12">
        <v>39126.704759999986</v>
      </c>
      <c r="AC28" s="12">
        <v>45647.822219999987</v>
      </c>
      <c r="AD28" s="12">
        <v>52168.939679999981</v>
      </c>
      <c r="AE28" s="12">
        <v>58690.057139999983</v>
      </c>
      <c r="AF28" s="12">
        <v>65211.174599999984</v>
      </c>
      <c r="AG28" s="12">
        <v>71732.292059999978</v>
      </c>
      <c r="AH28" s="12">
        <v>78253.409519999972</v>
      </c>
      <c r="AI28" s="12">
        <v>84774.526979999995</v>
      </c>
      <c r="AJ28" s="12">
        <v>91295.644439999975</v>
      </c>
      <c r="AK28" s="12">
        <v>91295.644439999975</v>
      </c>
      <c r="AL28" s="12">
        <v>91295.644439999975</v>
      </c>
      <c r="AM28" s="12">
        <v>91295.644439999975</v>
      </c>
      <c r="AN28" s="12">
        <v>91295.644439999975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_xlfn.LET(_xlpm.site,$B$1&amp;"-"&amp;$C$1,_xlpm.locations,Base!$D$4:$BD$4,_xlpm.rates,Base!$D34:$BD34,_xlpm.hours,Base!$D77:$BD77,_xlpm.comp,_xlpm.rates*_xlpm.hours,_xlpm.Customer,_xlfn.ANCHORARRAY($E$1),
_xlpm.Customer_comp,_xlfn.XLOOKUP(_xlpm.site,_xlpm.locations,_xlpm.comp,0,0),_xlpm.ann_incr,_xlfn.XLOOKUP(YEAR(_xlfn.ANCHORARRAY($E$25)),Base!$BJ$4:$BL$4,Base!$BJ77:$BL77,0,0),
_xlpm.bad_debt,_xlfn.XLOOKUP(_xlpm.site,_xlpm.locations,Base!$D$28:$BD$28,0,0),_xlpm.Customer_comp*_xlpm.Customer*_xlpm.bad_debt*_xlpm.ann_incr*(52/12))</f>
        <v>0</v>
      </c>
      <c r="F29" s="12">
        <v>0</v>
      </c>
      <c r="G29" s="12">
        <v>0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0</v>
      </c>
      <c r="N29" s="12">
        <v>0</v>
      </c>
      <c r="O29" s="12">
        <v>0</v>
      </c>
      <c r="P29" s="12">
        <v>0</v>
      </c>
      <c r="Q29" s="12">
        <v>0</v>
      </c>
      <c r="R29" s="12">
        <v>0</v>
      </c>
      <c r="S29" s="12">
        <v>0</v>
      </c>
      <c r="T29" s="12">
        <v>0</v>
      </c>
      <c r="U29" s="12">
        <v>0</v>
      </c>
      <c r="V29" s="12">
        <v>0</v>
      </c>
      <c r="W29" s="12">
        <v>501.62441999999999</v>
      </c>
      <c r="X29" s="12">
        <v>1003.24884</v>
      </c>
      <c r="Y29" s="12">
        <v>1504.8732600000001</v>
      </c>
      <c r="Z29" s="12">
        <v>2006.4976799999999</v>
      </c>
      <c r="AA29" s="12">
        <v>2508.1221</v>
      </c>
      <c r="AB29" s="12">
        <v>3009.7465200000001</v>
      </c>
      <c r="AC29" s="12">
        <v>3511.3709400000002</v>
      </c>
      <c r="AD29" s="12">
        <v>4012.9953599999999</v>
      </c>
      <c r="AE29" s="12">
        <v>4514.61978</v>
      </c>
      <c r="AF29" s="12">
        <v>5016.2442000000001</v>
      </c>
      <c r="AG29" s="12">
        <v>5517.8686199999993</v>
      </c>
      <c r="AH29" s="12">
        <v>6019.4930400000003</v>
      </c>
      <c r="AI29" s="12">
        <v>6521.1174600000013</v>
      </c>
      <c r="AJ29" s="12">
        <v>7022.7418800000005</v>
      </c>
      <c r="AK29" s="12">
        <v>7022.7418800000005</v>
      </c>
      <c r="AL29" s="12">
        <v>7022.7418800000005</v>
      </c>
      <c r="AM29" s="12">
        <v>7022.7418800000005</v>
      </c>
      <c r="AN29" s="12">
        <v>7022.7418800000005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_xlfn.LET(_xlpm.site,$B$1&amp;"-"&amp;$C$1,_xlpm.locations,Base!$D$4:$BD$4,_xlpm.rates,Base!$D35:$BD35,_xlpm.hours,Base!$D78:$BD78,_xlpm.comp,_xlpm.rates*_xlpm.hours,_xlpm.Customer,_xlfn.ANCHORARRAY($E$1),
_xlpm.Customer_comp,_xlfn.XLOOKUP(_xlpm.site,_xlpm.locations,_xlpm.comp,0,0),_xlpm.ann_incr,_xlfn.XLOOKUP(YEAR(_xlfn.ANCHORARRAY($E$25)),Base!$BJ$4:$BL$4,Base!$BJ78:$BL78,0,0),
_xlpm.bad_debt,_xlfn.XLOOKUP(_xlpm.site,_xlpm.locations,Base!$D$28:$BD$28,0,0),_xlpm.Customer_comp*_xlpm.Customer*_xlpm.bad_debt*_xlpm.ann_incr*(52/12))</f>
        <v>0</v>
      </c>
      <c r="F30" s="12">
        <v>0</v>
      </c>
      <c r="G30" s="12">
        <v>0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0</v>
      </c>
      <c r="N30" s="12">
        <v>0</v>
      </c>
      <c r="O30" s="12">
        <v>0</v>
      </c>
      <c r="P30" s="12">
        <v>0</v>
      </c>
      <c r="Q30" s="12">
        <v>0</v>
      </c>
      <c r="R30" s="12">
        <v>0</v>
      </c>
      <c r="S30" s="12">
        <v>0</v>
      </c>
      <c r="T30" s="12">
        <v>0</v>
      </c>
      <c r="U30" s="12">
        <v>0</v>
      </c>
      <c r="V30" s="12">
        <v>0</v>
      </c>
      <c r="W30" s="12">
        <v>654.50319999999988</v>
      </c>
      <c r="X30" s="12">
        <v>1309.0063999999998</v>
      </c>
      <c r="Y30" s="12">
        <v>1963.5095999999999</v>
      </c>
      <c r="Z30" s="12">
        <v>2618.0127999999995</v>
      </c>
      <c r="AA30" s="12">
        <v>3272.5159999999996</v>
      </c>
      <c r="AB30" s="12">
        <v>3927.0191999999997</v>
      </c>
      <c r="AC30" s="12">
        <v>4581.5223999999998</v>
      </c>
      <c r="AD30" s="12">
        <v>5236.025599999999</v>
      </c>
      <c r="AE30" s="12">
        <v>5890.5288</v>
      </c>
      <c r="AF30" s="12">
        <v>6545.0319999999992</v>
      </c>
      <c r="AG30" s="12">
        <v>7199.5351999999993</v>
      </c>
      <c r="AH30" s="12">
        <v>7854.0383999999995</v>
      </c>
      <c r="AI30" s="12">
        <v>8508.5416000000005</v>
      </c>
      <c r="AJ30" s="12">
        <v>9163.0447999999997</v>
      </c>
      <c r="AK30" s="12">
        <v>9163.0447999999997</v>
      </c>
      <c r="AL30" s="12">
        <v>9163.0447999999997</v>
      </c>
      <c r="AM30" s="12">
        <v>9163.0447999999997</v>
      </c>
      <c r="AN30" s="12">
        <v>9163.0447999999997</v>
      </c>
    </row>
    <row r="31" spans="2:50" x14ac:dyDescent="0.25">
      <c r="B31" s="39" t="str">
        <f>Base!B36</f>
        <v>Tertiary Direct Staff - Service A</v>
      </c>
      <c r="C31" s="4"/>
      <c r="E31" s="183" cm="1">
        <f t="array" ref="E31:AN31">_xlfn.LET(_xlpm.site,$B$1&amp;"-"&amp;$C$1,_xlpm.locations,Base!$D$4:$BD$4,_xlpm.rates,Base!$D36:$BD36,_xlpm.hours,Base!$D79:$BD79,_xlpm.comp,_xlpm.rates*_xlpm.hours,_xlpm.Customer,_xlfn.ANCHORARRAY($E$1)*0,
_xlpm.Customer_comp,_xlfn.XLOOKUP(_xlpm.site,_xlpm.locations,_xlpm.comp,0,0),_xlpm.ann_incr,_xlfn.XLOOKUP(YEAR(_xlfn.ANCHORARRAY($E$25)),Base!$BJ$4:$BL$4,Base!$BJ79:$BL79,0,0),
_xlpm.bad_debt,_xlfn.XLOOKUP(_xlpm.site,_xlpm.locations,Base!$D$28:$BD$28,0,0),_xlpm.Customer_comp*_xlpm.Customer*_xlpm.bad_debt*_xlpm.ann_incr*(52/12))</f>
        <v>0</v>
      </c>
      <c r="F31" s="183">
        <v>0</v>
      </c>
      <c r="G31" s="183">
        <v>0</v>
      </c>
      <c r="H31" s="183">
        <v>0</v>
      </c>
      <c r="I31" s="183">
        <v>0</v>
      </c>
      <c r="J31" s="183">
        <v>0</v>
      </c>
      <c r="K31" s="183">
        <v>0</v>
      </c>
      <c r="L31" s="183">
        <v>0</v>
      </c>
      <c r="M31" s="183">
        <v>0</v>
      </c>
      <c r="N31" s="183">
        <v>0</v>
      </c>
      <c r="O31" s="183">
        <v>0</v>
      </c>
      <c r="P31" s="183">
        <v>0</v>
      </c>
      <c r="Q31" s="183">
        <v>0</v>
      </c>
      <c r="R31" s="183">
        <v>0</v>
      </c>
      <c r="S31" s="183">
        <v>0</v>
      </c>
      <c r="T31" s="183">
        <v>0</v>
      </c>
      <c r="U31" s="183">
        <v>0</v>
      </c>
      <c r="V31" s="183">
        <v>0</v>
      </c>
      <c r="W31" s="183">
        <v>0</v>
      </c>
      <c r="X31" s="183">
        <v>0</v>
      </c>
      <c r="Y31" s="183">
        <v>0</v>
      </c>
      <c r="Z31" s="183">
        <v>0</v>
      </c>
      <c r="AA31" s="183">
        <v>0</v>
      </c>
      <c r="AB31" s="183">
        <v>0</v>
      </c>
      <c r="AC31" s="183">
        <v>0</v>
      </c>
      <c r="AD31" s="183">
        <v>0</v>
      </c>
      <c r="AE31" s="183">
        <v>0</v>
      </c>
      <c r="AF31" s="183">
        <v>0</v>
      </c>
      <c r="AG31" s="183">
        <v>0</v>
      </c>
      <c r="AH31" s="183">
        <v>0</v>
      </c>
      <c r="AI31" s="183">
        <v>0</v>
      </c>
      <c r="AJ31" s="183">
        <v>0</v>
      </c>
      <c r="AK31" s="183">
        <v>0</v>
      </c>
      <c r="AL31" s="183">
        <v>0</v>
      </c>
      <c r="AM31" s="183">
        <v>0</v>
      </c>
      <c r="AN31" s="183">
        <v>0</v>
      </c>
    </row>
    <row r="32" spans="2:50" x14ac:dyDescent="0.25">
      <c r="B32" s="39" t="str">
        <f>Base!B37</f>
        <v>Tertiary Direct Staff - Service B</v>
      </c>
      <c r="C32" s="4"/>
      <c r="E32" s="183" cm="1">
        <f t="array" ref="E32:AN32">_xlfn.LET(_xlpm.site,$B$1&amp;"-"&amp;$C$1,_xlpm.locations,Base!$D$4:$BD$4,_xlpm.rates,Base!$D37:$BD37,_xlpm.hours,Base!$D80:$BD80,_xlpm.comp,_xlpm.rates*_xlpm.hours,_xlpm.Customer,_xlfn.ANCHORARRAY($E$1)*0,
_xlpm.Customer_comp,_xlfn.XLOOKUP(_xlpm.site,_xlpm.locations,_xlpm.comp,0,0),_xlpm.ann_incr,_xlfn.XLOOKUP(YEAR(_xlfn.ANCHORARRAY($E$25)),Base!$BJ$4:$BL$4,Base!$BJ80:$BL80,0,0),
_xlpm.bad_debt,_xlfn.XLOOKUP(_xlpm.site,_xlpm.locations,Base!$D$28:$BD$28,0,0),_xlpm.Customer_comp*_xlpm.Customer*_xlpm.bad_debt*_xlpm.ann_incr*(52/12))</f>
        <v>0</v>
      </c>
      <c r="F32" s="183">
        <v>0</v>
      </c>
      <c r="G32" s="183">
        <v>0</v>
      </c>
      <c r="H32" s="183">
        <v>0</v>
      </c>
      <c r="I32" s="183">
        <v>0</v>
      </c>
      <c r="J32" s="183">
        <v>0</v>
      </c>
      <c r="K32" s="183">
        <v>0</v>
      </c>
      <c r="L32" s="183">
        <v>0</v>
      </c>
      <c r="M32" s="183">
        <v>0</v>
      </c>
      <c r="N32" s="183">
        <v>0</v>
      </c>
      <c r="O32" s="183">
        <v>0</v>
      </c>
      <c r="P32" s="183">
        <v>0</v>
      </c>
      <c r="Q32" s="183">
        <v>0</v>
      </c>
      <c r="R32" s="183">
        <v>0</v>
      </c>
      <c r="S32" s="183">
        <v>0</v>
      </c>
      <c r="T32" s="183">
        <v>0</v>
      </c>
      <c r="U32" s="183">
        <v>0</v>
      </c>
      <c r="V32" s="183">
        <v>0</v>
      </c>
      <c r="W32" s="183">
        <v>0</v>
      </c>
      <c r="X32" s="183">
        <v>0</v>
      </c>
      <c r="Y32" s="183">
        <v>0</v>
      </c>
      <c r="Z32" s="183">
        <v>0</v>
      </c>
      <c r="AA32" s="183">
        <v>0</v>
      </c>
      <c r="AB32" s="183">
        <v>0</v>
      </c>
      <c r="AC32" s="183">
        <v>0</v>
      </c>
      <c r="AD32" s="183">
        <v>0</v>
      </c>
      <c r="AE32" s="183">
        <v>0</v>
      </c>
      <c r="AF32" s="183">
        <v>0</v>
      </c>
      <c r="AG32" s="183">
        <v>0</v>
      </c>
      <c r="AH32" s="183">
        <v>0</v>
      </c>
      <c r="AI32" s="183">
        <v>0</v>
      </c>
      <c r="AJ32" s="183">
        <v>0</v>
      </c>
      <c r="AK32" s="183">
        <v>0</v>
      </c>
      <c r="AL32" s="183">
        <v>0</v>
      </c>
      <c r="AM32" s="183">
        <v>0</v>
      </c>
      <c r="AN32" s="183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_xlpm.Customer,_xlfn.ANCHORARRAY($E$2),_xlpm.ann_incr,_xlfn.XLOOKUP(YEAR(_xlfn.ANCHORARRAY($E$25)),Base!$BJ$4:$BL$4,Base!$BJ$81:$BL$81,0,0),
_xlpm.bad_debt,_xlfn.XLOOKUP(_xlpm.site,_xlpm.locations,Base!$D$28:$BD$28,0,0),
_xlpm.comp*_xlpm.bad_debt*_xlpm.ann_incr*(52/12))</f>
        <v>0</v>
      </c>
      <c r="F33" s="12">
        <v>0</v>
      </c>
      <c r="G33" s="12">
        <v>0</v>
      </c>
      <c r="H33" s="12">
        <v>0</v>
      </c>
      <c r="I33" s="12">
        <v>0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26688.836416666662</v>
      </c>
      <c r="X33" s="12">
        <v>26688.836416666662</v>
      </c>
      <c r="Y33" s="12">
        <v>26688.836416666662</v>
      </c>
      <c r="Z33" s="12">
        <v>26688.836416666662</v>
      </c>
      <c r="AA33" s="12">
        <v>26688.836416666662</v>
      </c>
      <c r="AB33" s="12">
        <v>26688.836416666662</v>
      </c>
      <c r="AC33" s="12">
        <v>26688.836416666662</v>
      </c>
      <c r="AD33" s="12">
        <v>26688.836416666662</v>
      </c>
      <c r="AE33" s="12">
        <v>26688.836416666662</v>
      </c>
      <c r="AF33" s="12">
        <v>26688.836416666662</v>
      </c>
      <c r="AG33" s="12">
        <v>26688.836416666662</v>
      </c>
      <c r="AH33" s="12">
        <v>26688.836416666662</v>
      </c>
      <c r="AI33" s="12">
        <v>26688.836416666662</v>
      </c>
      <c r="AJ33" s="12">
        <v>26688.836416666662</v>
      </c>
      <c r="AK33" s="12">
        <v>26688.836416666662</v>
      </c>
      <c r="AL33" s="12">
        <v>26688.836416666662</v>
      </c>
      <c r="AM33" s="12">
        <v>26688.836416666662</v>
      </c>
      <c r="AN33" s="12">
        <v>26688.836416666662</v>
      </c>
    </row>
    <row r="34" spans="2:40" x14ac:dyDescent="0.25">
      <c r="B34" s="39" t="str">
        <f>Base!B39</f>
        <v>Quinary Direct Staff - Service A</v>
      </c>
      <c r="C34" s="4"/>
      <c r="E34" s="183" cm="1">
        <f t="array" ref="E34:AN34">_xlfn.LET(_xlpm.site,$B$1&amp;"-"&amp;$C$1,_xlpm.locations,Base!$D$4:$BD$4,_xlpm.rates,Base!$D39:$BD39,_xlpm.hours,Base!$D82:$BD82,_xlpm.comp,_xlpm.rates*_xlpm.hours,_xlpm.Customer,_xlfn.ANCHORARRAY($E$1)*0,
_xlpm.Customer_comp,_xlfn.XLOOKUP(_xlpm.site,_xlpm.locations,_xlpm.comp,0,0),_xlpm.ann_incr,_xlfn.XLOOKUP(YEAR(_xlfn.ANCHORARRAY($E$25)),Base!$BJ$4:$BL$4,Base!$BJ82:$BL82,0,0),
_xlpm.bad_debt,_xlfn.XLOOKUP(_xlpm.site,_xlpm.locations,Base!$D$28:$BD$28,0,0),_xlpm.Customer_comp*_xlpm.Customer*_xlpm.bad_debt*_xlpm.ann_incr*(52/12))</f>
        <v>0</v>
      </c>
      <c r="F34" s="183">
        <v>0</v>
      </c>
      <c r="G34" s="183">
        <v>0</v>
      </c>
      <c r="H34" s="183">
        <v>0</v>
      </c>
      <c r="I34" s="183">
        <v>0</v>
      </c>
      <c r="J34" s="183">
        <v>0</v>
      </c>
      <c r="K34" s="183">
        <v>0</v>
      </c>
      <c r="L34" s="183">
        <v>0</v>
      </c>
      <c r="M34" s="183">
        <v>0</v>
      </c>
      <c r="N34" s="183">
        <v>0</v>
      </c>
      <c r="O34" s="183">
        <v>0</v>
      </c>
      <c r="P34" s="183">
        <v>0</v>
      </c>
      <c r="Q34" s="183">
        <v>0</v>
      </c>
      <c r="R34" s="183">
        <v>0</v>
      </c>
      <c r="S34" s="183">
        <v>0</v>
      </c>
      <c r="T34" s="183">
        <v>0</v>
      </c>
      <c r="U34" s="183">
        <v>0</v>
      </c>
      <c r="V34" s="183">
        <v>0</v>
      </c>
      <c r="W34" s="183">
        <v>0</v>
      </c>
      <c r="X34" s="183">
        <v>0</v>
      </c>
      <c r="Y34" s="183">
        <v>0</v>
      </c>
      <c r="Z34" s="183">
        <v>0</v>
      </c>
      <c r="AA34" s="183">
        <v>0</v>
      </c>
      <c r="AB34" s="183">
        <v>0</v>
      </c>
      <c r="AC34" s="183">
        <v>0</v>
      </c>
      <c r="AD34" s="183">
        <v>0</v>
      </c>
      <c r="AE34" s="183">
        <v>0</v>
      </c>
      <c r="AF34" s="183">
        <v>0</v>
      </c>
      <c r="AG34" s="183">
        <v>0</v>
      </c>
      <c r="AH34" s="183">
        <v>0</v>
      </c>
      <c r="AI34" s="183">
        <v>0</v>
      </c>
      <c r="AJ34" s="183">
        <v>0</v>
      </c>
      <c r="AK34" s="183">
        <v>0</v>
      </c>
      <c r="AL34" s="183">
        <v>0</v>
      </c>
      <c r="AM34" s="183">
        <v>0</v>
      </c>
      <c r="AN34" s="183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0</v>
      </c>
      <c r="F35" s="12">
        <v>0</v>
      </c>
      <c r="G35" s="12">
        <v>0</v>
      </c>
      <c r="H35" s="12">
        <v>0</v>
      </c>
      <c r="I35" s="12">
        <v>0</v>
      </c>
      <c r="J35" s="12">
        <v>0</v>
      </c>
      <c r="K35" s="12">
        <v>0</v>
      </c>
      <c r="L35" s="12">
        <v>0</v>
      </c>
      <c r="M35" s="12">
        <v>0</v>
      </c>
      <c r="N35" s="12">
        <v>0</v>
      </c>
      <c r="O35" s="12">
        <v>0</v>
      </c>
      <c r="P35" s="12">
        <v>0</v>
      </c>
      <c r="Q35" s="12">
        <v>0</v>
      </c>
      <c r="R35" s="12">
        <v>0</v>
      </c>
      <c r="S35" s="12">
        <v>0</v>
      </c>
      <c r="T35" s="12">
        <v>0</v>
      </c>
      <c r="U35" s="12">
        <v>0</v>
      </c>
      <c r="V35" s="12">
        <v>0</v>
      </c>
      <c r="W35" s="12">
        <v>-10068.832691599999</v>
      </c>
      <c r="X35" s="12">
        <v>-16935.005013199996</v>
      </c>
      <c r="Y35" s="12">
        <v>-23801.177334799995</v>
      </c>
      <c r="Z35" s="12">
        <v>-30667.349656399994</v>
      </c>
      <c r="AA35" s="12">
        <v>-37533.521977999997</v>
      </c>
      <c r="AB35" s="12">
        <v>-44399.694299599993</v>
      </c>
      <c r="AC35" s="12">
        <v>-51265.866621199988</v>
      </c>
      <c r="AD35" s="12">
        <v>-58132.038942799998</v>
      </c>
      <c r="AE35" s="12">
        <v>-64998.211264399994</v>
      </c>
      <c r="AF35" s="12">
        <v>-71864.383585999982</v>
      </c>
      <c r="AG35" s="12">
        <v>-78730.555907599992</v>
      </c>
      <c r="AH35" s="12">
        <v>-85596.728229199987</v>
      </c>
      <c r="AI35" s="12">
        <v>-92462.900550799983</v>
      </c>
      <c r="AJ35" s="12">
        <v>-99329.072872399964</v>
      </c>
      <c r="AK35" s="12">
        <v>-99329.072872399964</v>
      </c>
      <c r="AL35" s="12">
        <v>-99329.072872399964</v>
      </c>
      <c r="AM35" s="12">
        <v>-99329.072872399964</v>
      </c>
      <c r="AN35" s="12">
        <v>-99329.072872399964</v>
      </c>
    </row>
    <row r="36" spans="2:40" x14ac:dyDescent="0.25">
      <c r="B36" s="39" t="s">
        <v>261</v>
      </c>
      <c r="C36" s="15"/>
      <c r="E36" s="183" cm="1">
        <f t="array" ref="E36:AN36">_xlfn.BYCOL(_xlfn.ANCHORARRAY($E$25),_xlfn.LAMBDA(_xlpm.a,0))</f>
        <v>0</v>
      </c>
      <c r="F36" s="183">
        <v>0</v>
      </c>
      <c r="G36" s="183">
        <v>0</v>
      </c>
      <c r="H36" s="183">
        <v>0</v>
      </c>
      <c r="I36" s="183">
        <v>0</v>
      </c>
      <c r="J36" s="183">
        <v>0</v>
      </c>
      <c r="K36" s="183">
        <v>0</v>
      </c>
      <c r="L36" s="183">
        <v>0</v>
      </c>
      <c r="M36" s="183">
        <v>0</v>
      </c>
      <c r="N36" s="183">
        <v>0</v>
      </c>
      <c r="O36" s="183">
        <v>0</v>
      </c>
      <c r="P36" s="183">
        <v>0</v>
      </c>
      <c r="Q36" s="183">
        <v>0</v>
      </c>
      <c r="R36" s="183">
        <v>0</v>
      </c>
      <c r="S36" s="183">
        <v>0</v>
      </c>
      <c r="T36" s="183">
        <v>0</v>
      </c>
      <c r="U36" s="183">
        <v>0</v>
      </c>
      <c r="V36" s="183">
        <v>0</v>
      </c>
      <c r="W36" s="183">
        <v>0</v>
      </c>
      <c r="X36" s="183">
        <v>0</v>
      </c>
      <c r="Y36" s="183">
        <v>0</v>
      </c>
      <c r="Z36" s="183">
        <v>0</v>
      </c>
      <c r="AA36" s="183">
        <v>0</v>
      </c>
      <c r="AB36" s="183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271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0</v>
      </c>
      <c r="S37" s="13">
        <v>0</v>
      </c>
      <c r="T37" s="13">
        <v>0</v>
      </c>
      <c r="U37" s="13">
        <v>0</v>
      </c>
      <c r="V37" s="13">
        <v>0</v>
      </c>
      <c r="W37" s="13">
        <v>71094.22760506667</v>
      </c>
      <c r="X37" s="13">
        <v>118702.27916346668</v>
      </c>
      <c r="Y37" s="13">
        <v>166310.33072186666</v>
      </c>
      <c r="Z37" s="13">
        <v>213918.38228026667</v>
      </c>
      <c r="AA37" s="13">
        <v>261526.43383866665</v>
      </c>
      <c r="AB37" s="13">
        <v>309134.48539706669</v>
      </c>
      <c r="AC37" s="13">
        <v>356742.53695546661</v>
      </c>
      <c r="AD37" s="13">
        <v>404350.58851386671</v>
      </c>
      <c r="AE37" s="13">
        <v>451958.64007226669</v>
      </c>
      <c r="AF37" s="13">
        <v>499566.69163066661</v>
      </c>
      <c r="AG37" s="13">
        <v>547174.74318906665</v>
      </c>
      <c r="AH37" s="13">
        <v>594782.79474746657</v>
      </c>
      <c r="AI37" s="13">
        <v>642390.84630586649</v>
      </c>
      <c r="AJ37" s="13">
        <v>689998.89786426653</v>
      </c>
      <c r="AK37" s="13">
        <v>689998.89786426653</v>
      </c>
      <c r="AL37" s="13">
        <v>689998.89786426653</v>
      </c>
      <c r="AM37" s="13">
        <v>689998.89786426653</v>
      </c>
      <c r="AN37" s="13">
        <v>689998.89786426653</v>
      </c>
    </row>
    <row r="38" spans="2:40" x14ac:dyDescent="0.25">
      <c r="E38" s="67"/>
      <c r="F38" s="67"/>
    </row>
    <row r="39" spans="2:40" x14ac:dyDescent="0.25">
      <c r="B39" s="1" t="s">
        <v>118</v>
      </c>
    </row>
    <row r="40" spans="2:40" x14ac:dyDescent="0.25">
      <c r="B40" s="39" t="s">
        <v>23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0</v>
      </c>
      <c r="F40" s="12">
        <v>0</v>
      </c>
      <c r="G40" s="12">
        <v>0</v>
      </c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0</v>
      </c>
      <c r="N40" s="12">
        <v>0</v>
      </c>
      <c r="O40" s="12">
        <v>0</v>
      </c>
      <c r="P40" s="12">
        <v>0</v>
      </c>
      <c r="Q40" s="12">
        <v>0</v>
      </c>
      <c r="R40" s="12">
        <v>0</v>
      </c>
      <c r="S40" s="12">
        <v>0</v>
      </c>
      <c r="T40" s="12">
        <v>0</v>
      </c>
      <c r="U40" s="12">
        <v>0</v>
      </c>
      <c r="V40" s="12">
        <v>0</v>
      </c>
      <c r="W40" s="12">
        <v>47974.288916403617</v>
      </c>
      <c r="X40" s="12">
        <v>81864.072819473891</v>
      </c>
      <c r="Y40" s="12">
        <v>103272.04173587752</v>
      </c>
      <c r="Z40" s="12">
        <v>124635.75897228114</v>
      </c>
      <c r="AA40" s="12">
        <v>146035.62954201808</v>
      </c>
      <c r="AB40" s="12">
        <v>167737.07845842175</v>
      </c>
      <c r="AC40" s="12">
        <v>207818.46509764122</v>
      </c>
      <c r="AD40" s="12">
        <v>231435.52072435187</v>
      </c>
      <c r="AE40" s="12">
        <v>254984.28653239587</v>
      </c>
      <c r="AF40" s="12">
        <v>278407.17749243981</v>
      </c>
      <c r="AG40" s="12">
        <v>302152.89645248384</v>
      </c>
      <c r="AH40" s="12">
        <v>325818.6289271944</v>
      </c>
      <c r="AI40" s="12">
        <v>349318.71788723842</v>
      </c>
      <c r="AJ40" s="12">
        <v>366567.52334728243</v>
      </c>
      <c r="AK40" s="12">
        <v>366909.06601394911</v>
      </c>
      <c r="AL40" s="12">
        <v>367367.57534728246</v>
      </c>
      <c r="AM40" s="12">
        <v>367635.42901394906</v>
      </c>
      <c r="AN40" s="12">
        <v>367976.9716806158</v>
      </c>
    </row>
    <row r="41" spans="2:40" x14ac:dyDescent="0.25">
      <c r="B41" s="39" t="s">
        <v>388</v>
      </c>
      <c r="C41" s="142">
        <f>_xlfn.XLOOKUP($B$1&amp;"-"&amp;$C$1,Base!$D$4:$BD$4,Base!$D$12:$BD$12,0,0)</f>
        <v>0</v>
      </c>
      <c r="E41" s="183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28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15450</v>
      </c>
      <c r="X42" s="12">
        <v>15450</v>
      </c>
      <c r="Y42" s="12">
        <v>15450</v>
      </c>
      <c r="Z42" s="12">
        <v>15450</v>
      </c>
      <c r="AA42" s="12">
        <v>15450</v>
      </c>
      <c r="AB42" s="12">
        <v>15450</v>
      </c>
      <c r="AC42" s="12">
        <v>15913.5</v>
      </c>
      <c r="AD42" s="12">
        <v>15913.5</v>
      </c>
      <c r="AE42" s="12">
        <v>15913.5</v>
      </c>
      <c r="AF42" s="12">
        <v>15913.5</v>
      </c>
      <c r="AG42" s="12">
        <v>15913.5</v>
      </c>
      <c r="AH42" s="12">
        <v>15913.5</v>
      </c>
      <c r="AI42" s="12">
        <v>15913.5</v>
      </c>
      <c r="AJ42" s="12">
        <v>15913.5</v>
      </c>
      <c r="AK42" s="12">
        <v>15913.5</v>
      </c>
      <c r="AL42" s="12">
        <v>15913.5</v>
      </c>
      <c r="AM42" s="12">
        <v>15913.5</v>
      </c>
      <c r="AN42" s="12">
        <v>15913.5</v>
      </c>
    </row>
    <row r="43" spans="2:40" x14ac:dyDescent="0.25">
      <c r="B43" s="39" t="s">
        <v>31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8008</v>
      </c>
      <c r="X43" s="12">
        <v>8008</v>
      </c>
      <c r="Y43" s="12">
        <v>8008</v>
      </c>
      <c r="Z43" s="12">
        <v>8008</v>
      </c>
      <c r="AA43" s="12">
        <v>8008</v>
      </c>
      <c r="AB43" s="12">
        <v>8008</v>
      </c>
      <c r="AC43" s="12">
        <v>8328.3200000000015</v>
      </c>
      <c r="AD43" s="12">
        <v>8328.3200000000015</v>
      </c>
      <c r="AE43" s="12">
        <v>8328.3200000000015</v>
      </c>
      <c r="AF43" s="12">
        <v>8328.3200000000015</v>
      </c>
      <c r="AG43" s="12">
        <v>8328.3200000000015</v>
      </c>
      <c r="AH43" s="12">
        <v>8328.3200000000015</v>
      </c>
      <c r="AI43" s="12">
        <v>8328.3200000000015</v>
      </c>
      <c r="AJ43" s="12">
        <v>8328.3200000000015</v>
      </c>
      <c r="AK43" s="12">
        <v>8328.3200000000015</v>
      </c>
      <c r="AL43" s="12">
        <v>8328.3200000000015</v>
      </c>
      <c r="AM43" s="12">
        <v>8328.3200000000015</v>
      </c>
      <c r="AN43" s="12">
        <v>8328.3200000000015</v>
      </c>
    </row>
    <row r="44" spans="2:40" x14ac:dyDescent="0.25">
      <c r="B44" s="39" t="s">
        <v>34</v>
      </c>
      <c r="C44" s="96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  <c r="O44" s="12">
        <v>0</v>
      </c>
      <c r="P44" s="12">
        <v>0</v>
      </c>
      <c r="Q44" s="12">
        <v>0</v>
      </c>
      <c r="R44" s="12">
        <v>0</v>
      </c>
      <c r="S44" s="12">
        <v>0</v>
      </c>
      <c r="T44" s="12">
        <v>0</v>
      </c>
      <c r="U44" s="12">
        <v>0</v>
      </c>
      <c r="V44" s="12">
        <v>0</v>
      </c>
      <c r="W44" s="12">
        <v>378.451008</v>
      </c>
      <c r="X44" s="12">
        <v>1002.1943359999999</v>
      </c>
      <c r="Y44" s="12">
        <v>1033.7319199999999</v>
      </c>
      <c r="Z44" s="12">
        <v>1065.2695039999999</v>
      </c>
      <c r="AA44" s="12">
        <v>1096.807088</v>
      </c>
      <c r="AB44" s="12">
        <v>1138.8571999999999</v>
      </c>
      <c r="AC44" s="12">
        <v>1213.5662323200002</v>
      </c>
      <c r="AD44" s="12">
        <v>1250.0096627200003</v>
      </c>
      <c r="AE44" s="12">
        <v>1282.80875008</v>
      </c>
      <c r="AF44" s="12">
        <v>1311.9634944000004</v>
      </c>
      <c r="AG44" s="12">
        <v>1352.0512678400003</v>
      </c>
      <c r="AH44" s="12">
        <v>1388.4946982400002</v>
      </c>
      <c r="AI44" s="12">
        <v>1421.2937856000005</v>
      </c>
      <c r="AJ44" s="12">
        <v>1202.6332032</v>
      </c>
      <c r="AK44" s="12">
        <v>1217.2105753600003</v>
      </c>
      <c r="AL44" s="12">
        <v>1235.4322905600002</v>
      </c>
      <c r="AM44" s="12">
        <v>1246.3653196800001</v>
      </c>
      <c r="AN44" s="12">
        <v>1260.9426918400002</v>
      </c>
    </row>
    <row r="45" spans="2:40" x14ac:dyDescent="0.25">
      <c r="B45" s="39" t="s">
        <v>36</v>
      </c>
      <c r="C45" s="96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0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12">
        <v>0</v>
      </c>
      <c r="R45" s="12">
        <v>0</v>
      </c>
      <c r="S45" s="12">
        <v>0</v>
      </c>
      <c r="T45" s="12">
        <v>0</v>
      </c>
      <c r="U45" s="12">
        <v>0</v>
      </c>
      <c r="V45" s="12">
        <v>0</v>
      </c>
      <c r="W45" s="12">
        <v>6630</v>
      </c>
      <c r="X45" s="12">
        <v>6630</v>
      </c>
      <c r="Y45" s="12">
        <v>6630</v>
      </c>
      <c r="Z45" s="12">
        <v>6630</v>
      </c>
      <c r="AA45" s="12">
        <v>6630</v>
      </c>
      <c r="AB45" s="12">
        <v>6630</v>
      </c>
      <c r="AC45" s="12">
        <v>6762.6</v>
      </c>
      <c r="AD45" s="12">
        <v>6762.6</v>
      </c>
      <c r="AE45" s="12">
        <v>6762.6</v>
      </c>
      <c r="AF45" s="12">
        <v>6762.6</v>
      </c>
      <c r="AG45" s="12">
        <v>6762.6</v>
      </c>
      <c r="AH45" s="12">
        <v>6762.6</v>
      </c>
      <c r="AI45" s="12">
        <v>6762.6</v>
      </c>
      <c r="AJ45" s="12">
        <v>6762.6</v>
      </c>
      <c r="AK45" s="12">
        <v>6762.6</v>
      </c>
      <c r="AL45" s="12">
        <v>6762.6</v>
      </c>
      <c r="AM45" s="12">
        <v>6762.6</v>
      </c>
      <c r="AN45" s="12">
        <v>6762.6</v>
      </c>
    </row>
    <row r="46" spans="2:40" x14ac:dyDescent="0.25">
      <c r="B46" s="39" t="s">
        <v>38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0</v>
      </c>
      <c r="F46" s="12">
        <v>0</v>
      </c>
      <c r="G46" s="12">
        <v>0</v>
      </c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0</v>
      </c>
      <c r="N46" s="12">
        <v>0</v>
      </c>
      <c r="O46" s="12">
        <v>0</v>
      </c>
      <c r="P46" s="12">
        <v>0</v>
      </c>
      <c r="Q46" s="12">
        <v>0</v>
      </c>
      <c r="R46" s="12">
        <v>0</v>
      </c>
      <c r="S46" s="12">
        <v>0</v>
      </c>
      <c r="T46" s="12">
        <v>0</v>
      </c>
      <c r="U46" s="12">
        <v>0</v>
      </c>
      <c r="V46" s="12">
        <v>0</v>
      </c>
      <c r="W46" s="12">
        <v>3604.6799999999994</v>
      </c>
      <c r="X46" s="12">
        <v>5507.4899999999989</v>
      </c>
      <c r="Y46" s="12">
        <v>6810.54</v>
      </c>
      <c r="Z46" s="12">
        <v>8110.0199999999995</v>
      </c>
      <c r="AA46" s="12">
        <v>9409.4999999999982</v>
      </c>
      <c r="AB46" s="12">
        <v>10723.26</v>
      </c>
      <c r="AC46" s="12">
        <v>12255.912</v>
      </c>
      <c r="AD46" s="12">
        <v>13585.022999999999</v>
      </c>
      <c r="AE46" s="12">
        <v>14914.133999999998</v>
      </c>
      <c r="AF46" s="12">
        <v>16235.962199999998</v>
      </c>
      <c r="AG46" s="12">
        <v>17568.714599999999</v>
      </c>
      <c r="AH46" s="12">
        <v>18901.467000000001</v>
      </c>
      <c r="AI46" s="12">
        <v>20226.936599999997</v>
      </c>
      <c r="AJ46" s="12">
        <v>21297.508200000007</v>
      </c>
      <c r="AK46" s="12">
        <v>21312.073800000002</v>
      </c>
      <c r="AL46" s="12">
        <v>21330.280800000004</v>
      </c>
      <c r="AM46" s="12">
        <v>21341.205000000002</v>
      </c>
      <c r="AN46" s="12">
        <v>21355.770600000003</v>
      </c>
    </row>
    <row r="47" spans="2:40" x14ac:dyDescent="0.25">
      <c r="B47" s="39" t="s">
        <v>40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  <c r="O47" s="12">
        <v>0</v>
      </c>
      <c r="P47" s="12">
        <v>0</v>
      </c>
      <c r="Q47" s="12">
        <v>0</v>
      </c>
      <c r="R47" s="12">
        <v>0</v>
      </c>
      <c r="S47" s="12">
        <v>0</v>
      </c>
      <c r="T47" s="12">
        <v>0</v>
      </c>
      <c r="U47" s="12">
        <v>0</v>
      </c>
      <c r="V47" s="12">
        <v>0</v>
      </c>
      <c r="W47" s="12">
        <v>6300</v>
      </c>
      <c r="X47" s="12">
        <v>6300</v>
      </c>
      <c r="Y47" s="12">
        <v>6300</v>
      </c>
      <c r="Z47" s="12">
        <v>6300</v>
      </c>
      <c r="AA47" s="12">
        <v>6300</v>
      </c>
      <c r="AB47" s="12">
        <v>6300</v>
      </c>
      <c r="AC47" s="12">
        <v>6615</v>
      </c>
      <c r="AD47" s="12">
        <v>6615</v>
      </c>
      <c r="AE47" s="12">
        <v>6615</v>
      </c>
      <c r="AF47" s="12">
        <v>6615</v>
      </c>
      <c r="AG47" s="12">
        <v>6615</v>
      </c>
      <c r="AH47" s="12">
        <v>6615</v>
      </c>
      <c r="AI47" s="12">
        <v>6615</v>
      </c>
      <c r="AJ47" s="12">
        <v>6615</v>
      </c>
      <c r="AK47" s="12">
        <v>6615</v>
      </c>
      <c r="AL47" s="12">
        <v>6615</v>
      </c>
      <c r="AM47" s="12">
        <v>6615</v>
      </c>
      <c r="AN47" s="12">
        <v>6615</v>
      </c>
    </row>
    <row r="48" spans="2:40" x14ac:dyDescent="0.25">
      <c r="B48" s="39" t="s">
        <v>41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151234.47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42</v>
      </c>
      <c r="E49" s="12">
        <f>'Corp.'!E$50*(E$37-(E31-E32-E34)*$C$35)/(SUM('MDA1:NCA9'!E$37)-SUM('MDA1:NCA9'!E$31)-SUM('MDA1:NCA9'!E$32)-SUM('MDA1:NCA9'!E$34))</f>
        <v>0</v>
      </c>
      <c r="F49" s="12">
        <f>'Corp.'!F$50*(F$37-(F31-F32-F34)*$C$35)/(SUM('MDA1:NCA9'!F$37)-SUM('MDA1:NCA9'!F$31)-SUM('MDA1:NCA9'!F$32)-SUM('MDA1:NCA9'!F$34))</f>
        <v>0</v>
      </c>
      <c r="G49" s="12">
        <f>'Corp.'!G$50*(G$37-(G31-G32-G34)*$C$35)/(SUM('MDA1:NCA9'!G$37)-SUM('MDA1:NCA9'!G$31)-SUM('MDA1:NCA9'!G$32)-SUM('MDA1:NCA9'!G$34))</f>
        <v>0</v>
      </c>
      <c r="H49" s="12">
        <f>'Corp.'!H$50*(H$37-(H31-H32-H34)*$C$35)/(SUM('MDA1:NCA9'!H$37)-SUM('MDA1:NCA9'!H$31)-SUM('MDA1:NCA9'!H$32)-SUM('MDA1:NCA9'!H$34))</f>
        <v>0</v>
      </c>
      <c r="I49" s="12">
        <f>'Corp.'!I$50*(I$37-(I31-I32-I34)*$C$35)/(SUM('MDA1:NCA9'!I$37)-SUM('MDA1:NCA9'!I$31)-SUM('MDA1:NCA9'!I$32)-SUM('MDA1:NCA9'!I$34))</f>
        <v>0</v>
      </c>
      <c r="J49" s="12">
        <f>'Corp.'!J$50*(J$37-(J31-J32-J34)*$C$35)/(SUM('MDA1:NCA9'!J$37)-SUM('MDA1:NCA9'!J$31)-SUM('MDA1:NCA9'!J$32)-SUM('MDA1:NCA9'!J$34))</f>
        <v>0</v>
      </c>
      <c r="K49" s="12">
        <f>'Corp.'!K$50*(K$37-(K31-K32-K34)*$C$35)/(SUM('MDA1:NCA9'!K$37)-SUM('MDA1:NCA9'!K$31)-SUM('MDA1:NCA9'!K$32)-SUM('MDA1:NCA9'!K$34))</f>
        <v>0</v>
      </c>
      <c r="L49" s="12">
        <f>'Corp.'!L$50*(L$37-(L31-L32-L34)*$C$35)/(SUM('MDA1:NCA9'!L$37)-SUM('MDA1:NCA9'!L$31)-SUM('MDA1:NCA9'!L$32)-SUM('MDA1:NCA9'!L$34))</f>
        <v>0</v>
      </c>
      <c r="M49" s="12">
        <f>'Corp.'!M$50*(M$37-(M31-M32-M34)*$C$35)/(SUM('MDA1:NCA9'!M$37)-SUM('MDA1:NCA9'!M$31)-SUM('MDA1:NCA9'!M$32)-SUM('MDA1:NCA9'!M$34))</f>
        <v>0</v>
      </c>
      <c r="N49" s="12">
        <f>'Corp.'!N$50*(N$37-(N31-N32-N34)*$C$35)/(SUM('MDA1:NCA9'!N$37)-SUM('MDA1:NCA9'!N$31)-SUM('MDA1:NCA9'!N$32)-SUM('MDA1:NCA9'!N$34))</f>
        <v>0</v>
      </c>
      <c r="O49" s="12">
        <f>'Corp.'!O$50*(O$37-(O31-O32-O34)*$C$35)/(SUM('MDA1:NCA9'!O$37)-SUM('MDA1:NCA9'!O$31)-SUM('MDA1:NCA9'!O$32)-SUM('MDA1:NCA9'!O$34))</f>
        <v>0</v>
      </c>
      <c r="P49" s="12">
        <f>'Corp.'!P$50*(P$37-(P31-P32-P34)*$C$35)/(SUM('MDA1:NCA9'!P$37)-SUM('MDA1:NCA9'!P$31)-SUM('MDA1:NCA9'!P$32)-SUM('MDA1:NCA9'!P$34))</f>
        <v>0</v>
      </c>
      <c r="Q49" s="12">
        <f>'Corp.'!Q$50*(Q$37-(Q31-Q32-Q34)*$C$35)/(SUM('MDA1:NCA9'!Q$37)-SUM('MDA1:NCA9'!Q$31)-SUM('MDA1:NCA9'!Q$32)-SUM('MDA1:NCA9'!Q$34))</f>
        <v>0</v>
      </c>
      <c r="R49" s="12">
        <f>'Corp.'!R$50*(R$37-(R31-R32-R34)*$C$35)/(SUM('MDA1:NCA9'!R$37)-SUM('MDA1:NCA9'!R$31)-SUM('MDA1:NCA9'!R$32)-SUM('MDA1:NCA9'!R$34))</f>
        <v>0</v>
      </c>
      <c r="S49" s="12">
        <f>'Corp.'!S$50*(S$37-(S31-S32-S34)*$C$35)/(SUM('MDA1:NCA9'!S$37)-SUM('MDA1:NCA9'!S$31)-SUM('MDA1:NCA9'!S$32)-SUM('MDA1:NCA9'!S$34))</f>
        <v>0</v>
      </c>
      <c r="T49" s="12">
        <f>'Corp.'!T$50*(T$37-(T31-T32-T34)*$C$35)/(SUM('MDA1:NCA9'!T$37)-SUM('MDA1:NCA9'!T$31)-SUM('MDA1:NCA9'!T$32)-SUM('MDA1:NCA9'!T$34))</f>
        <v>0</v>
      </c>
      <c r="U49" s="12">
        <f>'Corp.'!U$50*(U$37-(U31-U32-U34)*$C$35)/(SUM('MDA1:NCA9'!U$37)-SUM('MDA1:NCA9'!U$31)-SUM('MDA1:NCA9'!U$32)-SUM('MDA1:NCA9'!U$34))</f>
        <v>0</v>
      </c>
      <c r="V49" s="12">
        <f>'Corp.'!V$50*(V$37-(V31-V32-V34)*$C$35)/(SUM('MDA1:NCA9'!V$37)-SUM('MDA1:NCA9'!V$31)-SUM('MDA1:NCA9'!V$32)-SUM('MDA1:NCA9'!V$34))</f>
        <v>0</v>
      </c>
      <c r="W49" s="12">
        <f>'Corp.'!W$50*(W$37-(W31-W32-W34)*$C$35)/(SUM('MDA1:NCA9'!W$37)-SUM('MDA1:NCA9'!W$31)-SUM('MDA1:NCA9'!W$32)-SUM('MDA1:NCA9'!W$34))</f>
        <v>8972.6779248432213</v>
      </c>
      <c r="X49" s="12">
        <f>'Corp.'!X$50*(X$37-(X31-X32-X34)*$C$35)/(SUM('MDA1:NCA9'!X$37)-SUM('MDA1:NCA9'!X$31)-SUM('MDA1:NCA9'!X$32)-SUM('MDA1:NCA9'!X$34))</f>
        <v>14511.940519073076</v>
      </c>
      <c r="Y49" s="12">
        <f>'Corp.'!Y$50*(Y$37-(Y31-Y32-Y34)*$C$35)/(SUM('MDA1:NCA9'!Y$37)-SUM('MDA1:NCA9'!Y$31)-SUM('MDA1:NCA9'!Y$32)-SUM('MDA1:NCA9'!Y$34))</f>
        <v>19901.492441427366</v>
      </c>
      <c r="Z49" s="12">
        <f>'Corp.'!Z$50*(Z$37-(Z31-Z32-Z34)*$C$35)/(SUM('MDA1:NCA9'!Z$37)-SUM('MDA1:NCA9'!Z$31)-SUM('MDA1:NCA9'!Z$32)-SUM('MDA1:NCA9'!Z$34))</f>
        <v>25042.562408834077</v>
      </c>
      <c r="AA49" s="12">
        <f>'Corp.'!AA$50*(AA$37-(AA31-AA32-AA34)*$C$35)/(SUM('MDA1:NCA9'!AA$37)-SUM('MDA1:NCA9'!AA$31)-SUM('MDA1:NCA9'!AA$32)-SUM('MDA1:NCA9'!AA$34))</f>
        <v>29915.864657820497</v>
      </c>
      <c r="AB49" s="12">
        <f>'Corp.'!AB$50*(AB$37-(AB31-AB32-AB34)*$C$35)/(SUM('MDA1:NCA9'!AB$37)-SUM('MDA1:NCA9'!AB$31)-SUM('MDA1:NCA9'!AB$32)-SUM('MDA1:NCA9'!AB$34))</f>
        <v>34559.224842909549</v>
      </c>
      <c r="AC49" s="12">
        <f>'Corp.'!AC$50*(AC$37-(AC31-AC32-AC34)*$C$35)/(SUM('MDA1:NCA9'!AC$37)-SUM('MDA1:NCA9'!AC$31)-SUM('MDA1:NCA9'!AC$32)-SUM('MDA1:NCA9'!AC$34))</f>
        <v>42802.706423773125</v>
      </c>
      <c r="AD49" s="12">
        <f>'Corp.'!AD$50*(AD$37-(AD31-AD32-AD34)*$C$35)/(SUM('MDA1:NCA9'!AD$37)-SUM('MDA1:NCA9'!AD$31)-SUM('MDA1:NCA9'!AD$32)-SUM('MDA1:NCA9'!AD$34))</f>
        <v>47717.813558587732</v>
      </c>
      <c r="AE49" s="12">
        <f>'Corp.'!AE$50*(AE$37-(AE31-AE32-AE34)*$C$35)/(SUM('MDA1:NCA9'!AE$37)-SUM('MDA1:NCA9'!AE$31)-SUM('MDA1:NCA9'!AE$32)-SUM('MDA1:NCA9'!AE$34))</f>
        <v>52496.105084098075</v>
      </c>
      <c r="AF49" s="12">
        <f>'Corp.'!AF$50*(AF$37-(AF31-AF32-AF34)*$C$35)/(SUM('MDA1:NCA9'!AF$37)-SUM('MDA1:NCA9'!AF$31)-SUM('MDA1:NCA9'!AF$32)-SUM('MDA1:NCA9'!AF$34))</f>
        <v>57155.896706758991</v>
      </c>
      <c r="AG49" s="12">
        <f>'Corp.'!AG$50*(AG$37-(AG31-AG32-AG34)*$C$35)/(SUM('MDA1:NCA9'!AG$37)-SUM('MDA1:NCA9'!AG$31)-SUM('MDA1:NCA9'!AG$32)-SUM('MDA1:NCA9'!AG$34))</f>
        <v>61838.58910105157</v>
      </c>
      <c r="AH49" s="12">
        <f>'Corp.'!AH$50*(AH$37-(AH31-AH32-AH34)*$C$35)/(SUM('MDA1:NCA9'!AH$37)-SUM('MDA1:NCA9'!AH$31)-SUM('MDA1:NCA9'!AH$32)-SUM('MDA1:NCA9'!AH$34))</f>
        <v>66126.327515345998</v>
      </c>
      <c r="AI49" s="12">
        <f>'Corp.'!AI$50*(AI$37-(AI31-AI32-AI34)*$C$35)/(SUM('MDA1:NCA9'!AI$37)-SUM('MDA1:NCA9'!AI$31)-SUM('MDA1:NCA9'!AI$32)-SUM('MDA1:NCA9'!AI$34))</f>
        <v>70189.445100724261</v>
      </c>
      <c r="AJ49" s="12">
        <f>'Corp.'!AJ$50*(AJ$37-(AJ31-AJ32-AJ34)*$C$35)/(SUM('MDA1:NCA9'!AJ$37)-SUM('MDA1:NCA9'!AJ$31)-SUM('MDA1:NCA9'!AJ$32)-SUM('MDA1:NCA9'!AJ$34))</f>
        <v>74037.829400941715</v>
      </c>
      <c r="AK49" s="12">
        <f>'Corp.'!AK$50*(AK$37-(AK31-AK32-AK34)*$C$35)/(SUM('MDA1:NCA9'!AK$37)-SUM('MDA1:NCA9'!AK$31)-SUM('MDA1:NCA9'!AK$32)-SUM('MDA1:NCA9'!AK$34))</f>
        <v>72788.126846379178</v>
      </c>
      <c r="AL49" s="12">
        <f>'Corp.'!AL$50*(AL$37-(AL31-AL32-AL34)*$C$35)/(SUM('MDA1:NCA9'!AL$37)-SUM('MDA1:NCA9'!AL$31)-SUM('MDA1:NCA9'!AL$32)-SUM('MDA1:NCA9'!AL$34))</f>
        <v>71641.323887728504</v>
      </c>
      <c r="AM49" s="12">
        <f>'Corp.'!AM$50*(AM$37-(AM31-AM32-AM34)*$C$35)/(SUM('MDA1:NCA9'!AM$37)-SUM('MDA1:NCA9'!AM$31)-SUM('MDA1:NCA9'!AM$32)-SUM('MDA1:NCA9'!AM$34))</f>
        <v>70406.274276485157</v>
      </c>
      <c r="AN49" s="12">
        <f>'Corp.'!AN$50*(AN$37-(AN31-AN32-AN34)*$C$35)/(SUM('MDA1:NCA9'!AN$37)-SUM('MDA1:NCA9'!AN$31)-SUM('MDA1:NCA9'!AN$32)-SUM('MDA1:NCA9'!AN$34))</f>
        <v>69353.495383390065</v>
      </c>
    </row>
    <row r="50" spans="2:40" x14ac:dyDescent="0.25">
      <c r="B50" s="1" t="s">
        <v>272</v>
      </c>
      <c r="E50" s="13" cm="1">
        <f t="array" ref="E50:AN50">_xlfn.BYCOL(_xlfn.VSTACK(_xlfn.ANCHORARRAY(E40),_xlfn.ANCHORARRAY(E42),_xlfn.ANCHORARRAY(E43),_xlfn.ANCHORARRAY(E45),_xlfn.ANCHORARRAY(E46),_xlfn.ANCHORARRAY(E47),_xlfn.ANCHORARRAY(E48),_xlfn.HSTACK(E49:AN49)),_xlfn.LAMBDA(_xlpm.a,SUM(_xlpm.a)))</f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0</v>
      </c>
      <c r="Q50" s="13">
        <v>0</v>
      </c>
      <c r="R50" s="13">
        <v>0</v>
      </c>
      <c r="S50" s="13">
        <v>0</v>
      </c>
      <c r="T50" s="13">
        <v>0</v>
      </c>
      <c r="U50" s="13">
        <v>151234.47</v>
      </c>
      <c r="V50" s="13">
        <v>0</v>
      </c>
      <c r="W50" s="13">
        <v>96939.646841246838</v>
      </c>
      <c r="X50" s="13">
        <v>138271.50333854696</v>
      </c>
      <c r="Y50" s="13">
        <v>166372.07417730489</v>
      </c>
      <c r="Z50" s="13">
        <v>194176.3413811152</v>
      </c>
      <c r="AA50" s="13">
        <v>221748.99419983858</v>
      </c>
      <c r="AB50" s="13">
        <v>249407.56330133131</v>
      </c>
      <c r="AC50" s="13">
        <v>300496.50352141436</v>
      </c>
      <c r="AD50" s="13">
        <v>330357.77728293958</v>
      </c>
      <c r="AE50" s="13">
        <v>360013.94561649393</v>
      </c>
      <c r="AF50" s="13">
        <v>389418.4563991988</v>
      </c>
      <c r="AG50" s="13">
        <v>419179.62015353539</v>
      </c>
      <c r="AH50" s="13">
        <v>448465.84344254038</v>
      </c>
      <c r="AI50" s="13">
        <v>477354.51958796266</v>
      </c>
      <c r="AJ50" s="13">
        <v>499522.28094822413</v>
      </c>
      <c r="AK50" s="13">
        <v>498628.6866603283</v>
      </c>
      <c r="AL50" s="13">
        <v>497958.60003501095</v>
      </c>
      <c r="AM50" s="13">
        <v>497002.3282904342</v>
      </c>
      <c r="AN50" s="13">
        <v>496305.65766400582</v>
      </c>
    </row>
    <row r="52" spans="2:40" x14ac:dyDescent="0.25">
      <c r="B52" s="1" t="s">
        <v>48</v>
      </c>
      <c r="E52" s="74">
        <f>E37-E50</f>
        <v>0</v>
      </c>
      <c r="F52" s="74">
        <f t="shared" ref="F52:AN52" si="0">F37-F50</f>
        <v>0</v>
      </c>
      <c r="G52" s="74">
        <f t="shared" si="0"/>
        <v>0</v>
      </c>
      <c r="H52" s="74">
        <f t="shared" si="0"/>
        <v>0</v>
      </c>
      <c r="I52" s="74">
        <f t="shared" si="0"/>
        <v>0</v>
      </c>
      <c r="J52" s="74">
        <f t="shared" si="0"/>
        <v>0</v>
      </c>
      <c r="K52" s="74">
        <f t="shared" si="0"/>
        <v>0</v>
      </c>
      <c r="L52" s="74">
        <f t="shared" si="0"/>
        <v>0</v>
      </c>
      <c r="M52" s="74">
        <f t="shared" si="0"/>
        <v>0</v>
      </c>
      <c r="N52" s="74">
        <f t="shared" si="0"/>
        <v>0</v>
      </c>
      <c r="O52" s="74">
        <f t="shared" si="0"/>
        <v>0</v>
      </c>
      <c r="P52" s="74">
        <f t="shared" si="0"/>
        <v>0</v>
      </c>
      <c r="Q52" s="74">
        <f t="shared" si="0"/>
        <v>0</v>
      </c>
      <c r="R52" s="74">
        <f t="shared" si="0"/>
        <v>0</v>
      </c>
      <c r="S52" s="74">
        <f t="shared" si="0"/>
        <v>0</v>
      </c>
      <c r="T52" s="74">
        <f t="shared" si="0"/>
        <v>0</v>
      </c>
      <c r="U52" s="74">
        <f t="shared" si="0"/>
        <v>-151234.47</v>
      </c>
      <c r="V52" s="74">
        <f t="shared" si="0"/>
        <v>0</v>
      </c>
      <c r="W52" s="74">
        <f t="shared" si="0"/>
        <v>-25845.419236180169</v>
      </c>
      <c r="X52" s="74">
        <f t="shared" si="0"/>
        <v>-19569.224175080279</v>
      </c>
      <c r="Y52" s="74">
        <f t="shared" si="0"/>
        <v>-61.743455438234378</v>
      </c>
      <c r="Z52" s="74">
        <f t="shared" si="0"/>
        <v>19742.040899151471</v>
      </c>
      <c r="AA52" s="74">
        <f t="shared" si="0"/>
        <v>39777.439638828073</v>
      </c>
      <c r="AB52" s="74">
        <f t="shared" si="0"/>
        <v>59726.922095735383</v>
      </c>
      <c r="AC52" s="74">
        <f t="shared" si="0"/>
        <v>56246.033434052253</v>
      </c>
      <c r="AD52" s="74">
        <f t="shared" si="0"/>
        <v>73992.811230927124</v>
      </c>
      <c r="AE52" s="74">
        <f t="shared" si="0"/>
        <v>91944.694455772755</v>
      </c>
      <c r="AF52" s="74">
        <f t="shared" si="0"/>
        <v>110148.23523146781</v>
      </c>
      <c r="AG52" s="74">
        <f t="shared" si="0"/>
        <v>127995.12303553126</v>
      </c>
      <c r="AH52" s="74">
        <f t="shared" si="0"/>
        <v>146316.95130492619</v>
      </c>
      <c r="AI52" s="74">
        <f t="shared" si="0"/>
        <v>165036.32671790384</v>
      </c>
      <c r="AJ52" s="74">
        <f t="shared" si="0"/>
        <v>190476.6169160424</v>
      </c>
      <c r="AK52" s="74">
        <f t="shared" si="0"/>
        <v>191370.21120393823</v>
      </c>
      <c r="AL52" s="74">
        <f t="shared" si="0"/>
        <v>192040.29782925558</v>
      </c>
      <c r="AM52" s="74">
        <f t="shared" si="0"/>
        <v>192996.56957383233</v>
      </c>
      <c r="AN52" s="74">
        <f t="shared" si="0"/>
        <v>193693.24020026071</v>
      </c>
    </row>
    <row r="53" spans="2:40" x14ac:dyDescent="0.25">
      <c r="E53" s="105" t="str">
        <f>IFERROR(E52/E37,"")</f>
        <v/>
      </c>
      <c r="F53" s="105" t="str">
        <f t="shared" ref="F53:AN53" si="1">IFERROR(F52/F37,"")</f>
        <v/>
      </c>
      <c r="G53" s="105" t="str">
        <f t="shared" si="1"/>
        <v/>
      </c>
      <c r="H53" s="105" t="str">
        <f t="shared" si="1"/>
        <v/>
      </c>
      <c r="I53" s="105" t="str">
        <f t="shared" si="1"/>
        <v/>
      </c>
      <c r="J53" s="105" t="str">
        <f t="shared" si="1"/>
        <v/>
      </c>
      <c r="K53" s="105" t="str">
        <f t="shared" si="1"/>
        <v/>
      </c>
      <c r="L53" s="105" t="str">
        <f t="shared" si="1"/>
        <v/>
      </c>
      <c r="M53" s="105" t="str">
        <f t="shared" si="1"/>
        <v/>
      </c>
      <c r="N53" s="105" t="str">
        <f t="shared" si="1"/>
        <v/>
      </c>
      <c r="O53" s="105" t="str">
        <f t="shared" si="1"/>
        <v/>
      </c>
      <c r="P53" s="105" t="str">
        <f t="shared" si="1"/>
        <v/>
      </c>
      <c r="Q53" s="105" t="str">
        <f t="shared" si="1"/>
        <v/>
      </c>
      <c r="R53" s="105" t="str">
        <f t="shared" si="1"/>
        <v/>
      </c>
      <c r="S53" s="105" t="str">
        <f t="shared" si="1"/>
        <v/>
      </c>
      <c r="T53" s="105" t="str">
        <f t="shared" si="1"/>
        <v/>
      </c>
      <c r="U53" s="105" t="str">
        <f t="shared" si="1"/>
        <v/>
      </c>
      <c r="V53" s="105" t="str">
        <f t="shared" si="1"/>
        <v/>
      </c>
      <c r="W53" s="105">
        <f t="shared" si="1"/>
        <v>-0.36353752065151129</v>
      </c>
      <c r="X53" s="105">
        <f t="shared" si="1"/>
        <v>-0.16485971721007317</v>
      </c>
      <c r="Y53" s="105">
        <f t="shared" si="1"/>
        <v>-3.7125448052588282E-4</v>
      </c>
      <c r="Z53" s="105">
        <f t="shared" si="1"/>
        <v>9.2287725293688394E-2</v>
      </c>
      <c r="AA53" s="105">
        <f t="shared" si="1"/>
        <v>0.15209720507016292</v>
      </c>
      <c r="AB53" s="105">
        <f t="shared" si="1"/>
        <v>0.19320692099109987</v>
      </c>
      <c r="AC53" s="105">
        <f t="shared" si="1"/>
        <v>0.15766562046138513</v>
      </c>
      <c r="AD53" s="105">
        <f t="shared" si="1"/>
        <v>0.18299172384755819</v>
      </c>
      <c r="AE53" s="105">
        <f t="shared" si="1"/>
        <v>0.20343608087915102</v>
      </c>
      <c r="AF53" s="105">
        <f t="shared" si="1"/>
        <v>0.22048754866327483</v>
      </c>
      <c r="AG53" s="105">
        <f t="shared" si="1"/>
        <v>0.23392001299172682</v>
      </c>
      <c r="AH53" s="105">
        <f t="shared" si="1"/>
        <v>0.24600064527261514</v>
      </c>
      <c r="AI53" s="105">
        <f t="shared" si="1"/>
        <v>0.25690952426698155</v>
      </c>
      <c r="AJ53" s="105">
        <f t="shared" si="1"/>
        <v>0.27605350893402747</v>
      </c>
      <c r="AK53" s="105">
        <f t="shared" si="1"/>
        <v>0.27734857518799066</v>
      </c>
      <c r="AL53" s="105">
        <f t="shared" si="1"/>
        <v>0.27831971677588518</v>
      </c>
      <c r="AM53" s="105">
        <f t="shared" si="1"/>
        <v>0.27970562006868271</v>
      </c>
      <c r="AN53" s="105">
        <f t="shared" si="1"/>
        <v>0.28071528925595934</v>
      </c>
    </row>
    <row r="55" spans="2:40" x14ac:dyDescent="0.25">
      <c r="B55" t="s">
        <v>57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1411000</v>
      </c>
      <c r="D55" s="12">
        <f>C55-SUM(_xlfn.ANCHORARRAY(E55))</f>
        <v>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235166.66666666666</v>
      </c>
      <c r="V55" s="12">
        <v>235166.66666666666</v>
      </c>
      <c r="W55" s="12">
        <v>235166.66666666666</v>
      </c>
      <c r="X55" s="12">
        <v>235166.66666666666</v>
      </c>
      <c r="Y55" s="12">
        <v>235166.66666666666</v>
      </c>
      <c r="Z55" s="12">
        <v>235166.66666666666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</row>
    <row r="56" spans="2:40" x14ac:dyDescent="0.25">
      <c r="B56" t="s">
        <v>285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0</v>
      </c>
      <c r="F56" s="90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0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0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0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0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-84424.829083026663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-92772.130592373302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-98739.029523800025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-105880.23725755996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-113021.44499132005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-120162.65272507997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-39228.965075799999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-46370.172809560005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-53511.380543319989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-60652.588277080002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-67793.79601084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-74935.003744599991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-82076.211478359997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-89217.419212119989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-96358.626945879965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276</v>
      </c>
      <c r="E58" s="13">
        <f>E37-E50-E55+E56</f>
        <v>0</v>
      </c>
      <c r="F58" s="13">
        <f t="shared" ref="F58:AN58" si="2">F37-F50-F55+F56</f>
        <v>0</v>
      </c>
      <c r="G58" s="13">
        <f t="shared" si="2"/>
        <v>0</v>
      </c>
      <c r="H58" s="13">
        <f t="shared" si="2"/>
        <v>0</v>
      </c>
      <c r="I58" s="13">
        <f t="shared" si="2"/>
        <v>0</v>
      </c>
      <c r="J58" s="13">
        <f t="shared" si="2"/>
        <v>0</v>
      </c>
      <c r="K58" s="13">
        <f t="shared" si="2"/>
        <v>0</v>
      </c>
      <c r="L58" s="13">
        <f t="shared" si="2"/>
        <v>0</v>
      </c>
      <c r="M58" s="13">
        <f t="shared" si="2"/>
        <v>0</v>
      </c>
      <c r="N58" s="13">
        <f t="shared" si="2"/>
        <v>0</v>
      </c>
      <c r="O58" s="13">
        <f t="shared" si="2"/>
        <v>0</v>
      </c>
      <c r="P58" s="13">
        <f t="shared" si="2"/>
        <v>0</v>
      </c>
      <c r="Q58" s="13">
        <f t="shared" si="2"/>
        <v>0</v>
      </c>
      <c r="R58" s="13">
        <f t="shared" si="2"/>
        <v>0</v>
      </c>
      <c r="S58" s="13">
        <f t="shared" si="2"/>
        <v>0</v>
      </c>
      <c r="T58" s="13">
        <f t="shared" si="2"/>
        <v>0</v>
      </c>
      <c r="U58" s="13">
        <f t="shared" si="2"/>
        <v>-386401.13666666666</v>
      </c>
      <c r="V58" s="13">
        <f t="shared" si="2"/>
        <v>-235166.66666666666</v>
      </c>
      <c r="W58" s="13">
        <f t="shared" si="2"/>
        <v>-261012.08590284683</v>
      </c>
      <c r="X58" s="13">
        <f t="shared" si="2"/>
        <v>-254735.89084174694</v>
      </c>
      <c r="Y58" s="13">
        <f t="shared" si="2"/>
        <v>-235228.41012210489</v>
      </c>
      <c r="Z58" s="13">
        <f t="shared" si="2"/>
        <v>-299849.45485054184</v>
      </c>
      <c r="AA58" s="13">
        <f t="shared" si="2"/>
        <v>-52994.690953545229</v>
      </c>
      <c r="AB58" s="13">
        <f t="shared" si="2"/>
        <v>-39012.107428064643</v>
      </c>
      <c r="AC58" s="13">
        <f t="shared" si="2"/>
        <v>-49634.203823507705</v>
      </c>
      <c r="AD58" s="13">
        <f t="shared" si="2"/>
        <v>-39028.633760392928</v>
      </c>
      <c r="AE58" s="13">
        <f t="shared" si="2"/>
        <v>-28217.958269307215</v>
      </c>
      <c r="AF58" s="13">
        <f t="shared" si="2"/>
        <v>70919.270155667822</v>
      </c>
      <c r="AG58" s="13">
        <f t="shared" si="2"/>
        <v>81624.950225971261</v>
      </c>
      <c r="AH58" s="13">
        <f t="shared" si="2"/>
        <v>92805.570761606199</v>
      </c>
      <c r="AI58" s="13">
        <f t="shared" si="2"/>
        <v>104383.73844082383</v>
      </c>
      <c r="AJ58" s="13">
        <f t="shared" si="2"/>
        <v>122682.8209052024</v>
      </c>
      <c r="AK58" s="13">
        <f t="shared" si="2"/>
        <v>116435.20745933824</v>
      </c>
      <c r="AL58" s="13">
        <f t="shared" si="2"/>
        <v>109964.08635089558</v>
      </c>
      <c r="AM58" s="13">
        <f t="shared" si="2"/>
        <v>103779.15036171234</v>
      </c>
      <c r="AN58" s="13">
        <f t="shared" si="2"/>
        <v>97334.613254380747</v>
      </c>
    </row>
    <row r="59" spans="2:40" x14ac:dyDescent="0.25">
      <c r="B59" t="s">
        <v>277</v>
      </c>
      <c r="E59" s="12" cm="1">
        <f t="array" ref="E59:AN59">_xlfn.SCAN(-D55,E58:AN58,_xlfn.LAMBDA(_xlpm.capex,_xlpm.fcf,_xlpm.capex+_xlpm.fcf))</f>
        <v>0</v>
      </c>
      <c r="F59" s="12">
        <v>0</v>
      </c>
      <c r="G59" s="12">
        <v>0</v>
      </c>
      <c r="H59" s="12">
        <v>0</v>
      </c>
      <c r="I59" s="12">
        <v>0</v>
      </c>
      <c r="J59" s="12">
        <v>0</v>
      </c>
      <c r="K59" s="12">
        <v>0</v>
      </c>
      <c r="L59" s="12">
        <v>0</v>
      </c>
      <c r="M59" s="12">
        <v>0</v>
      </c>
      <c r="N59" s="12">
        <v>0</v>
      </c>
      <c r="O59" s="12">
        <v>0</v>
      </c>
      <c r="P59" s="12">
        <v>0</v>
      </c>
      <c r="Q59" s="12">
        <v>0</v>
      </c>
      <c r="R59" s="12">
        <v>0</v>
      </c>
      <c r="S59" s="12">
        <v>0</v>
      </c>
      <c r="T59" s="12">
        <v>0</v>
      </c>
      <c r="U59" s="12">
        <v>-386401.13666666666</v>
      </c>
      <c r="V59" s="12">
        <v>-621567.80333333334</v>
      </c>
      <c r="W59" s="12">
        <v>-882579.88923618011</v>
      </c>
      <c r="X59" s="12">
        <v>-1137315.780077927</v>
      </c>
      <c r="Y59" s="12">
        <v>-1372544.190200032</v>
      </c>
      <c r="Z59" s="12">
        <v>-1672393.6450505739</v>
      </c>
      <c r="AA59" s="12">
        <v>-1725388.3360041191</v>
      </c>
      <c r="AB59" s="12">
        <v>-1764400.4434321837</v>
      </c>
      <c r="AC59" s="12">
        <v>-1814034.6472556915</v>
      </c>
      <c r="AD59" s="12">
        <v>-1853063.2810160844</v>
      </c>
      <c r="AE59" s="12">
        <v>-1881281.2392853915</v>
      </c>
      <c r="AF59" s="12">
        <v>-1810361.9691297237</v>
      </c>
      <c r="AG59" s="12">
        <v>-1728737.0189037526</v>
      </c>
      <c r="AH59" s="12">
        <v>-1635931.4481421465</v>
      </c>
      <c r="AI59" s="12">
        <v>-1531547.7097013227</v>
      </c>
      <c r="AJ59" s="12">
        <v>-1408864.8887961204</v>
      </c>
      <c r="AK59" s="12">
        <v>-1292429.6813367822</v>
      </c>
      <c r="AL59" s="12">
        <v>-1182465.5949858865</v>
      </c>
      <c r="AM59" s="12">
        <v>-1078686.4446241742</v>
      </c>
      <c r="AN59" s="12">
        <v>-981351.83136979339</v>
      </c>
    </row>
    <row r="61" spans="2:40" x14ac:dyDescent="0.25">
      <c r="B61" s="1" t="s">
        <v>302</v>
      </c>
    </row>
    <row r="63" spans="2:40" x14ac:dyDescent="0.25">
      <c r="B63" s="39" t="s">
        <v>103</v>
      </c>
      <c r="E63" s="12" cm="1">
        <f t="array" ref="E63:AN63">_xlfn.LET(_xlpm.site,$B$1&amp;"-"&amp;$C$1,_xlpm.locations,Base!$D$4:$BD$4,_xlpm.rates,Base!$D$36:$BD$36,_xlpm.hours,Base!$D$79:$BD$79,_xlpm.comp,_xlpm.rates*_xlpm.hours,_xlpm.Customer,_xlfn.ANCHORARRAY($E$1),
_xlpm.Customer_comp,_xlfn.XLOOKUP(_xlpm.site,_xlpm.locations,_xlpm.comp,0,0),_xlpm.ann_incr,_xlfn.XLOOKUP(YEAR(_xlfn.ANCHORARRAY($E$25)),Base!$BJ$4:$BL$4,Base!$BJ$79:$BL$79,0,0),
_xlpm.bad_debt,_xlfn.XLOOKUP(_xlpm.site,_xlpm.locations,Base!$D$28:$BD$28,0,0),_xlpm.Customer_comp*_xlpm.Customer*_xlpm.bad_debt*_xlpm.ann_incr*(52/12)*(1-$C$35))</f>
        <v>0</v>
      </c>
      <c r="F63" s="12">
        <v>0</v>
      </c>
      <c r="G63" s="12">
        <v>0</v>
      </c>
      <c r="H63" s="12">
        <v>0</v>
      </c>
      <c r="I63" s="12">
        <v>0</v>
      </c>
      <c r="J63" s="12">
        <v>0</v>
      </c>
      <c r="K63" s="12">
        <v>0</v>
      </c>
      <c r="L63" s="12">
        <v>0</v>
      </c>
      <c r="M63" s="12">
        <v>0</v>
      </c>
      <c r="N63" s="12">
        <v>0</v>
      </c>
      <c r="O63" s="12">
        <v>0</v>
      </c>
      <c r="P63" s="12">
        <v>0</v>
      </c>
      <c r="Q63" s="12">
        <v>0</v>
      </c>
      <c r="R63" s="12">
        <v>0</v>
      </c>
      <c r="S63" s="12">
        <v>0</v>
      </c>
      <c r="T63" s="12">
        <v>0</v>
      </c>
      <c r="U63" s="12">
        <v>0</v>
      </c>
      <c r="V63" s="12">
        <v>0</v>
      </c>
      <c r="W63" s="12">
        <v>2179.0924014745592</v>
      </c>
      <c r="X63" s="12">
        <v>4358.1848029491184</v>
      </c>
      <c r="Y63" s="12">
        <v>6537.2772044236781</v>
      </c>
      <c r="Z63" s="12">
        <v>8716.3696058982368</v>
      </c>
      <c r="AA63" s="12">
        <v>10895.4620073728</v>
      </c>
      <c r="AB63" s="12">
        <v>13074.554408847356</v>
      </c>
      <c r="AC63" s="12">
        <v>15253.646810321916</v>
      </c>
      <c r="AD63" s="12">
        <v>17432.739211796474</v>
      </c>
      <c r="AE63" s="12">
        <v>19611.831613271035</v>
      </c>
      <c r="AF63" s="12">
        <v>21790.9240147456</v>
      </c>
      <c r="AG63" s="12">
        <v>23970.016416220154</v>
      </c>
      <c r="AH63" s="12">
        <v>26149.108817694712</v>
      </c>
      <c r="AI63" s="12">
        <v>28328.201219169274</v>
      </c>
      <c r="AJ63" s="12">
        <v>30507.293620643832</v>
      </c>
      <c r="AK63" s="12">
        <v>30507.293620643832</v>
      </c>
      <c r="AL63" s="12">
        <v>30507.293620643832</v>
      </c>
      <c r="AM63" s="12">
        <v>30507.293620643832</v>
      </c>
      <c r="AN63" s="12">
        <v>30507.293620643832</v>
      </c>
    </row>
    <row r="64" spans="2:40" x14ac:dyDescent="0.25">
      <c r="B64" s="39" t="s">
        <v>104</v>
      </c>
      <c r="E64" s="12" cm="1">
        <f t="array" ref="E64:AN64">_xlfn.LET(_xlpm.site,$B$1&amp;"-"&amp;$C$1,_xlpm.locations,Base!$D$4:$BD$4,_xlpm.rates,Base!$D$37:$BD$37,_xlpm.hours,Base!$D$80:$BD$80,_xlpm.comp,_xlpm.rates*_xlpm.hours,_xlpm.Customer,_xlfn.ANCHORARRAY($E$1),
_xlpm.Customer_comp,_xlfn.XLOOKUP(_xlpm.site,_xlpm.locations,_xlpm.comp,0,0),_xlpm.ann_incr,_xlfn.XLOOKUP(YEAR(_xlfn.ANCHORARRAY($E$25)),Base!$BJ$4:$BL$4,Base!$BJ$80:$BL$80,0,0),
_xlpm.bad_debt,_xlfn.XLOOKUP(_xlpm.site,_xlpm.locations,Base!$D$28:$BD$28,0,0),_xlpm.Customer_comp*_xlpm.Customer*_xlpm.bad_debt*_xlpm.ann_incr*(52/12)*(1-$C$35))</f>
        <v>0</v>
      </c>
      <c r="F64" s="12">
        <v>0</v>
      </c>
      <c r="G64" s="12">
        <v>0</v>
      </c>
      <c r="H64" s="12">
        <v>0</v>
      </c>
      <c r="I64" s="12">
        <v>0</v>
      </c>
      <c r="J64" s="12">
        <v>0</v>
      </c>
      <c r="K64" s="12">
        <v>0</v>
      </c>
      <c r="L64" s="12">
        <v>0</v>
      </c>
      <c r="M64" s="12">
        <v>0</v>
      </c>
      <c r="N64" s="12">
        <v>0</v>
      </c>
      <c r="O64" s="12">
        <v>0</v>
      </c>
      <c r="P64" s="12">
        <v>0</v>
      </c>
      <c r="Q64" s="12">
        <v>0</v>
      </c>
      <c r="R64" s="12">
        <v>0</v>
      </c>
      <c r="S64" s="12">
        <v>0</v>
      </c>
      <c r="T64" s="12">
        <v>0</v>
      </c>
      <c r="U64" s="12">
        <v>0</v>
      </c>
      <c r="V64" s="12">
        <v>0</v>
      </c>
      <c r="W64" s="12">
        <v>291.17026532352008</v>
      </c>
      <c r="X64" s="12">
        <v>582.34053064704017</v>
      </c>
      <c r="Y64" s="12">
        <v>873.51079597056014</v>
      </c>
      <c r="Z64" s="12">
        <v>1164.6810612940803</v>
      </c>
      <c r="AA64" s="12">
        <v>1455.8513266176003</v>
      </c>
      <c r="AB64" s="12">
        <v>1747.0215919411203</v>
      </c>
      <c r="AC64" s="12">
        <v>2038.1918572646407</v>
      </c>
      <c r="AD64" s="12">
        <v>2329.3621225881607</v>
      </c>
      <c r="AE64" s="12">
        <v>2620.5323879116804</v>
      </c>
      <c r="AF64" s="12">
        <v>2911.7026532352006</v>
      </c>
      <c r="AG64" s="12">
        <v>3202.8729185587208</v>
      </c>
      <c r="AH64" s="12">
        <v>3494.0431838822406</v>
      </c>
      <c r="AI64" s="12">
        <v>3785.2134492057612</v>
      </c>
      <c r="AJ64" s="12">
        <v>4076.3837145292814</v>
      </c>
      <c r="AK64" s="12">
        <v>4076.3837145292814</v>
      </c>
      <c r="AL64" s="12">
        <v>4076.3837145292814</v>
      </c>
      <c r="AM64" s="12">
        <v>4076.3837145292814</v>
      </c>
      <c r="AN64" s="12">
        <v>4076.3837145292814</v>
      </c>
    </row>
    <row r="65" spans="2:40" x14ac:dyDescent="0.25">
      <c r="B65" s="39" t="s">
        <v>56</v>
      </c>
      <c r="E65" s="12" cm="1">
        <f t="array" ref="E65:AN65">_xlfn.LET(_xlpm.site,$B$1&amp;"-"&amp;$C$1,_xlpm.locations,Base!$D$4:$BD$4,_xlpm.rates,Base!$D$39:$BD$39,_xlpm.hours,Base!$D$82:$BD$82,_xlpm.comp,_xlpm.rates*_xlpm.hours,_xlpm.Customer,_xlfn.ANCHORARRAY($E$1),
_xlpm.Customer_comp,_xlfn.XLOOKUP(_xlpm.site,_xlpm.locations,_xlpm.comp,0,0),_xlpm.ann_incr,_xlfn.XLOOKUP(YEAR(_xlfn.ANCHORARRAY($E$25)),Base!$BJ$4:$BL$4,Base!$BJ$82:$BL$82,0,0),
_xlpm.bad_debt,_xlfn.XLOOKUP(_xlpm.site,_xlpm.locations,Base!$D$28:$BD$28,0,0),_xlpm.Customer_comp*_xlpm.Customer*_xlpm.bad_debt*_xlpm.ann_incr*(52/12)*(1-$C$35))</f>
        <v>0</v>
      </c>
      <c r="F65" s="12">
        <v>0</v>
      </c>
      <c r="G65" s="12">
        <v>0</v>
      </c>
      <c r="H65" s="12">
        <v>0</v>
      </c>
      <c r="I65" s="12">
        <v>0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  <c r="O65" s="12">
        <v>0</v>
      </c>
      <c r="P65" s="12">
        <v>0</v>
      </c>
      <c r="Q65" s="12">
        <v>0</v>
      </c>
      <c r="R65" s="12">
        <v>0</v>
      </c>
      <c r="S65" s="12">
        <v>0</v>
      </c>
      <c r="T65" s="12">
        <v>0</v>
      </c>
      <c r="U65" s="12">
        <v>0</v>
      </c>
      <c r="V65" s="12">
        <v>0</v>
      </c>
      <c r="W65" s="12">
        <v>1770.8074248550399</v>
      </c>
      <c r="X65" s="12">
        <v>3541.6148497100799</v>
      </c>
      <c r="Y65" s="12">
        <v>5312.4222745651196</v>
      </c>
      <c r="Z65" s="12">
        <v>7083.2296994201597</v>
      </c>
      <c r="AA65" s="12">
        <v>8854.0371242752008</v>
      </c>
      <c r="AB65" s="12">
        <v>10624.844549130239</v>
      </c>
      <c r="AC65" s="12">
        <v>12395.651973985277</v>
      </c>
      <c r="AD65" s="12">
        <v>14166.459398840319</v>
      </c>
      <c r="AE65" s="12">
        <v>15937.266823695358</v>
      </c>
      <c r="AF65" s="12">
        <v>17708.074248550402</v>
      </c>
      <c r="AG65" s="12">
        <v>19478.881673405438</v>
      </c>
      <c r="AH65" s="12">
        <v>21249.689098260478</v>
      </c>
      <c r="AI65" s="12">
        <v>23020.496523115518</v>
      </c>
      <c r="AJ65" s="12">
        <v>24791.303947970555</v>
      </c>
      <c r="AK65" s="12">
        <v>24791.303947970555</v>
      </c>
      <c r="AL65" s="12">
        <v>24791.303947970555</v>
      </c>
      <c r="AM65" s="12">
        <v>24791.303947970555</v>
      </c>
      <c r="AN65" s="12">
        <v>24791.303947970555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303</v>
      </c>
      <c r="C67" s="12"/>
      <c r="E67" s="13" cm="1">
        <f t="array" ref="E67:AN67">_xlfn.BYCOL(_xlfn.VSTACK(_xlfn.ANCHORARRAY($E$63),_xlfn.ANCHORARRAY($E$64),_xlfn.ANCHORARRAY($E$65)),_xlfn.LAMBDA(_xlpm.a,SUM(_xlpm.a)))</f>
        <v>0</v>
      </c>
      <c r="F67" s="13">
        <v>0</v>
      </c>
      <c r="G67" s="13">
        <v>0</v>
      </c>
      <c r="H67" s="13">
        <v>0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  <c r="W67" s="13">
        <v>4241.0700916531196</v>
      </c>
      <c r="X67" s="13">
        <v>8482.1401833062391</v>
      </c>
      <c r="Y67" s="13">
        <v>12723.210274959358</v>
      </c>
      <c r="Z67" s="13">
        <v>16964.280366612478</v>
      </c>
      <c r="AA67" s="13">
        <v>21205.350458265602</v>
      </c>
      <c r="AB67" s="13">
        <v>25446.420549918716</v>
      </c>
      <c r="AC67" s="13">
        <v>29687.490641571832</v>
      </c>
      <c r="AD67" s="13">
        <v>33928.560733224956</v>
      </c>
      <c r="AE67" s="13">
        <v>38169.63082487807</v>
      </c>
      <c r="AF67" s="13">
        <v>42410.700916531205</v>
      </c>
      <c r="AG67" s="13">
        <v>46651.771008184311</v>
      </c>
      <c r="AH67" s="13">
        <v>50892.841099837431</v>
      </c>
      <c r="AI67" s="13">
        <v>55133.911191490552</v>
      </c>
      <c r="AJ67" s="13">
        <v>59374.981283143665</v>
      </c>
      <c r="AK67" s="13">
        <v>59374.981283143665</v>
      </c>
      <c r="AL67" s="13">
        <v>59374.981283143665</v>
      </c>
      <c r="AM67" s="13">
        <v>59374.981283143665</v>
      </c>
      <c r="AN67" s="13">
        <v>59374.981283143665</v>
      </c>
    </row>
    <row r="68" spans="2:40" x14ac:dyDescent="0.25">
      <c r="B68" s="39"/>
      <c r="C68" s="12"/>
    </row>
    <row r="69" spans="2:40" x14ac:dyDescent="0.25">
      <c r="B69" s="39" t="s">
        <v>304</v>
      </c>
      <c r="C69" s="12"/>
      <c r="E69" s="106" cm="1">
        <f t="array" ref="E69:AN70">_xlfn.LET(_xlpm.Customer_staff,_xlfn._xlws.FILTER(Base!$D$96:$BD$97,ISNUMBER(SEARCH($B$1&amp;"-"&amp;$C$1,Base!$D$4:$BD$4))),_xlpm.Customer,_xlfn.ANCHORARRAY($E$1),_xlpm.headcount,_xlpm.Customer/_xlpm.Customer_staff,
_xlpm.rounding,_xlfn.VSTACK(0,0),IFERROR(ROUND(_xlpm.headcount,_xlpm.rounding),0))</f>
        <v>0</v>
      </c>
      <c r="F69" s="106">
        <v>0</v>
      </c>
      <c r="G69" s="106">
        <v>0</v>
      </c>
      <c r="H69" s="106">
        <v>0</v>
      </c>
      <c r="I69" s="106">
        <v>0</v>
      </c>
      <c r="J69" s="106">
        <v>0</v>
      </c>
      <c r="K69" s="106">
        <v>0</v>
      </c>
      <c r="L69" s="106">
        <v>0</v>
      </c>
      <c r="M69" s="106">
        <v>0</v>
      </c>
      <c r="N69" s="106">
        <v>0</v>
      </c>
      <c r="O69" s="106">
        <v>0</v>
      </c>
      <c r="P69" s="106">
        <v>0</v>
      </c>
      <c r="Q69" s="106">
        <v>0</v>
      </c>
      <c r="R69" s="106">
        <v>0</v>
      </c>
      <c r="S69" s="106">
        <v>0</v>
      </c>
      <c r="T69" s="106">
        <v>0</v>
      </c>
      <c r="U69" s="106">
        <v>0</v>
      </c>
      <c r="V69" s="106">
        <v>0</v>
      </c>
      <c r="W69" s="106">
        <v>0</v>
      </c>
      <c r="X69" s="106">
        <v>0</v>
      </c>
      <c r="Y69" s="106">
        <v>0</v>
      </c>
      <c r="Z69" s="106">
        <v>0</v>
      </c>
      <c r="AA69" s="106">
        <v>0</v>
      </c>
      <c r="AB69" s="106">
        <v>0</v>
      </c>
      <c r="AC69" s="106">
        <v>1</v>
      </c>
      <c r="AD69" s="106">
        <v>1</v>
      </c>
      <c r="AE69" s="106">
        <v>1</v>
      </c>
      <c r="AF69" s="106">
        <v>1</v>
      </c>
      <c r="AG69" s="106">
        <v>1</v>
      </c>
      <c r="AH69" s="106">
        <v>1</v>
      </c>
      <c r="AI69" s="106">
        <v>1</v>
      </c>
      <c r="AJ69" s="106">
        <v>1</v>
      </c>
      <c r="AK69" s="106">
        <v>1</v>
      </c>
      <c r="AL69" s="106">
        <v>1</v>
      </c>
      <c r="AM69" s="106">
        <v>1</v>
      </c>
      <c r="AN69" s="106">
        <v>1</v>
      </c>
    </row>
    <row r="70" spans="2:40" x14ac:dyDescent="0.25">
      <c r="B70" s="39" t="s">
        <v>305</v>
      </c>
      <c r="C70" s="12"/>
      <c r="E70" s="106">
        <v>0</v>
      </c>
      <c r="F70" s="106">
        <v>0</v>
      </c>
      <c r="G70" s="106">
        <v>0</v>
      </c>
      <c r="H70" s="106">
        <v>0</v>
      </c>
      <c r="I70" s="106">
        <v>0</v>
      </c>
      <c r="J70" s="106">
        <v>0</v>
      </c>
      <c r="K70" s="106">
        <v>0</v>
      </c>
      <c r="L70" s="106">
        <v>0</v>
      </c>
      <c r="M70" s="106">
        <v>0</v>
      </c>
      <c r="N70" s="106">
        <v>0</v>
      </c>
      <c r="O70" s="106">
        <v>0</v>
      </c>
      <c r="P70" s="106">
        <v>0</v>
      </c>
      <c r="Q70" s="106">
        <v>0</v>
      </c>
      <c r="R70" s="106">
        <v>0</v>
      </c>
      <c r="S70" s="106">
        <v>0</v>
      </c>
      <c r="T70" s="106">
        <v>0</v>
      </c>
      <c r="U70" s="106">
        <v>0</v>
      </c>
      <c r="V70" s="106">
        <v>0</v>
      </c>
      <c r="W70" s="106">
        <v>0</v>
      </c>
      <c r="X70" s="106">
        <v>0</v>
      </c>
      <c r="Y70" s="106">
        <v>0</v>
      </c>
      <c r="Z70" s="106">
        <v>0</v>
      </c>
      <c r="AA70" s="106">
        <v>0</v>
      </c>
      <c r="AB70" s="106">
        <v>0</v>
      </c>
      <c r="AC70" s="106">
        <v>0</v>
      </c>
      <c r="AD70" s="106">
        <v>1</v>
      </c>
      <c r="AE70" s="106">
        <v>1</v>
      </c>
      <c r="AF70" s="106">
        <v>1</v>
      </c>
      <c r="AG70" s="106">
        <v>1</v>
      </c>
      <c r="AH70" s="106">
        <v>1</v>
      </c>
      <c r="AI70" s="106">
        <v>1</v>
      </c>
      <c r="AJ70" s="106">
        <v>1</v>
      </c>
      <c r="AK70" s="106">
        <v>1</v>
      </c>
      <c r="AL70" s="106">
        <v>1</v>
      </c>
      <c r="AM70" s="106">
        <v>1</v>
      </c>
      <c r="AN70" s="106">
        <v>1</v>
      </c>
    </row>
    <row r="71" spans="2:40" x14ac:dyDescent="0.25">
      <c r="B71" s="39"/>
      <c r="C71" s="12"/>
    </row>
    <row r="72" spans="2:40" x14ac:dyDescent="0.25">
      <c r="B72" s="39" t="s">
        <v>23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0</v>
      </c>
      <c r="F72" s="12">
        <v>0</v>
      </c>
      <c r="G72" s="12">
        <v>0</v>
      </c>
      <c r="H72" s="12">
        <v>0</v>
      </c>
      <c r="I72" s="12">
        <v>0</v>
      </c>
      <c r="J72" s="12">
        <v>0</v>
      </c>
      <c r="K72" s="12">
        <v>0</v>
      </c>
      <c r="L72" s="12">
        <v>0</v>
      </c>
      <c r="M72" s="12">
        <v>0</v>
      </c>
      <c r="N72" s="12">
        <v>0</v>
      </c>
      <c r="O72" s="12">
        <v>0</v>
      </c>
      <c r="P72" s="12">
        <v>0</v>
      </c>
      <c r="Q72" s="12">
        <v>0</v>
      </c>
      <c r="R72" s="12">
        <v>0</v>
      </c>
      <c r="S72" s="12">
        <v>0</v>
      </c>
      <c r="T72" s="12">
        <v>0</v>
      </c>
      <c r="U72" s="12">
        <v>0</v>
      </c>
      <c r="V72" s="12">
        <v>0</v>
      </c>
      <c r="W72" s="12">
        <v>692.29180973695384</v>
      </c>
      <c r="X72" s="12">
        <v>1384.5836194739077</v>
      </c>
      <c r="Y72" s="12">
        <v>2076.8754292108624</v>
      </c>
      <c r="Z72" s="12">
        <v>2769.1672389478153</v>
      </c>
      <c r="AA72" s="12">
        <v>3461.459048684771</v>
      </c>
      <c r="AB72" s="12">
        <v>4153.7508584217248</v>
      </c>
      <c r="AC72" s="12">
        <v>22033.486934974546</v>
      </c>
      <c r="AD72" s="12">
        <v>39497.847925685193</v>
      </c>
      <c r="AE72" s="12">
        <v>40259.368916395848</v>
      </c>
      <c r="AF72" s="12">
        <v>41020.889907106495</v>
      </c>
      <c r="AG72" s="12">
        <v>41782.410897817143</v>
      </c>
      <c r="AH72" s="12">
        <v>42543.93188852779</v>
      </c>
      <c r="AI72" s="12">
        <v>43305.452879238444</v>
      </c>
      <c r="AJ72" s="12">
        <v>44066.973869949092</v>
      </c>
      <c r="AK72" s="12">
        <v>44066.973869949092</v>
      </c>
      <c r="AL72" s="12">
        <v>44066.973869949092</v>
      </c>
      <c r="AM72" s="12">
        <v>44066.973869949092</v>
      </c>
      <c r="AN72" s="12">
        <v>44066.973869949092</v>
      </c>
    </row>
    <row r="73" spans="2:40" x14ac:dyDescent="0.25">
      <c r="B73" s="39" t="s">
        <v>24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306</v>
      </c>
      <c r="E75" s="74" cm="1">
        <f t="array" ref="E75:AN75">_xlfn.ANCHORARRAY(E67)-_xlfn.ANCHORARRAY(E72)-_xlfn.ANCHORARRAY(E73)</f>
        <v>0</v>
      </c>
      <c r="F75" s="74">
        <v>0</v>
      </c>
      <c r="G75" s="74">
        <v>0</v>
      </c>
      <c r="H75" s="74">
        <v>0</v>
      </c>
      <c r="I75" s="74">
        <v>0</v>
      </c>
      <c r="J75" s="74">
        <v>0</v>
      </c>
      <c r="K75" s="74">
        <v>0</v>
      </c>
      <c r="L75" s="74">
        <v>0</v>
      </c>
      <c r="M75" s="74">
        <v>0</v>
      </c>
      <c r="N75" s="74">
        <v>0</v>
      </c>
      <c r="O75" s="74">
        <v>0</v>
      </c>
      <c r="P75" s="74">
        <v>0</v>
      </c>
      <c r="Q75" s="74">
        <v>0</v>
      </c>
      <c r="R75" s="74">
        <v>0</v>
      </c>
      <c r="S75" s="74">
        <v>0</v>
      </c>
      <c r="T75" s="74">
        <v>0</v>
      </c>
      <c r="U75" s="74">
        <v>0</v>
      </c>
      <c r="V75" s="74">
        <v>0</v>
      </c>
      <c r="W75" s="74">
        <v>3548.7782819161657</v>
      </c>
      <c r="X75" s="74">
        <v>7097.5565638323314</v>
      </c>
      <c r="Y75" s="74">
        <v>10646.334845748495</v>
      </c>
      <c r="Z75" s="74">
        <v>14195.113127664663</v>
      </c>
      <c r="AA75" s="74">
        <v>17743.891409580832</v>
      </c>
      <c r="AB75" s="74">
        <v>21292.669691496991</v>
      </c>
      <c r="AC75" s="74">
        <v>7654.0037065972865</v>
      </c>
      <c r="AD75" s="74">
        <v>-5569.2871924602368</v>
      </c>
      <c r="AE75" s="74">
        <v>-2089.7380915177782</v>
      </c>
      <c r="AF75" s="74">
        <v>1389.8110094247095</v>
      </c>
      <c r="AG75" s="74">
        <v>4869.3601103671681</v>
      </c>
      <c r="AH75" s="74">
        <v>8348.9092113096413</v>
      </c>
      <c r="AI75" s="74">
        <v>11828.458312252107</v>
      </c>
      <c r="AJ75" s="74">
        <v>15308.007413194573</v>
      </c>
      <c r="AK75" s="74">
        <v>15308.007413194573</v>
      </c>
      <c r="AL75" s="74">
        <v>15308.007413194573</v>
      </c>
      <c r="AM75" s="74">
        <v>15308.007413194573</v>
      </c>
      <c r="AN75" s="74">
        <v>15308.007413194573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8048ED-F2B8-40E8-9BCC-319521DC54D5}">
  <dimension ref="A1:AX75"/>
  <sheetViews>
    <sheetView workbookViewId="0">
      <pane xSplit="4" ySplit="25" topLeftCell="E26" activePane="bottomRight" state="frozen"/>
      <selection activeCell="E63" sqref="E63:E65"/>
      <selection pane="topRight" activeCell="E63" sqref="E63:E65"/>
      <selection pane="bottomLeft" activeCell="E63" sqref="E63:E65"/>
      <selection pane="bottomRight" activeCell="E63" sqref="E63:E65"/>
    </sheetView>
  </sheetViews>
  <sheetFormatPr defaultRowHeight="15" outlineLevelRow="1" x14ac:dyDescent="0.25"/>
  <cols>
    <col min="2" max="2" width="24.5703125" bestFit="1" customWidth="1"/>
    <col min="3" max="3" width="11.5703125" bestFit="1" customWidth="1"/>
    <col min="4" max="4" width="10" bestFit="1" customWidth="1"/>
    <col min="5" max="5" width="11.42578125" bestFit="1" customWidth="1"/>
    <col min="6" max="6" width="11.7109375" bestFit="1" customWidth="1"/>
    <col min="7" max="13" width="12.28515625" bestFit="1" customWidth="1"/>
    <col min="14" max="18" width="11.5703125" bestFit="1" customWidth="1"/>
    <col min="19" max="40" width="12.5703125" bestFit="1" customWidth="1"/>
  </cols>
  <sheetData>
    <row r="1" spans="1:40" x14ac:dyDescent="0.25">
      <c r="A1" s="96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>2028</v>
      </c>
      <c r="B1" s="58" t="s">
        <v>72</v>
      </c>
      <c r="C1" s="16" t="s">
        <v>61</v>
      </c>
      <c r="D1" s="3" t="s">
        <v>307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IFERROR(_xlpm.kiddos,0))</f>
        <v>0</v>
      </c>
      <c r="F1" s="69">
        <v>0</v>
      </c>
      <c r="G1" s="69">
        <v>0</v>
      </c>
      <c r="H1" s="69">
        <v>0</v>
      </c>
      <c r="I1" s="69">
        <v>0</v>
      </c>
      <c r="J1" s="69">
        <v>0</v>
      </c>
      <c r="K1" s="69">
        <v>0</v>
      </c>
      <c r="L1" s="69">
        <v>0</v>
      </c>
      <c r="M1" s="69">
        <v>0</v>
      </c>
      <c r="N1" s="69">
        <v>0</v>
      </c>
      <c r="O1" s="69">
        <v>0</v>
      </c>
      <c r="P1" s="69">
        <v>0</v>
      </c>
      <c r="Q1" s="69">
        <v>0</v>
      </c>
      <c r="R1" s="69">
        <v>0</v>
      </c>
      <c r="S1" s="69">
        <v>0</v>
      </c>
      <c r="T1" s="69">
        <v>0</v>
      </c>
      <c r="U1" s="69">
        <v>0</v>
      </c>
      <c r="V1" s="69">
        <v>0</v>
      </c>
      <c r="W1" s="69">
        <v>0</v>
      </c>
      <c r="X1" s="69">
        <v>0</v>
      </c>
      <c r="Y1" s="69">
        <v>0</v>
      </c>
      <c r="Z1" s="69">
        <v>0</v>
      </c>
      <c r="AA1" s="69">
        <v>0</v>
      </c>
      <c r="AB1" s="69">
        <v>0</v>
      </c>
      <c r="AC1" s="69">
        <v>0</v>
      </c>
      <c r="AD1" s="69">
        <v>0</v>
      </c>
      <c r="AE1" s="69">
        <v>0</v>
      </c>
      <c r="AF1" s="69">
        <v>0</v>
      </c>
      <c r="AG1" s="69">
        <v>0</v>
      </c>
      <c r="AH1" s="69">
        <v>0</v>
      </c>
      <c r="AI1" s="69">
        <v>3</v>
      </c>
      <c r="AJ1" s="69">
        <v>6</v>
      </c>
      <c r="AK1" s="69">
        <v>9</v>
      </c>
      <c r="AL1" s="69">
        <v>12</v>
      </c>
      <c r="AM1" s="69">
        <v>15</v>
      </c>
      <c r="AN1" s="69">
        <v>18</v>
      </c>
    </row>
    <row r="2" spans="1:40" x14ac:dyDescent="0.25">
      <c r="A2" s="65"/>
      <c r="B2" s="3" t="str">
        <f>_xlfn.XLOOKUP($B$1&amp;"-"&amp;$C$1,Base!$D$4:$BD$4,Base!$D$2:$BD$2,"",0)</f>
        <v>New Jersey</v>
      </c>
      <c r="C2" s="55"/>
      <c r="D2" s="55" t="s">
        <v>259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0</v>
      </c>
      <c r="F2" s="69">
        <v>0</v>
      </c>
      <c r="G2" s="69">
        <v>0</v>
      </c>
      <c r="H2" s="69">
        <v>0</v>
      </c>
      <c r="I2" s="69">
        <v>0</v>
      </c>
      <c r="J2" s="69">
        <v>0</v>
      </c>
      <c r="K2" s="69">
        <v>0</v>
      </c>
      <c r="L2" s="69">
        <v>0</v>
      </c>
      <c r="M2" s="69">
        <v>0</v>
      </c>
      <c r="N2" s="69">
        <v>0</v>
      </c>
      <c r="O2" s="69">
        <v>0</v>
      </c>
      <c r="P2" s="69">
        <v>0</v>
      </c>
      <c r="Q2" s="69">
        <v>0</v>
      </c>
      <c r="R2" s="69">
        <v>0</v>
      </c>
      <c r="S2" s="69">
        <v>0</v>
      </c>
      <c r="T2" s="69">
        <v>0</v>
      </c>
      <c r="U2" s="69">
        <v>0</v>
      </c>
      <c r="V2" s="69">
        <v>0</v>
      </c>
      <c r="W2" s="69">
        <v>0</v>
      </c>
      <c r="X2" s="69">
        <v>0</v>
      </c>
      <c r="Y2" s="69">
        <v>0</v>
      </c>
      <c r="Z2" s="69">
        <v>0</v>
      </c>
      <c r="AA2" s="69">
        <v>0</v>
      </c>
      <c r="AB2" s="69">
        <v>0</v>
      </c>
      <c r="AC2" s="69">
        <v>0</v>
      </c>
      <c r="AD2" s="69">
        <v>0</v>
      </c>
      <c r="AE2" s="69">
        <v>0</v>
      </c>
      <c r="AF2" s="69">
        <v>0</v>
      </c>
      <c r="AG2" s="69">
        <v>0</v>
      </c>
      <c r="AH2" s="69">
        <v>0</v>
      </c>
      <c r="AI2" s="69">
        <v>0</v>
      </c>
      <c r="AJ2" s="69">
        <v>3.1666666666666665</v>
      </c>
      <c r="AK2" s="69">
        <v>3.3333333333333335</v>
      </c>
      <c r="AL2" s="69">
        <v>3.5</v>
      </c>
      <c r="AM2" s="69">
        <v>3.6666666666666665</v>
      </c>
      <c r="AN2" s="69">
        <v>3.8333333333333335</v>
      </c>
    </row>
    <row r="3" spans="1:40" x14ac:dyDescent="0.25">
      <c r="A3" s="65"/>
      <c r="B3" s="55"/>
      <c r="C3" s="55"/>
      <c r="D3" s="55" t="s">
        <v>62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_xlpm.months_since,DATEDIF(_xlpm.launchdate,_xlfn.ANCHORARRAY($E$25),"m"),_xlfn.BYCOL(_xlpm.months_since,_xlfn.LAMBDA(_xlpm.a,IFERROR(MIN(_xlpm.a/6,_xlpm.max_kiddos),0))))</f>
        <v>0</v>
      </c>
      <c r="F3" s="69">
        <v>0</v>
      </c>
      <c r="G3" s="69">
        <v>0</v>
      </c>
      <c r="H3" s="69">
        <v>0</v>
      </c>
      <c r="I3" s="69">
        <v>0</v>
      </c>
      <c r="J3" s="69">
        <v>0</v>
      </c>
      <c r="K3" s="69">
        <v>0</v>
      </c>
      <c r="L3" s="69">
        <v>0</v>
      </c>
      <c r="M3" s="69">
        <v>0</v>
      </c>
      <c r="N3" s="69">
        <v>0</v>
      </c>
      <c r="O3" s="69">
        <v>0</v>
      </c>
      <c r="P3" s="69">
        <v>0</v>
      </c>
      <c r="Q3" s="69">
        <v>0</v>
      </c>
      <c r="R3" s="69">
        <v>0</v>
      </c>
      <c r="S3" s="69">
        <v>0</v>
      </c>
      <c r="T3" s="69">
        <v>0</v>
      </c>
      <c r="U3" s="69">
        <v>0</v>
      </c>
      <c r="V3" s="69">
        <v>0</v>
      </c>
      <c r="W3" s="69">
        <v>0</v>
      </c>
      <c r="X3" s="69">
        <v>0</v>
      </c>
      <c r="Y3" s="69">
        <v>0</v>
      </c>
      <c r="Z3" s="69">
        <v>0</v>
      </c>
      <c r="AA3" s="69">
        <v>0</v>
      </c>
      <c r="AB3" s="69">
        <v>0</v>
      </c>
      <c r="AC3" s="69">
        <v>0</v>
      </c>
      <c r="AD3" s="69">
        <v>0</v>
      </c>
      <c r="AE3" s="69">
        <v>0</v>
      </c>
      <c r="AF3" s="69">
        <v>0</v>
      </c>
      <c r="AG3" s="69">
        <v>0</v>
      </c>
      <c r="AH3" s="69">
        <v>0</v>
      </c>
      <c r="AI3" s="69">
        <v>0</v>
      </c>
      <c r="AJ3" s="69">
        <v>0.16666666666666666</v>
      </c>
      <c r="AK3" s="69">
        <v>0.33333333333333331</v>
      </c>
      <c r="AL3" s="69">
        <v>0.5</v>
      </c>
      <c r="AM3" s="69">
        <v>0.66666666666666663</v>
      </c>
      <c r="AN3" s="69">
        <v>0.83333333333333337</v>
      </c>
    </row>
    <row r="4" spans="1:40" x14ac:dyDescent="0.25">
      <c r="A4" s="65"/>
      <c r="B4" s="55"/>
      <c r="C4" s="55"/>
      <c r="D4" s="55" t="s">
        <v>260</v>
      </c>
      <c r="E4" s="69" cm="1">
        <f t="array" ref="E4:AN4">_xlfn.BYCOL(_xlfn.VSTACK(_xlfn.ANCHORARRAY($E$1),_xlfn.ANCHORARRAY($E$2)),_xlfn.LAMBDA(_xlpm.a,SUM(_xlpm.a)))</f>
        <v>0</v>
      </c>
      <c r="F4" s="69">
        <v>0</v>
      </c>
      <c r="G4" s="69">
        <v>0</v>
      </c>
      <c r="H4" s="69">
        <v>0</v>
      </c>
      <c r="I4" s="69">
        <v>0</v>
      </c>
      <c r="J4" s="69">
        <v>0</v>
      </c>
      <c r="K4" s="69">
        <v>0</v>
      </c>
      <c r="L4" s="69">
        <v>0</v>
      </c>
      <c r="M4" s="69">
        <v>0</v>
      </c>
      <c r="N4" s="69">
        <v>0</v>
      </c>
      <c r="O4" s="69">
        <v>0</v>
      </c>
      <c r="P4" s="69">
        <v>0</v>
      </c>
      <c r="Q4" s="69">
        <v>0</v>
      </c>
      <c r="R4" s="69">
        <v>0</v>
      </c>
      <c r="S4" s="69">
        <v>0</v>
      </c>
      <c r="T4" s="69">
        <v>0</v>
      </c>
      <c r="U4" s="69">
        <v>0</v>
      </c>
      <c r="V4" s="69">
        <v>0</v>
      </c>
      <c r="W4" s="69">
        <v>0</v>
      </c>
      <c r="X4" s="69">
        <v>0</v>
      </c>
      <c r="Y4" s="69">
        <v>0</v>
      </c>
      <c r="Z4" s="69">
        <v>0</v>
      </c>
      <c r="AA4" s="69">
        <v>0</v>
      </c>
      <c r="AB4" s="69">
        <v>0</v>
      </c>
      <c r="AC4" s="69">
        <v>0</v>
      </c>
      <c r="AD4" s="69">
        <v>0</v>
      </c>
      <c r="AE4" s="69">
        <v>0</v>
      </c>
      <c r="AF4" s="69">
        <v>0</v>
      </c>
      <c r="AG4" s="69">
        <v>0</v>
      </c>
      <c r="AH4" s="69">
        <v>0</v>
      </c>
      <c r="AI4" s="69">
        <v>3</v>
      </c>
      <c r="AJ4" s="69">
        <v>9.1666666666666661</v>
      </c>
      <c r="AK4" s="69">
        <v>12.333333333333334</v>
      </c>
      <c r="AL4" s="69">
        <v>15.5</v>
      </c>
      <c r="AM4" s="69">
        <v>18.666666666666668</v>
      </c>
      <c r="AN4" s="69">
        <v>21.833333333333332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107</v>
      </c>
      <c r="C6" s="3"/>
      <c r="D6" s="3"/>
      <c r="E6" s="66" cm="1">
        <f t="array" ref="E6:AN6">ROUND(_xlfn.BYCOL(_xlfn.ANCHORARRAY(E7),_xlfn.LAMBDA(_xlpm.a,SUM(_xlpm.a))),0)</f>
        <v>0</v>
      </c>
      <c r="F6" s="66">
        <v>0</v>
      </c>
      <c r="G6" s="66">
        <v>0</v>
      </c>
      <c r="H6" s="66">
        <v>0</v>
      </c>
      <c r="I6" s="66">
        <v>0</v>
      </c>
      <c r="J6" s="66">
        <v>0</v>
      </c>
      <c r="K6" s="66">
        <v>0</v>
      </c>
      <c r="L6" s="66">
        <v>0</v>
      </c>
      <c r="M6" s="66">
        <v>0</v>
      </c>
      <c r="N6" s="66">
        <v>0</v>
      </c>
      <c r="O6" s="66">
        <v>0</v>
      </c>
      <c r="P6" s="66">
        <v>0</v>
      </c>
      <c r="Q6" s="66">
        <v>0</v>
      </c>
      <c r="R6" s="66">
        <v>0</v>
      </c>
      <c r="S6" s="66">
        <v>0</v>
      </c>
      <c r="T6" s="66">
        <v>0</v>
      </c>
      <c r="U6" s="66">
        <v>0</v>
      </c>
      <c r="V6" s="66">
        <v>0</v>
      </c>
      <c r="W6" s="66">
        <v>0</v>
      </c>
      <c r="X6" s="66">
        <v>0</v>
      </c>
      <c r="Y6" s="66">
        <v>0</v>
      </c>
      <c r="Z6" s="66">
        <v>0</v>
      </c>
      <c r="AA6" s="66">
        <v>0</v>
      </c>
      <c r="AB6" s="66">
        <v>0</v>
      </c>
      <c r="AC6" s="66">
        <v>0</v>
      </c>
      <c r="AD6" s="66">
        <v>0</v>
      </c>
      <c r="AE6" s="66">
        <v>0</v>
      </c>
      <c r="AF6" s="66">
        <v>0</v>
      </c>
      <c r="AG6" s="66">
        <v>0</v>
      </c>
      <c r="AH6" s="66">
        <v>0</v>
      </c>
      <c r="AI6" s="66">
        <v>6</v>
      </c>
      <c r="AJ6" s="66">
        <v>11</v>
      </c>
      <c r="AK6" s="66">
        <v>15</v>
      </c>
      <c r="AL6" s="66">
        <v>18</v>
      </c>
      <c r="AM6" s="66">
        <v>22</v>
      </c>
      <c r="AN6" s="66">
        <v>26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1"/>
      <c r="E7" s="106" cm="1">
        <f t="array" ref="E7:AN20">_xlfn.LET(_xlpm.Customer_staff,_xlfn._xlws.FILTER(Base!$D$85:$BD$98,ISNUMBER(SEARCH($B$1&amp;"-"&amp;$C$1,Base!$D$4:$BD$4))),_xlpm.Customer,_xlfn.ANCHORARRAY($E$1),_xlpm.headcount,_xlpm.Customer/_xlpm.Customer_staff,
_xlpm.patient_staff,_xlfn.ANCHORARRAY($E$2)/_xlpm.Customer_staff,_xlpm.prim_staff_tr_rec,_xlfn.ANCHORARRAY($E$2)/_xlfn.CHOOSEROWS(_xlpm.Customer_staff,{7,8})+(_xlfn.ANCHORARRAY($E$1)*0.0055),_xlpm.rounding,_xlfn.VSTACK(2,2,0,0,2,2,2,2,2,2,2,0,0,0),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prim_staff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0</v>
      </c>
      <c r="F7" s="106">
        <v>0</v>
      </c>
      <c r="G7" s="106">
        <v>0</v>
      </c>
      <c r="H7" s="106">
        <v>0</v>
      </c>
      <c r="I7" s="106">
        <v>0</v>
      </c>
      <c r="J7" s="106">
        <v>0</v>
      </c>
      <c r="K7" s="106">
        <v>0</v>
      </c>
      <c r="L7" s="106">
        <v>0</v>
      </c>
      <c r="M7" s="106">
        <v>0</v>
      </c>
      <c r="N7" s="106">
        <v>0</v>
      </c>
      <c r="O7" s="106">
        <v>0</v>
      </c>
      <c r="P7" s="106">
        <v>0</v>
      </c>
      <c r="Q7" s="106">
        <v>0</v>
      </c>
      <c r="R7" s="106">
        <v>0</v>
      </c>
      <c r="S7" s="106">
        <v>0</v>
      </c>
      <c r="T7" s="106">
        <v>0</v>
      </c>
      <c r="U7" s="106">
        <v>0</v>
      </c>
      <c r="V7" s="106">
        <v>0</v>
      </c>
      <c r="W7" s="106">
        <v>0</v>
      </c>
      <c r="X7" s="106">
        <v>0</v>
      </c>
      <c r="Y7" s="106">
        <v>0</v>
      </c>
      <c r="Z7" s="106">
        <v>0</v>
      </c>
      <c r="AA7" s="106">
        <v>0</v>
      </c>
      <c r="AB7" s="106">
        <v>0</v>
      </c>
      <c r="AC7" s="106">
        <v>0</v>
      </c>
      <c r="AD7" s="106">
        <v>0</v>
      </c>
      <c r="AE7" s="106">
        <v>0</v>
      </c>
      <c r="AF7" s="106">
        <v>0</v>
      </c>
      <c r="AG7" s="106">
        <v>0</v>
      </c>
      <c r="AH7" s="106">
        <v>0</v>
      </c>
      <c r="AI7" s="106">
        <v>2.8299999999999996</v>
      </c>
      <c r="AJ7" s="106">
        <v>5.6499999999999995</v>
      </c>
      <c r="AK7" s="106">
        <v>8.48</v>
      </c>
      <c r="AL7" s="106">
        <v>11.299999999999999</v>
      </c>
      <c r="AM7" s="106">
        <v>14.12</v>
      </c>
      <c r="AN7" s="106">
        <v>16.950000000000003</v>
      </c>
    </row>
    <row r="8" spans="1:40" hidden="1" outlineLevel="1" x14ac:dyDescent="0.25">
      <c r="B8" s="39" t="str">
        <v>Secondary Direct Staff</v>
      </c>
      <c r="C8" s="3"/>
      <c r="D8" s="3"/>
      <c r="E8" s="106">
        <v>0</v>
      </c>
      <c r="F8" s="106">
        <v>0</v>
      </c>
      <c r="G8" s="106">
        <v>0</v>
      </c>
      <c r="H8" s="106">
        <v>0</v>
      </c>
      <c r="I8" s="106">
        <v>0</v>
      </c>
      <c r="J8" s="106">
        <v>0</v>
      </c>
      <c r="K8" s="106">
        <v>0</v>
      </c>
      <c r="L8" s="106">
        <v>0</v>
      </c>
      <c r="M8" s="106">
        <v>0</v>
      </c>
      <c r="N8" s="106">
        <v>0</v>
      </c>
      <c r="O8" s="106">
        <v>0</v>
      </c>
      <c r="P8" s="106">
        <v>0</v>
      </c>
      <c r="Q8" s="106">
        <v>0</v>
      </c>
      <c r="R8" s="106">
        <v>0</v>
      </c>
      <c r="S8" s="106">
        <v>0</v>
      </c>
      <c r="T8" s="106">
        <v>0</v>
      </c>
      <c r="U8" s="106">
        <v>0</v>
      </c>
      <c r="V8" s="106">
        <v>0</v>
      </c>
      <c r="W8" s="106">
        <v>0</v>
      </c>
      <c r="X8" s="106">
        <v>0</v>
      </c>
      <c r="Y8" s="106">
        <v>0</v>
      </c>
      <c r="Z8" s="106">
        <v>0</v>
      </c>
      <c r="AA8" s="106">
        <v>0</v>
      </c>
      <c r="AB8" s="106">
        <v>0</v>
      </c>
      <c r="AC8" s="106">
        <v>0</v>
      </c>
      <c r="AD8" s="106">
        <v>0</v>
      </c>
      <c r="AE8" s="106">
        <v>0</v>
      </c>
      <c r="AF8" s="106">
        <v>0</v>
      </c>
      <c r="AG8" s="106">
        <v>0</v>
      </c>
      <c r="AH8" s="106">
        <v>0</v>
      </c>
      <c r="AI8" s="106">
        <v>0.43</v>
      </c>
      <c r="AJ8" s="106">
        <v>0.86</v>
      </c>
      <c r="AK8" s="106">
        <v>1.29</v>
      </c>
      <c r="AL8" s="106">
        <v>1.72</v>
      </c>
      <c r="AM8" s="106">
        <v>2.15</v>
      </c>
      <c r="AN8" s="106">
        <v>2.5799999999999996</v>
      </c>
    </row>
    <row r="9" spans="1:40" hidden="1" outlineLevel="1" x14ac:dyDescent="0.25">
      <c r="B9" s="39" t="str">
        <v>Center Manager</v>
      </c>
      <c r="C9" s="3"/>
      <c r="D9" s="3"/>
      <c r="E9" s="106">
        <v>0</v>
      </c>
      <c r="F9" s="106">
        <v>0</v>
      </c>
      <c r="G9" s="106">
        <v>0</v>
      </c>
      <c r="H9" s="106">
        <v>0</v>
      </c>
      <c r="I9" s="106">
        <v>0</v>
      </c>
      <c r="J9" s="106">
        <v>0</v>
      </c>
      <c r="K9" s="106">
        <v>0</v>
      </c>
      <c r="L9" s="106">
        <v>0</v>
      </c>
      <c r="M9" s="106">
        <v>0</v>
      </c>
      <c r="N9" s="106">
        <v>0</v>
      </c>
      <c r="O9" s="106">
        <v>0</v>
      </c>
      <c r="P9" s="106">
        <v>0</v>
      </c>
      <c r="Q9" s="106">
        <v>0</v>
      </c>
      <c r="R9" s="106">
        <v>0</v>
      </c>
      <c r="S9" s="106">
        <v>0</v>
      </c>
      <c r="T9" s="106">
        <v>0</v>
      </c>
      <c r="U9" s="106">
        <v>0</v>
      </c>
      <c r="V9" s="106">
        <v>0</v>
      </c>
      <c r="W9" s="106">
        <v>0</v>
      </c>
      <c r="X9" s="106">
        <v>0</v>
      </c>
      <c r="Y9" s="106">
        <v>0</v>
      </c>
      <c r="Z9" s="106">
        <v>0</v>
      </c>
      <c r="AA9" s="106">
        <v>0</v>
      </c>
      <c r="AB9" s="106">
        <v>0</v>
      </c>
      <c r="AC9" s="106">
        <v>0</v>
      </c>
      <c r="AD9" s="106">
        <v>0</v>
      </c>
      <c r="AE9" s="106">
        <v>0</v>
      </c>
      <c r="AF9" s="106">
        <v>0</v>
      </c>
      <c r="AG9" s="106">
        <v>0</v>
      </c>
      <c r="AH9" s="106">
        <v>0</v>
      </c>
      <c r="AI9" s="106">
        <v>1</v>
      </c>
      <c r="AJ9" s="106">
        <v>1</v>
      </c>
      <c r="AK9" s="106">
        <v>1</v>
      </c>
      <c r="AL9" s="106">
        <v>1</v>
      </c>
      <c r="AM9" s="106">
        <v>1</v>
      </c>
      <c r="AN9" s="106">
        <v>1</v>
      </c>
    </row>
    <row r="10" spans="1:40" hidden="1" outlineLevel="1" x14ac:dyDescent="0.25">
      <c r="B10" s="39" t="str">
        <v>Intake</v>
      </c>
      <c r="C10" s="3"/>
      <c r="D10" s="3"/>
      <c r="E10" s="106">
        <v>0</v>
      </c>
      <c r="F10" s="106">
        <v>0</v>
      </c>
      <c r="G10" s="106">
        <v>0</v>
      </c>
      <c r="H10" s="106">
        <v>0</v>
      </c>
      <c r="I10" s="106">
        <v>0</v>
      </c>
      <c r="J10" s="106">
        <v>0</v>
      </c>
      <c r="K10" s="106">
        <v>0</v>
      </c>
      <c r="L10" s="106">
        <v>0</v>
      </c>
      <c r="M10" s="106">
        <v>0</v>
      </c>
      <c r="N10" s="106">
        <v>0</v>
      </c>
      <c r="O10" s="106">
        <v>0</v>
      </c>
      <c r="P10" s="106">
        <v>0</v>
      </c>
      <c r="Q10" s="106">
        <v>0</v>
      </c>
      <c r="R10" s="106">
        <v>0</v>
      </c>
      <c r="S10" s="106">
        <v>0</v>
      </c>
      <c r="T10" s="106">
        <v>0</v>
      </c>
      <c r="U10" s="106">
        <v>0</v>
      </c>
      <c r="V10" s="106">
        <v>0</v>
      </c>
      <c r="W10" s="106">
        <v>0</v>
      </c>
      <c r="X10" s="106">
        <v>0</v>
      </c>
      <c r="Y10" s="106">
        <v>0</v>
      </c>
      <c r="Z10" s="106">
        <v>0</v>
      </c>
      <c r="AA10" s="106">
        <v>0</v>
      </c>
      <c r="AB10" s="106">
        <v>0</v>
      </c>
      <c r="AC10" s="106">
        <v>0</v>
      </c>
      <c r="AD10" s="106">
        <v>0</v>
      </c>
      <c r="AE10" s="106">
        <v>0</v>
      </c>
      <c r="AF10" s="106">
        <v>0</v>
      </c>
      <c r="AG10" s="106">
        <v>0</v>
      </c>
      <c r="AH10" s="106">
        <v>0</v>
      </c>
      <c r="AI10" s="106">
        <v>0</v>
      </c>
      <c r="AJ10" s="106">
        <v>1</v>
      </c>
      <c r="AK10" s="106">
        <v>1</v>
      </c>
      <c r="AL10" s="106">
        <v>1</v>
      </c>
      <c r="AM10" s="106">
        <v>1</v>
      </c>
      <c r="AN10" s="106">
        <v>1</v>
      </c>
    </row>
    <row r="11" spans="1:40" hidden="1" outlineLevel="1" x14ac:dyDescent="0.25">
      <c r="B11" s="39" t="str">
        <v>Scheduler</v>
      </c>
      <c r="C11" s="3"/>
      <c r="D11" s="3"/>
      <c r="E11" s="106">
        <v>0</v>
      </c>
      <c r="F11" s="106">
        <v>0</v>
      </c>
      <c r="G11" s="106">
        <v>0</v>
      </c>
      <c r="H11" s="106">
        <v>0</v>
      </c>
      <c r="I11" s="106">
        <v>0</v>
      </c>
      <c r="J11" s="106">
        <v>0</v>
      </c>
      <c r="K11" s="106">
        <v>0</v>
      </c>
      <c r="L11" s="106">
        <v>0</v>
      </c>
      <c r="M11" s="106">
        <v>0</v>
      </c>
      <c r="N11" s="106">
        <v>0</v>
      </c>
      <c r="O11" s="106">
        <v>0</v>
      </c>
      <c r="P11" s="106">
        <v>0</v>
      </c>
      <c r="Q11" s="106">
        <v>0</v>
      </c>
      <c r="R11" s="106">
        <v>0</v>
      </c>
      <c r="S11" s="106">
        <v>0</v>
      </c>
      <c r="T11" s="106">
        <v>0</v>
      </c>
      <c r="U11" s="106">
        <v>0</v>
      </c>
      <c r="V11" s="106">
        <v>0</v>
      </c>
      <c r="W11" s="106">
        <v>0</v>
      </c>
      <c r="X11" s="106">
        <v>0</v>
      </c>
      <c r="Y11" s="106">
        <v>0</v>
      </c>
      <c r="Z11" s="106">
        <v>0</v>
      </c>
      <c r="AA11" s="106">
        <v>0</v>
      </c>
      <c r="AB11" s="106">
        <v>0</v>
      </c>
      <c r="AC11" s="106">
        <v>0</v>
      </c>
      <c r="AD11" s="106">
        <v>0</v>
      </c>
      <c r="AE11" s="106">
        <v>0</v>
      </c>
      <c r="AF11" s="106">
        <v>0</v>
      </c>
      <c r="AG11" s="106">
        <v>0</v>
      </c>
      <c r="AH11" s="106">
        <v>0</v>
      </c>
      <c r="AI11" s="106">
        <v>0</v>
      </c>
      <c r="AJ11" s="106">
        <v>0</v>
      </c>
      <c r="AK11" s="106">
        <v>0</v>
      </c>
      <c r="AL11" s="106">
        <v>0</v>
      </c>
      <c r="AM11" s="106">
        <v>0</v>
      </c>
      <c r="AN11" s="106">
        <v>0</v>
      </c>
    </row>
    <row r="12" spans="1:40" hidden="1" outlineLevel="1" x14ac:dyDescent="0.25">
      <c r="B12" s="39" t="str">
        <v>Initial Consultation Expert</v>
      </c>
      <c r="C12" s="3"/>
      <c r="D12" s="3"/>
      <c r="E12" s="106">
        <v>0</v>
      </c>
      <c r="F12" s="106">
        <v>0</v>
      </c>
      <c r="G12" s="106">
        <v>0</v>
      </c>
      <c r="H12" s="106">
        <v>0</v>
      </c>
      <c r="I12" s="106">
        <v>0</v>
      </c>
      <c r="J12" s="106">
        <v>0</v>
      </c>
      <c r="K12" s="106">
        <v>0</v>
      </c>
      <c r="L12" s="106">
        <v>0</v>
      </c>
      <c r="M12" s="106">
        <v>0</v>
      </c>
      <c r="N12" s="106">
        <v>0</v>
      </c>
      <c r="O12" s="106">
        <v>0</v>
      </c>
      <c r="P12" s="106">
        <v>0</v>
      </c>
      <c r="Q12" s="106">
        <v>0</v>
      </c>
      <c r="R12" s="106">
        <v>0</v>
      </c>
      <c r="S12" s="106">
        <v>0</v>
      </c>
      <c r="T12" s="106">
        <v>0</v>
      </c>
      <c r="U12" s="106">
        <v>0</v>
      </c>
      <c r="V12" s="106">
        <v>0</v>
      </c>
      <c r="W12" s="106">
        <v>0</v>
      </c>
      <c r="X12" s="106">
        <v>0</v>
      </c>
      <c r="Y12" s="106">
        <v>0</v>
      </c>
      <c r="Z12" s="106">
        <v>0</v>
      </c>
      <c r="AA12" s="106">
        <v>0</v>
      </c>
      <c r="AB12" s="106">
        <v>0</v>
      </c>
      <c r="AC12" s="106">
        <v>0</v>
      </c>
      <c r="AD12" s="106">
        <v>0</v>
      </c>
      <c r="AE12" s="106">
        <v>0</v>
      </c>
      <c r="AF12" s="106">
        <v>0</v>
      </c>
      <c r="AG12" s="106">
        <v>0</v>
      </c>
      <c r="AH12" s="106">
        <v>0</v>
      </c>
      <c r="AI12" s="106">
        <v>0</v>
      </c>
      <c r="AJ12" s="106">
        <v>0.25</v>
      </c>
      <c r="AK12" s="106">
        <v>0.26</v>
      </c>
      <c r="AL12" s="106">
        <v>0.27</v>
      </c>
      <c r="AM12" s="106">
        <v>0.29000000000000004</v>
      </c>
      <c r="AN12" s="106">
        <v>0.3</v>
      </c>
    </row>
    <row r="13" spans="1:40" hidden="1" outlineLevel="1" x14ac:dyDescent="0.25">
      <c r="B13" s="39" t="str">
        <v>Trainer</v>
      </c>
      <c r="C13" s="3"/>
      <c r="D13" s="3"/>
      <c r="E13" s="106">
        <v>0</v>
      </c>
      <c r="F13" s="106">
        <v>0</v>
      </c>
      <c r="G13" s="106">
        <v>0</v>
      </c>
      <c r="H13" s="106">
        <v>0</v>
      </c>
      <c r="I13" s="106">
        <v>0</v>
      </c>
      <c r="J13" s="106">
        <v>0</v>
      </c>
      <c r="K13" s="106">
        <v>0</v>
      </c>
      <c r="L13" s="106">
        <v>0</v>
      </c>
      <c r="M13" s="106">
        <v>0</v>
      </c>
      <c r="N13" s="106">
        <v>0</v>
      </c>
      <c r="O13" s="106">
        <v>0</v>
      </c>
      <c r="P13" s="106">
        <v>0</v>
      </c>
      <c r="Q13" s="106">
        <v>0</v>
      </c>
      <c r="R13" s="106">
        <v>0</v>
      </c>
      <c r="S13" s="106">
        <v>0</v>
      </c>
      <c r="T13" s="106">
        <v>0</v>
      </c>
      <c r="U13" s="106">
        <v>0</v>
      </c>
      <c r="V13" s="106">
        <v>0</v>
      </c>
      <c r="W13" s="106">
        <v>0</v>
      </c>
      <c r="X13" s="106">
        <v>0</v>
      </c>
      <c r="Y13" s="106">
        <v>0</v>
      </c>
      <c r="Z13" s="106">
        <v>0</v>
      </c>
      <c r="AA13" s="106">
        <v>0</v>
      </c>
      <c r="AB13" s="106">
        <v>0</v>
      </c>
      <c r="AC13" s="106">
        <v>0</v>
      </c>
      <c r="AD13" s="106">
        <v>0</v>
      </c>
      <c r="AE13" s="106">
        <v>0</v>
      </c>
      <c r="AF13" s="106">
        <v>0</v>
      </c>
      <c r="AG13" s="106">
        <v>0</v>
      </c>
      <c r="AH13" s="106">
        <v>0</v>
      </c>
      <c r="AI13" s="106">
        <v>0.02</v>
      </c>
      <c r="AJ13" s="106">
        <v>0.35000000000000003</v>
      </c>
      <c r="AK13" s="106">
        <v>0.39</v>
      </c>
      <c r="AL13" s="106">
        <v>0.42</v>
      </c>
      <c r="AM13" s="106">
        <v>0.45</v>
      </c>
      <c r="AN13" s="106">
        <v>0.49</v>
      </c>
    </row>
    <row r="14" spans="1:40" hidden="1" outlineLevel="1" x14ac:dyDescent="0.25">
      <c r="B14" s="39" t="str">
        <v>Recruiter</v>
      </c>
      <c r="C14" s="3"/>
      <c r="D14" s="3"/>
      <c r="E14" s="106">
        <v>0</v>
      </c>
      <c r="F14" s="106">
        <v>0</v>
      </c>
      <c r="G14" s="106">
        <v>0</v>
      </c>
      <c r="H14" s="106">
        <v>0</v>
      </c>
      <c r="I14" s="106">
        <v>0</v>
      </c>
      <c r="J14" s="106">
        <v>0</v>
      </c>
      <c r="K14" s="106">
        <v>0</v>
      </c>
      <c r="L14" s="106">
        <v>0</v>
      </c>
      <c r="M14" s="106">
        <v>0</v>
      </c>
      <c r="N14" s="106">
        <v>0</v>
      </c>
      <c r="O14" s="106">
        <v>0</v>
      </c>
      <c r="P14" s="106">
        <v>0</v>
      </c>
      <c r="Q14" s="106">
        <v>0</v>
      </c>
      <c r="R14" s="106">
        <v>0</v>
      </c>
      <c r="S14" s="106">
        <v>0</v>
      </c>
      <c r="T14" s="106">
        <v>0</v>
      </c>
      <c r="U14" s="106">
        <v>0</v>
      </c>
      <c r="V14" s="106">
        <v>0</v>
      </c>
      <c r="W14" s="106">
        <v>0</v>
      </c>
      <c r="X14" s="106">
        <v>0</v>
      </c>
      <c r="Y14" s="106">
        <v>0</v>
      </c>
      <c r="Z14" s="106">
        <v>0</v>
      </c>
      <c r="AA14" s="106">
        <v>0</v>
      </c>
      <c r="AB14" s="106">
        <v>0</v>
      </c>
      <c r="AC14" s="106">
        <v>0</v>
      </c>
      <c r="AD14" s="106">
        <v>0</v>
      </c>
      <c r="AE14" s="106">
        <v>0</v>
      </c>
      <c r="AF14" s="106">
        <v>0</v>
      </c>
      <c r="AG14" s="106">
        <v>0</v>
      </c>
      <c r="AH14" s="106">
        <v>0</v>
      </c>
      <c r="AI14" s="106">
        <v>0.02</v>
      </c>
      <c r="AJ14" s="106">
        <v>0.2</v>
      </c>
      <c r="AK14" s="106">
        <v>0.22</v>
      </c>
      <c r="AL14" s="106">
        <v>0.25</v>
      </c>
      <c r="AM14" s="106">
        <v>0.27</v>
      </c>
      <c r="AN14" s="106">
        <v>0.3</v>
      </c>
    </row>
    <row r="15" spans="1:40" hidden="1" outlineLevel="1" x14ac:dyDescent="0.25">
      <c r="B15" s="39" t="str">
        <v>Center Director / Remote Site Director</v>
      </c>
      <c r="C15" s="3"/>
      <c r="D15" s="3"/>
      <c r="E15" s="106">
        <v>0</v>
      </c>
      <c r="F15" s="106">
        <v>0</v>
      </c>
      <c r="G15" s="106">
        <v>0</v>
      </c>
      <c r="H15" s="106">
        <v>0</v>
      </c>
      <c r="I15" s="106">
        <v>0</v>
      </c>
      <c r="J15" s="106">
        <v>0</v>
      </c>
      <c r="K15" s="106">
        <v>0</v>
      </c>
      <c r="L15" s="106">
        <v>0</v>
      </c>
      <c r="M15" s="106">
        <v>0</v>
      </c>
      <c r="N15" s="106">
        <v>0</v>
      </c>
      <c r="O15" s="106">
        <v>0</v>
      </c>
      <c r="P15" s="106">
        <v>0</v>
      </c>
      <c r="Q15" s="106">
        <v>0</v>
      </c>
      <c r="R15" s="106">
        <v>0</v>
      </c>
      <c r="S15" s="106">
        <v>0</v>
      </c>
      <c r="T15" s="106">
        <v>0</v>
      </c>
      <c r="U15" s="106">
        <v>0</v>
      </c>
      <c r="V15" s="106">
        <v>0</v>
      </c>
      <c r="W15" s="106">
        <v>0</v>
      </c>
      <c r="X15" s="106">
        <v>0</v>
      </c>
      <c r="Y15" s="106">
        <v>0</v>
      </c>
      <c r="Z15" s="106">
        <v>0</v>
      </c>
      <c r="AA15" s="106">
        <v>0</v>
      </c>
      <c r="AB15" s="106">
        <v>0</v>
      </c>
      <c r="AC15" s="106">
        <v>0</v>
      </c>
      <c r="AD15" s="106">
        <v>0</v>
      </c>
      <c r="AE15" s="106">
        <v>0</v>
      </c>
      <c r="AF15" s="106">
        <v>0</v>
      </c>
      <c r="AG15" s="106">
        <v>0</v>
      </c>
      <c r="AH15" s="106">
        <v>0</v>
      </c>
      <c r="AI15" s="106">
        <v>0.02</v>
      </c>
      <c r="AJ15" s="106">
        <v>0.03</v>
      </c>
      <c r="AK15" s="106">
        <v>0.04</v>
      </c>
      <c r="AL15" s="106">
        <v>0.05</v>
      </c>
      <c r="AM15" s="106">
        <v>0.06</v>
      </c>
      <c r="AN15" s="106">
        <v>0.08</v>
      </c>
    </row>
    <row r="16" spans="1:40" hidden="1" outlineLevel="1" x14ac:dyDescent="0.25">
      <c r="B16" s="39" t="str">
        <v>Center Marketing Outreach</v>
      </c>
      <c r="C16" s="3"/>
      <c r="D16" s="3"/>
      <c r="E16" s="106">
        <v>0</v>
      </c>
      <c r="F16" s="106">
        <v>0</v>
      </c>
      <c r="G16" s="106">
        <v>0</v>
      </c>
      <c r="H16" s="106">
        <v>0</v>
      </c>
      <c r="I16" s="106">
        <v>0</v>
      </c>
      <c r="J16" s="106">
        <v>0</v>
      </c>
      <c r="K16" s="106">
        <v>0</v>
      </c>
      <c r="L16" s="106">
        <v>0</v>
      </c>
      <c r="M16" s="106">
        <v>0</v>
      </c>
      <c r="N16" s="106">
        <v>0</v>
      </c>
      <c r="O16" s="106">
        <v>0</v>
      </c>
      <c r="P16" s="106">
        <v>0</v>
      </c>
      <c r="Q16" s="106">
        <v>0</v>
      </c>
      <c r="R16" s="106">
        <v>0</v>
      </c>
      <c r="S16" s="106">
        <v>0</v>
      </c>
      <c r="T16" s="106">
        <v>0</v>
      </c>
      <c r="U16" s="106">
        <v>0</v>
      </c>
      <c r="V16" s="106">
        <v>0</v>
      </c>
      <c r="W16" s="106">
        <v>0</v>
      </c>
      <c r="X16" s="106">
        <v>0</v>
      </c>
      <c r="Y16" s="106">
        <v>0</v>
      </c>
      <c r="Z16" s="106">
        <v>0</v>
      </c>
      <c r="AA16" s="106">
        <v>0</v>
      </c>
      <c r="AB16" s="106">
        <v>0</v>
      </c>
      <c r="AC16" s="106">
        <v>0</v>
      </c>
      <c r="AD16" s="106">
        <v>0</v>
      </c>
      <c r="AE16" s="106">
        <v>0</v>
      </c>
      <c r="AF16" s="106">
        <v>0</v>
      </c>
      <c r="AG16" s="106">
        <v>0</v>
      </c>
      <c r="AH16" s="106">
        <v>0</v>
      </c>
      <c r="AI16" s="106">
        <v>0.02</v>
      </c>
      <c r="AJ16" s="106">
        <v>0.03</v>
      </c>
      <c r="AK16" s="106">
        <v>0.04</v>
      </c>
      <c r="AL16" s="106">
        <v>0.05</v>
      </c>
      <c r="AM16" s="106">
        <v>0.06</v>
      </c>
      <c r="AN16" s="106">
        <v>0.08</v>
      </c>
    </row>
    <row r="17" spans="2:50" hidden="1" outlineLevel="1" x14ac:dyDescent="0.25">
      <c r="B17" s="39" t="str">
        <v>Primary Direct Staff Lead</v>
      </c>
      <c r="C17" s="3"/>
      <c r="D17" s="3"/>
      <c r="E17" s="106">
        <v>0</v>
      </c>
      <c r="F17" s="106">
        <v>0</v>
      </c>
      <c r="G17" s="106">
        <v>0</v>
      </c>
      <c r="H17" s="106">
        <v>0</v>
      </c>
      <c r="I17" s="106">
        <v>0</v>
      </c>
      <c r="J17" s="106">
        <v>0</v>
      </c>
      <c r="K17" s="106">
        <v>0</v>
      </c>
      <c r="L17" s="106">
        <v>0</v>
      </c>
      <c r="M17" s="106">
        <v>0</v>
      </c>
      <c r="N17" s="106">
        <v>0</v>
      </c>
      <c r="O17" s="106">
        <v>0</v>
      </c>
      <c r="P17" s="106">
        <v>0</v>
      </c>
      <c r="Q17" s="106">
        <v>0</v>
      </c>
      <c r="R17" s="106">
        <v>0</v>
      </c>
      <c r="S17" s="106">
        <v>0</v>
      </c>
      <c r="T17" s="106">
        <v>0</v>
      </c>
      <c r="U17" s="106">
        <v>0</v>
      </c>
      <c r="V17" s="106">
        <v>0</v>
      </c>
      <c r="W17" s="106">
        <v>0</v>
      </c>
      <c r="X17" s="106">
        <v>0</v>
      </c>
      <c r="Y17" s="106">
        <v>0</v>
      </c>
      <c r="Z17" s="106">
        <v>0</v>
      </c>
      <c r="AA17" s="106">
        <v>0</v>
      </c>
      <c r="AB17" s="106">
        <v>0</v>
      </c>
      <c r="AC17" s="106">
        <v>0</v>
      </c>
      <c r="AD17" s="106">
        <v>0</v>
      </c>
      <c r="AE17" s="106">
        <v>0</v>
      </c>
      <c r="AF17" s="106">
        <v>0</v>
      </c>
      <c r="AG17" s="106">
        <v>0</v>
      </c>
      <c r="AH17" s="106">
        <v>0</v>
      </c>
      <c r="AI17" s="106">
        <v>0.3</v>
      </c>
      <c r="AJ17" s="106">
        <v>0.6</v>
      </c>
      <c r="AK17" s="106">
        <v>0.9</v>
      </c>
      <c r="AL17" s="106">
        <v>1.2</v>
      </c>
      <c r="AM17" s="106">
        <v>1.5</v>
      </c>
      <c r="AN17" s="106">
        <v>1.8</v>
      </c>
    </row>
    <row r="18" spans="2:50" hidden="1" outlineLevel="1" x14ac:dyDescent="0.25">
      <c r="B18" s="39" t="str">
        <v>Tertiary Direct Staff</v>
      </c>
      <c r="C18" s="3"/>
      <c r="D18" s="3"/>
      <c r="E18" s="106">
        <v>0</v>
      </c>
      <c r="F18" s="106">
        <v>0</v>
      </c>
      <c r="G18" s="106">
        <v>0</v>
      </c>
      <c r="H18" s="106">
        <v>0</v>
      </c>
      <c r="I18" s="106">
        <v>0</v>
      </c>
      <c r="J18" s="106">
        <v>0</v>
      </c>
      <c r="K18" s="106">
        <v>0</v>
      </c>
      <c r="L18" s="106">
        <v>0</v>
      </c>
      <c r="M18" s="106">
        <v>0</v>
      </c>
      <c r="N18" s="106">
        <v>0</v>
      </c>
      <c r="O18" s="106">
        <v>0</v>
      </c>
      <c r="P18" s="106">
        <v>0</v>
      </c>
      <c r="Q18" s="106">
        <v>0</v>
      </c>
      <c r="R18" s="106">
        <v>0</v>
      </c>
      <c r="S18" s="106">
        <v>0</v>
      </c>
      <c r="T18" s="106">
        <v>0</v>
      </c>
      <c r="U18" s="106">
        <v>0</v>
      </c>
      <c r="V18" s="106">
        <v>0</v>
      </c>
      <c r="W18" s="106">
        <v>0</v>
      </c>
      <c r="X18" s="106">
        <v>0</v>
      </c>
      <c r="Y18" s="106">
        <v>0</v>
      </c>
      <c r="Z18" s="106">
        <v>0</v>
      </c>
      <c r="AA18" s="106">
        <v>0</v>
      </c>
      <c r="AB18" s="106">
        <v>0</v>
      </c>
      <c r="AC18" s="106">
        <v>0</v>
      </c>
      <c r="AD18" s="106">
        <v>0</v>
      </c>
      <c r="AE18" s="106">
        <v>0</v>
      </c>
      <c r="AF18" s="106">
        <v>0</v>
      </c>
      <c r="AG18" s="106">
        <v>0</v>
      </c>
      <c r="AH18" s="106">
        <v>0</v>
      </c>
      <c r="AI18" s="106">
        <v>0</v>
      </c>
      <c r="AJ18" s="106">
        <v>0</v>
      </c>
      <c r="AK18" s="106">
        <v>0</v>
      </c>
      <c r="AL18" s="106">
        <v>0</v>
      </c>
      <c r="AM18" s="106">
        <v>0</v>
      </c>
      <c r="AN18" s="106">
        <v>0</v>
      </c>
    </row>
    <row r="19" spans="2:50" hidden="1" outlineLevel="1" x14ac:dyDescent="0.25">
      <c r="B19" s="39" t="str">
        <v>Quinary Direct Staff</v>
      </c>
      <c r="C19" s="3"/>
      <c r="D19" s="3"/>
      <c r="E19" s="106">
        <v>0</v>
      </c>
      <c r="F19" s="106">
        <v>0</v>
      </c>
      <c r="G19" s="106">
        <v>0</v>
      </c>
      <c r="H19" s="106">
        <v>0</v>
      </c>
      <c r="I19" s="106">
        <v>0</v>
      </c>
      <c r="J19" s="106">
        <v>0</v>
      </c>
      <c r="K19" s="106">
        <v>0</v>
      </c>
      <c r="L19" s="106">
        <v>0</v>
      </c>
      <c r="M19" s="106">
        <v>0</v>
      </c>
      <c r="N19" s="106">
        <v>0</v>
      </c>
      <c r="O19" s="106">
        <v>0</v>
      </c>
      <c r="P19" s="106">
        <v>0</v>
      </c>
      <c r="Q19" s="106">
        <v>0</v>
      </c>
      <c r="R19" s="106">
        <v>0</v>
      </c>
      <c r="S19" s="106">
        <v>0</v>
      </c>
      <c r="T19" s="106">
        <v>0</v>
      </c>
      <c r="U19" s="106">
        <v>0</v>
      </c>
      <c r="V19" s="106">
        <v>0</v>
      </c>
      <c r="W19" s="106">
        <v>0</v>
      </c>
      <c r="X19" s="106">
        <v>0</v>
      </c>
      <c r="Y19" s="106">
        <v>0</v>
      </c>
      <c r="Z19" s="106">
        <v>0</v>
      </c>
      <c r="AA19" s="106">
        <v>0</v>
      </c>
      <c r="AB19" s="106">
        <v>0</v>
      </c>
      <c r="AC19" s="106">
        <v>0</v>
      </c>
      <c r="AD19" s="106">
        <v>0</v>
      </c>
      <c r="AE19" s="106">
        <v>0</v>
      </c>
      <c r="AF19" s="106">
        <v>0</v>
      </c>
      <c r="AG19" s="106">
        <v>0</v>
      </c>
      <c r="AH19" s="106">
        <v>0</v>
      </c>
      <c r="AI19" s="106">
        <v>0</v>
      </c>
      <c r="AJ19" s="106">
        <v>0</v>
      </c>
      <c r="AK19" s="106">
        <v>0</v>
      </c>
      <c r="AL19" s="106">
        <v>0</v>
      </c>
      <c r="AM19" s="106">
        <v>0</v>
      </c>
      <c r="AN19" s="106">
        <v>0</v>
      </c>
    </row>
    <row r="20" spans="2:50" hidden="1" outlineLevel="1" x14ac:dyDescent="0.25">
      <c r="B20" s="39" t="str">
        <v>Quaternary Direct Staff</v>
      </c>
      <c r="C20" s="3"/>
      <c r="D20" s="3"/>
      <c r="E20" s="106">
        <v>0</v>
      </c>
      <c r="F20" s="106">
        <v>0</v>
      </c>
      <c r="G20" s="106">
        <v>0</v>
      </c>
      <c r="H20" s="106">
        <v>0</v>
      </c>
      <c r="I20" s="106">
        <v>0</v>
      </c>
      <c r="J20" s="106">
        <v>0</v>
      </c>
      <c r="K20" s="106">
        <v>0</v>
      </c>
      <c r="L20" s="106">
        <v>0</v>
      </c>
      <c r="M20" s="106">
        <v>0</v>
      </c>
      <c r="N20" s="106">
        <v>0</v>
      </c>
      <c r="O20" s="106">
        <v>0</v>
      </c>
      <c r="P20" s="106">
        <v>0</v>
      </c>
      <c r="Q20" s="106">
        <v>0</v>
      </c>
      <c r="R20" s="106">
        <v>0</v>
      </c>
      <c r="S20" s="106">
        <v>0</v>
      </c>
      <c r="T20" s="106">
        <v>0</v>
      </c>
      <c r="U20" s="106">
        <v>0</v>
      </c>
      <c r="V20" s="106">
        <v>0</v>
      </c>
      <c r="W20" s="106">
        <v>0</v>
      </c>
      <c r="X20" s="106">
        <v>0</v>
      </c>
      <c r="Y20" s="106">
        <v>0</v>
      </c>
      <c r="Z20" s="106">
        <v>0</v>
      </c>
      <c r="AA20" s="106">
        <v>0</v>
      </c>
      <c r="AB20" s="106">
        <v>0</v>
      </c>
      <c r="AC20" s="106">
        <v>0</v>
      </c>
      <c r="AD20" s="106">
        <v>0</v>
      </c>
      <c r="AE20" s="106">
        <v>0</v>
      </c>
      <c r="AF20" s="106">
        <v>0</v>
      </c>
      <c r="AG20" s="106">
        <v>0</v>
      </c>
      <c r="AH20" s="106">
        <v>0</v>
      </c>
      <c r="AI20" s="106">
        <v>1</v>
      </c>
      <c r="AJ20" s="106">
        <v>1</v>
      </c>
      <c r="AK20" s="106">
        <v>1</v>
      </c>
      <c r="AL20" s="106">
        <v>1</v>
      </c>
      <c r="AM20" s="106">
        <v>1</v>
      </c>
      <c r="AN20" s="106">
        <v>1</v>
      </c>
    </row>
    <row r="21" spans="2:50" collapsed="1" x14ac:dyDescent="0.25">
      <c r="B21" s="39" t="s">
        <v>389</v>
      </c>
      <c r="C21" s="3"/>
      <c r="D21" s="5"/>
      <c r="E21" s="117" cm="1">
        <f t="array" ref="E21:AN21">ROUND(_xlfn.BYCOL(_xlfn.CHOOSEROWS(_xlfn.ANCHORARRAY(E7),1,2),_xlfn.LAMBDA(_xlpm.col,SUM(_xlpm.col))),0)</f>
        <v>0</v>
      </c>
      <c r="F21" s="117">
        <v>0</v>
      </c>
      <c r="G21" s="117">
        <v>0</v>
      </c>
      <c r="H21" s="117">
        <v>0</v>
      </c>
      <c r="I21" s="117">
        <v>0</v>
      </c>
      <c r="J21" s="117">
        <v>0</v>
      </c>
      <c r="K21" s="117">
        <v>0</v>
      </c>
      <c r="L21" s="117">
        <v>0</v>
      </c>
      <c r="M21" s="117">
        <v>0</v>
      </c>
      <c r="N21" s="117">
        <v>0</v>
      </c>
      <c r="O21" s="117">
        <v>0</v>
      </c>
      <c r="P21" s="117">
        <v>0</v>
      </c>
      <c r="Q21" s="117">
        <v>0</v>
      </c>
      <c r="R21" s="117">
        <v>0</v>
      </c>
      <c r="S21" s="117">
        <v>0</v>
      </c>
      <c r="T21" s="117">
        <v>0</v>
      </c>
      <c r="U21" s="117">
        <v>0</v>
      </c>
      <c r="V21" s="117">
        <v>0</v>
      </c>
      <c r="W21" s="117">
        <v>0</v>
      </c>
      <c r="X21" s="117">
        <v>0</v>
      </c>
      <c r="Y21" s="117">
        <v>0</v>
      </c>
      <c r="Z21" s="117">
        <v>0</v>
      </c>
      <c r="AA21" s="117">
        <v>0</v>
      </c>
      <c r="AB21" s="117">
        <v>0</v>
      </c>
      <c r="AC21" s="117">
        <v>0</v>
      </c>
      <c r="AD21" s="117">
        <v>0</v>
      </c>
      <c r="AE21" s="117">
        <v>0</v>
      </c>
      <c r="AF21" s="117">
        <v>0</v>
      </c>
      <c r="AG21" s="117">
        <v>0</v>
      </c>
      <c r="AH21" s="117">
        <v>0</v>
      </c>
      <c r="AI21" s="117">
        <v>3</v>
      </c>
      <c r="AJ21" s="117">
        <v>7</v>
      </c>
      <c r="AK21" s="117">
        <v>10</v>
      </c>
      <c r="AL21" s="117">
        <v>13</v>
      </c>
      <c r="AM21" s="117">
        <v>16</v>
      </c>
      <c r="AN21" s="117">
        <v>20</v>
      </c>
    </row>
    <row r="22" spans="2:50" x14ac:dyDescent="0.25">
      <c r="B22" s="2" t="s">
        <v>394</v>
      </c>
      <c r="C22" s="3"/>
      <c r="D22" s="77">
        <f>MAX(_xlfn.ANCHORARRAY(E22))</f>
        <v>170.02883240223466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0</v>
      </c>
      <c r="F22" s="78">
        <v>0</v>
      </c>
      <c r="G22" s="78">
        <v>0</v>
      </c>
      <c r="H22" s="78">
        <v>0</v>
      </c>
      <c r="I22" s="78">
        <v>0</v>
      </c>
      <c r="J22" s="78">
        <v>0</v>
      </c>
      <c r="K22" s="78">
        <v>0</v>
      </c>
      <c r="L22" s="78">
        <v>0</v>
      </c>
      <c r="M22" s="78">
        <v>0</v>
      </c>
      <c r="N22" s="78">
        <v>0</v>
      </c>
      <c r="O22" s="78">
        <v>0</v>
      </c>
      <c r="P22" s="78">
        <v>0</v>
      </c>
      <c r="Q22" s="78">
        <v>0</v>
      </c>
      <c r="R22" s="78">
        <v>0</v>
      </c>
      <c r="S22" s="78">
        <v>0</v>
      </c>
      <c r="T22" s="78">
        <v>0</v>
      </c>
      <c r="U22" s="78">
        <v>0</v>
      </c>
      <c r="V22" s="78">
        <v>0</v>
      </c>
      <c r="W22" s="78">
        <v>0</v>
      </c>
      <c r="X22" s="78">
        <v>0</v>
      </c>
      <c r="Y22" s="78">
        <v>0</v>
      </c>
      <c r="Z22" s="78">
        <v>0</v>
      </c>
      <c r="AA22" s="78">
        <v>0</v>
      </c>
      <c r="AB22" s="78">
        <v>0</v>
      </c>
      <c r="AC22" s="78">
        <v>0</v>
      </c>
      <c r="AD22" s="78">
        <v>0</v>
      </c>
      <c r="AE22" s="78">
        <v>0</v>
      </c>
      <c r="AF22" s="78">
        <v>0</v>
      </c>
      <c r="AG22" s="78">
        <v>0</v>
      </c>
      <c r="AH22" s="78">
        <v>0</v>
      </c>
      <c r="AI22" s="78">
        <v>170.02883240223466</v>
      </c>
      <c r="AJ22" s="78">
        <v>170.02883240223466</v>
      </c>
      <c r="AK22" s="78">
        <v>170.02883240223466</v>
      </c>
      <c r="AL22" s="78">
        <v>170.02883240223466</v>
      </c>
      <c r="AM22" s="78">
        <v>170.02883240223466</v>
      </c>
      <c r="AN22" s="78">
        <v>170.02883240223466</v>
      </c>
    </row>
    <row r="23" spans="2:50" x14ac:dyDescent="0.25">
      <c r="B23" s="2" t="s">
        <v>53</v>
      </c>
      <c r="C23" s="3"/>
      <c r="D23" s="72"/>
      <c r="E23" s="52" cm="1">
        <f t="array" ref="E23:AN23">_xlfn.LET(_xlpm.site,$B$1&amp;"-"&amp;$C$1,_xlpm.locations,Base!$D$4:$BD$4,_xlpm.Customer,_xlfn.ANCHORARRAY(E1),_xlpm.hours,SUM(_xlfn.XLOOKUP(_xlpm.site,_xlpm.locations,Base!$D$74:$BD$78,0,0)),
_xlpm.collection,1-_xlfn.XLOOKUP(_xlpm.site,_xlpm.locations,Base!$D$26:$BD$26,0,0),
_xlpm.Customer*_xlpm.hours*_xlpm.collection*(52/12))</f>
        <v>0</v>
      </c>
      <c r="F23" s="52">
        <v>0</v>
      </c>
      <c r="G23" s="52">
        <v>0</v>
      </c>
      <c r="H23" s="52">
        <v>0</v>
      </c>
      <c r="I23" s="52">
        <v>0</v>
      </c>
      <c r="J23" s="52">
        <v>0</v>
      </c>
      <c r="K23" s="52">
        <v>0</v>
      </c>
      <c r="L23" s="52">
        <v>0</v>
      </c>
      <c r="M23" s="52">
        <v>0</v>
      </c>
      <c r="N23" s="52">
        <v>0</v>
      </c>
      <c r="O23" s="52">
        <v>0</v>
      </c>
      <c r="P23" s="52">
        <v>0</v>
      </c>
      <c r="Q23" s="52">
        <v>0</v>
      </c>
      <c r="R23" s="52">
        <v>0</v>
      </c>
      <c r="S23" s="52">
        <v>0</v>
      </c>
      <c r="T23" s="52">
        <v>0</v>
      </c>
      <c r="U23" s="52">
        <v>0</v>
      </c>
      <c r="V23" s="52">
        <v>0</v>
      </c>
      <c r="W23" s="52">
        <v>0</v>
      </c>
      <c r="X23" s="52">
        <v>0</v>
      </c>
      <c r="Y23" s="52">
        <v>0</v>
      </c>
      <c r="Z23" s="52">
        <v>0</v>
      </c>
      <c r="AA23" s="52">
        <v>0</v>
      </c>
      <c r="AB23" s="52">
        <v>0</v>
      </c>
      <c r="AC23" s="52">
        <v>0</v>
      </c>
      <c r="AD23" s="52">
        <v>0</v>
      </c>
      <c r="AE23" s="52">
        <v>0</v>
      </c>
      <c r="AF23" s="52">
        <v>0</v>
      </c>
      <c r="AG23" s="52">
        <v>0</v>
      </c>
      <c r="AH23" s="52">
        <v>0</v>
      </c>
      <c r="AI23" s="52">
        <v>315.03999999999996</v>
      </c>
      <c r="AJ23" s="52">
        <v>630.07999999999993</v>
      </c>
      <c r="AK23" s="52">
        <v>945.11999999999989</v>
      </c>
      <c r="AL23" s="52">
        <v>1260.1599999999999</v>
      </c>
      <c r="AM23" s="52">
        <v>1575.1999999999996</v>
      </c>
      <c r="AN23" s="52">
        <v>1890.2399999999998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21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_xlfn.LET(_xlpm.site,$B$1&amp;"-"&amp;$C$1,_xlpm.locations,Base!$D$4:$BD$4,_xlpm.rates,Base!$D31:$BD31,_xlpm.hours,Base!$D74:$BD74,_xlpm.comp,_xlpm.rates*_xlpm.hours,_xlpm.Customer,_xlfn.ANCHORARRAY($E$1),
_xlpm.Customer_comp,_xlfn.XLOOKUP(_xlpm.site,_xlpm.locations,_xlpm.comp,0,0),_xlpm.ann_incr,_xlfn.XLOOKUP(YEAR(_xlfn.ANCHORARRAY($E$25)),Base!$BJ$4:$BL$4,Base!$BJ74:$BL74,0,0),
_xlpm.bad_debt,_xlfn.XLOOKUP(_xlpm.site,_xlpm.locations,Base!$D$28:$BD$28,0,0),_xlpm.Customer_comp*_xlpm.Customer*_xlpm.bad_debt*_xlpm.ann_incr*(52/12))</f>
        <v>0</v>
      </c>
      <c r="F26" s="12">
        <v>0</v>
      </c>
      <c r="G26" s="12">
        <v>0</v>
      </c>
      <c r="H26" s="12">
        <v>0</v>
      </c>
      <c r="I26" s="12">
        <v>0</v>
      </c>
      <c r="J26" s="12">
        <v>0</v>
      </c>
      <c r="K26" s="12">
        <v>0</v>
      </c>
      <c r="L26" s="12">
        <v>0</v>
      </c>
      <c r="M26" s="12">
        <v>0</v>
      </c>
      <c r="N26" s="12">
        <v>0</v>
      </c>
      <c r="O26" s="12">
        <v>0</v>
      </c>
      <c r="P26" s="12">
        <v>0</v>
      </c>
      <c r="Q26" s="12">
        <v>0</v>
      </c>
      <c r="R26" s="12">
        <v>0</v>
      </c>
      <c r="S26" s="12">
        <v>0</v>
      </c>
      <c r="T26" s="12">
        <v>0</v>
      </c>
      <c r="U26" s="12">
        <v>0</v>
      </c>
      <c r="V26" s="12">
        <v>0</v>
      </c>
      <c r="W26" s="12">
        <v>0</v>
      </c>
      <c r="X26" s="12">
        <v>0</v>
      </c>
      <c r="Y26" s="12">
        <v>0</v>
      </c>
      <c r="Z26" s="12">
        <v>0</v>
      </c>
      <c r="AA26" s="12">
        <v>0</v>
      </c>
      <c r="AB26" s="12">
        <v>0</v>
      </c>
      <c r="AC26" s="12">
        <v>0</v>
      </c>
      <c r="AD26" s="12">
        <v>0</v>
      </c>
      <c r="AE26" s="12">
        <v>0</v>
      </c>
      <c r="AF26" s="12">
        <v>0</v>
      </c>
      <c r="AG26" s="12">
        <v>0</v>
      </c>
      <c r="AH26" s="12">
        <v>0</v>
      </c>
      <c r="AI26" s="12">
        <v>46796.978800000004</v>
      </c>
      <c r="AJ26" s="12">
        <v>93593.957600000009</v>
      </c>
      <c r="AK26" s="12">
        <v>140390.93640000001</v>
      </c>
      <c r="AL26" s="12">
        <v>187187.91520000002</v>
      </c>
      <c r="AM26" s="12">
        <v>233984.89399999997</v>
      </c>
      <c r="AN26" s="12">
        <v>280781.87280000001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_xlfn.LET(_xlpm.site,$B$1&amp;"-"&amp;$C$1,_xlpm.locations,Base!$D$4:$BD$4,_xlpm.rates,Base!$D32:$BD32,_xlpm.hours,Base!$D75:$BD75,_xlpm.comp,_xlpm.rates*_xlpm.hours,_xlpm.Customer,_xlfn.ANCHORARRAY($E$1),
_xlpm.Customer_comp,_xlfn.XLOOKUP(_xlpm.site,_xlpm.locations,_xlpm.comp,0,0),_xlpm.ann_incr,_xlfn.XLOOKUP(YEAR(_xlfn.ANCHORARRAY($E$25)),Base!$BJ$4:$BL$4,Base!$BJ75:$BL75,0,0),
_xlpm.bad_debt,_xlfn.XLOOKUP(_xlpm.site,_xlpm.locations,Base!$D$28:$BD$28,0,0),_xlpm.Customer_comp*_xlpm.Customer*_xlpm.bad_debt*_xlpm.ann_incr*(52/12))</f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12">
        <v>0</v>
      </c>
      <c r="AA27" s="12">
        <v>0</v>
      </c>
      <c r="AB27" s="12">
        <v>0</v>
      </c>
      <c r="AC27" s="12">
        <v>0</v>
      </c>
      <c r="AD27" s="12">
        <v>0</v>
      </c>
      <c r="AE27" s="12">
        <v>0</v>
      </c>
      <c r="AF27" s="12">
        <v>0</v>
      </c>
      <c r="AG27" s="12">
        <v>0</v>
      </c>
      <c r="AH27" s="12">
        <v>0</v>
      </c>
      <c r="AI27" s="12">
        <v>2743.8788</v>
      </c>
      <c r="AJ27" s="12">
        <v>5487.7575999999999</v>
      </c>
      <c r="AK27" s="12">
        <v>8231.6363999999994</v>
      </c>
      <c r="AL27" s="12">
        <v>10975.5152</v>
      </c>
      <c r="AM27" s="12">
        <v>13719.393999999998</v>
      </c>
      <c r="AN27" s="12">
        <v>16463.272799999999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_xlfn.LET(_xlpm.site,$B$1&amp;"-"&amp;$C$1,_xlpm.locations,Base!$D$4:$BD$4,_xlpm.rates,Base!$D33:$BD33,_xlpm.hours,Base!$D76:$BD76,_xlpm.comp,_xlpm.rates*_xlpm.hours,_xlpm.Customer,_xlfn.ANCHORARRAY($E$1),
_xlpm.Customer_comp,_xlfn.XLOOKUP(_xlpm.site,_xlpm.locations,_xlpm.comp,0,0),_xlpm.ann_incr,_xlfn.XLOOKUP(YEAR(_xlfn.ANCHORARRAY($E$25)),Base!$BJ$4:$BL$4,Base!$BJ76:$BL76,0,0),
_xlpm.bad_debt,_xlfn.XLOOKUP(_xlpm.site,_xlpm.locations,Base!$D$28:$BD$28,0,0),_xlpm.Customer_comp*_xlpm.Customer*_xlpm.bad_debt*_xlpm.ann_incr*(52/12))</f>
        <v>0</v>
      </c>
      <c r="F28" s="12">
        <v>0</v>
      </c>
      <c r="G28" s="12">
        <v>0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0</v>
      </c>
      <c r="N28" s="12">
        <v>0</v>
      </c>
      <c r="O28" s="12">
        <v>0</v>
      </c>
      <c r="P28" s="12">
        <v>0</v>
      </c>
      <c r="Q28" s="12">
        <v>0</v>
      </c>
      <c r="R28" s="12">
        <v>0</v>
      </c>
      <c r="S28" s="12">
        <v>0</v>
      </c>
      <c r="T28" s="12">
        <v>0</v>
      </c>
      <c r="U28" s="12">
        <v>0</v>
      </c>
      <c r="V28" s="12">
        <v>0</v>
      </c>
      <c r="W28" s="12">
        <v>0</v>
      </c>
      <c r="X28" s="12">
        <v>0</v>
      </c>
      <c r="Y28" s="12">
        <v>0</v>
      </c>
      <c r="Z28" s="12">
        <v>0</v>
      </c>
      <c r="AA28" s="12">
        <v>0</v>
      </c>
      <c r="AB28" s="12">
        <v>0</v>
      </c>
      <c r="AC28" s="12">
        <v>0</v>
      </c>
      <c r="AD28" s="12">
        <v>0</v>
      </c>
      <c r="AE28" s="12">
        <v>0</v>
      </c>
      <c r="AF28" s="12">
        <v>0</v>
      </c>
      <c r="AG28" s="12">
        <v>0</v>
      </c>
      <c r="AH28" s="12">
        <v>0</v>
      </c>
      <c r="AI28" s="12">
        <v>6521.1174599999977</v>
      </c>
      <c r="AJ28" s="12">
        <v>13042.234919999995</v>
      </c>
      <c r="AK28" s="12">
        <v>19563.352379999993</v>
      </c>
      <c r="AL28" s="12">
        <v>26084.469839999991</v>
      </c>
      <c r="AM28" s="12">
        <v>32605.587299999992</v>
      </c>
      <c r="AN28" s="12">
        <v>39126.704759999986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_xlfn.LET(_xlpm.site,$B$1&amp;"-"&amp;$C$1,_xlpm.locations,Base!$D$4:$BD$4,_xlpm.rates,Base!$D34:$BD34,_xlpm.hours,Base!$D77:$BD77,_xlpm.comp,_xlpm.rates*_xlpm.hours,_xlpm.Customer,_xlfn.ANCHORARRAY($E$1),
_xlpm.Customer_comp,_xlfn.XLOOKUP(_xlpm.site,_xlpm.locations,_xlpm.comp,0,0),_xlpm.ann_incr,_xlfn.XLOOKUP(YEAR(_xlfn.ANCHORARRAY($E$25)),Base!$BJ$4:$BL$4,Base!$BJ77:$BL77,0,0),
_xlpm.bad_debt,_xlfn.XLOOKUP(_xlpm.site,_xlpm.locations,Base!$D$28:$BD$28,0,0),_xlpm.Customer_comp*_xlpm.Customer*_xlpm.bad_debt*_xlpm.ann_incr*(52/12))</f>
        <v>0</v>
      </c>
      <c r="F29" s="12">
        <v>0</v>
      </c>
      <c r="G29" s="12">
        <v>0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0</v>
      </c>
      <c r="N29" s="12">
        <v>0</v>
      </c>
      <c r="O29" s="12">
        <v>0</v>
      </c>
      <c r="P29" s="12">
        <v>0</v>
      </c>
      <c r="Q29" s="12">
        <v>0</v>
      </c>
      <c r="R29" s="12">
        <v>0</v>
      </c>
      <c r="S29" s="12">
        <v>0</v>
      </c>
      <c r="T29" s="12">
        <v>0</v>
      </c>
      <c r="U29" s="12">
        <v>0</v>
      </c>
      <c r="V29" s="12">
        <v>0</v>
      </c>
      <c r="W29" s="12">
        <v>0</v>
      </c>
      <c r="X29" s="12">
        <v>0</v>
      </c>
      <c r="Y29" s="12">
        <v>0</v>
      </c>
      <c r="Z29" s="12">
        <v>0</v>
      </c>
      <c r="AA29" s="12">
        <v>0</v>
      </c>
      <c r="AB29" s="12">
        <v>0</v>
      </c>
      <c r="AC29" s="12">
        <v>0</v>
      </c>
      <c r="AD29" s="12">
        <v>0</v>
      </c>
      <c r="AE29" s="12">
        <v>0</v>
      </c>
      <c r="AF29" s="12">
        <v>0</v>
      </c>
      <c r="AG29" s="12">
        <v>0</v>
      </c>
      <c r="AH29" s="12">
        <v>0</v>
      </c>
      <c r="AI29" s="12">
        <v>501.62441999999999</v>
      </c>
      <c r="AJ29" s="12">
        <v>1003.24884</v>
      </c>
      <c r="AK29" s="12">
        <v>1504.8732600000001</v>
      </c>
      <c r="AL29" s="12">
        <v>2006.4976799999999</v>
      </c>
      <c r="AM29" s="12">
        <v>2508.1221</v>
      </c>
      <c r="AN29" s="12">
        <v>3009.7465200000001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_xlfn.LET(_xlpm.site,$B$1&amp;"-"&amp;$C$1,_xlpm.locations,Base!$D$4:$BD$4,_xlpm.rates,Base!$D35:$BD35,_xlpm.hours,Base!$D78:$BD78,_xlpm.comp,_xlpm.rates*_xlpm.hours,_xlpm.Customer,_xlfn.ANCHORARRAY($E$1),
_xlpm.Customer_comp,_xlfn.XLOOKUP(_xlpm.site,_xlpm.locations,_xlpm.comp,0,0),_xlpm.ann_incr,_xlfn.XLOOKUP(YEAR(_xlfn.ANCHORARRAY($E$25)),Base!$BJ$4:$BL$4,Base!$BJ78:$BL78,0,0),
_xlpm.bad_debt,_xlfn.XLOOKUP(_xlpm.site,_xlpm.locations,Base!$D$28:$BD$28,0,0),_xlpm.Customer_comp*_xlpm.Customer*_xlpm.bad_debt*_xlpm.ann_incr*(52/12))</f>
        <v>0</v>
      </c>
      <c r="F30" s="12">
        <v>0</v>
      </c>
      <c r="G30" s="12">
        <v>0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0</v>
      </c>
      <c r="N30" s="12">
        <v>0</v>
      </c>
      <c r="O30" s="12">
        <v>0</v>
      </c>
      <c r="P30" s="12">
        <v>0</v>
      </c>
      <c r="Q30" s="12">
        <v>0</v>
      </c>
      <c r="R30" s="12">
        <v>0</v>
      </c>
      <c r="S30" s="12">
        <v>0</v>
      </c>
      <c r="T30" s="12">
        <v>0</v>
      </c>
      <c r="U30" s="12">
        <v>0</v>
      </c>
      <c r="V30" s="12">
        <v>0</v>
      </c>
      <c r="W30" s="12">
        <v>0</v>
      </c>
      <c r="X30" s="12">
        <v>0</v>
      </c>
      <c r="Y30" s="12">
        <v>0</v>
      </c>
      <c r="Z30" s="12">
        <v>0</v>
      </c>
      <c r="AA30" s="12">
        <v>0</v>
      </c>
      <c r="AB30" s="12">
        <v>0</v>
      </c>
      <c r="AC30" s="12">
        <v>0</v>
      </c>
      <c r="AD30" s="12">
        <v>0</v>
      </c>
      <c r="AE30" s="12">
        <v>0</v>
      </c>
      <c r="AF30" s="12">
        <v>0</v>
      </c>
      <c r="AG30" s="12">
        <v>0</v>
      </c>
      <c r="AH30" s="12">
        <v>0</v>
      </c>
      <c r="AI30" s="12">
        <v>654.50319999999988</v>
      </c>
      <c r="AJ30" s="12">
        <v>1309.0063999999998</v>
      </c>
      <c r="AK30" s="12">
        <v>1963.5095999999999</v>
      </c>
      <c r="AL30" s="12">
        <v>2618.0127999999995</v>
      </c>
      <c r="AM30" s="12">
        <v>3272.5159999999996</v>
      </c>
      <c r="AN30" s="12">
        <v>3927.0191999999997</v>
      </c>
    </row>
    <row r="31" spans="2:50" x14ac:dyDescent="0.25">
      <c r="B31" s="39" t="str">
        <f>Base!B36</f>
        <v>Tertiary Direct Staff - Service A</v>
      </c>
      <c r="C31" s="4"/>
      <c r="E31" s="183" cm="1">
        <f t="array" ref="E31:AN31">_xlfn.LET(_xlpm.site,$B$1&amp;"-"&amp;$C$1,_xlpm.locations,Base!$D$4:$BD$4,_xlpm.rates,Base!$D36:$BD36,_xlpm.hours,Base!$D79:$BD79,_xlpm.comp,_xlpm.rates*_xlpm.hours,_xlpm.Customer,_xlfn.ANCHORARRAY($E$1)*0,
_xlpm.Customer_comp,_xlfn.XLOOKUP(_xlpm.site,_xlpm.locations,_xlpm.comp,0,0),_xlpm.ann_incr,_xlfn.XLOOKUP(YEAR(_xlfn.ANCHORARRAY($E$25)),Base!$BJ$4:$BL$4,Base!$BJ79:$BL79,0,0),
_xlpm.bad_debt,_xlfn.XLOOKUP(_xlpm.site,_xlpm.locations,Base!$D$28:$BD$28,0,0),_xlpm.Customer_comp*_xlpm.Customer*_xlpm.bad_debt*_xlpm.ann_incr*(52/12))</f>
        <v>0</v>
      </c>
      <c r="F31" s="183">
        <v>0</v>
      </c>
      <c r="G31" s="183">
        <v>0</v>
      </c>
      <c r="H31" s="183">
        <v>0</v>
      </c>
      <c r="I31" s="183">
        <v>0</v>
      </c>
      <c r="J31" s="183">
        <v>0</v>
      </c>
      <c r="K31" s="183">
        <v>0</v>
      </c>
      <c r="L31" s="183">
        <v>0</v>
      </c>
      <c r="M31" s="183">
        <v>0</v>
      </c>
      <c r="N31" s="183">
        <v>0</v>
      </c>
      <c r="O31" s="183">
        <v>0</v>
      </c>
      <c r="P31" s="183">
        <v>0</v>
      </c>
      <c r="Q31" s="183">
        <v>0</v>
      </c>
      <c r="R31" s="183">
        <v>0</v>
      </c>
      <c r="S31" s="183">
        <v>0</v>
      </c>
      <c r="T31" s="183">
        <v>0</v>
      </c>
      <c r="U31" s="183">
        <v>0</v>
      </c>
      <c r="V31" s="183">
        <v>0</v>
      </c>
      <c r="W31" s="183">
        <v>0</v>
      </c>
      <c r="X31" s="183">
        <v>0</v>
      </c>
      <c r="Y31" s="183">
        <v>0</v>
      </c>
      <c r="Z31" s="183">
        <v>0</v>
      </c>
      <c r="AA31" s="183">
        <v>0</v>
      </c>
      <c r="AB31" s="183">
        <v>0</v>
      </c>
      <c r="AC31" s="183">
        <v>0</v>
      </c>
      <c r="AD31" s="183">
        <v>0</v>
      </c>
      <c r="AE31" s="183">
        <v>0</v>
      </c>
      <c r="AF31" s="183">
        <v>0</v>
      </c>
      <c r="AG31" s="183">
        <v>0</v>
      </c>
      <c r="AH31" s="183">
        <v>0</v>
      </c>
      <c r="AI31" s="183">
        <v>0</v>
      </c>
      <c r="AJ31" s="183">
        <v>0</v>
      </c>
      <c r="AK31" s="183">
        <v>0</v>
      </c>
      <c r="AL31" s="183">
        <v>0</v>
      </c>
      <c r="AM31" s="183">
        <v>0</v>
      </c>
      <c r="AN31" s="183">
        <v>0</v>
      </c>
    </row>
    <row r="32" spans="2:50" x14ac:dyDescent="0.25">
      <c r="B32" s="39" t="str">
        <f>Base!B37</f>
        <v>Tertiary Direct Staff - Service B</v>
      </c>
      <c r="C32" s="4"/>
      <c r="E32" s="183" cm="1">
        <f t="array" ref="E32:AN32">_xlfn.LET(_xlpm.site,$B$1&amp;"-"&amp;$C$1,_xlpm.locations,Base!$D$4:$BD$4,_xlpm.rates,Base!$D37:$BD37,_xlpm.hours,Base!$D80:$BD80,_xlpm.comp,_xlpm.rates*_xlpm.hours,_xlpm.Customer,_xlfn.ANCHORARRAY($E$1)*0,
_xlpm.Customer_comp,_xlfn.XLOOKUP(_xlpm.site,_xlpm.locations,_xlpm.comp,0,0),_xlpm.ann_incr,_xlfn.XLOOKUP(YEAR(_xlfn.ANCHORARRAY($E$25)),Base!$BJ$4:$BL$4,Base!$BJ80:$BL80,0,0),
_xlpm.bad_debt,_xlfn.XLOOKUP(_xlpm.site,_xlpm.locations,Base!$D$28:$BD$28,0,0),_xlpm.Customer_comp*_xlpm.Customer*_xlpm.bad_debt*_xlpm.ann_incr*(52/12))</f>
        <v>0</v>
      </c>
      <c r="F32" s="183">
        <v>0</v>
      </c>
      <c r="G32" s="183">
        <v>0</v>
      </c>
      <c r="H32" s="183">
        <v>0</v>
      </c>
      <c r="I32" s="183">
        <v>0</v>
      </c>
      <c r="J32" s="183">
        <v>0</v>
      </c>
      <c r="K32" s="183">
        <v>0</v>
      </c>
      <c r="L32" s="183">
        <v>0</v>
      </c>
      <c r="M32" s="183">
        <v>0</v>
      </c>
      <c r="N32" s="183">
        <v>0</v>
      </c>
      <c r="O32" s="183">
        <v>0</v>
      </c>
      <c r="P32" s="183">
        <v>0</v>
      </c>
      <c r="Q32" s="183">
        <v>0</v>
      </c>
      <c r="R32" s="183">
        <v>0</v>
      </c>
      <c r="S32" s="183">
        <v>0</v>
      </c>
      <c r="T32" s="183">
        <v>0</v>
      </c>
      <c r="U32" s="183">
        <v>0</v>
      </c>
      <c r="V32" s="183">
        <v>0</v>
      </c>
      <c r="W32" s="183">
        <v>0</v>
      </c>
      <c r="X32" s="183">
        <v>0</v>
      </c>
      <c r="Y32" s="183">
        <v>0</v>
      </c>
      <c r="Z32" s="183">
        <v>0</v>
      </c>
      <c r="AA32" s="183">
        <v>0</v>
      </c>
      <c r="AB32" s="183">
        <v>0</v>
      </c>
      <c r="AC32" s="183">
        <v>0</v>
      </c>
      <c r="AD32" s="183">
        <v>0</v>
      </c>
      <c r="AE32" s="183">
        <v>0</v>
      </c>
      <c r="AF32" s="183">
        <v>0</v>
      </c>
      <c r="AG32" s="183">
        <v>0</v>
      </c>
      <c r="AH32" s="183">
        <v>0</v>
      </c>
      <c r="AI32" s="183">
        <v>0</v>
      </c>
      <c r="AJ32" s="183">
        <v>0</v>
      </c>
      <c r="AK32" s="183">
        <v>0</v>
      </c>
      <c r="AL32" s="183">
        <v>0</v>
      </c>
      <c r="AM32" s="183">
        <v>0</v>
      </c>
      <c r="AN32" s="183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_xlpm.Customer,_xlfn.ANCHORARRAY($E$2),_xlpm.ann_incr,_xlfn.XLOOKUP(YEAR(_xlfn.ANCHORARRAY($E$25)),Base!$BJ$4:$BL$4,Base!$BJ$81:$BL$81,0,0),
_xlpm.bad_debt,_xlfn.XLOOKUP(_xlpm.site,_xlpm.locations,Base!$D$28:$BD$28,0,0),
_xlpm.comp*_xlpm.bad_debt*_xlpm.ann_incr*(52/12))</f>
        <v>0</v>
      </c>
      <c r="F33" s="12">
        <v>0</v>
      </c>
      <c r="G33" s="12">
        <v>0</v>
      </c>
      <c r="H33" s="12">
        <v>0</v>
      </c>
      <c r="I33" s="12">
        <v>0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2">
        <v>0</v>
      </c>
      <c r="Y33" s="12">
        <v>0</v>
      </c>
      <c r="Z33" s="12">
        <v>0</v>
      </c>
      <c r="AA33" s="12">
        <v>0</v>
      </c>
      <c r="AB33" s="12">
        <v>0</v>
      </c>
      <c r="AC33" s="12">
        <v>0</v>
      </c>
      <c r="AD33" s="12">
        <v>0</v>
      </c>
      <c r="AE33" s="12">
        <v>0</v>
      </c>
      <c r="AF33" s="12">
        <v>0</v>
      </c>
      <c r="AG33" s="12">
        <v>0</v>
      </c>
      <c r="AH33" s="12">
        <v>0</v>
      </c>
      <c r="AI33" s="12">
        <v>26688.836416666662</v>
      </c>
      <c r="AJ33" s="12">
        <v>26688.836416666662</v>
      </c>
      <c r="AK33" s="12">
        <v>26688.836416666662</v>
      </c>
      <c r="AL33" s="12">
        <v>26688.836416666662</v>
      </c>
      <c r="AM33" s="12">
        <v>26688.836416666662</v>
      </c>
      <c r="AN33" s="12">
        <v>26688.836416666662</v>
      </c>
    </row>
    <row r="34" spans="2:40" x14ac:dyDescent="0.25">
      <c r="B34" s="39" t="str">
        <f>Base!B39</f>
        <v>Quinary Direct Staff - Service A</v>
      </c>
      <c r="C34" s="4"/>
      <c r="E34" s="183" cm="1">
        <f t="array" ref="E34:AN34">_xlfn.LET(_xlpm.site,$B$1&amp;"-"&amp;$C$1,_xlpm.locations,Base!$D$4:$BD$4,_xlpm.rates,Base!$D39:$BD39,_xlpm.hours,Base!$D82:$BD82,_xlpm.comp,_xlpm.rates*_xlpm.hours,_xlpm.Customer,_xlfn.ANCHORARRAY($E$1)*0,
_xlpm.Customer_comp,_xlfn.XLOOKUP(_xlpm.site,_xlpm.locations,_xlpm.comp,0,0),_xlpm.ann_incr,_xlfn.XLOOKUP(YEAR(_xlfn.ANCHORARRAY($E$25)),Base!$BJ$4:$BL$4,Base!$BJ82:$BL82,0,0),
_xlpm.bad_debt,_xlfn.XLOOKUP(_xlpm.site,_xlpm.locations,Base!$D$28:$BD$28,0,0),_xlpm.Customer_comp*_xlpm.Customer*_xlpm.bad_debt*_xlpm.ann_incr*(52/12))</f>
        <v>0</v>
      </c>
      <c r="F34" s="183">
        <v>0</v>
      </c>
      <c r="G34" s="183">
        <v>0</v>
      </c>
      <c r="H34" s="183">
        <v>0</v>
      </c>
      <c r="I34" s="183">
        <v>0</v>
      </c>
      <c r="J34" s="183">
        <v>0</v>
      </c>
      <c r="K34" s="183">
        <v>0</v>
      </c>
      <c r="L34" s="183">
        <v>0</v>
      </c>
      <c r="M34" s="183">
        <v>0</v>
      </c>
      <c r="N34" s="183">
        <v>0</v>
      </c>
      <c r="O34" s="183">
        <v>0</v>
      </c>
      <c r="P34" s="183">
        <v>0</v>
      </c>
      <c r="Q34" s="183">
        <v>0</v>
      </c>
      <c r="R34" s="183">
        <v>0</v>
      </c>
      <c r="S34" s="183">
        <v>0</v>
      </c>
      <c r="T34" s="183">
        <v>0</v>
      </c>
      <c r="U34" s="183">
        <v>0</v>
      </c>
      <c r="V34" s="183">
        <v>0</v>
      </c>
      <c r="W34" s="183">
        <v>0</v>
      </c>
      <c r="X34" s="183">
        <v>0</v>
      </c>
      <c r="Y34" s="183">
        <v>0</v>
      </c>
      <c r="Z34" s="183">
        <v>0</v>
      </c>
      <c r="AA34" s="183">
        <v>0</v>
      </c>
      <c r="AB34" s="183">
        <v>0</v>
      </c>
      <c r="AC34" s="183">
        <v>0</v>
      </c>
      <c r="AD34" s="183">
        <v>0</v>
      </c>
      <c r="AE34" s="183">
        <v>0</v>
      </c>
      <c r="AF34" s="183">
        <v>0</v>
      </c>
      <c r="AG34" s="183">
        <v>0</v>
      </c>
      <c r="AH34" s="183">
        <v>0</v>
      </c>
      <c r="AI34" s="183">
        <v>0</v>
      </c>
      <c r="AJ34" s="183">
        <v>0</v>
      </c>
      <c r="AK34" s="183">
        <v>0</v>
      </c>
      <c r="AL34" s="183">
        <v>0</v>
      </c>
      <c r="AM34" s="183">
        <v>0</v>
      </c>
      <c r="AN34" s="183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0</v>
      </c>
      <c r="F35" s="12">
        <v>0</v>
      </c>
      <c r="G35" s="12">
        <v>0</v>
      </c>
      <c r="H35" s="12">
        <v>0</v>
      </c>
      <c r="I35" s="12">
        <v>0</v>
      </c>
      <c r="J35" s="12">
        <v>0</v>
      </c>
      <c r="K35" s="12">
        <v>0</v>
      </c>
      <c r="L35" s="12">
        <v>0</v>
      </c>
      <c r="M35" s="12">
        <v>0</v>
      </c>
      <c r="N35" s="12">
        <v>0</v>
      </c>
      <c r="O35" s="12">
        <v>0</v>
      </c>
      <c r="P35" s="12">
        <v>0</v>
      </c>
      <c r="Q35" s="12">
        <v>0</v>
      </c>
      <c r="R35" s="12">
        <v>0</v>
      </c>
      <c r="S35" s="12">
        <v>0</v>
      </c>
      <c r="T35" s="12">
        <v>0</v>
      </c>
      <c r="U35" s="12">
        <v>0</v>
      </c>
      <c r="V35" s="12">
        <v>0</v>
      </c>
      <c r="W35" s="12">
        <v>0</v>
      </c>
      <c r="X35" s="12">
        <v>0</v>
      </c>
      <c r="Y35" s="12">
        <v>0</v>
      </c>
      <c r="Z35" s="12">
        <v>0</v>
      </c>
      <c r="AA35" s="12">
        <v>0</v>
      </c>
      <c r="AB35" s="12">
        <v>0</v>
      </c>
      <c r="AC35" s="12">
        <v>0</v>
      </c>
      <c r="AD35" s="12">
        <v>0</v>
      </c>
      <c r="AE35" s="12">
        <v>0</v>
      </c>
      <c r="AF35" s="12">
        <v>0</v>
      </c>
      <c r="AG35" s="12">
        <v>0</v>
      </c>
      <c r="AH35" s="12">
        <v>0</v>
      </c>
      <c r="AI35" s="12">
        <v>-10068.832691599999</v>
      </c>
      <c r="AJ35" s="12">
        <v>-16935.005013199996</v>
      </c>
      <c r="AK35" s="12">
        <v>-23801.177334799995</v>
      </c>
      <c r="AL35" s="12">
        <v>-30667.349656399994</v>
      </c>
      <c r="AM35" s="12">
        <v>-37533.521977999997</v>
      </c>
      <c r="AN35" s="12">
        <v>-44399.694299599993</v>
      </c>
    </row>
    <row r="36" spans="2:40" x14ac:dyDescent="0.25">
      <c r="B36" s="39" t="s">
        <v>261</v>
      </c>
      <c r="C36" s="15"/>
      <c r="E36" s="183" cm="1">
        <f t="array" ref="E36:AN36">_xlfn.BYCOL(_xlfn.ANCHORARRAY($E$25),_xlfn.LAMBDA(_xlpm.a,0))</f>
        <v>0</v>
      </c>
      <c r="F36" s="183">
        <v>0</v>
      </c>
      <c r="G36" s="183">
        <v>0</v>
      </c>
      <c r="H36" s="183">
        <v>0</v>
      </c>
      <c r="I36" s="183">
        <v>0</v>
      </c>
      <c r="J36" s="183">
        <v>0</v>
      </c>
      <c r="K36" s="183">
        <v>0</v>
      </c>
      <c r="L36" s="183">
        <v>0</v>
      </c>
      <c r="M36" s="183">
        <v>0</v>
      </c>
      <c r="N36" s="183">
        <v>0</v>
      </c>
      <c r="O36" s="183">
        <v>0</v>
      </c>
      <c r="P36" s="183">
        <v>0</v>
      </c>
      <c r="Q36" s="183">
        <v>0</v>
      </c>
      <c r="R36" s="183">
        <v>0</v>
      </c>
      <c r="S36" s="183">
        <v>0</v>
      </c>
      <c r="T36" s="183">
        <v>0</v>
      </c>
      <c r="U36" s="183">
        <v>0</v>
      </c>
      <c r="V36" s="183">
        <v>0</v>
      </c>
      <c r="W36" s="183">
        <v>0</v>
      </c>
      <c r="X36" s="183">
        <v>0</v>
      </c>
      <c r="Y36" s="183">
        <v>0</v>
      </c>
      <c r="Z36" s="183">
        <v>0</v>
      </c>
      <c r="AA36" s="183">
        <v>0</v>
      </c>
      <c r="AB36" s="183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271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0</v>
      </c>
      <c r="S37" s="13">
        <v>0</v>
      </c>
      <c r="T37" s="13">
        <v>0</v>
      </c>
      <c r="U37" s="13">
        <v>0</v>
      </c>
      <c r="V37" s="13">
        <v>0</v>
      </c>
      <c r="W37" s="13">
        <v>0</v>
      </c>
      <c r="X37" s="13">
        <v>0</v>
      </c>
      <c r="Y37" s="13">
        <v>0</v>
      </c>
      <c r="Z37" s="13">
        <v>0</v>
      </c>
      <c r="AA37" s="13">
        <v>0</v>
      </c>
      <c r="AB37" s="13">
        <v>0</v>
      </c>
      <c r="AC37" s="13">
        <v>0</v>
      </c>
      <c r="AD37" s="13">
        <v>0</v>
      </c>
      <c r="AE37" s="13">
        <v>0</v>
      </c>
      <c r="AF37" s="13">
        <v>0</v>
      </c>
      <c r="AG37" s="13">
        <v>0</v>
      </c>
      <c r="AH37" s="13">
        <v>0</v>
      </c>
      <c r="AI37" s="13">
        <v>71094.22760506667</v>
      </c>
      <c r="AJ37" s="13">
        <v>118702.27916346668</v>
      </c>
      <c r="AK37" s="13">
        <v>166310.33072186666</v>
      </c>
      <c r="AL37" s="13">
        <v>213918.38228026667</v>
      </c>
      <c r="AM37" s="13">
        <v>261526.43383866665</v>
      </c>
      <c r="AN37" s="13">
        <v>309134.48539706669</v>
      </c>
    </row>
    <row r="38" spans="2:40" x14ac:dyDescent="0.25">
      <c r="E38" s="67"/>
      <c r="F38" s="67"/>
    </row>
    <row r="39" spans="2:40" x14ac:dyDescent="0.25">
      <c r="B39" s="1" t="s">
        <v>118</v>
      </c>
    </row>
    <row r="40" spans="2:40" x14ac:dyDescent="0.25">
      <c r="B40" s="39" t="s">
        <v>23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0</v>
      </c>
      <c r="F40" s="12">
        <v>0</v>
      </c>
      <c r="G40" s="12">
        <v>0</v>
      </c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0</v>
      </c>
      <c r="N40" s="12">
        <v>0</v>
      </c>
      <c r="O40" s="12">
        <v>0</v>
      </c>
      <c r="P40" s="12">
        <v>0</v>
      </c>
      <c r="Q40" s="12">
        <v>0</v>
      </c>
      <c r="R40" s="12">
        <v>0</v>
      </c>
      <c r="S40" s="12">
        <v>0</v>
      </c>
      <c r="T40" s="12">
        <v>0</v>
      </c>
      <c r="U40" s="12">
        <v>0</v>
      </c>
      <c r="V40" s="12">
        <v>0</v>
      </c>
      <c r="W40" s="12">
        <v>0</v>
      </c>
      <c r="X40" s="12">
        <v>0</v>
      </c>
      <c r="Y40" s="12">
        <v>0</v>
      </c>
      <c r="Z40" s="12">
        <v>0</v>
      </c>
      <c r="AA40" s="12">
        <v>0</v>
      </c>
      <c r="AB40" s="12">
        <v>0</v>
      </c>
      <c r="AC40" s="12">
        <v>11696.666666666668</v>
      </c>
      <c r="AD40" s="12">
        <v>11696.666666666668</v>
      </c>
      <c r="AE40" s="12">
        <v>11696.666666666668</v>
      </c>
      <c r="AF40" s="12">
        <v>11696.666666666668</v>
      </c>
      <c r="AG40" s="12">
        <v>11696.666666666668</v>
      </c>
      <c r="AH40" s="12">
        <v>11696.666666666668</v>
      </c>
      <c r="AI40" s="12">
        <v>64468.384474710649</v>
      </c>
      <c r="AJ40" s="12">
        <v>101747.14676808797</v>
      </c>
      <c r="AK40" s="12">
        <v>125295.91257613194</v>
      </c>
      <c r="AL40" s="12">
        <v>148796.0015361759</v>
      </c>
      <c r="AM40" s="12">
        <v>172335.85916288654</v>
      </c>
      <c r="AN40" s="12">
        <v>196207.45297093058</v>
      </c>
    </row>
    <row r="41" spans="2:40" x14ac:dyDescent="0.25">
      <c r="B41" s="39" t="s">
        <v>388</v>
      </c>
      <c r="C41" s="142">
        <f>_xlfn.XLOOKUP($B$1&amp;"-"&amp;$C$1,Base!$D$4:$BD$4,Base!$D$12:$BD$12,0,0)</f>
        <v>0</v>
      </c>
      <c r="E41" s="183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28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15913.5</v>
      </c>
      <c r="AJ42" s="12">
        <v>15913.5</v>
      </c>
      <c r="AK42" s="12">
        <v>15913.5</v>
      </c>
      <c r="AL42" s="12">
        <v>15913.5</v>
      </c>
      <c r="AM42" s="12">
        <v>15913.5</v>
      </c>
      <c r="AN42" s="12">
        <v>15913.5</v>
      </c>
    </row>
    <row r="43" spans="2:40" x14ac:dyDescent="0.25">
      <c r="B43" s="39" t="s">
        <v>31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0</v>
      </c>
      <c r="X43" s="12">
        <v>0</v>
      </c>
      <c r="Y43" s="12">
        <v>0</v>
      </c>
      <c r="Z43" s="12">
        <v>0</v>
      </c>
      <c r="AA43" s="12">
        <v>0</v>
      </c>
      <c r="AB43" s="12">
        <v>0</v>
      </c>
      <c r="AC43" s="12">
        <v>0</v>
      </c>
      <c r="AD43" s="12">
        <v>0</v>
      </c>
      <c r="AE43" s="12">
        <v>0</v>
      </c>
      <c r="AF43" s="12">
        <v>0</v>
      </c>
      <c r="AG43" s="12">
        <v>0</v>
      </c>
      <c r="AH43" s="12">
        <v>0</v>
      </c>
      <c r="AI43" s="12">
        <v>8328.3200000000015</v>
      </c>
      <c r="AJ43" s="12">
        <v>8328.3200000000015</v>
      </c>
      <c r="AK43" s="12">
        <v>8328.3200000000015</v>
      </c>
      <c r="AL43" s="12">
        <v>8328.3200000000015</v>
      </c>
      <c r="AM43" s="12">
        <v>8328.3200000000015</v>
      </c>
      <c r="AN43" s="12">
        <v>8328.3200000000015</v>
      </c>
    </row>
    <row r="44" spans="2:40" x14ac:dyDescent="0.25">
      <c r="B44" s="39" t="s">
        <v>34</v>
      </c>
      <c r="C44" s="96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  <c r="O44" s="12">
        <v>0</v>
      </c>
      <c r="P44" s="12">
        <v>0</v>
      </c>
      <c r="Q44" s="12">
        <v>0</v>
      </c>
      <c r="R44" s="12">
        <v>0</v>
      </c>
      <c r="S44" s="12">
        <v>0</v>
      </c>
      <c r="T44" s="12">
        <v>0</v>
      </c>
      <c r="U44" s="12">
        <v>0</v>
      </c>
      <c r="V44" s="12">
        <v>0</v>
      </c>
      <c r="W44" s="12">
        <v>0</v>
      </c>
      <c r="X44" s="12">
        <v>0</v>
      </c>
      <c r="Y44" s="12">
        <v>0</v>
      </c>
      <c r="Z44" s="12">
        <v>0</v>
      </c>
      <c r="AA44" s="12">
        <v>0</v>
      </c>
      <c r="AB44" s="12">
        <v>0</v>
      </c>
      <c r="AC44" s="12">
        <v>0</v>
      </c>
      <c r="AD44" s="12">
        <v>0</v>
      </c>
      <c r="AE44" s="12">
        <v>0</v>
      </c>
      <c r="AF44" s="12">
        <v>0</v>
      </c>
      <c r="AG44" s="12">
        <v>0</v>
      </c>
      <c r="AH44" s="12">
        <v>0</v>
      </c>
      <c r="AI44" s="12">
        <v>393.58904832000007</v>
      </c>
      <c r="AJ44" s="12">
        <v>1042.2821094400001</v>
      </c>
      <c r="AK44" s="12">
        <v>1075.0811968000003</v>
      </c>
      <c r="AL44" s="12">
        <v>1107.88028416</v>
      </c>
      <c r="AM44" s="12">
        <v>1140.6793715200004</v>
      </c>
      <c r="AN44" s="12">
        <v>1184.4114880000002</v>
      </c>
    </row>
    <row r="45" spans="2:40" x14ac:dyDescent="0.25">
      <c r="B45" s="39" t="s">
        <v>36</v>
      </c>
      <c r="C45" s="96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0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12">
        <v>0</v>
      </c>
      <c r="R45" s="12">
        <v>0</v>
      </c>
      <c r="S45" s="12">
        <v>0</v>
      </c>
      <c r="T45" s="12">
        <v>0</v>
      </c>
      <c r="U45" s="12">
        <v>0</v>
      </c>
      <c r="V45" s="12">
        <v>0</v>
      </c>
      <c r="W45" s="12">
        <v>0</v>
      </c>
      <c r="X45" s="12">
        <v>0</v>
      </c>
      <c r="Y45" s="12">
        <v>0</v>
      </c>
      <c r="Z45" s="12">
        <v>0</v>
      </c>
      <c r="AA45" s="12">
        <v>0</v>
      </c>
      <c r="AB45" s="12">
        <v>0</v>
      </c>
      <c r="AC45" s="12">
        <v>0</v>
      </c>
      <c r="AD45" s="12">
        <v>0</v>
      </c>
      <c r="AE45" s="12">
        <v>0</v>
      </c>
      <c r="AF45" s="12">
        <v>0</v>
      </c>
      <c r="AG45" s="12">
        <v>0</v>
      </c>
      <c r="AH45" s="12">
        <v>0</v>
      </c>
      <c r="AI45" s="12">
        <v>6762.6</v>
      </c>
      <c r="AJ45" s="12">
        <v>6762.6</v>
      </c>
      <c r="AK45" s="12">
        <v>6762.6</v>
      </c>
      <c r="AL45" s="12">
        <v>6762.6</v>
      </c>
      <c r="AM45" s="12">
        <v>6762.6</v>
      </c>
      <c r="AN45" s="12">
        <v>6762.6</v>
      </c>
    </row>
    <row r="46" spans="2:40" x14ac:dyDescent="0.25">
      <c r="B46" s="39" t="s">
        <v>38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0</v>
      </c>
      <c r="F46" s="12">
        <v>0</v>
      </c>
      <c r="G46" s="12">
        <v>0</v>
      </c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0</v>
      </c>
      <c r="N46" s="12">
        <v>0</v>
      </c>
      <c r="O46" s="12">
        <v>0</v>
      </c>
      <c r="P46" s="12">
        <v>0</v>
      </c>
      <c r="Q46" s="12">
        <v>0</v>
      </c>
      <c r="R46" s="12">
        <v>0</v>
      </c>
      <c r="S46" s="12">
        <v>0</v>
      </c>
      <c r="T46" s="12">
        <v>0</v>
      </c>
      <c r="U46" s="12">
        <v>0</v>
      </c>
      <c r="V46" s="12">
        <v>0</v>
      </c>
      <c r="W46" s="12">
        <v>0</v>
      </c>
      <c r="X46" s="12">
        <v>0</v>
      </c>
      <c r="Y46" s="12">
        <v>0</v>
      </c>
      <c r="Z46" s="12">
        <v>0</v>
      </c>
      <c r="AA46" s="12">
        <v>0</v>
      </c>
      <c r="AB46" s="12">
        <v>0</v>
      </c>
      <c r="AC46" s="12">
        <v>0</v>
      </c>
      <c r="AD46" s="12">
        <v>0</v>
      </c>
      <c r="AE46" s="12">
        <v>0</v>
      </c>
      <c r="AF46" s="12">
        <v>0</v>
      </c>
      <c r="AG46" s="12">
        <v>0</v>
      </c>
      <c r="AH46" s="12">
        <v>0</v>
      </c>
      <c r="AI46" s="12">
        <v>3676.7735999999991</v>
      </c>
      <c r="AJ46" s="12">
        <v>5617.639799999999</v>
      </c>
      <c r="AK46" s="12">
        <v>6946.7507999999998</v>
      </c>
      <c r="AL46" s="12">
        <v>8272.2203999999983</v>
      </c>
      <c r="AM46" s="12">
        <v>9597.6899999999969</v>
      </c>
      <c r="AN46" s="12">
        <v>10937.725199999999</v>
      </c>
    </row>
    <row r="47" spans="2:40" x14ac:dyDescent="0.25">
      <c r="B47" s="39" t="s">
        <v>40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  <c r="O47" s="12">
        <v>0</v>
      </c>
      <c r="P47" s="12">
        <v>0</v>
      </c>
      <c r="Q47" s="12">
        <v>0</v>
      </c>
      <c r="R47" s="12">
        <v>0</v>
      </c>
      <c r="S47" s="12">
        <v>0</v>
      </c>
      <c r="T47" s="12">
        <v>0</v>
      </c>
      <c r="U47" s="12">
        <v>0</v>
      </c>
      <c r="V47" s="12">
        <v>0</v>
      </c>
      <c r="W47" s="12">
        <v>0</v>
      </c>
      <c r="X47" s="12">
        <v>0</v>
      </c>
      <c r="Y47" s="12">
        <v>0</v>
      </c>
      <c r="Z47" s="12">
        <v>0</v>
      </c>
      <c r="AA47" s="12">
        <v>0</v>
      </c>
      <c r="AB47" s="12">
        <v>0</v>
      </c>
      <c r="AC47" s="12">
        <v>0</v>
      </c>
      <c r="AD47" s="12">
        <v>0</v>
      </c>
      <c r="AE47" s="12">
        <v>0</v>
      </c>
      <c r="AF47" s="12">
        <v>0</v>
      </c>
      <c r="AG47" s="12">
        <v>0</v>
      </c>
      <c r="AH47" s="12">
        <v>0</v>
      </c>
      <c r="AI47" s="12">
        <v>6615</v>
      </c>
      <c r="AJ47" s="12">
        <v>6615</v>
      </c>
      <c r="AK47" s="12">
        <v>6615</v>
      </c>
      <c r="AL47" s="12">
        <v>6615</v>
      </c>
      <c r="AM47" s="12">
        <v>6615</v>
      </c>
      <c r="AN47" s="12">
        <v>6615</v>
      </c>
    </row>
    <row r="48" spans="2:40" x14ac:dyDescent="0.25">
      <c r="B48" s="39" t="s">
        <v>41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151234.47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42</v>
      </c>
      <c r="E49" s="12">
        <f>'Corp.'!E$50*(E$37-(E31-E32-E34)*$C$35)/(SUM('MDA1:NCA9'!E$37)-SUM('MDA1:NCA9'!E$31)-SUM('MDA1:NCA9'!E$32)-SUM('MDA1:NCA9'!E$34))</f>
        <v>0</v>
      </c>
      <c r="F49" s="12">
        <f>'Corp.'!F$50*(F$37-(F31-F32-F34)*$C$35)/(SUM('MDA1:NCA9'!F$37)-SUM('MDA1:NCA9'!F$31)-SUM('MDA1:NCA9'!F$32)-SUM('MDA1:NCA9'!F$34))</f>
        <v>0</v>
      </c>
      <c r="G49" s="12">
        <f>'Corp.'!G$50*(G$37-(G31-G32-G34)*$C$35)/(SUM('MDA1:NCA9'!G$37)-SUM('MDA1:NCA9'!G$31)-SUM('MDA1:NCA9'!G$32)-SUM('MDA1:NCA9'!G$34))</f>
        <v>0</v>
      </c>
      <c r="H49" s="12">
        <f>'Corp.'!H$50*(H$37-(H31-H32-H34)*$C$35)/(SUM('MDA1:NCA9'!H$37)-SUM('MDA1:NCA9'!H$31)-SUM('MDA1:NCA9'!H$32)-SUM('MDA1:NCA9'!H$34))</f>
        <v>0</v>
      </c>
      <c r="I49" s="12">
        <f>'Corp.'!I$50*(I$37-(I31-I32-I34)*$C$35)/(SUM('MDA1:NCA9'!I$37)-SUM('MDA1:NCA9'!I$31)-SUM('MDA1:NCA9'!I$32)-SUM('MDA1:NCA9'!I$34))</f>
        <v>0</v>
      </c>
      <c r="J49" s="12">
        <f>'Corp.'!J$50*(J$37-(J31-J32-J34)*$C$35)/(SUM('MDA1:NCA9'!J$37)-SUM('MDA1:NCA9'!J$31)-SUM('MDA1:NCA9'!J$32)-SUM('MDA1:NCA9'!J$34))</f>
        <v>0</v>
      </c>
      <c r="K49" s="12">
        <f>'Corp.'!K$50*(K$37-(K31-K32-K34)*$C$35)/(SUM('MDA1:NCA9'!K$37)-SUM('MDA1:NCA9'!K$31)-SUM('MDA1:NCA9'!K$32)-SUM('MDA1:NCA9'!K$34))</f>
        <v>0</v>
      </c>
      <c r="L49" s="12">
        <f>'Corp.'!L$50*(L$37-(L31-L32-L34)*$C$35)/(SUM('MDA1:NCA9'!L$37)-SUM('MDA1:NCA9'!L$31)-SUM('MDA1:NCA9'!L$32)-SUM('MDA1:NCA9'!L$34))</f>
        <v>0</v>
      </c>
      <c r="M49" s="12">
        <f>'Corp.'!M$50*(M$37-(M31-M32-M34)*$C$35)/(SUM('MDA1:NCA9'!M$37)-SUM('MDA1:NCA9'!M$31)-SUM('MDA1:NCA9'!M$32)-SUM('MDA1:NCA9'!M$34))</f>
        <v>0</v>
      </c>
      <c r="N49" s="12">
        <f>'Corp.'!N$50*(N$37-(N31-N32-N34)*$C$35)/(SUM('MDA1:NCA9'!N$37)-SUM('MDA1:NCA9'!N$31)-SUM('MDA1:NCA9'!N$32)-SUM('MDA1:NCA9'!N$34))</f>
        <v>0</v>
      </c>
      <c r="O49" s="12">
        <f>'Corp.'!O$50*(O$37-(O31-O32-O34)*$C$35)/(SUM('MDA1:NCA9'!O$37)-SUM('MDA1:NCA9'!O$31)-SUM('MDA1:NCA9'!O$32)-SUM('MDA1:NCA9'!O$34))</f>
        <v>0</v>
      </c>
      <c r="P49" s="12">
        <f>'Corp.'!P$50*(P$37-(P31-P32-P34)*$C$35)/(SUM('MDA1:NCA9'!P$37)-SUM('MDA1:NCA9'!P$31)-SUM('MDA1:NCA9'!P$32)-SUM('MDA1:NCA9'!P$34))</f>
        <v>0</v>
      </c>
      <c r="Q49" s="12">
        <f>'Corp.'!Q$50*(Q$37-(Q31-Q32-Q34)*$C$35)/(SUM('MDA1:NCA9'!Q$37)-SUM('MDA1:NCA9'!Q$31)-SUM('MDA1:NCA9'!Q$32)-SUM('MDA1:NCA9'!Q$34))</f>
        <v>0</v>
      </c>
      <c r="R49" s="12">
        <f>'Corp.'!R$50*(R$37-(R31-R32-R34)*$C$35)/(SUM('MDA1:NCA9'!R$37)-SUM('MDA1:NCA9'!R$31)-SUM('MDA1:NCA9'!R$32)-SUM('MDA1:NCA9'!R$34))</f>
        <v>0</v>
      </c>
      <c r="S49" s="12">
        <f>'Corp.'!S$50*(S$37-(S31-S32-S34)*$C$35)/(SUM('MDA1:NCA9'!S$37)-SUM('MDA1:NCA9'!S$31)-SUM('MDA1:NCA9'!S$32)-SUM('MDA1:NCA9'!S$34))</f>
        <v>0</v>
      </c>
      <c r="T49" s="12">
        <f>'Corp.'!T$50*(T$37-(T31-T32-T34)*$C$35)/(SUM('MDA1:NCA9'!T$37)-SUM('MDA1:NCA9'!T$31)-SUM('MDA1:NCA9'!T$32)-SUM('MDA1:NCA9'!T$34))</f>
        <v>0</v>
      </c>
      <c r="U49" s="12">
        <f>'Corp.'!U$50*(U$37-(U31-U32-U34)*$C$35)/(SUM('MDA1:NCA9'!U$37)-SUM('MDA1:NCA9'!U$31)-SUM('MDA1:NCA9'!U$32)-SUM('MDA1:NCA9'!U$34))</f>
        <v>0</v>
      </c>
      <c r="V49" s="12">
        <f>'Corp.'!V$50*(V$37-(V31-V32-V34)*$C$35)/(SUM('MDA1:NCA9'!V$37)-SUM('MDA1:NCA9'!V$31)-SUM('MDA1:NCA9'!V$32)-SUM('MDA1:NCA9'!V$34))</f>
        <v>0</v>
      </c>
      <c r="W49" s="12">
        <f>'Corp.'!W$50*(W$37-(W31-W32-W34)*$C$35)/(SUM('MDA1:NCA9'!W$37)-SUM('MDA1:NCA9'!W$31)-SUM('MDA1:NCA9'!W$32)-SUM('MDA1:NCA9'!W$34))</f>
        <v>0</v>
      </c>
      <c r="X49" s="12">
        <f>'Corp.'!X$50*(X$37-(X31-X32-X34)*$C$35)/(SUM('MDA1:NCA9'!X$37)-SUM('MDA1:NCA9'!X$31)-SUM('MDA1:NCA9'!X$32)-SUM('MDA1:NCA9'!X$34))</f>
        <v>0</v>
      </c>
      <c r="Y49" s="12">
        <f>'Corp.'!Y$50*(Y$37-(Y31-Y32-Y34)*$C$35)/(SUM('MDA1:NCA9'!Y$37)-SUM('MDA1:NCA9'!Y$31)-SUM('MDA1:NCA9'!Y$32)-SUM('MDA1:NCA9'!Y$34))</f>
        <v>0</v>
      </c>
      <c r="Z49" s="12">
        <f>'Corp.'!Z$50*(Z$37-(Z31-Z32-Z34)*$C$35)/(SUM('MDA1:NCA9'!Z$37)-SUM('MDA1:NCA9'!Z$31)-SUM('MDA1:NCA9'!Z$32)-SUM('MDA1:NCA9'!Z$34))</f>
        <v>0</v>
      </c>
      <c r="AA49" s="12">
        <f>'Corp.'!AA$50*(AA$37-(AA31-AA32-AA34)*$C$35)/(SUM('MDA1:NCA9'!AA$37)-SUM('MDA1:NCA9'!AA$31)-SUM('MDA1:NCA9'!AA$32)-SUM('MDA1:NCA9'!AA$34))</f>
        <v>0</v>
      </c>
      <c r="AB49" s="12">
        <f>'Corp.'!AB$50*(AB$37-(AB31-AB32-AB34)*$C$35)/(SUM('MDA1:NCA9'!AB$37)-SUM('MDA1:NCA9'!AB$31)-SUM('MDA1:NCA9'!AB$32)-SUM('MDA1:NCA9'!AB$34))</f>
        <v>0</v>
      </c>
      <c r="AC49" s="12">
        <f>'Corp.'!AC$50*(AC$37-(AC31-AC32-AC34)*$C$35)/(SUM('MDA1:NCA9'!AC$37)-SUM('MDA1:NCA9'!AC$31)-SUM('MDA1:NCA9'!AC$32)-SUM('MDA1:NCA9'!AC$34))</f>
        <v>0</v>
      </c>
      <c r="AD49" s="12">
        <f>'Corp.'!AD$50*(AD$37-(AD31-AD32-AD34)*$C$35)/(SUM('MDA1:NCA9'!AD$37)-SUM('MDA1:NCA9'!AD$31)-SUM('MDA1:NCA9'!AD$32)-SUM('MDA1:NCA9'!AD$34))</f>
        <v>0</v>
      </c>
      <c r="AE49" s="12">
        <f>'Corp.'!AE$50*(AE$37-(AE31-AE32-AE34)*$C$35)/(SUM('MDA1:NCA9'!AE$37)-SUM('MDA1:NCA9'!AE$31)-SUM('MDA1:NCA9'!AE$32)-SUM('MDA1:NCA9'!AE$34))</f>
        <v>0</v>
      </c>
      <c r="AF49" s="12">
        <f>'Corp.'!AF$50*(AF$37-(AF31-AF32-AF34)*$C$35)/(SUM('MDA1:NCA9'!AF$37)-SUM('MDA1:NCA9'!AF$31)-SUM('MDA1:NCA9'!AF$32)-SUM('MDA1:NCA9'!AF$34))</f>
        <v>0</v>
      </c>
      <c r="AG49" s="12">
        <f>'Corp.'!AG$50*(AG$37-(AG31-AG32-AG34)*$C$35)/(SUM('MDA1:NCA9'!AG$37)-SUM('MDA1:NCA9'!AG$31)-SUM('MDA1:NCA9'!AG$32)-SUM('MDA1:NCA9'!AG$34))</f>
        <v>0</v>
      </c>
      <c r="AH49" s="12">
        <f>'Corp.'!AH$50*(AH$37-(AH31-AH32-AH34)*$C$35)/(SUM('MDA1:NCA9'!AH$37)-SUM('MDA1:NCA9'!AH$31)-SUM('MDA1:NCA9'!AH$32)-SUM('MDA1:NCA9'!AH$34))</f>
        <v>0</v>
      </c>
      <c r="AI49" s="12">
        <f>'Corp.'!AI$50*(AI$37-(AI31-AI32-AI34)*$C$35)/(SUM('MDA1:NCA9'!AI$37)-SUM('MDA1:NCA9'!AI$31)-SUM('MDA1:NCA9'!AI$32)-SUM('MDA1:NCA9'!AI$34))</f>
        <v>7767.9568663845266</v>
      </c>
      <c r="AJ49" s="12">
        <f>'Corp.'!AJ$50*(AJ$37-(AJ31-AJ32-AJ34)*$C$35)/(SUM('MDA1:NCA9'!AJ$37)-SUM('MDA1:NCA9'!AJ$31)-SUM('MDA1:NCA9'!AJ$32)-SUM('MDA1:NCA9'!AJ$34))</f>
        <v>12736.917582637256</v>
      </c>
      <c r="AK49" s="12">
        <f>'Corp.'!AK$50*(AK$37-(AK31-AK32-AK34)*$C$35)/(SUM('MDA1:NCA9'!AK$37)-SUM('MDA1:NCA9'!AK$31)-SUM('MDA1:NCA9'!AK$32)-SUM('MDA1:NCA9'!AK$34))</f>
        <v>17544.111281794871</v>
      </c>
      <c r="AL49" s="12">
        <f>'Corp.'!AL$50*(AL$37-(AL31-AL32-AL34)*$C$35)/(SUM('MDA1:NCA9'!AL$37)-SUM('MDA1:NCA9'!AL$31)-SUM('MDA1:NCA9'!AL$32)-SUM('MDA1:NCA9'!AL$34))</f>
        <v>22210.754477892293</v>
      </c>
      <c r="AM49" s="12">
        <f>'Corp.'!AM$50*(AM$37-(AM31-AM32-AM34)*$C$35)/(SUM('MDA1:NCA9'!AM$37)-SUM('MDA1:NCA9'!AM$31)-SUM('MDA1:NCA9'!AM$32)-SUM('MDA1:NCA9'!AM$34))</f>
        <v>26685.697453126013</v>
      </c>
      <c r="AN49" s="12">
        <f>'Corp.'!AN$50*(AN$37-(AN31-AN32-AN34)*$C$35)/(SUM('MDA1:NCA9'!AN$37)-SUM('MDA1:NCA9'!AN$31)-SUM('MDA1:NCA9'!AN$32)-SUM('MDA1:NCA9'!AN$34))</f>
        <v>31071.871523553684</v>
      </c>
    </row>
    <row r="50" spans="2:40" x14ac:dyDescent="0.25">
      <c r="B50" s="1" t="s">
        <v>272</v>
      </c>
      <c r="E50" s="13" cm="1">
        <f t="array" ref="E50:AN50">_xlfn.BYCOL(_xlfn.VSTACK(_xlfn.ANCHORARRAY(E40),_xlfn.ANCHORARRAY(E42),_xlfn.ANCHORARRAY(E43),_xlfn.ANCHORARRAY(E45),_xlfn.ANCHORARRAY(E46),_xlfn.ANCHORARRAY(E47),_xlfn.ANCHORARRAY(E48),_xlfn.HSTACK(E49:AN49)),_xlfn.LAMBDA(_xlpm.a,SUM(_xlpm.a)))</f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0</v>
      </c>
      <c r="Q50" s="13">
        <v>0</v>
      </c>
      <c r="R50" s="13">
        <v>0</v>
      </c>
      <c r="S50" s="13">
        <v>0</v>
      </c>
      <c r="T50" s="13">
        <v>0</v>
      </c>
      <c r="U50" s="13">
        <v>0</v>
      </c>
      <c r="V50" s="13">
        <v>0</v>
      </c>
      <c r="W50" s="13">
        <v>0</v>
      </c>
      <c r="X50" s="13">
        <v>0</v>
      </c>
      <c r="Y50" s="13">
        <v>0</v>
      </c>
      <c r="Z50" s="13">
        <v>0</v>
      </c>
      <c r="AA50" s="13">
        <v>0</v>
      </c>
      <c r="AB50" s="13">
        <v>0</v>
      </c>
      <c r="AC50" s="13">
        <v>11696.666666666668</v>
      </c>
      <c r="AD50" s="13">
        <v>11696.666666666668</v>
      </c>
      <c r="AE50" s="13">
        <v>11696.666666666668</v>
      </c>
      <c r="AF50" s="13">
        <v>11696.666666666668</v>
      </c>
      <c r="AG50" s="13">
        <v>162931.13666666666</v>
      </c>
      <c r="AH50" s="13">
        <v>11696.666666666668</v>
      </c>
      <c r="AI50" s="13">
        <v>113532.53494109519</v>
      </c>
      <c r="AJ50" s="13">
        <v>157721.12415072523</v>
      </c>
      <c r="AK50" s="13">
        <v>187406.19465792683</v>
      </c>
      <c r="AL50" s="13">
        <v>216898.39641406821</v>
      </c>
      <c r="AM50" s="13">
        <v>246238.66661601258</v>
      </c>
      <c r="AN50" s="13">
        <v>275836.46969448426</v>
      </c>
    </row>
    <row r="52" spans="2:40" x14ac:dyDescent="0.25">
      <c r="B52" s="1" t="s">
        <v>48</v>
      </c>
      <c r="E52" s="74">
        <f>E37-E50</f>
        <v>0</v>
      </c>
      <c r="F52" s="74">
        <f t="shared" ref="F52:AN52" si="0">F37-F50</f>
        <v>0</v>
      </c>
      <c r="G52" s="74">
        <f t="shared" si="0"/>
        <v>0</v>
      </c>
      <c r="H52" s="74">
        <f t="shared" si="0"/>
        <v>0</v>
      </c>
      <c r="I52" s="74">
        <f t="shared" si="0"/>
        <v>0</v>
      </c>
      <c r="J52" s="74">
        <f t="shared" si="0"/>
        <v>0</v>
      </c>
      <c r="K52" s="74">
        <f t="shared" si="0"/>
        <v>0</v>
      </c>
      <c r="L52" s="74">
        <f t="shared" si="0"/>
        <v>0</v>
      </c>
      <c r="M52" s="74">
        <f t="shared" si="0"/>
        <v>0</v>
      </c>
      <c r="N52" s="74">
        <f t="shared" si="0"/>
        <v>0</v>
      </c>
      <c r="O52" s="74">
        <f t="shared" si="0"/>
        <v>0</v>
      </c>
      <c r="P52" s="74">
        <f t="shared" si="0"/>
        <v>0</v>
      </c>
      <c r="Q52" s="74">
        <f t="shared" si="0"/>
        <v>0</v>
      </c>
      <c r="R52" s="74">
        <f t="shared" si="0"/>
        <v>0</v>
      </c>
      <c r="S52" s="74">
        <f t="shared" si="0"/>
        <v>0</v>
      </c>
      <c r="T52" s="74">
        <f t="shared" si="0"/>
        <v>0</v>
      </c>
      <c r="U52" s="74">
        <f t="shared" si="0"/>
        <v>0</v>
      </c>
      <c r="V52" s="74">
        <f t="shared" si="0"/>
        <v>0</v>
      </c>
      <c r="W52" s="74">
        <f t="shared" si="0"/>
        <v>0</v>
      </c>
      <c r="X52" s="74">
        <f t="shared" si="0"/>
        <v>0</v>
      </c>
      <c r="Y52" s="74">
        <f t="shared" si="0"/>
        <v>0</v>
      </c>
      <c r="Z52" s="74">
        <f t="shared" si="0"/>
        <v>0</v>
      </c>
      <c r="AA52" s="74">
        <f t="shared" si="0"/>
        <v>0</v>
      </c>
      <c r="AB52" s="74">
        <f t="shared" si="0"/>
        <v>0</v>
      </c>
      <c r="AC52" s="74">
        <f t="shared" si="0"/>
        <v>-11696.666666666668</v>
      </c>
      <c r="AD52" s="74">
        <f t="shared" si="0"/>
        <v>-11696.666666666668</v>
      </c>
      <c r="AE52" s="74">
        <f t="shared" si="0"/>
        <v>-11696.666666666668</v>
      </c>
      <c r="AF52" s="74">
        <f t="shared" si="0"/>
        <v>-11696.666666666668</v>
      </c>
      <c r="AG52" s="74">
        <f t="shared" si="0"/>
        <v>-162931.13666666666</v>
      </c>
      <c r="AH52" s="74">
        <f t="shared" si="0"/>
        <v>-11696.666666666668</v>
      </c>
      <c r="AI52" s="74">
        <f t="shared" si="0"/>
        <v>-42438.30733602852</v>
      </c>
      <c r="AJ52" s="74">
        <f t="shared" si="0"/>
        <v>-39018.844987258548</v>
      </c>
      <c r="AK52" s="74">
        <f t="shared" si="0"/>
        <v>-21095.863936060166</v>
      </c>
      <c r="AL52" s="74">
        <f t="shared" si="0"/>
        <v>-2980.0141338015383</v>
      </c>
      <c r="AM52" s="74">
        <f t="shared" si="0"/>
        <v>15287.767222654074</v>
      </c>
      <c r="AN52" s="74">
        <f t="shared" si="0"/>
        <v>33298.01570258243</v>
      </c>
    </row>
    <row r="53" spans="2:40" x14ac:dyDescent="0.25">
      <c r="E53" s="105" t="str">
        <f>IFERROR(E52/E37,"")</f>
        <v/>
      </c>
      <c r="F53" s="105" t="str">
        <f t="shared" ref="F53:AN53" si="1">IFERROR(F52/F37,"")</f>
        <v/>
      </c>
      <c r="G53" s="105" t="str">
        <f t="shared" si="1"/>
        <v/>
      </c>
      <c r="H53" s="105" t="str">
        <f t="shared" si="1"/>
        <v/>
      </c>
      <c r="I53" s="105" t="str">
        <f t="shared" si="1"/>
        <v/>
      </c>
      <c r="J53" s="105" t="str">
        <f t="shared" si="1"/>
        <v/>
      </c>
      <c r="K53" s="105" t="str">
        <f t="shared" si="1"/>
        <v/>
      </c>
      <c r="L53" s="105" t="str">
        <f t="shared" si="1"/>
        <v/>
      </c>
      <c r="M53" s="105" t="str">
        <f t="shared" si="1"/>
        <v/>
      </c>
      <c r="N53" s="105" t="str">
        <f t="shared" si="1"/>
        <v/>
      </c>
      <c r="O53" s="105" t="str">
        <f t="shared" si="1"/>
        <v/>
      </c>
      <c r="P53" s="105" t="str">
        <f t="shared" si="1"/>
        <v/>
      </c>
      <c r="Q53" s="105" t="str">
        <f t="shared" si="1"/>
        <v/>
      </c>
      <c r="R53" s="105" t="str">
        <f t="shared" si="1"/>
        <v/>
      </c>
      <c r="S53" s="105" t="str">
        <f t="shared" si="1"/>
        <v/>
      </c>
      <c r="T53" s="105" t="str">
        <f t="shared" si="1"/>
        <v/>
      </c>
      <c r="U53" s="105" t="str">
        <f t="shared" si="1"/>
        <v/>
      </c>
      <c r="V53" s="105" t="str">
        <f t="shared" si="1"/>
        <v/>
      </c>
      <c r="W53" s="105" t="str">
        <f t="shared" si="1"/>
        <v/>
      </c>
      <c r="X53" s="105" t="str">
        <f t="shared" si="1"/>
        <v/>
      </c>
      <c r="Y53" s="105" t="str">
        <f t="shared" si="1"/>
        <v/>
      </c>
      <c r="Z53" s="105" t="str">
        <f t="shared" si="1"/>
        <v/>
      </c>
      <c r="AA53" s="105" t="str">
        <f t="shared" si="1"/>
        <v/>
      </c>
      <c r="AB53" s="105" t="str">
        <f t="shared" si="1"/>
        <v/>
      </c>
      <c r="AC53" s="105" t="str">
        <f t="shared" si="1"/>
        <v/>
      </c>
      <c r="AD53" s="105" t="str">
        <f t="shared" si="1"/>
        <v/>
      </c>
      <c r="AE53" s="105" t="str">
        <f t="shared" si="1"/>
        <v/>
      </c>
      <c r="AF53" s="105" t="str">
        <f t="shared" si="1"/>
        <v/>
      </c>
      <c r="AG53" s="105" t="str">
        <f t="shared" si="1"/>
        <v/>
      </c>
      <c r="AH53" s="105" t="str">
        <f t="shared" si="1"/>
        <v/>
      </c>
      <c r="AI53" s="105">
        <f t="shared" si="1"/>
        <v>-0.59693042270289842</v>
      </c>
      <c r="AJ53" s="105">
        <f t="shared" si="1"/>
        <v>-0.32871184329599196</v>
      </c>
      <c r="AK53" s="105">
        <f t="shared" si="1"/>
        <v>-0.12684638317111144</v>
      </c>
      <c r="AL53" s="105">
        <f t="shared" si="1"/>
        <v>-1.3930612703948237E-2</v>
      </c>
      <c r="AM53" s="105">
        <f t="shared" si="1"/>
        <v>5.8455915902118571E-2</v>
      </c>
      <c r="AN53" s="105">
        <f t="shared" si="1"/>
        <v>0.10771368862264885</v>
      </c>
    </row>
    <row r="55" spans="2:40" x14ac:dyDescent="0.25">
      <c r="B55" t="s">
        <v>57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1411000</v>
      </c>
      <c r="D55" s="12">
        <f>C55-SUM(_xlfn.ANCHORARRAY(E55))</f>
        <v>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235166.66666666666</v>
      </c>
      <c r="AH55" s="12">
        <v>235166.66666666666</v>
      </c>
      <c r="AI55" s="12">
        <v>235166.66666666666</v>
      </c>
      <c r="AJ55" s="12">
        <v>235166.66666666666</v>
      </c>
      <c r="AK55" s="12">
        <v>235166.66666666666</v>
      </c>
      <c r="AL55" s="12">
        <v>235166.66666666666</v>
      </c>
      <c r="AM55" s="12">
        <v>0</v>
      </c>
      <c r="AN55" s="12">
        <v>0</v>
      </c>
    </row>
    <row r="56" spans="2:40" x14ac:dyDescent="0.25">
      <c r="B56" t="s">
        <v>285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0</v>
      </c>
      <c r="F56" s="90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0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0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0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0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-84424.829083026663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-92772.130592373302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-98739.029523800025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276</v>
      </c>
      <c r="E58" s="13">
        <f>E37-E50-E55+E56</f>
        <v>0</v>
      </c>
      <c r="F58" s="13">
        <f t="shared" ref="F58:AN58" si="2">F37-F50-F55+F56</f>
        <v>0</v>
      </c>
      <c r="G58" s="13">
        <f t="shared" si="2"/>
        <v>0</v>
      </c>
      <c r="H58" s="13">
        <f t="shared" si="2"/>
        <v>0</v>
      </c>
      <c r="I58" s="13">
        <f t="shared" si="2"/>
        <v>0</v>
      </c>
      <c r="J58" s="13">
        <f t="shared" si="2"/>
        <v>0</v>
      </c>
      <c r="K58" s="13">
        <f t="shared" si="2"/>
        <v>0</v>
      </c>
      <c r="L58" s="13">
        <f t="shared" si="2"/>
        <v>0</v>
      </c>
      <c r="M58" s="13">
        <f t="shared" si="2"/>
        <v>0</v>
      </c>
      <c r="N58" s="13">
        <f t="shared" si="2"/>
        <v>0</v>
      </c>
      <c r="O58" s="13">
        <f t="shared" si="2"/>
        <v>0</v>
      </c>
      <c r="P58" s="13">
        <f t="shared" si="2"/>
        <v>0</v>
      </c>
      <c r="Q58" s="13">
        <f t="shared" si="2"/>
        <v>0</v>
      </c>
      <c r="R58" s="13">
        <f t="shared" si="2"/>
        <v>0</v>
      </c>
      <c r="S58" s="13">
        <f t="shared" si="2"/>
        <v>0</v>
      </c>
      <c r="T58" s="13">
        <f t="shared" si="2"/>
        <v>0</v>
      </c>
      <c r="U58" s="13">
        <f t="shared" si="2"/>
        <v>0</v>
      </c>
      <c r="V58" s="13">
        <f t="shared" si="2"/>
        <v>0</v>
      </c>
      <c r="W58" s="13">
        <f t="shared" si="2"/>
        <v>0</v>
      </c>
      <c r="X58" s="13">
        <f t="shared" si="2"/>
        <v>0</v>
      </c>
      <c r="Y58" s="13">
        <f t="shared" si="2"/>
        <v>0</v>
      </c>
      <c r="Z58" s="13">
        <f t="shared" si="2"/>
        <v>0</v>
      </c>
      <c r="AA58" s="13">
        <f t="shared" si="2"/>
        <v>0</v>
      </c>
      <c r="AB58" s="13">
        <f t="shared" si="2"/>
        <v>0</v>
      </c>
      <c r="AC58" s="13">
        <f t="shared" si="2"/>
        <v>-11696.666666666668</v>
      </c>
      <c r="AD58" s="13">
        <f t="shared" si="2"/>
        <v>-11696.666666666668</v>
      </c>
      <c r="AE58" s="13">
        <f t="shared" si="2"/>
        <v>-11696.666666666668</v>
      </c>
      <c r="AF58" s="13">
        <f t="shared" si="2"/>
        <v>-11696.666666666668</v>
      </c>
      <c r="AG58" s="13">
        <f t="shared" si="2"/>
        <v>-398097.80333333334</v>
      </c>
      <c r="AH58" s="13">
        <f t="shared" si="2"/>
        <v>-246863.33333333331</v>
      </c>
      <c r="AI58" s="13">
        <f t="shared" si="2"/>
        <v>-277604.97400269518</v>
      </c>
      <c r="AJ58" s="13">
        <f t="shared" si="2"/>
        <v>-274185.51165392518</v>
      </c>
      <c r="AK58" s="13">
        <f t="shared" si="2"/>
        <v>-256262.53060272682</v>
      </c>
      <c r="AL58" s="13">
        <f t="shared" si="2"/>
        <v>-322571.50988349487</v>
      </c>
      <c r="AM58" s="13">
        <f t="shared" si="2"/>
        <v>-77484.363369719227</v>
      </c>
      <c r="AN58" s="13">
        <f t="shared" si="2"/>
        <v>-65441.013821217595</v>
      </c>
    </row>
    <row r="59" spans="2:40" x14ac:dyDescent="0.25">
      <c r="B59" t="s">
        <v>277</v>
      </c>
      <c r="E59" s="12" cm="1">
        <f t="array" ref="E59:AN59">_xlfn.SCAN(-D55,E58:AN58,_xlfn.LAMBDA(_xlpm.capex,_xlpm.fcf,_xlpm.capex+_xlpm.fcf))</f>
        <v>0</v>
      </c>
      <c r="F59" s="12">
        <v>0</v>
      </c>
      <c r="G59" s="12">
        <v>0</v>
      </c>
      <c r="H59" s="12">
        <v>0</v>
      </c>
      <c r="I59" s="12">
        <v>0</v>
      </c>
      <c r="J59" s="12">
        <v>0</v>
      </c>
      <c r="K59" s="12">
        <v>0</v>
      </c>
      <c r="L59" s="12">
        <v>0</v>
      </c>
      <c r="M59" s="12">
        <v>0</v>
      </c>
      <c r="N59" s="12">
        <v>0</v>
      </c>
      <c r="O59" s="12">
        <v>0</v>
      </c>
      <c r="P59" s="12">
        <v>0</v>
      </c>
      <c r="Q59" s="12">
        <v>0</v>
      </c>
      <c r="R59" s="12">
        <v>0</v>
      </c>
      <c r="S59" s="12">
        <v>0</v>
      </c>
      <c r="T59" s="12">
        <v>0</v>
      </c>
      <c r="U59" s="12">
        <v>0</v>
      </c>
      <c r="V59" s="12">
        <v>0</v>
      </c>
      <c r="W59" s="12">
        <v>0</v>
      </c>
      <c r="X59" s="12">
        <v>0</v>
      </c>
      <c r="Y59" s="12">
        <v>0</v>
      </c>
      <c r="Z59" s="12">
        <v>0</v>
      </c>
      <c r="AA59" s="12">
        <v>0</v>
      </c>
      <c r="AB59" s="12">
        <v>0</v>
      </c>
      <c r="AC59" s="12">
        <v>-11696.666666666668</v>
      </c>
      <c r="AD59" s="12">
        <v>-23393.333333333336</v>
      </c>
      <c r="AE59" s="12">
        <v>-35090</v>
      </c>
      <c r="AF59" s="12">
        <v>-46786.666666666672</v>
      </c>
      <c r="AG59" s="12">
        <v>-444884.47000000003</v>
      </c>
      <c r="AH59" s="12">
        <v>-691747.80333333334</v>
      </c>
      <c r="AI59" s="12">
        <v>-969352.77733602852</v>
      </c>
      <c r="AJ59" s="12">
        <v>-1243538.2889899537</v>
      </c>
      <c r="AK59" s="12">
        <v>-1499800.8195926805</v>
      </c>
      <c r="AL59" s="12">
        <v>-1822372.3294761754</v>
      </c>
      <c r="AM59" s="12">
        <v>-1899856.6928458945</v>
      </c>
      <c r="AN59" s="12">
        <v>-1965297.7066671122</v>
      </c>
    </row>
    <row r="61" spans="2:40" x14ac:dyDescent="0.25">
      <c r="B61" s="1" t="s">
        <v>302</v>
      </c>
    </row>
    <row r="63" spans="2:40" x14ac:dyDescent="0.25">
      <c r="B63" s="39" t="s">
        <v>103</v>
      </c>
      <c r="E63" s="12" cm="1">
        <f t="array" ref="E63:AN63">_xlfn.LET(_xlpm.site,$B$1&amp;"-"&amp;$C$1,_xlpm.locations,Base!$D$4:$BD$4,_xlpm.rates,Base!$D$36:$BD$36,_xlpm.hours,Base!$D$79:$BD$79,_xlpm.comp,_xlpm.rates*_xlpm.hours,_xlpm.Customer,_xlfn.ANCHORARRAY($E$1),
_xlpm.Customer_comp,_xlfn.XLOOKUP(_xlpm.site,_xlpm.locations,_xlpm.comp,0,0),_xlpm.ann_incr,_xlfn.XLOOKUP(YEAR(_xlfn.ANCHORARRAY($E$25)),Base!$BJ$4:$BL$4,Base!$BJ$79:$BL$79,0,0),
_xlpm.bad_debt,_xlfn.XLOOKUP(_xlpm.site,_xlpm.locations,Base!$D$28:$BD$28,0,0),_xlpm.Customer_comp*_xlpm.Customer*_xlpm.bad_debt*_xlpm.ann_incr*(52/12)*(1-$C$35))</f>
        <v>0</v>
      </c>
      <c r="F63" s="12">
        <v>0</v>
      </c>
      <c r="G63" s="12">
        <v>0</v>
      </c>
      <c r="H63" s="12">
        <v>0</v>
      </c>
      <c r="I63" s="12">
        <v>0</v>
      </c>
      <c r="J63" s="12">
        <v>0</v>
      </c>
      <c r="K63" s="12">
        <v>0</v>
      </c>
      <c r="L63" s="12">
        <v>0</v>
      </c>
      <c r="M63" s="12">
        <v>0</v>
      </c>
      <c r="N63" s="12">
        <v>0</v>
      </c>
      <c r="O63" s="12">
        <v>0</v>
      </c>
      <c r="P63" s="12">
        <v>0</v>
      </c>
      <c r="Q63" s="12">
        <v>0</v>
      </c>
      <c r="R63" s="12">
        <v>0</v>
      </c>
      <c r="S63" s="12">
        <v>0</v>
      </c>
      <c r="T63" s="12">
        <v>0</v>
      </c>
      <c r="U63" s="12">
        <v>0</v>
      </c>
      <c r="V63" s="12">
        <v>0</v>
      </c>
      <c r="W63" s="12">
        <v>0</v>
      </c>
      <c r="X63" s="12">
        <v>0</v>
      </c>
      <c r="Y63" s="12">
        <v>0</v>
      </c>
      <c r="Z63" s="12">
        <v>0</v>
      </c>
      <c r="AA63" s="12">
        <v>0</v>
      </c>
      <c r="AB63" s="12">
        <v>0</v>
      </c>
      <c r="AC63" s="12">
        <v>0</v>
      </c>
      <c r="AD63" s="12">
        <v>0</v>
      </c>
      <c r="AE63" s="12">
        <v>0</v>
      </c>
      <c r="AF63" s="12">
        <v>0</v>
      </c>
      <c r="AG63" s="12">
        <v>0</v>
      </c>
      <c r="AH63" s="12">
        <v>0</v>
      </c>
      <c r="AI63" s="12">
        <v>2179.0924014745592</v>
      </c>
      <c r="AJ63" s="12">
        <v>4358.1848029491184</v>
      </c>
      <c r="AK63" s="12">
        <v>6537.2772044236781</v>
      </c>
      <c r="AL63" s="12">
        <v>8716.3696058982368</v>
      </c>
      <c r="AM63" s="12">
        <v>10895.4620073728</v>
      </c>
      <c r="AN63" s="12">
        <v>13074.554408847356</v>
      </c>
    </row>
    <row r="64" spans="2:40" x14ac:dyDescent="0.25">
      <c r="B64" s="39" t="s">
        <v>104</v>
      </c>
      <c r="E64" s="12" cm="1">
        <f t="array" ref="E64:AN64">_xlfn.LET(_xlpm.site,$B$1&amp;"-"&amp;$C$1,_xlpm.locations,Base!$D$4:$BD$4,_xlpm.rates,Base!$D$37:$BD$37,_xlpm.hours,Base!$D$80:$BD$80,_xlpm.comp,_xlpm.rates*_xlpm.hours,_xlpm.Customer,_xlfn.ANCHORARRAY($E$1),
_xlpm.Customer_comp,_xlfn.XLOOKUP(_xlpm.site,_xlpm.locations,_xlpm.comp,0,0),_xlpm.ann_incr,_xlfn.XLOOKUP(YEAR(_xlfn.ANCHORARRAY($E$25)),Base!$BJ$4:$BL$4,Base!$BJ$80:$BL$80,0,0),
_xlpm.bad_debt,_xlfn.XLOOKUP(_xlpm.site,_xlpm.locations,Base!$D$28:$BD$28,0,0),_xlpm.Customer_comp*_xlpm.Customer*_xlpm.bad_debt*_xlpm.ann_incr*(52/12)*(1-$C$35))</f>
        <v>0</v>
      </c>
      <c r="F64" s="12">
        <v>0</v>
      </c>
      <c r="G64" s="12">
        <v>0</v>
      </c>
      <c r="H64" s="12">
        <v>0</v>
      </c>
      <c r="I64" s="12">
        <v>0</v>
      </c>
      <c r="J64" s="12">
        <v>0</v>
      </c>
      <c r="K64" s="12">
        <v>0</v>
      </c>
      <c r="L64" s="12">
        <v>0</v>
      </c>
      <c r="M64" s="12">
        <v>0</v>
      </c>
      <c r="N64" s="12">
        <v>0</v>
      </c>
      <c r="O64" s="12">
        <v>0</v>
      </c>
      <c r="P64" s="12">
        <v>0</v>
      </c>
      <c r="Q64" s="12">
        <v>0</v>
      </c>
      <c r="R64" s="12">
        <v>0</v>
      </c>
      <c r="S64" s="12">
        <v>0</v>
      </c>
      <c r="T64" s="12">
        <v>0</v>
      </c>
      <c r="U64" s="12">
        <v>0</v>
      </c>
      <c r="V64" s="12">
        <v>0</v>
      </c>
      <c r="W64" s="12">
        <v>0</v>
      </c>
      <c r="X64" s="12">
        <v>0</v>
      </c>
      <c r="Y64" s="12">
        <v>0</v>
      </c>
      <c r="Z64" s="12">
        <v>0</v>
      </c>
      <c r="AA64" s="12">
        <v>0</v>
      </c>
      <c r="AB64" s="12">
        <v>0</v>
      </c>
      <c r="AC64" s="12">
        <v>0</v>
      </c>
      <c r="AD64" s="12">
        <v>0</v>
      </c>
      <c r="AE64" s="12">
        <v>0</v>
      </c>
      <c r="AF64" s="12">
        <v>0</v>
      </c>
      <c r="AG64" s="12">
        <v>0</v>
      </c>
      <c r="AH64" s="12">
        <v>0</v>
      </c>
      <c r="AI64" s="12">
        <v>291.17026532352008</v>
      </c>
      <c r="AJ64" s="12">
        <v>582.34053064704017</v>
      </c>
      <c r="AK64" s="12">
        <v>873.51079597056014</v>
      </c>
      <c r="AL64" s="12">
        <v>1164.6810612940803</v>
      </c>
      <c r="AM64" s="12">
        <v>1455.8513266176003</v>
      </c>
      <c r="AN64" s="12">
        <v>1747.0215919411203</v>
      </c>
    </row>
    <row r="65" spans="2:40" x14ac:dyDescent="0.25">
      <c r="B65" s="39" t="s">
        <v>56</v>
      </c>
      <c r="E65" s="12" cm="1">
        <f t="array" ref="E65:AN65">_xlfn.LET(_xlpm.site,$B$1&amp;"-"&amp;$C$1,_xlpm.locations,Base!$D$4:$BD$4,_xlpm.rates,Base!$D$39:$BD$39,_xlpm.hours,Base!$D$82:$BD$82,_xlpm.comp,_xlpm.rates*_xlpm.hours,_xlpm.Customer,_xlfn.ANCHORARRAY($E$1),
_xlpm.Customer_comp,_xlfn.XLOOKUP(_xlpm.site,_xlpm.locations,_xlpm.comp,0,0),_xlpm.ann_incr,_xlfn.XLOOKUP(YEAR(_xlfn.ANCHORARRAY($E$25)),Base!$BJ$4:$BL$4,Base!$BJ$82:$BL$82,0,0),
_xlpm.bad_debt,_xlfn.XLOOKUP(_xlpm.site,_xlpm.locations,Base!$D$28:$BD$28,0,0),_xlpm.Customer_comp*_xlpm.Customer*_xlpm.bad_debt*_xlpm.ann_incr*(52/12)*(1-$C$35))</f>
        <v>0</v>
      </c>
      <c r="F65" s="12">
        <v>0</v>
      </c>
      <c r="G65" s="12">
        <v>0</v>
      </c>
      <c r="H65" s="12">
        <v>0</v>
      </c>
      <c r="I65" s="12">
        <v>0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  <c r="O65" s="12">
        <v>0</v>
      </c>
      <c r="P65" s="12">
        <v>0</v>
      </c>
      <c r="Q65" s="12">
        <v>0</v>
      </c>
      <c r="R65" s="12">
        <v>0</v>
      </c>
      <c r="S65" s="12">
        <v>0</v>
      </c>
      <c r="T65" s="12">
        <v>0</v>
      </c>
      <c r="U65" s="12">
        <v>0</v>
      </c>
      <c r="V65" s="12">
        <v>0</v>
      </c>
      <c r="W65" s="12">
        <v>0</v>
      </c>
      <c r="X65" s="12">
        <v>0</v>
      </c>
      <c r="Y65" s="12">
        <v>0</v>
      </c>
      <c r="Z65" s="12">
        <v>0</v>
      </c>
      <c r="AA65" s="12">
        <v>0</v>
      </c>
      <c r="AB65" s="12">
        <v>0</v>
      </c>
      <c r="AC65" s="12">
        <v>0</v>
      </c>
      <c r="AD65" s="12">
        <v>0</v>
      </c>
      <c r="AE65" s="12">
        <v>0</v>
      </c>
      <c r="AF65" s="12">
        <v>0</v>
      </c>
      <c r="AG65" s="12">
        <v>0</v>
      </c>
      <c r="AH65" s="12">
        <v>0</v>
      </c>
      <c r="AI65" s="12">
        <v>1770.8074248550399</v>
      </c>
      <c r="AJ65" s="12">
        <v>3541.6148497100799</v>
      </c>
      <c r="AK65" s="12">
        <v>5312.4222745651196</v>
      </c>
      <c r="AL65" s="12">
        <v>7083.2296994201597</v>
      </c>
      <c r="AM65" s="12">
        <v>8854.0371242752008</v>
      </c>
      <c r="AN65" s="12">
        <v>10624.844549130239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303</v>
      </c>
      <c r="C67" s="12"/>
      <c r="E67" s="13" cm="1">
        <f t="array" ref="E67:AN67">_xlfn.BYCOL(_xlfn.VSTACK(_xlfn.ANCHORARRAY($E$63),_xlfn.ANCHORARRAY($E$64),_xlfn.ANCHORARRAY($E$65)),_xlfn.LAMBDA(_xlpm.a,SUM(_xlpm.a)))</f>
        <v>0</v>
      </c>
      <c r="F67" s="13">
        <v>0</v>
      </c>
      <c r="G67" s="13">
        <v>0</v>
      </c>
      <c r="H67" s="13">
        <v>0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  <c r="W67" s="13">
        <v>0</v>
      </c>
      <c r="X67" s="13">
        <v>0</v>
      </c>
      <c r="Y67" s="13">
        <v>0</v>
      </c>
      <c r="Z67" s="13">
        <v>0</v>
      </c>
      <c r="AA67" s="13">
        <v>0</v>
      </c>
      <c r="AB67" s="13">
        <v>0</v>
      </c>
      <c r="AC67" s="13">
        <v>0</v>
      </c>
      <c r="AD67" s="13">
        <v>0</v>
      </c>
      <c r="AE67" s="13">
        <v>0</v>
      </c>
      <c r="AF67" s="13">
        <v>0</v>
      </c>
      <c r="AG67" s="13">
        <v>0</v>
      </c>
      <c r="AH67" s="13">
        <v>0</v>
      </c>
      <c r="AI67" s="13">
        <v>4241.0700916531196</v>
      </c>
      <c r="AJ67" s="13">
        <v>8482.1401833062391</v>
      </c>
      <c r="AK67" s="13">
        <v>12723.210274959358</v>
      </c>
      <c r="AL67" s="13">
        <v>16964.280366612478</v>
      </c>
      <c r="AM67" s="13">
        <v>21205.350458265602</v>
      </c>
      <c r="AN67" s="13">
        <v>25446.420549918716</v>
      </c>
    </row>
    <row r="68" spans="2:40" x14ac:dyDescent="0.25">
      <c r="B68" s="39"/>
      <c r="C68" s="12"/>
    </row>
    <row r="69" spans="2:40" x14ac:dyDescent="0.25">
      <c r="B69" s="39" t="s">
        <v>304</v>
      </c>
      <c r="C69" s="12"/>
      <c r="E69" s="106" cm="1">
        <f t="array" ref="E69:AN70">_xlfn.LET(_xlpm.Customer_staff,_xlfn._xlws.FILTER(Base!$D$96:$BD$97,ISNUMBER(SEARCH($B$1&amp;"-"&amp;$C$1,Base!$D$4:$BD$4))),_xlpm.Customer,_xlfn.ANCHORARRAY($E$1),_xlpm.headcount,_xlpm.Customer/_xlpm.Customer_staff,
_xlpm.rounding,_xlfn.VSTACK(0,0),IFERROR(ROUND(_xlpm.headcount,_xlpm.rounding),0))</f>
        <v>0</v>
      </c>
      <c r="F69" s="106">
        <v>0</v>
      </c>
      <c r="G69" s="106">
        <v>0</v>
      </c>
      <c r="H69" s="106">
        <v>0</v>
      </c>
      <c r="I69" s="106">
        <v>0</v>
      </c>
      <c r="J69" s="106">
        <v>0</v>
      </c>
      <c r="K69" s="106">
        <v>0</v>
      </c>
      <c r="L69" s="106">
        <v>0</v>
      </c>
      <c r="M69" s="106">
        <v>0</v>
      </c>
      <c r="N69" s="106">
        <v>0</v>
      </c>
      <c r="O69" s="106">
        <v>0</v>
      </c>
      <c r="P69" s="106">
        <v>0</v>
      </c>
      <c r="Q69" s="106">
        <v>0</v>
      </c>
      <c r="R69" s="106">
        <v>0</v>
      </c>
      <c r="S69" s="106">
        <v>0</v>
      </c>
      <c r="T69" s="106">
        <v>0</v>
      </c>
      <c r="U69" s="106">
        <v>0</v>
      </c>
      <c r="V69" s="106">
        <v>0</v>
      </c>
      <c r="W69" s="106">
        <v>0</v>
      </c>
      <c r="X69" s="106">
        <v>0</v>
      </c>
      <c r="Y69" s="106">
        <v>0</v>
      </c>
      <c r="Z69" s="106">
        <v>0</v>
      </c>
      <c r="AA69" s="106">
        <v>0</v>
      </c>
      <c r="AB69" s="106">
        <v>0</v>
      </c>
      <c r="AC69" s="106">
        <v>0</v>
      </c>
      <c r="AD69" s="106">
        <v>0</v>
      </c>
      <c r="AE69" s="106">
        <v>0</v>
      </c>
      <c r="AF69" s="106">
        <v>0</v>
      </c>
      <c r="AG69" s="106">
        <v>0</v>
      </c>
      <c r="AH69" s="106">
        <v>0</v>
      </c>
      <c r="AI69" s="106">
        <v>0</v>
      </c>
      <c r="AJ69" s="106">
        <v>0</v>
      </c>
      <c r="AK69" s="106">
        <v>0</v>
      </c>
      <c r="AL69" s="106">
        <v>0</v>
      </c>
      <c r="AM69" s="106">
        <v>0</v>
      </c>
      <c r="AN69" s="106">
        <v>0</v>
      </c>
    </row>
    <row r="70" spans="2:40" x14ac:dyDescent="0.25">
      <c r="B70" s="39" t="s">
        <v>305</v>
      </c>
      <c r="C70" s="12"/>
      <c r="E70" s="106">
        <v>0</v>
      </c>
      <c r="F70" s="106">
        <v>0</v>
      </c>
      <c r="G70" s="106">
        <v>0</v>
      </c>
      <c r="H70" s="106">
        <v>0</v>
      </c>
      <c r="I70" s="106">
        <v>0</v>
      </c>
      <c r="J70" s="106">
        <v>0</v>
      </c>
      <c r="K70" s="106">
        <v>0</v>
      </c>
      <c r="L70" s="106">
        <v>0</v>
      </c>
      <c r="M70" s="106">
        <v>0</v>
      </c>
      <c r="N70" s="106">
        <v>0</v>
      </c>
      <c r="O70" s="106">
        <v>0</v>
      </c>
      <c r="P70" s="106">
        <v>0</v>
      </c>
      <c r="Q70" s="106">
        <v>0</v>
      </c>
      <c r="R70" s="106">
        <v>0</v>
      </c>
      <c r="S70" s="106">
        <v>0</v>
      </c>
      <c r="T70" s="106">
        <v>0</v>
      </c>
      <c r="U70" s="106">
        <v>0</v>
      </c>
      <c r="V70" s="106">
        <v>0</v>
      </c>
      <c r="W70" s="106">
        <v>0</v>
      </c>
      <c r="X70" s="106">
        <v>0</v>
      </c>
      <c r="Y70" s="106">
        <v>0</v>
      </c>
      <c r="Z70" s="106">
        <v>0</v>
      </c>
      <c r="AA70" s="106">
        <v>0</v>
      </c>
      <c r="AB70" s="106">
        <v>0</v>
      </c>
      <c r="AC70" s="106">
        <v>0</v>
      </c>
      <c r="AD70" s="106">
        <v>0</v>
      </c>
      <c r="AE70" s="106">
        <v>0</v>
      </c>
      <c r="AF70" s="106">
        <v>0</v>
      </c>
      <c r="AG70" s="106">
        <v>0</v>
      </c>
      <c r="AH70" s="106">
        <v>0</v>
      </c>
      <c r="AI70" s="106">
        <v>0</v>
      </c>
      <c r="AJ70" s="106">
        <v>0</v>
      </c>
      <c r="AK70" s="106">
        <v>0</v>
      </c>
      <c r="AL70" s="106">
        <v>0</v>
      </c>
      <c r="AM70" s="106">
        <v>0</v>
      </c>
      <c r="AN70" s="106">
        <v>0</v>
      </c>
    </row>
    <row r="71" spans="2:40" x14ac:dyDescent="0.25">
      <c r="B71" s="39"/>
      <c r="C71" s="12"/>
    </row>
    <row r="72" spans="2:40" x14ac:dyDescent="0.25">
      <c r="B72" s="39" t="s">
        <v>23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0</v>
      </c>
      <c r="F72" s="12">
        <v>0</v>
      </c>
      <c r="G72" s="12">
        <v>0</v>
      </c>
      <c r="H72" s="12">
        <v>0</v>
      </c>
      <c r="I72" s="12">
        <v>0</v>
      </c>
      <c r="J72" s="12">
        <v>0</v>
      </c>
      <c r="K72" s="12">
        <v>0</v>
      </c>
      <c r="L72" s="12">
        <v>0</v>
      </c>
      <c r="M72" s="12">
        <v>0</v>
      </c>
      <c r="N72" s="12">
        <v>0</v>
      </c>
      <c r="O72" s="12">
        <v>0</v>
      </c>
      <c r="P72" s="12">
        <v>0</v>
      </c>
      <c r="Q72" s="12">
        <v>0</v>
      </c>
      <c r="R72" s="12">
        <v>0</v>
      </c>
      <c r="S72" s="12">
        <v>0</v>
      </c>
      <c r="T72" s="12">
        <v>0</v>
      </c>
      <c r="U72" s="12">
        <v>0</v>
      </c>
      <c r="V72" s="12">
        <v>0</v>
      </c>
      <c r="W72" s="12">
        <v>0</v>
      </c>
      <c r="X72" s="12">
        <v>0</v>
      </c>
      <c r="Y72" s="12">
        <v>0</v>
      </c>
      <c r="Z72" s="12">
        <v>0</v>
      </c>
      <c r="AA72" s="12">
        <v>0</v>
      </c>
      <c r="AB72" s="12">
        <v>0</v>
      </c>
      <c r="AC72" s="12">
        <v>0</v>
      </c>
      <c r="AD72" s="12">
        <v>0</v>
      </c>
      <c r="AE72" s="12">
        <v>0</v>
      </c>
      <c r="AF72" s="12">
        <v>0</v>
      </c>
      <c r="AG72" s="12">
        <v>0</v>
      </c>
      <c r="AH72" s="12">
        <v>0</v>
      </c>
      <c r="AI72" s="12">
        <v>761.52099071064936</v>
      </c>
      <c r="AJ72" s="12">
        <v>1523.0419814212987</v>
      </c>
      <c r="AK72" s="12">
        <v>2284.5629721319478</v>
      </c>
      <c r="AL72" s="12">
        <v>3046.0839628425974</v>
      </c>
      <c r="AM72" s="12">
        <v>3807.604953553247</v>
      </c>
      <c r="AN72" s="12">
        <v>4569.1259442638957</v>
      </c>
    </row>
    <row r="73" spans="2:40" x14ac:dyDescent="0.25">
      <c r="B73" s="39" t="s">
        <v>24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306</v>
      </c>
      <c r="E75" s="74" cm="1">
        <f t="array" ref="E75:AN75">_xlfn.ANCHORARRAY(E67)-_xlfn.ANCHORARRAY(E72)-_xlfn.ANCHORARRAY(E73)</f>
        <v>0</v>
      </c>
      <c r="F75" s="74">
        <v>0</v>
      </c>
      <c r="G75" s="74">
        <v>0</v>
      </c>
      <c r="H75" s="74">
        <v>0</v>
      </c>
      <c r="I75" s="74">
        <v>0</v>
      </c>
      <c r="J75" s="74">
        <v>0</v>
      </c>
      <c r="K75" s="74">
        <v>0</v>
      </c>
      <c r="L75" s="74">
        <v>0</v>
      </c>
      <c r="M75" s="74">
        <v>0</v>
      </c>
      <c r="N75" s="74">
        <v>0</v>
      </c>
      <c r="O75" s="74">
        <v>0</v>
      </c>
      <c r="P75" s="74">
        <v>0</v>
      </c>
      <c r="Q75" s="74">
        <v>0</v>
      </c>
      <c r="R75" s="74">
        <v>0</v>
      </c>
      <c r="S75" s="74">
        <v>0</v>
      </c>
      <c r="T75" s="74">
        <v>0</v>
      </c>
      <c r="U75" s="74">
        <v>0</v>
      </c>
      <c r="V75" s="74">
        <v>0</v>
      </c>
      <c r="W75" s="74">
        <v>0</v>
      </c>
      <c r="X75" s="74">
        <v>0</v>
      </c>
      <c r="Y75" s="74">
        <v>0</v>
      </c>
      <c r="Z75" s="74">
        <v>0</v>
      </c>
      <c r="AA75" s="74">
        <v>0</v>
      </c>
      <c r="AB75" s="74">
        <v>0</v>
      </c>
      <c r="AC75" s="74">
        <v>0</v>
      </c>
      <c r="AD75" s="74">
        <v>0</v>
      </c>
      <c r="AE75" s="74">
        <v>0</v>
      </c>
      <c r="AF75" s="74">
        <v>0</v>
      </c>
      <c r="AG75" s="74">
        <v>0</v>
      </c>
      <c r="AH75" s="74">
        <v>0</v>
      </c>
      <c r="AI75" s="74">
        <v>3479.5491009424704</v>
      </c>
      <c r="AJ75" s="74">
        <v>6959.0982018849409</v>
      </c>
      <c r="AK75" s="74">
        <v>10438.64730282741</v>
      </c>
      <c r="AL75" s="74">
        <v>13918.196403769882</v>
      </c>
      <c r="AM75" s="74">
        <v>17397.745504712355</v>
      </c>
      <c r="AN75" s="74">
        <v>20877.294605654821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5C1EA9-ABC4-4224-B176-71590C8FE555}">
  <dimension ref="A1:AX75"/>
  <sheetViews>
    <sheetView workbookViewId="0">
      <pane xSplit="4" ySplit="25" topLeftCell="E26" activePane="bottomRight" state="frozen"/>
      <selection activeCell="E63" sqref="E63:E65"/>
      <selection pane="topRight" activeCell="E63" sqref="E63:E65"/>
      <selection pane="bottomLeft" activeCell="E63" sqref="E63:E65"/>
      <selection pane="bottomRight" activeCell="E63" sqref="E63:E65"/>
    </sheetView>
  </sheetViews>
  <sheetFormatPr defaultRowHeight="15" outlineLevelRow="1" x14ac:dyDescent="0.25"/>
  <cols>
    <col min="2" max="2" width="24.5703125" bestFit="1" customWidth="1"/>
    <col min="3" max="3" width="10.7109375" bestFit="1" customWidth="1"/>
    <col min="4" max="4" width="10" bestFit="1" customWidth="1"/>
    <col min="5" max="5" width="11.42578125" bestFit="1" customWidth="1"/>
    <col min="6" max="6" width="11.7109375" bestFit="1" customWidth="1"/>
    <col min="7" max="13" width="12.28515625" bestFit="1" customWidth="1"/>
    <col min="14" max="18" width="11.5703125" bestFit="1" customWidth="1"/>
    <col min="19" max="40" width="12.5703125" bestFit="1" customWidth="1"/>
  </cols>
  <sheetData>
    <row r="1" spans="1:40" x14ac:dyDescent="0.25">
      <c r="A1" s="96" t="str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/>
      </c>
      <c r="B1" s="58" t="s">
        <v>72</v>
      </c>
      <c r="C1" s="16" t="s">
        <v>344</v>
      </c>
      <c r="D1" s="3" t="s">
        <v>307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IFERROR(_xlpm.kiddos,0))</f>
        <v>0</v>
      </c>
      <c r="F1" s="69">
        <v>0</v>
      </c>
      <c r="G1" s="69">
        <v>0</v>
      </c>
      <c r="H1" s="69">
        <v>0</v>
      </c>
      <c r="I1" s="69">
        <v>0</v>
      </c>
      <c r="J1" s="69">
        <v>0</v>
      </c>
      <c r="K1" s="69">
        <v>0</v>
      </c>
      <c r="L1" s="69">
        <v>0</v>
      </c>
      <c r="M1" s="69">
        <v>0</v>
      </c>
      <c r="N1" s="69">
        <v>0</v>
      </c>
      <c r="O1" s="69">
        <v>0</v>
      </c>
      <c r="P1" s="69">
        <v>0</v>
      </c>
      <c r="Q1" s="69">
        <v>0</v>
      </c>
      <c r="R1" s="69">
        <v>0</v>
      </c>
      <c r="S1" s="69">
        <v>0</v>
      </c>
      <c r="T1" s="69">
        <v>0</v>
      </c>
      <c r="U1" s="69">
        <v>0</v>
      </c>
      <c r="V1" s="69">
        <v>0</v>
      </c>
      <c r="W1" s="69">
        <v>0</v>
      </c>
      <c r="X1" s="69">
        <v>0</v>
      </c>
      <c r="Y1" s="69">
        <v>0</v>
      </c>
      <c r="Z1" s="69">
        <v>0</v>
      </c>
      <c r="AA1" s="69">
        <v>0</v>
      </c>
      <c r="AB1" s="69">
        <v>0</v>
      </c>
      <c r="AC1" s="69">
        <v>0</v>
      </c>
      <c r="AD1" s="69">
        <v>0</v>
      </c>
      <c r="AE1" s="69">
        <v>0</v>
      </c>
      <c r="AF1" s="69">
        <v>0</v>
      </c>
      <c r="AG1" s="69">
        <v>0</v>
      </c>
      <c r="AH1" s="69">
        <v>1</v>
      </c>
      <c r="AI1" s="69">
        <v>3</v>
      </c>
      <c r="AJ1" s="69">
        <v>5</v>
      </c>
      <c r="AK1" s="69">
        <v>6</v>
      </c>
      <c r="AL1" s="69">
        <v>8</v>
      </c>
      <c r="AM1" s="69">
        <v>10</v>
      </c>
      <c r="AN1" s="69">
        <v>12</v>
      </c>
    </row>
    <row r="2" spans="1:40" x14ac:dyDescent="0.25">
      <c r="A2" s="65"/>
      <c r="B2" s="3" t="str">
        <f>_xlfn.XLOOKUP($B$1&amp;"-"&amp;$C$1,Base!$D$4:$BD$4,Base!$D$2:$BD$2,"",0)</f>
        <v>New Jersey</v>
      </c>
      <c r="C2" s="55"/>
      <c r="D2" s="55" t="s">
        <v>259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0</v>
      </c>
      <c r="F2" s="69">
        <v>0</v>
      </c>
      <c r="G2" s="69">
        <v>0</v>
      </c>
      <c r="H2" s="69">
        <v>0</v>
      </c>
      <c r="I2" s="69">
        <v>0</v>
      </c>
      <c r="J2" s="69">
        <v>0</v>
      </c>
      <c r="K2" s="69">
        <v>0</v>
      </c>
      <c r="L2" s="69">
        <v>0</v>
      </c>
      <c r="M2" s="69">
        <v>0</v>
      </c>
      <c r="N2" s="69">
        <v>0</v>
      </c>
      <c r="O2" s="69">
        <v>0</v>
      </c>
      <c r="P2" s="69">
        <v>0</v>
      </c>
      <c r="Q2" s="69">
        <v>0</v>
      </c>
      <c r="R2" s="69">
        <v>0</v>
      </c>
      <c r="S2" s="69">
        <v>0</v>
      </c>
      <c r="T2" s="69">
        <v>0</v>
      </c>
      <c r="U2" s="69">
        <v>0</v>
      </c>
      <c r="V2" s="69">
        <v>0</v>
      </c>
      <c r="W2" s="69">
        <v>0</v>
      </c>
      <c r="X2" s="69">
        <v>0</v>
      </c>
      <c r="Y2" s="69">
        <v>0</v>
      </c>
      <c r="Z2" s="69">
        <v>0</v>
      </c>
      <c r="AA2" s="69">
        <v>0</v>
      </c>
      <c r="AB2" s="69">
        <v>0</v>
      </c>
      <c r="AC2" s="69">
        <v>0</v>
      </c>
      <c r="AD2" s="69">
        <v>0</v>
      </c>
      <c r="AE2" s="69">
        <v>0</v>
      </c>
      <c r="AF2" s="69">
        <v>0</v>
      </c>
      <c r="AG2" s="69">
        <v>0</v>
      </c>
      <c r="AH2" s="69">
        <v>0</v>
      </c>
      <c r="AI2" s="69">
        <v>1.8809523809523809</v>
      </c>
      <c r="AJ2" s="69">
        <v>2.0476190476190474</v>
      </c>
      <c r="AK2" s="69">
        <v>2.2142857142857144</v>
      </c>
      <c r="AL2" s="69">
        <v>2.3809523809523809</v>
      </c>
      <c r="AM2" s="69">
        <v>2.5476190476190474</v>
      </c>
      <c r="AN2" s="69">
        <v>2.7142857142857144</v>
      </c>
    </row>
    <row r="3" spans="1:40" x14ac:dyDescent="0.25">
      <c r="A3" s="65"/>
      <c r="B3" s="55"/>
      <c r="C3" s="55"/>
      <c r="D3" s="55" t="s">
        <v>62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_xlpm.months_since,DATEDIF(_xlpm.launchdate,_xlfn.ANCHORARRAY($E$25),"m"),_xlfn.BYCOL(_xlpm.months_since,_xlfn.LAMBDA(_xlpm.a,IFERROR(MIN(_xlpm.a/6,_xlpm.max_kiddos),0))))</f>
        <v>0</v>
      </c>
      <c r="F3" s="69">
        <v>0</v>
      </c>
      <c r="G3" s="69">
        <v>0</v>
      </c>
      <c r="H3" s="69">
        <v>0</v>
      </c>
      <c r="I3" s="69">
        <v>0</v>
      </c>
      <c r="J3" s="69">
        <v>0</v>
      </c>
      <c r="K3" s="69">
        <v>0</v>
      </c>
      <c r="L3" s="69">
        <v>0</v>
      </c>
      <c r="M3" s="69">
        <v>0</v>
      </c>
      <c r="N3" s="69">
        <v>0</v>
      </c>
      <c r="O3" s="69">
        <v>0</v>
      </c>
      <c r="P3" s="69">
        <v>0</v>
      </c>
      <c r="Q3" s="69">
        <v>0</v>
      </c>
      <c r="R3" s="69">
        <v>0</v>
      </c>
      <c r="S3" s="69">
        <v>0</v>
      </c>
      <c r="T3" s="69">
        <v>0</v>
      </c>
      <c r="U3" s="69">
        <v>0</v>
      </c>
      <c r="V3" s="69">
        <v>0</v>
      </c>
      <c r="W3" s="69">
        <v>0</v>
      </c>
      <c r="X3" s="69">
        <v>0</v>
      </c>
      <c r="Y3" s="69">
        <v>0</v>
      </c>
      <c r="Z3" s="69">
        <v>0</v>
      </c>
      <c r="AA3" s="69">
        <v>0</v>
      </c>
      <c r="AB3" s="69">
        <v>0</v>
      </c>
      <c r="AC3" s="69">
        <v>0</v>
      </c>
      <c r="AD3" s="69">
        <v>0</v>
      </c>
      <c r="AE3" s="69">
        <v>0</v>
      </c>
      <c r="AF3" s="69">
        <v>0</v>
      </c>
      <c r="AG3" s="69">
        <v>0</v>
      </c>
      <c r="AH3" s="69">
        <v>0</v>
      </c>
      <c r="AI3" s="69">
        <v>0.16666666666666666</v>
      </c>
      <c r="AJ3" s="69">
        <v>0.33333333333333331</v>
      </c>
      <c r="AK3" s="69">
        <v>0.5</v>
      </c>
      <c r="AL3" s="69">
        <v>0.66666666666666663</v>
      </c>
      <c r="AM3" s="69">
        <v>0.83333333333333337</v>
      </c>
      <c r="AN3" s="69">
        <v>1</v>
      </c>
    </row>
    <row r="4" spans="1:40" x14ac:dyDescent="0.25">
      <c r="A4" s="65"/>
      <c r="B4" s="55"/>
      <c r="C4" s="55"/>
      <c r="D4" s="55" t="s">
        <v>260</v>
      </c>
      <c r="E4" s="69" cm="1">
        <f t="array" ref="E4:AN4">_xlfn.BYCOL(_xlfn.VSTACK(_xlfn.ANCHORARRAY($E$1),_xlfn.ANCHORARRAY($E$2)),_xlfn.LAMBDA(_xlpm.a,SUM(_xlpm.a)))</f>
        <v>0</v>
      </c>
      <c r="F4" s="69">
        <v>0</v>
      </c>
      <c r="G4" s="69">
        <v>0</v>
      </c>
      <c r="H4" s="69">
        <v>0</v>
      </c>
      <c r="I4" s="69">
        <v>0</v>
      </c>
      <c r="J4" s="69">
        <v>0</v>
      </c>
      <c r="K4" s="69">
        <v>0</v>
      </c>
      <c r="L4" s="69">
        <v>0</v>
      </c>
      <c r="M4" s="69">
        <v>0</v>
      </c>
      <c r="N4" s="69">
        <v>0</v>
      </c>
      <c r="O4" s="69">
        <v>0</v>
      </c>
      <c r="P4" s="69">
        <v>0</v>
      </c>
      <c r="Q4" s="69">
        <v>0</v>
      </c>
      <c r="R4" s="69">
        <v>0</v>
      </c>
      <c r="S4" s="69">
        <v>0</v>
      </c>
      <c r="T4" s="69">
        <v>0</v>
      </c>
      <c r="U4" s="69">
        <v>0</v>
      </c>
      <c r="V4" s="69">
        <v>0</v>
      </c>
      <c r="W4" s="69">
        <v>0</v>
      </c>
      <c r="X4" s="69">
        <v>0</v>
      </c>
      <c r="Y4" s="69">
        <v>0</v>
      </c>
      <c r="Z4" s="69">
        <v>0</v>
      </c>
      <c r="AA4" s="69">
        <v>0</v>
      </c>
      <c r="AB4" s="69">
        <v>0</v>
      </c>
      <c r="AC4" s="69">
        <v>0</v>
      </c>
      <c r="AD4" s="69">
        <v>0</v>
      </c>
      <c r="AE4" s="69">
        <v>0</v>
      </c>
      <c r="AF4" s="69">
        <v>0</v>
      </c>
      <c r="AG4" s="69">
        <v>0</v>
      </c>
      <c r="AH4" s="69">
        <v>1</v>
      </c>
      <c r="AI4" s="69">
        <v>4.8809523809523814</v>
      </c>
      <c r="AJ4" s="69">
        <v>7.0476190476190474</v>
      </c>
      <c r="AK4" s="69">
        <v>8.2142857142857153</v>
      </c>
      <c r="AL4" s="69">
        <v>10.380952380952381</v>
      </c>
      <c r="AM4" s="69">
        <v>12.547619047619047</v>
      </c>
      <c r="AN4" s="69">
        <v>14.714285714285715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107</v>
      </c>
      <c r="C6" s="3"/>
      <c r="D6" s="3"/>
      <c r="E6" s="66" cm="1">
        <f t="array" ref="E6:AN6">ROUND(_xlfn.BYCOL(_xlfn.ANCHORARRAY(E7),_xlfn.LAMBDA(_xlpm.a,SUM(_xlpm.a))),0)</f>
        <v>0</v>
      </c>
      <c r="F6" s="66">
        <v>0</v>
      </c>
      <c r="G6" s="66">
        <v>0</v>
      </c>
      <c r="H6" s="66">
        <v>0</v>
      </c>
      <c r="I6" s="66">
        <v>0</v>
      </c>
      <c r="J6" s="66">
        <v>0</v>
      </c>
      <c r="K6" s="66">
        <v>0</v>
      </c>
      <c r="L6" s="66">
        <v>0</v>
      </c>
      <c r="M6" s="66">
        <v>0</v>
      </c>
      <c r="N6" s="66">
        <v>0</v>
      </c>
      <c r="O6" s="66">
        <v>0</v>
      </c>
      <c r="P6" s="66">
        <v>0</v>
      </c>
      <c r="Q6" s="66">
        <v>0</v>
      </c>
      <c r="R6" s="66">
        <v>0</v>
      </c>
      <c r="S6" s="66">
        <v>0</v>
      </c>
      <c r="T6" s="66">
        <v>0</v>
      </c>
      <c r="U6" s="66">
        <v>0</v>
      </c>
      <c r="V6" s="66">
        <v>0</v>
      </c>
      <c r="W6" s="66">
        <v>0</v>
      </c>
      <c r="X6" s="66">
        <v>0</v>
      </c>
      <c r="Y6" s="66">
        <v>0</v>
      </c>
      <c r="Z6" s="66">
        <v>0</v>
      </c>
      <c r="AA6" s="66">
        <v>0</v>
      </c>
      <c r="AB6" s="66">
        <v>0</v>
      </c>
      <c r="AC6" s="66">
        <v>0</v>
      </c>
      <c r="AD6" s="66">
        <v>0</v>
      </c>
      <c r="AE6" s="66">
        <v>0</v>
      </c>
      <c r="AF6" s="66">
        <v>0</v>
      </c>
      <c r="AG6" s="66">
        <v>0</v>
      </c>
      <c r="AH6" s="66">
        <v>2</v>
      </c>
      <c r="AI6" s="66">
        <v>4</v>
      </c>
      <c r="AJ6" s="66">
        <v>5</v>
      </c>
      <c r="AK6" s="66">
        <v>6</v>
      </c>
      <c r="AL6" s="66">
        <v>7</v>
      </c>
      <c r="AM6" s="66">
        <v>8</v>
      </c>
      <c r="AN6" s="66">
        <v>9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1"/>
      <c r="E7" s="106" cm="1">
        <f t="array" ref="E7:AN20">_xlfn.LET(_xlpm.Customer_staff,_xlfn._xlws.FILTER(Base!$D$85:$BD$98,ISNUMBER(SEARCH($B$1&amp;"-"&amp;$C$1,Base!$D$4:$BD$4))),_xlpm.Customer,_xlfn.ANCHORARRAY($E$1),_xlpm.headcount,_xlpm.Customer/_xlpm.Customer_staff,
_xlpm.patient_staff,_xlfn.ANCHORARRAY($E$2)/_xlpm.Customer_staff,_xlpm.prim_staff_tr_rec,_xlfn.ANCHORARRAY($E$2)/_xlfn.CHOOSEROWS(_xlpm.Customer_staff,{7,8})+(_xlfn.ANCHORARRAY($E$1)*0.0055),_xlpm.rounding,_xlfn.VSTACK(2,2,0,0,2,2,2,2,2,2,2,0,0,0),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prim_staff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0</v>
      </c>
      <c r="F7" s="106">
        <v>0</v>
      </c>
      <c r="G7" s="106">
        <v>0</v>
      </c>
      <c r="H7" s="106">
        <v>0</v>
      </c>
      <c r="I7" s="106">
        <v>0</v>
      </c>
      <c r="J7" s="106">
        <v>0</v>
      </c>
      <c r="K7" s="106">
        <v>0</v>
      </c>
      <c r="L7" s="106">
        <v>0</v>
      </c>
      <c r="M7" s="106">
        <v>0</v>
      </c>
      <c r="N7" s="106">
        <v>0</v>
      </c>
      <c r="O7" s="106">
        <v>0</v>
      </c>
      <c r="P7" s="106">
        <v>0</v>
      </c>
      <c r="Q7" s="106">
        <v>0</v>
      </c>
      <c r="R7" s="106">
        <v>0</v>
      </c>
      <c r="S7" s="106">
        <v>0</v>
      </c>
      <c r="T7" s="106">
        <v>0</v>
      </c>
      <c r="U7" s="106">
        <v>0</v>
      </c>
      <c r="V7" s="106">
        <v>0</v>
      </c>
      <c r="W7" s="106">
        <v>0</v>
      </c>
      <c r="X7" s="106">
        <v>0</v>
      </c>
      <c r="Y7" s="106">
        <v>0</v>
      </c>
      <c r="Z7" s="106">
        <v>0</v>
      </c>
      <c r="AA7" s="106">
        <v>0</v>
      </c>
      <c r="AB7" s="106">
        <v>0</v>
      </c>
      <c r="AC7" s="106">
        <v>0</v>
      </c>
      <c r="AD7" s="106">
        <v>0</v>
      </c>
      <c r="AE7" s="106">
        <v>0</v>
      </c>
      <c r="AF7" s="106">
        <v>0</v>
      </c>
      <c r="AG7" s="106">
        <v>0</v>
      </c>
      <c r="AH7" s="106">
        <v>0.46</v>
      </c>
      <c r="AI7" s="106">
        <v>1.36</v>
      </c>
      <c r="AJ7" s="106">
        <v>2.2599999999999998</v>
      </c>
      <c r="AK7" s="106">
        <v>2.71</v>
      </c>
      <c r="AL7" s="106">
        <v>3.61</v>
      </c>
      <c r="AM7" s="106">
        <v>4.51</v>
      </c>
      <c r="AN7" s="106">
        <v>5.42</v>
      </c>
    </row>
    <row r="8" spans="1:40" hidden="1" outlineLevel="1" x14ac:dyDescent="0.25">
      <c r="B8" s="39" t="str">
        <v>Secondary Direct Staff</v>
      </c>
      <c r="C8" s="3"/>
      <c r="D8" s="3"/>
      <c r="E8" s="106">
        <v>0</v>
      </c>
      <c r="F8" s="106">
        <v>0</v>
      </c>
      <c r="G8" s="106">
        <v>0</v>
      </c>
      <c r="H8" s="106">
        <v>0</v>
      </c>
      <c r="I8" s="106">
        <v>0</v>
      </c>
      <c r="J8" s="106">
        <v>0</v>
      </c>
      <c r="K8" s="106">
        <v>0</v>
      </c>
      <c r="L8" s="106">
        <v>0</v>
      </c>
      <c r="M8" s="106">
        <v>0</v>
      </c>
      <c r="N8" s="106">
        <v>0</v>
      </c>
      <c r="O8" s="106">
        <v>0</v>
      </c>
      <c r="P8" s="106">
        <v>0</v>
      </c>
      <c r="Q8" s="106">
        <v>0</v>
      </c>
      <c r="R8" s="106">
        <v>0</v>
      </c>
      <c r="S8" s="106">
        <v>0</v>
      </c>
      <c r="T8" s="106">
        <v>0</v>
      </c>
      <c r="U8" s="106">
        <v>0</v>
      </c>
      <c r="V8" s="106">
        <v>0</v>
      </c>
      <c r="W8" s="106">
        <v>0</v>
      </c>
      <c r="X8" s="106">
        <v>0</v>
      </c>
      <c r="Y8" s="106">
        <v>0</v>
      </c>
      <c r="Z8" s="106">
        <v>0</v>
      </c>
      <c r="AA8" s="106">
        <v>0</v>
      </c>
      <c r="AB8" s="106">
        <v>0</v>
      </c>
      <c r="AC8" s="106">
        <v>0</v>
      </c>
      <c r="AD8" s="106">
        <v>0</v>
      </c>
      <c r="AE8" s="106">
        <v>0</v>
      </c>
      <c r="AF8" s="106">
        <v>0</v>
      </c>
      <c r="AG8" s="106">
        <v>0</v>
      </c>
      <c r="AH8" s="106">
        <v>9.9999999999999992E-2</v>
      </c>
      <c r="AI8" s="106">
        <v>0.28000000000000003</v>
      </c>
      <c r="AJ8" s="106">
        <v>0.46</v>
      </c>
      <c r="AK8" s="106">
        <v>0.55000000000000004</v>
      </c>
      <c r="AL8" s="106">
        <v>0.73</v>
      </c>
      <c r="AM8" s="106">
        <v>0.91</v>
      </c>
      <c r="AN8" s="106">
        <v>1.1000000000000001</v>
      </c>
    </row>
    <row r="9" spans="1:40" hidden="1" outlineLevel="1" x14ac:dyDescent="0.25">
      <c r="B9" s="39" t="str">
        <v>Center Manager</v>
      </c>
      <c r="C9" s="3"/>
      <c r="D9" s="3"/>
      <c r="E9" s="106">
        <v>0</v>
      </c>
      <c r="F9" s="106">
        <v>0</v>
      </c>
      <c r="G9" s="106">
        <v>0</v>
      </c>
      <c r="H9" s="106">
        <v>0</v>
      </c>
      <c r="I9" s="106">
        <v>0</v>
      </c>
      <c r="J9" s="106">
        <v>0</v>
      </c>
      <c r="K9" s="106">
        <v>0</v>
      </c>
      <c r="L9" s="106">
        <v>0</v>
      </c>
      <c r="M9" s="106">
        <v>0</v>
      </c>
      <c r="N9" s="106">
        <v>0</v>
      </c>
      <c r="O9" s="106">
        <v>0</v>
      </c>
      <c r="P9" s="106">
        <v>0</v>
      </c>
      <c r="Q9" s="106">
        <v>0</v>
      </c>
      <c r="R9" s="106">
        <v>0</v>
      </c>
      <c r="S9" s="106">
        <v>0</v>
      </c>
      <c r="T9" s="106">
        <v>0</v>
      </c>
      <c r="U9" s="106">
        <v>0</v>
      </c>
      <c r="V9" s="106">
        <v>0</v>
      </c>
      <c r="W9" s="106">
        <v>0</v>
      </c>
      <c r="X9" s="106">
        <v>0</v>
      </c>
      <c r="Y9" s="106">
        <v>0</v>
      </c>
      <c r="Z9" s="106">
        <v>0</v>
      </c>
      <c r="AA9" s="106">
        <v>0</v>
      </c>
      <c r="AB9" s="106">
        <v>0</v>
      </c>
      <c r="AC9" s="106">
        <v>0</v>
      </c>
      <c r="AD9" s="106">
        <v>0</v>
      </c>
      <c r="AE9" s="106">
        <v>0</v>
      </c>
      <c r="AF9" s="106">
        <v>0</v>
      </c>
      <c r="AG9" s="106">
        <v>0</v>
      </c>
      <c r="AH9" s="106">
        <v>1</v>
      </c>
      <c r="AI9" s="106">
        <v>1</v>
      </c>
      <c r="AJ9" s="106">
        <v>1</v>
      </c>
      <c r="AK9" s="106">
        <v>1</v>
      </c>
      <c r="AL9" s="106">
        <v>1</v>
      </c>
      <c r="AM9" s="106">
        <v>1</v>
      </c>
      <c r="AN9" s="106">
        <v>1</v>
      </c>
    </row>
    <row r="10" spans="1:40" hidden="1" outlineLevel="1" x14ac:dyDescent="0.25">
      <c r="B10" s="39" t="str">
        <v>Intake</v>
      </c>
      <c r="C10" s="3"/>
      <c r="D10" s="3"/>
      <c r="E10" s="106">
        <v>0</v>
      </c>
      <c r="F10" s="106">
        <v>0</v>
      </c>
      <c r="G10" s="106">
        <v>0</v>
      </c>
      <c r="H10" s="106">
        <v>0</v>
      </c>
      <c r="I10" s="106">
        <v>0</v>
      </c>
      <c r="J10" s="106">
        <v>0</v>
      </c>
      <c r="K10" s="106">
        <v>0</v>
      </c>
      <c r="L10" s="106">
        <v>0</v>
      </c>
      <c r="M10" s="106">
        <v>0</v>
      </c>
      <c r="N10" s="106">
        <v>0</v>
      </c>
      <c r="O10" s="106">
        <v>0</v>
      </c>
      <c r="P10" s="106">
        <v>0</v>
      </c>
      <c r="Q10" s="106">
        <v>0</v>
      </c>
      <c r="R10" s="106">
        <v>0</v>
      </c>
      <c r="S10" s="106">
        <v>0</v>
      </c>
      <c r="T10" s="106">
        <v>0</v>
      </c>
      <c r="U10" s="106">
        <v>0</v>
      </c>
      <c r="V10" s="106">
        <v>0</v>
      </c>
      <c r="W10" s="106">
        <v>0</v>
      </c>
      <c r="X10" s="106">
        <v>0</v>
      </c>
      <c r="Y10" s="106">
        <v>0</v>
      </c>
      <c r="Z10" s="106">
        <v>0</v>
      </c>
      <c r="AA10" s="106">
        <v>0</v>
      </c>
      <c r="AB10" s="106">
        <v>0</v>
      </c>
      <c r="AC10" s="106">
        <v>0</v>
      </c>
      <c r="AD10" s="106">
        <v>0</v>
      </c>
      <c r="AE10" s="106">
        <v>0</v>
      </c>
      <c r="AF10" s="106">
        <v>0</v>
      </c>
      <c r="AG10" s="106">
        <v>0</v>
      </c>
      <c r="AH10" s="106">
        <v>0</v>
      </c>
      <c r="AI10" s="106">
        <v>1</v>
      </c>
      <c r="AJ10" s="106">
        <v>1</v>
      </c>
      <c r="AK10" s="106">
        <v>1</v>
      </c>
      <c r="AL10" s="106">
        <v>1</v>
      </c>
      <c r="AM10" s="106">
        <v>1</v>
      </c>
      <c r="AN10" s="106">
        <v>1</v>
      </c>
    </row>
    <row r="11" spans="1:40" hidden="1" outlineLevel="1" x14ac:dyDescent="0.25">
      <c r="B11" s="39" t="str">
        <v>Scheduler</v>
      </c>
      <c r="C11" s="3"/>
      <c r="D11" s="3"/>
      <c r="E11" s="106">
        <v>0</v>
      </c>
      <c r="F11" s="106">
        <v>0</v>
      </c>
      <c r="G11" s="106">
        <v>0</v>
      </c>
      <c r="H11" s="106">
        <v>0</v>
      </c>
      <c r="I11" s="106">
        <v>0</v>
      </c>
      <c r="J11" s="106">
        <v>0</v>
      </c>
      <c r="K11" s="106">
        <v>0</v>
      </c>
      <c r="L11" s="106">
        <v>0</v>
      </c>
      <c r="M11" s="106">
        <v>0</v>
      </c>
      <c r="N11" s="106">
        <v>0</v>
      </c>
      <c r="O11" s="106">
        <v>0</v>
      </c>
      <c r="P11" s="106">
        <v>0</v>
      </c>
      <c r="Q11" s="106">
        <v>0</v>
      </c>
      <c r="R11" s="106">
        <v>0</v>
      </c>
      <c r="S11" s="106">
        <v>0</v>
      </c>
      <c r="T11" s="106">
        <v>0</v>
      </c>
      <c r="U11" s="106">
        <v>0</v>
      </c>
      <c r="V11" s="106">
        <v>0</v>
      </c>
      <c r="W11" s="106">
        <v>0</v>
      </c>
      <c r="X11" s="106">
        <v>0</v>
      </c>
      <c r="Y11" s="106">
        <v>0</v>
      </c>
      <c r="Z11" s="106">
        <v>0</v>
      </c>
      <c r="AA11" s="106">
        <v>0</v>
      </c>
      <c r="AB11" s="106">
        <v>0</v>
      </c>
      <c r="AC11" s="106">
        <v>0</v>
      </c>
      <c r="AD11" s="106">
        <v>0</v>
      </c>
      <c r="AE11" s="106">
        <v>0</v>
      </c>
      <c r="AF11" s="106">
        <v>0</v>
      </c>
      <c r="AG11" s="106">
        <v>0</v>
      </c>
      <c r="AH11" s="106">
        <v>0</v>
      </c>
      <c r="AI11" s="106">
        <v>0</v>
      </c>
      <c r="AJ11" s="106">
        <v>0</v>
      </c>
      <c r="AK11" s="106">
        <v>0</v>
      </c>
      <c r="AL11" s="106">
        <v>0</v>
      </c>
      <c r="AM11" s="106">
        <v>0</v>
      </c>
      <c r="AN11" s="106">
        <v>0</v>
      </c>
    </row>
    <row r="12" spans="1:40" hidden="1" outlineLevel="1" x14ac:dyDescent="0.25">
      <c r="B12" s="39" t="str">
        <v>Initial Consultation Expert</v>
      </c>
      <c r="C12" s="3"/>
      <c r="D12" s="3"/>
      <c r="E12" s="106">
        <v>0</v>
      </c>
      <c r="F12" s="106">
        <v>0</v>
      </c>
      <c r="G12" s="106">
        <v>0</v>
      </c>
      <c r="H12" s="106">
        <v>0</v>
      </c>
      <c r="I12" s="106">
        <v>0</v>
      </c>
      <c r="J12" s="106">
        <v>0</v>
      </c>
      <c r="K12" s="106">
        <v>0</v>
      </c>
      <c r="L12" s="106">
        <v>0</v>
      </c>
      <c r="M12" s="106">
        <v>0</v>
      </c>
      <c r="N12" s="106">
        <v>0</v>
      </c>
      <c r="O12" s="106">
        <v>0</v>
      </c>
      <c r="P12" s="106">
        <v>0</v>
      </c>
      <c r="Q12" s="106">
        <v>0</v>
      </c>
      <c r="R12" s="106">
        <v>0</v>
      </c>
      <c r="S12" s="106">
        <v>0</v>
      </c>
      <c r="T12" s="106">
        <v>0</v>
      </c>
      <c r="U12" s="106">
        <v>0</v>
      </c>
      <c r="V12" s="106">
        <v>0</v>
      </c>
      <c r="W12" s="106">
        <v>0</v>
      </c>
      <c r="X12" s="106">
        <v>0</v>
      </c>
      <c r="Y12" s="106">
        <v>0</v>
      </c>
      <c r="Z12" s="106">
        <v>0</v>
      </c>
      <c r="AA12" s="106">
        <v>0</v>
      </c>
      <c r="AB12" s="106">
        <v>0</v>
      </c>
      <c r="AC12" s="106">
        <v>0</v>
      </c>
      <c r="AD12" s="106">
        <v>0</v>
      </c>
      <c r="AE12" s="106">
        <v>0</v>
      </c>
      <c r="AF12" s="106">
        <v>0</v>
      </c>
      <c r="AG12" s="106">
        <v>0</v>
      </c>
      <c r="AH12" s="106">
        <v>0</v>
      </c>
      <c r="AI12" s="106">
        <v>0.15000000000000002</v>
      </c>
      <c r="AJ12" s="106">
        <v>0.16</v>
      </c>
      <c r="AK12" s="106">
        <v>0.18000000000000002</v>
      </c>
      <c r="AL12" s="106">
        <v>0.19</v>
      </c>
      <c r="AM12" s="106">
        <v>0.2</v>
      </c>
      <c r="AN12" s="106">
        <v>0.21000000000000002</v>
      </c>
    </row>
    <row r="13" spans="1:40" hidden="1" outlineLevel="1" x14ac:dyDescent="0.25">
      <c r="B13" s="39" t="str">
        <v>Trainer</v>
      </c>
      <c r="C13" s="3"/>
      <c r="D13" s="3"/>
      <c r="E13" s="106">
        <v>0</v>
      </c>
      <c r="F13" s="106">
        <v>0</v>
      </c>
      <c r="G13" s="106">
        <v>0</v>
      </c>
      <c r="H13" s="106">
        <v>0</v>
      </c>
      <c r="I13" s="106">
        <v>0</v>
      </c>
      <c r="J13" s="106">
        <v>0</v>
      </c>
      <c r="K13" s="106">
        <v>0</v>
      </c>
      <c r="L13" s="106">
        <v>0</v>
      </c>
      <c r="M13" s="106">
        <v>0</v>
      </c>
      <c r="N13" s="106">
        <v>0</v>
      </c>
      <c r="O13" s="106">
        <v>0</v>
      </c>
      <c r="P13" s="106">
        <v>0</v>
      </c>
      <c r="Q13" s="106">
        <v>0</v>
      </c>
      <c r="R13" s="106">
        <v>0</v>
      </c>
      <c r="S13" s="106">
        <v>0</v>
      </c>
      <c r="T13" s="106">
        <v>0</v>
      </c>
      <c r="U13" s="106">
        <v>0</v>
      </c>
      <c r="V13" s="106">
        <v>0</v>
      </c>
      <c r="W13" s="106">
        <v>0</v>
      </c>
      <c r="X13" s="106">
        <v>0</v>
      </c>
      <c r="Y13" s="106">
        <v>0</v>
      </c>
      <c r="Z13" s="106">
        <v>0</v>
      </c>
      <c r="AA13" s="106">
        <v>0</v>
      </c>
      <c r="AB13" s="106">
        <v>0</v>
      </c>
      <c r="AC13" s="106">
        <v>0</v>
      </c>
      <c r="AD13" s="106">
        <v>0</v>
      </c>
      <c r="AE13" s="106">
        <v>0</v>
      </c>
      <c r="AF13" s="106">
        <v>0</v>
      </c>
      <c r="AG13" s="106">
        <v>0</v>
      </c>
      <c r="AH13" s="106">
        <v>0.01</v>
      </c>
      <c r="AI13" s="106">
        <v>0.21000000000000002</v>
      </c>
      <c r="AJ13" s="106">
        <v>0.24000000000000002</v>
      </c>
      <c r="AK13" s="106">
        <v>0.26</v>
      </c>
      <c r="AL13" s="106">
        <v>0.29000000000000004</v>
      </c>
      <c r="AM13" s="106">
        <v>0.31</v>
      </c>
      <c r="AN13" s="106">
        <v>0.34</v>
      </c>
    </row>
    <row r="14" spans="1:40" hidden="1" outlineLevel="1" x14ac:dyDescent="0.25">
      <c r="B14" s="39" t="str">
        <v>Recruiter</v>
      </c>
      <c r="C14" s="3"/>
      <c r="D14" s="3"/>
      <c r="E14" s="106">
        <v>0</v>
      </c>
      <c r="F14" s="106">
        <v>0</v>
      </c>
      <c r="G14" s="106">
        <v>0</v>
      </c>
      <c r="H14" s="106">
        <v>0</v>
      </c>
      <c r="I14" s="106">
        <v>0</v>
      </c>
      <c r="J14" s="106">
        <v>0</v>
      </c>
      <c r="K14" s="106">
        <v>0</v>
      </c>
      <c r="L14" s="106">
        <v>0</v>
      </c>
      <c r="M14" s="106">
        <v>0</v>
      </c>
      <c r="N14" s="106">
        <v>0</v>
      </c>
      <c r="O14" s="106">
        <v>0</v>
      </c>
      <c r="P14" s="106">
        <v>0</v>
      </c>
      <c r="Q14" s="106">
        <v>0</v>
      </c>
      <c r="R14" s="106">
        <v>0</v>
      </c>
      <c r="S14" s="106">
        <v>0</v>
      </c>
      <c r="T14" s="106">
        <v>0</v>
      </c>
      <c r="U14" s="106">
        <v>0</v>
      </c>
      <c r="V14" s="106">
        <v>0</v>
      </c>
      <c r="W14" s="106">
        <v>0</v>
      </c>
      <c r="X14" s="106">
        <v>0</v>
      </c>
      <c r="Y14" s="106">
        <v>0</v>
      </c>
      <c r="Z14" s="106">
        <v>0</v>
      </c>
      <c r="AA14" s="106">
        <v>0</v>
      </c>
      <c r="AB14" s="106">
        <v>0</v>
      </c>
      <c r="AC14" s="106">
        <v>0</v>
      </c>
      <c r="AD14" s="106">
        <v>0</v>
      </c>
      <c r="AE14" s="106">
        <v>0</v>
      </c>
      <c r="AF14" s="106">
        <v>0</v>
      </c>
      <c r="AG14" s="106">
        <v>0</v>
      </c>
      <c r="AH14" s="106">
        <v>0.01</v>
      </c>
      <c r="AI14" s="106">
        <v>0.12</v>
      </c>
      <c r="AJ14" s="106">
        <v>0.13</v>
      </c>
      <c r="AK14" s="106">
        <v>0.15000000000000002</v>
      </c>
      <c r="AL14" s="106">
        <v>0.17</v>
      </c>
      <c r="AM14" s="106">
        <v>0.19</v>
      </c>
      <c r="AN14" s="106">
        <v>0.21000000000000002</v>
      </c>
    </row>
    <row r="15" spans="1:40" hidden="1" outlineLevel="1" x14ac:dyDescent="0.25">
      <c r="B15" s="39" t="str">
        <v>Center Director / Remote Site Director</v>
      </c>
      <c r="C15" s="3"/>
      <c r="D15" s="3"/>
      <c r="E15" s="106">
        <v>0</v>
      </c>
      <c r="F15" s="106">
        <v>0</v>
      </c>
      <c r="G15" s="106">
        <v>0</v>
      </c>
      <c r="H15" s="106">
        <v>0</v>
      </c>
      <c r="I15" s="106">
        <v>0</v>
      </c>
      <c r="J15" s="106">
        <v>0</v>
      </c>
      <c r="K15" s="106">
        <v>0</v>
      </c>
      <c r="L15" s="106">
        <v>0</v>
      </c>
      <c r="M15" s="106">
        <v>0</v>
      </c>
      <c r="N15" s="106">
        <v>0</v>
      </c>
      <c r="O15" s="106">
        <v>0</v>
      </c>
      <c r="P15" s="106">
        <v>0</v>
      </c>
      <c r="Q15" s="106">
        <v>0</v>
      </c>
      <c r="R15" s="106">
        <v>0</v>
      </c>
      <c r="S15" s="106">
        <v>0</v>
      </c>
      <c r="T15" s="106">
        <v>0</v>
      </c>
      <c r="U15" s="106">
        <v>0</v>
      </c>
      <c r="V15" s="106">
        <v>0</v>
      </c>
      <c r="W15" s="106">
        <v>0</v>
      </c>
      <c r="X15" s="106">
        <v>0</v>
      </c>
      <c r="Y15" s="106">
        <v>0</v>
      </c>
      <c r="Z15" s="106">
        <v>0</v>
      </c>
      <c r="AA15" s="106">
        <v>0</v>
      </c>
      <c r="AB15" s="106">
        <v>0</v>
      </c>
      <c r="AC15" s="106">
        <v>0</v>
      </c>
      <c r="AD15" s="106">
        <v>0</v>
      </c>
      <c r="AE15" s="106">
        <v>0</v>
      </c>
      <c r="AF15" s="106">
        <v>0</v>
      </c>
      <c r="AG15" s="106">
        <v>0</v>
      </c>
      <c r="AH15" s="106">
        <v>0.01</v>
      </c>
      <c r="AI15" s="106">
        <v>0.02</v>
      </c>
      <c r="AJ15" s="106">
        <v>0.02</v>
      </c>
      <c r="AK15" s="106">
        <v>0.03</v>
      </c>
      <c r="AL15" s="106">
        <v>0.04</v>
      </c>
      <c r="AM15" s="106">
        <v>0.04</v>
      </c>
      <c r="AN15" s="106">
        <v>0.05</v>
      </c>
    </row>
    <row r="16" spans="1:40" hidden="1" outlineLevel="1" x14ac:dyDescent="0.25">
      <c r="B16" s="39" t="str">
        <v>Center Marketing Outreach</v>
      </c>
      <c r="C16" s="3"/>
      <c r="D16" s="3"/>
      <c r="E16" s="106">
        <v>0</v>
      </c>
      <c r="F16" s="106">
        <v>0</v>
      </c>
      <c r="G16" s="106">
        <v>0</v>
      </c>
      <c r="H16" s="106">
        <v>0</v>
      </c>
      <c r="I16" s="106">
        <v>0</v>
      </c>
      <c r="J16" s="106">
        <v>0</v>
      </c>
      <c r="K16" s="106">
        <v>0</v>
      </c>
      <c r="L16" s="106">
        <v>0</v>
      </c>
      <c r="M16" s="106">
        <v>0</v>
      </c>
      <c r="N16" s="106">
        <v>0</v>
      </c>
      <c r="O16" s="106">
        <v>0</v>
      </c>
      <c r="P16" s="106">
        <v>0</v>
      </c>
      <c r="Q16" s="106">
        <v>0</v>
      </c>
      <c r="R16" s="106">
        <v>0</v>
      </c>
      <c r="S16" s="106">
        <v>0</v>
      </c>
      <c r="T16" s="106">
        <v>0</v>
      </c>
      <c r="U16" s="106">
        <v>0</v>
      </c>
      <c r="V16" s="106">
        <v>0</v>
      </c>
      <c r="W16" s="106">
        <v>0</v>
      </c>
      <c r="X16" s="106">
        <v>0</v>
      </c>
      <c r="Y16" s="106">
        <v>0</v>
      </c>
      <c r="Z16" s="106">
        <v>0</v>
      </c>
      <c r="AA16" s="106">
        <v>0</v>
      </c>
      <c r="AB16" s="106">
        <v>0</v>
      </c>
      <c r="AC16" s="106">
        <v>0</v>
      </c>
      <c r="AD16" s="106">
        <v>0</v>
      </c>
      <c r="AE16" s="106">
        <v>0</v>
      </c>
      <c r="AF16" s="106">
        <v>0</v>
      </c>
      <c r="AG16" s="106">
        <v>0</v>
      </c>
      <c r="AH16" s="106">
        <v>0.01</v>
      </c>
      <c r="AI16" s="106">
        <v>0.02</v>
      </c>
      <c r="AJ16" s="106">
        <v>0.02</v>
      </c>
      <c r="AK16" s="106">
        <v>0.03</v>
      </c>
      <c r="AL16" s="106">
        <v>0.04</v>
      </c>
      <c r="AM16" s="106">
        <v>0.04</v>
      </c>
      <c r="AN16" s="106">
        <v>0.05</v>
      </c>
    </row>
    <row r="17" spans="2:50" hidden="1" outlineLevel="1" x14ac:dyDescent="0.25">
      <c r="B17" s="39" t="str">
        <v>Primary Direct Staff Lead</v>
      </c>
      <c r="C17" s="3"/>
      <c r="D17" s="3"/>
      <c r="E17" s="106">
        <v>0</v>
      </c>
      <c r="F17" s="106">
        <v>0</v>
      </c>
      <c r="G17" s="106">
        <v>0</v>
      </c>
      <c r="H17" s="106">
        <v>0</v>
      </c>
      <c r="I17" s="106">
        <v>0</v>
      </c>
      <c r="J17" s="106">
        <v>0</v>
      </c>
      <c r="K17" s="106">
        <v>0</v>
      </c>
      <c r="L17" s="106">
        <v>0</v>
      </c>
      <c r="M17" s="106">
        <v>0</v>
      </c>
      <c r="N17" s="106">
        <v>0</v>
      </c>
      <c r="O17" s="106">
        <v>0</v>
      </c>
      <c r="P17" s="106">
        <v>0</v>
      </c>
      <c r="Q17" s="106">
        <v>0</v>
      </c>
      <c r="R17" s="106">
        <v>0</v>
      </c>
      <c r="S17" s="106">
        <v>0</v>
      </c>
      <c r="T17" s="106">
        <v>0</v>
      </c>
      <c r="U17" s="106">
        <v>0</v>
      </c>
      <c r="V17" s="106">
        <v>0</v>
      </c>
      <c r="W17" s="106">
        <v>0</v>
      </c>
      <c r="X17" s="106">
        <v>0</v>
      </c>
      <c r="Y17" s="106">
        <v>0</v>
      </c>
      <c r="Z17" s="106">
        <v>0</v>
      </c>
      <c r="AA17" s="106">
        <v>0</v>
      </c>
      <c r="AB17" s="106">
        <v>0</v>
      </c>
      <c r="AC17" s="106">
        <v>0</v>
      </c>
      <c r="AD17" s="106">
        <v>0</v>
      </c>
      <c r="AE17" s="106">
        <v>0</v>
      </c>
      <c r="AF17" s="106">
        <v>0</v>
      </c>
      <c r="AG17" s="106">
        <v>0</v>
      </c>
      <c r="AH17" s="106">
        <v>0</v>
      </c>
      <c r="AI17" s="106">
        <v>0</v>
      </c>
      <c r="AJ17" s="106">
        <v>0</v>
      </c>
      <c r="AK17" s="106">
        <v>0</v>
      </c>
      <c r="AL17" s="106">
        <v>0</v>
      </c>
      <c r="AM17" s="106">
        <v>0</v>
      </c>
      <c r="AN17" s="106">
        <v>0</v>
      </c>
    </row>
    <row r="18" spans="2:50" hidden="1" outlineLevel="1" x14ac:dyDescent="0.25">
      <c r="B18" s="39" t="str">
        <v>Tertiary Direct Staff</v>
      </c>
      <c r="C18" s="3"/>
      <c r="D18" s="3"/>
      <c r="E18" s="106">
        <v>0</v>
      </c>
      <c r="F18" s="106">
        <v>0</v>
      </c>
      <c r="G18" s="106">
        <v>0</v>
      </c>
      <c r="H18" s="106">
        <v>0</v>
      </c>
      <c r="I18" s="106">
        <v>0</v>
      </c>
      <c r="J18" s="106">
        <v>0</v>
      </c>
      <c r="K18" s="106">
        <v>0</v>
      </c>
      <c r="L18" s="106">
        <v>0</v>
      </c>
      <c r="M18" s="106">
        <v>0</v>
      </c>
      <c r="N18" s="106">
        <v>0</v>
      </c>
      <c r="O18" s="106">
        <v>0</v>
      </c>
      <c r="P18" s="106">
        <v>0</v>
      </c>
      <c r="Q18" s="106">
        <v>0</v>
      </c>
      <c r="R18" s="106">
        <v>0</v>
      </c>
      <c r="S18" s="106">
        <v>0</v>
      </c>
      <c r="T18" s="106">
        <v>0</v>
      </c>
      <c r="U18" s="106">
        <v>0</v>
      </c>
      <c r="V18" s="106">
        <v>0</v>
      </c>
      <c r="W18" s="106">
        <v>0</v>
      </c>
      <c r="X18" s="106">
        <v>0</v>
      </c>
      <c r="Y18" s="106">
        <v>0</v>
      </c>
      <c r="Z18" s="106">
        <v>0</v>
      </c>
      <c r="AA18" s="106">
        <v>0</v>
      </c>
      <c r="AB18" s="106">
        <v>0</v>
      </c>
      <c r="AC18" s="106">
        <v>0</v>
      </c>
      <c r="AD18" s="106">
        <v>0</v>
      </c>
      <c r="AE18" s="106">
        <v>0</v>
      </c>
      <c r="AF18" s="106">
        <v>0</v>
      </c>
      <c r="AG18" s="106">
        <v>0</v>
      </c>
      <c r="AH18" s="106">
        <v>0</v>
      </c>
      <c r="AI18" s="106">
        <v>0</v>
      </c>
      <c r="AJ18" s="106">
        <v>0</v>
      </c>
      <c r="AK18" s="106">
        <v>0</v>
      </c>
      <c r="AL18" s="106">
        <v>0</v>
      </c>
      <c r="AM18" s="106">
        <v>0</v>
      </c>
      <c r="AN18" s="106">
        <v>0</v>
      </c>
    </row>
    <row r="19" spans="2:50" hidden="1" outlineLevel="1" x14ac:dyDescent="0.25">
      <c r="B19" s="39" t="str">
        <v>Quinary Direct Staff</v>
      </c>
      <c r="C19" s="3"/>
      <c r="D19" s="3"/>
      <c r="E19" s="106">
        <v>0</v>
      </c>
      <c r="F19" s="106">
        <v>0</v>
      </c>
      <c r="G19" s="106">
        <v>0</v>
      </c>
      <c r="H19" s="106">
        <v>0</v>
      </c>
      <c r="I19" s="106">
        <v>0</v>
      </c>
      <c r="J19" s="106">
        <v>0</v>
      </c>
      <c r="K19" s="106">
        <v>0</v>
      </c>
      <c r="L19" s="106">
        <v>0</v>
      </c>
      <c r="M19" s="106">
        <v>0</v>
      </c>
      <c r="N19" s="106">
        <v>0</v>
      </c>
      <c r="O19" s="106">
        <v>0</v>
      </c>
      <c r="P19" s="106">
        <v>0</v>
      </c>
      <c r="Q19" s="106">
        <v>0</v>
      </c>
      <c r="R19" s="106">
        <v>0</v>
      </c>
      <c r="S19" s="106">
        <v>0</v>
      </c>
      <c r="T19" s="106">
        <v>0</v>
      </c>
      <c r="U19" s="106">
        <v>0</v>
      </c>
      <c r="V19" s="106">
        <v>0</v>
      </c>
      <c r="W19" s="106">
        <v>0</v>
      </c>
      <c r="X19" s="106">
        <v>0</v>
      </c>
      <c r="Y19" s="106">
        <v>0</v>
      </c>
      <c r="Z19" s="106">
        <v>0</v>
      </c>
      <c r="AA19" s="106">
        <v>0</v>
      </c>
      <c r="AB19" s="106">
        <v>0</v>
      </c>
      <c r="AC19" s="106">
        <v>0</v>
      </c>
      <c r="AD19" s="106">
        <v>0</v>
      </c>
      <c r="AE19" s="106">
        <v>0</v>
      </c>
      <c r="AF19" s="106">
        <v>0</v>
      </c>
      <c r="AG19" s="106">
        <v>0</v>
      </c>
      <c r="AH19" s="106">
        <v>0</v>
      </c>
      <c r="AI19" s="106">
        <v>0</v>
      </c>
      <c r="AJ19" s="106">
        <v>0</v>
      </c>
      <c r="AK19" s="106">
        <v>0</v>
      </c>
      <c r="AL19" s="106">
        <v>0</v>
      </c>
      <c r="AM19" s="106">
        <v>0</v>
      </c>
      <c r="AN19" s="106">
        <v>0</v>
      </c>
    </row>
    <row r="20" spans="2:50" hidden="1" outlineLevel="1" x14ac:dyDescent="0.25">
      <c r="B20" s="39" t="str">
        <v>Quaternary Direct Staff</v>
      </c>
      <c r="C20" s="3"/>
      <c r="D20" s="3"/>
      <c r="E20" s="106">
        <v>0</v>
      </c>
      <c r="F20" s="106">
        <v>0</v>
      </c>
      <c r="G20" s="106">
        <v>0</v>
      </c>
      <c r="H20" s="106">
        <v>0</v>
      </c>
      <c r="I20" s="106">
        <v>0</v>
      </c>
      <c r="J20" s="106">
        <v>0</v>
      </c>
      <c r="K20" s="106">
        <v>0</v>
      </c>
      <c r="L20" s="106">
        <v>0</v>
      </c>
      <c r="M20" s="106">
        <v>0</v>
      </c>
      <c r="N20" s="106">
        <v>0</v>
      </c>
      <c r="O20" s="106">
        <v>0</v>
      </c>
      <c r="P20" s="106">
        <v>0</v>
      </c>
      <c r="Q20" s="106">
        <v>0</v>
      </c>
      <c r="R20" s="106">
        <v>0</v>
      </c>
      <c r="S20" s="106">
        <v>0</v>
      </c>
      <c r="T20" s="106">
        <v>0</v>
      </c>
      <c r="U20" s="106">
        <v>0</v>
      </c>
      <c r="V20" s="106">
        <v>0</v>
      </c>
      <c r="W20" s="106">
        <v>0</v>
      </c>
      <c r="X20" s="106">
        <v>0</v>
      </c>
      <c r="Y20" s="106">
        <v>0</v>
      </c>
      <c r="Z20" s="106">
        <v>0</v>
      </c>
      <c r="AA20" s="106">
        <v>0</v>
      </c>
      <c r="AB20" s="106">
        <v>0</v>
      </c>
      <c r="AC20" s="106">
        <v>0</v>
      </c>
      <c r="AD20" s="106">
        <v>0</v>
      </c>
      <c r="AE20" s="106">
        <v>0</v>
      </c>
      <c r="AF20" s="106">
        <v>0</v>
      </c>
      <c r="AG20" s="106">
        <v>0</v>
      </c>
      <c r="AH20" s="106">
        <v>0</v>
      </c>
      <c r="AI20" s="106">
        <v>0</v>
      </c>
      <c r="AJ20" s="106">
        <v>0</v>
      </c>
      <c r="AK20" s="106">
        <v>0</v>
      </c>
      <c r="AL20" s="106">
        <v>0</v>
      </c>
      <c r="AM20" s="106">
        <v>0</v>
      </c>
      <c r="AN20" s="106">
        <v>0</v>
      </c>
    </row>
    <row r="21" spans="2:50" collapsed="1" x14ac:dyDescent="0.25">
      <c r="B21" s="39" t="s">
        <v>389</v>
      </c>
      <c r="C21" s="3"/>
      <c r="D21" s="5"/>
      <c r="E21" s="117" cm="1">
        <f t="array" ref="E21:AN21">ROUND(_xlfn.BYCOL(_xlfn.CHOOSEROWS(_xlfn.ANCHORARRAY(E7),1,2),_xlfn.LAMBDA(_xlpm.col,SUM(_xlpm.col))),0)</f>
        <v>0</v>
      </c>
      <c r="F21" s="117">
        <v>0</v>
      </c>
      <c r="G21" s="117">
        <v>0</v>
      </c>
      <c r="H21" s="117">
        <v>0</v>
      </c>
      <c r="I21" s="117">
        <v>0</v>
      </c>
      <c r="J21" s="117">
        <v>0</v>
      </c>
      <c r="K21" s="117">
        <v>0</v>
      </c>
      <c r="L21" s="117">
        <v>0</v>
      </c>
      <c r="M21" s="117">
        <v>0</v>
      </c>
      <c r="N21" s="117">
        <v>0</v>
      </c>
      <c r="O21" s="117">
        <v>0</v>
      </c>
      <c r="P21" s="117">
        <v>0</v>
      </c>
      <c r="Q21" s="117">
        <v>0</v>
      </c>
      <c r="R21" s="117">
        <v>0</v>
      </c>
      <c r="S21" s="117">
        <v>0</v>
      </c>
      <c r="T21" s="117">
        <v>0</v>
      </c>
      <c r="U21" s="117">
        <v>0</v>
      </c>
      <c r="V21" s="117">
        <v>0</v>
      </c>
      <c r="W21" s="117">
        <v>0</v>
      </c>
      <c r="X21" s="117">
        <v>0</v>
      </c>
      <c r="Y21" s="117">
        <v>0</v>
      </c>
      <c r="Z21" s="117">
        <v>0</v>
      </c>
      <c r="AA21" s="117">
        <v>0</v>
      </c>
      <c r="AB21" s="117">
        <v>0</v>
      </c>
      <c r="AC21" s="117">
        <v>0</v>
      </c>
      <c r="AD21" s="117">
        <v>0</v>
      </c>
      <c r="AE21" s="117">
        <v>0</v>
      </c>
      <c r="AF21" s="117">
        <v>0</v>
      </c>
      <c r="AG21" s="117">
        <v>0</v>
      </c>
      <c r="AH21" s="117">
        <v>1</v>
      </c>
      <c r="AI21" s="117">
        <v>2</v>
      </c>
      <c r="AJ21" s="117">
        <v>3</v>
      </c>
      <c r="AK21" s="117">
        <v>3</v>
      </c>
      <c r="AL21" s="117">
        <v>4</v>
      </c>
      <c r="AM21" s="117">
        <v>5</v>
      </c>
      <c r="AN21" s="117">
        <v>7</v>
      </c>
    </row>
    <row r="22" spans="2:50" x14ac:dyDescent="0.25">
      <c r="B22" s="2" t="s">
        <v>394</v>
      </c>
      <c r="C22" s="3"/>
      <c r="D22" s="77">
        <f>MAX(_xlfn.ANCHORARRAY(E22))</f>
        <v>174.55720170454555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0</v>
      </c>
      <c r="F22" s="78">
        <v>0</v>
      </c>
      <c r="G22" s="78">
        <v>0</v>
      </c>
      <c r="H22" s="78">
        <v>0</v>
      </c>
      <c r="I22" s="78">
        <v>0</v>
      </c>
      <c r="J22" s="78">
        <v>0</v>
      </c>
      <c r="K22" s="78">
        <v>0</v>
      </c>
      <c r="L22" s="78">
        <v>0</v>
      </c>
      <c r="M22" s="78">
        <v>0</v>
      </c>
      <c r="N22" s="78">
        <v>0</v>
      </c>
      <c r="O22" s="78">
        <v>0</v>
      </c>
      <c r="P22" s="78">
        <v>0</v>
      </c>
      <c r="Q22" s="78">
        <v>0</v>
      </c>
      <c r="R22" s="78">
        <v>0</v>
      </c>
      <c r="S22" s="78">
        <v>0</v>
      </c>
      <c r="T22" s="78">
        <v>0</v>
      </c>
      <c r="U22" s="78">
        <v>0</v>
      </c>
      <c r="V22" s="78">
        <v>0</v>
      </c>
      <c r="W22" s="78">
        <v>0</v>
      </c>
      <c r="X22" s="78">
        <v>0</v>
      </c>
      <c r="Y22" s="78">
        <v>0</v>
      </c>
      <c r="Z22" s="78">
        <v>0</v>
      </c>
      <c r="AA22" s="78">
        <v>0</v>
      </c>
      <c r="AB22" s="78">
        <v>0</v>
      </c>
      <c r="AC22" s="78">
        <v>0</v>
      </c>
      <c r="AD22" s="78">
        <v>0</v>
      </c>
      <c r="AE22" s="78">
        <v>0</v>
      </c>
      <c r="AF22" s="78">
        <v>0</v>
      </c>
      <c r="AG22" s="78">
        <v>0</v>
      </c>
      <c r="AH22" s="78">
        <v>174.55720170454555</v>
      </c>
      <c r="AI22" s="78">
        <v>174.55720170454543</v>
      </c>
      <c r="AJ22" s="78">
        <v>174.55720170454541</v>
      </c>
      <c r="AK22" s="78">
        <v>174.55720170454543</v>
      </c>
      <c r="AL22" s="78">
        <v>174.55720170454555</v>
      </c>
      <c r="AM22" s="78">
        <v>174.55720170454541</v>
      </c>
      <c r="AN22" s="78">
        <v>174.55720170454543</v>
      </c>
    </row>
    <row r="23" spans="2:50" x14ac:dyDescent="0.25">
      <c r="B23" s="2" t="s">
        <v>53</v>
      </c>
      <c r="C23" s="3"/>
      <c r="D23" s="72"/>
      <c r="E23" s="52" cm="1">
        <f t="array" ref="E23:AN23">_xlfn.LET(_xlpm.site,$B$1&amp;"-"&amp;$C$1,_xlpm.locations,Base!$D$4:$BD$4,_xlpm.Customer,_xlfn.ANCHORARRAY(E1),_xlpm.hours,SUM(_xlfn.XLOOKUP(_xlpm.site,_xlpm.locations,Base!$D$74:$BD$78,0,0)),
_xlpm.collection,1-_xlfn.XLOOKUP(_xlpm.site,_xlpm.locations,Base!$D$26:$BD$26,0,0),
_xlpm.Customer*_xlpm.hours*_xlpm.collection*(52/12))</f>
        <v>0</v>
      </c>
      <c r="F23" s="52">
        <v>0</v>
      </c>
      <c r="G23" s="52">
        <v>0</v>
      </c>
      <c r="H23" s="52">
        <v>0</v>
      </c>
      <c r="I23" s="52">
        <v>0</v>
      </c>
      <c r="J23" s="52">
        <v>0</v>
      </c>
      <c r="K23" s="52">
        <v>0</v>
      </c>
      <c r="L23" s="52">
        <v>0</v>
      </c>
      <c r="M23" s="52">
        <v>0</v>
      </c>
      <c r="N23" s="52">
        <v>0</v>
      </c>
      <c r="O23" s="52">
        <v>0</v>
      </c>
      <c r="P23" s="52">
        <v>0</v>
      </c>
      <c r="Q23" s="52">
        <v>0</v>
      </c>
      <c r="R23" s="52">
        <v>0</v>
      </c>
      <c r="S23" s="52">
        <v>0</v>
      </c>
      <c r="T23" s="52">
        <v>0</v>
      </c>
      <c r="U23" s="52">
        <v>0</v>
      </c>
      <c r="V23" s="52">
        <v>0</v>
      </c>
      <c r="W23" s="52">
        <v>0</v>
      </c>
      <c r="X23" s="52">
        <v>0</v>
      </c>
      <c r="Y23" s="52">
        <v>0</v>
      </c>
      <c r="Z23" s="52">
        <v>0</v>
      </c>
      <c r="AA23" s="52">
        <v>0</v>
      </c>
      <c r="AB23" s="52">
        <v>0</v>
      </c>
      <c r="AC23" s="52">
        <v>0</v>
      </c>
      <c r="AD23" s="52">
        <v>0</v>
      </c>
      <c r="AE23" s="52">
        <v>0</v>
      </c>
      <c r="AF23" s="52">
        <v>0</v>
      </c>
      <c r="AG23" s="52">
        <v>0</v>
      </c>
      <c r="AH23" s="52">
        <v>51.626666666666658</v>
      </c>
      <c r="AI23" s="52">
        <v>154.88</v>
      </c>
      <c r="AJ23" s="52">
        <v>258.13333333333333</v>
      </c>
      <c r="AK23" s="52">
        <v>309.76</v>
      </c>
      <c r="AL23" s="52">
        <v>413.01333333333326</v>
      </c>
      <c r="AM23" s="52">
        <v>516.26666666666665</v>
      </c>
      <c r="AN23" s="52">
        <v>619.52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21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_xlfn.LET(_xlpm.site,$B$1&amp;"-"&amp;$C$1,_xlpm.locations,Base!$D$4:$BD$4,_xlpm.rates,Base!$D31:$BD31,_xlpm.hours,Base!$D74:$BD74,_xlpm.comp,_xlpm.rates*_xlpm.hours,_xlpm.Customer,_xlfn.ANCHORARRAY($E$1),
_xlpm.Customer_comp,_xlfn.XLOOKUP(_xlpm.site,_xlpm.locations,_xlpm.comp,0,0),_xlpm.ann_incr,_xlfn.XLOOKUP(YEAR(_xlfn.ANCHORARRAY($E$25)),Base!$BJ$4:$BL$4,Base!$BJ74:$BL74,0,0),
_xlpm.bad_debt,_xlfn.XLOOKUP(_xlpm.site,_xlpm.locations,Base!$D$28:$BD$28,0,0),_xlpm.Customer_comp*_xlpm.Customer*_xlpm.bad_debt*_xlpm.ann_incr*(52/12))</f>
        <v>0</v>
      </c>
      <c r="F26" s="12">
        <v>0</v>
      </c>
      <c r="G26" s="12">
        <v>0</v>
      </c>
      <c r="H26" s="12">
        <v>0</v>
      </c>
      <c r="I26" s="12">
        <v>0</v>
      </c>
      <c r="J26" s="12">
        <v>0</v>
      </c>
      <c r="K26" s="12">
        <v>0</v>
      </c>
      <c r="L26" s="12">
        <v>0</v>
      </c>
      <c r="M26" s="12">
        <v>0</v>
      </c>
      <c r="N26" s="12">
        <v>0</v>
      </c>
      <c r="O26" s="12">
        <v>0</v>
      </c>
      <c r="P26" s="12">
        <v>0</v>
      </c>
      <c r="Q26" s="12">
        <v>0</v>
      </c>
      <c r="R26" s="12">
        <v>0</v>
      </c>
      <c r="S26" s="12">
        <v>0</v>
      </c>
      <c r="T26" s="12">
        <v>0</v>
      </c>
      <c r="U26" s="12">
        <v>0</v>
      </c>
      <c r="V26" s="12">
        <v>0</v>
      </c>
      <c r="W26" s="12">
        <v>0</v>
      </c>
      <c r="X26" s="12">
        <v>0</v>
      </c>
      <c r="Y26" s="12">
        <v>0</v>
      </c>
      <c r="Z26" s="12">
        <v>0</v>
      </c>
      <c r="AA26" s="12">
        <v>0</v>
      </c>
      <c r="AB26" s="12">
        <v>0</v>
      </c>
      <c r="AC26" s="12">
        <v>0</v>
      </c>
      <c r="AD26" s="12">
        <v>0</v>
      </c>
      <c r="AE26" s="12">
        <v>0</v>
      </c>
      <c r="AF26" s="12">
        <v>0</v>
      </c>
      <c r="AG26" s="12">
        <v>0</v>
      </c>
      <c r="AH26" s="12">
        <v>8154.019033333333</v>
      </c>
      <c r="AI26" s="12">
        <v>24462.057099999998</v>
      </c>
      <c r="AJ26" s="12">
        <v>40770.095166666659</v>
      </c>
      <c r="AK26" s="12">
        <v>48924.114199999996</v>
      </c>
      <c r="AL26" s="12">
        <v>65232.152266666664</v>
      </c>
      <c r="AM26" s="12">
        <v>81540.190333333318</v>
      </c>
      <c r="AN26" s="12">
        <v>97848.228399999993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_xlfn.LET(_xlpm.site,$B$1&amp;"-"&amp;$C$1,_xlpm.locations,Base!$D$4:$BD$4,_xlpm.rates,Base!$D32:$BD32,_xlpm.hours,Base!$D75:$BD75,_xlpm.comp,_xlpm.rates*_xlpm.hours,_xlpm.Customer,_xlfn.ANCHORARRAY($E$1),
_xlpm.Customer_comp,_xlfn.XLOOKUP(_xlpm.site,_xlpm.locations,_xlpm.comp,0,0),_xlpm.ann_incr,_xlfn.XLOOKUP(YEAR(_xlfn.ANCHORARRAY($E$25)),Base!$BJ$4:$BL$4,Base!$BJ75:$BL75,0,0),
_xlpm.bad_debt,_xlfn.XLOOKUP(_xlpm.site,_xlpm.locations,Base!$D$28:$BD$28,0,0),_xlpm.Customer_comp*_xlpm.Customer*_xlpm.bad_debt*_xlpm.ann_incr*(52/12))</f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12">
        <v>0</v>
      </c>
      <c r="AA27" s="12">
        <v>0</v>
      </c>
      <c r="AB27" s="12">
        <v>0</v>
      </c>
      <c r="AC27" s="12">
        <v>0</v>
      </c>
      <c r="AD27" s="12">
        <v>0</v>
      </c>
      <c r="AE27" s="12">
        <v>0</v>
      </c>
      <c r="AF27" s="12">
        <v>0</v>
      </c>
      <c r="AG27" s="12">
        <v>0</v>
      </c>
      <c r="AH27" s="12">
        <v>0</v>
      </c>
      <c r="AI27" s="12">
        <v>0</v>
      </c>
      <c r="AJ27" s="12">
        <v>0</v>
      </c>
      <c r="AK27" s="12">
        <v>0</v>
      </c>
      <c r="AL27" s="12">
        <v>0</v>
      </c>
      <c r="AM27" s="12">
        <v>0</v>
      </c>
      <c r="AN27" s="12">
        <v>0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_xlfn.LET(_xlpm.site,$B$1&amp;"-"&amp;$C$1,_xlpm.locations,Base!$D$4:$BD$4,_xlpm.rates,Base!$D33:$BD33,_xlpm.hours,Base!$D76:$BD76,_xlpm.comp,_xlpm.rates*_xlpm.hours,_xlpm.Customer,_xlfn.ANCHORARRAY($E$1),
_xlpm.Customer_comp,_xlfn.XLOOKUP(_xlpm.site,_xlpm.locations,_xlpm.comp,0,0),_xlpm.ann_incr,_xlfn.XLOOKUP(YEAR(_xlfn.ANCHORARRAY($E$25)),Base!$BJ$4:$BL$4,Base!$BJ76:$BL76,0,0),
_xlpm.bad_debt,_xlfn.XLOOKUP(_xlpm.site,_xlpm.locations,Base!$D$28:$BD$28,0,0),_xlpm.Customer_comp*_xlpm.Customer*_xlpm.bad_debt*_xlpm.ann_incr*(52/12))</f>
        <v>0</v>
      </c>
      <c r="F28" s="12">
        <v>0</v>
      </c>
      <c r="G28" s="12">
        <v>0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0</v>
      </c>
      <c r="N28" s="12">
        <v>0</v>
      </c>
      <c r="O28" s="12">
        <v>0</v>
      </c>
      <c r="P28" s="12">
        <v>0</v>
      </c>
      <c r="Q28" s="12">
        <v>0</v>
      </c>
      <c r="R28" s="12">
        <v>0</v>
      </c>
      <c r="S28" s="12">
        <v>0</v>
      </c>
      <c r="T28" s="12">
        <v>0</v>
      </c>
      <c r="U28" s="12">
        <v>0</v>
      </c>
      <c r="V28" s="12">
        <v>0</v>
      </c>
      <c r="W28" s="12">
        <v>0</v>
      </c>
      <c r="X28" s="12">
        <v>0</v>
      </c>
      <c r="Y28" s="12">
        <v>0</v>
      </c>
      <c r="Z28" s="12">
        <v>0</v>
      </c>
      <c r="AA28" s="12">
        <v>0</v>
      </c>
      <c r="AB28" s="12">
        <v>0</v>
      </c>
      <c r="AC28" s="12">
        <v>0</v>
      </c>
      <c r="AD28" s="12">
        <v>0</v>
      </c>
      <c r="AE28" s="12">
        <v>0</v>
      </c>
      <c r="AF28" s="12">
        <v>0</v>
      </c>
      <c r="AG28" s="12">
        <v>0</v>
      </c>
      <c r="AH28" s="12">
        <v>1086.8529099999998</v>
      </c>
      <c r="AI28" s="12">
        <v>3260.5587299999988</v>
      </c>
      <c r="AJ28" s="12">
        <v>5434.2645499999981</v>
      </c>
      <c r="AK28" s="12">
        <v>6521.1174599999977</v>
      </c>
      <c r="AL28" s="12">
        <v>8694.8232799999987</v>
      </c>
      <c r="AM28" s="12">
        <v>10868.529099999996</v>
      </c>
      <c r="AN28" s="12">
        <v>13042.234919999995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_xlfn.LET(_xlpm.site,$B$1&amp;"-"&amp;$C$1,_xlpm.locations,Base!$D$4:$BD$4,_xlpm.rates,Base!$D34:$BD34,_xlpm.hours,Base!$D77:$BD77,_xlpm.comp,_xlpm.rates*_xlpm.hours,_xlpm.Customer,_xlfn.ANCHORARRAY($E$1),
_xlpm.Customer_comp,_xlfn.XLOOKUP(_xlpm.site,_xlpm.locations,_xlpm.comp,0,0),_xlpm.ann_incr,_xlfn.XLOOKUP(YEAR(_xlfn.ANCHORARRAY($E$25)),Base!$BJ$4:$BL$4,Base!$BJ77:$BL77,0,0),
_xlpm.bad_debt,_xlfn.XLOOKUP(_xlpm.site,_xlpm.locations,Base!$D$28:$BD$28,0,0),_xlpm.Customer_comp*_xlpm.Customer*_xlpm.bad_debt*_xlpm.ann_incr*(52/12))</f>
        <v>0</v>
      </c>
      <c r="F29" s="12">
        <v>0</v>
      </c>
      <c r="G29" s="12">
        <v>0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0</v>
      </c>
      <c r="N29" s="12">
        <v>0</v>
      </c>
      <c r="O29" s="12">
        <v>0</v>
      </c>
      <c r="P29" s="12">
        <v>0</v>
      </c>
      <c r="Q29" s="12">
        <v>0</v>
      </c>
      <c r="R29" s="12">
        <v>0</v>
      </c>
      <c r="S29" s="12">
        <v>0</v>
      </c>
      <c r="T29" s="12">
        <v>0</v>
      </c>
      <c r="U29" s="12">
        <v>0</v>
      </c>
      <c r="V29" s="12">
        <v>0</v>
      </c>
      <c r="W29" s="12">
        <v>0</v>
      </c>
      <c r="X29" s="12">
        <v>0</v>
      </c>
      <c r="Y29" s="12">
        <v>0</v>
      </c>
      <c r="Z29" s="12">
        <v>0</v>
      </c>
      <c r="AA29" s="12">
        <v>0</v>
      </c>
      <c r="AB29" s="12">
        <v>0</v>
      </c>
      <c r="AC29" s="12">
        <v>0</v>
      </c>
      <c r="AD29" s="12">
        <v>0</v>
      </c>
      <c r="AE29" s="12">
        <v>0</v>
      </c>
      <c r="AF29" s="12">
        <v>0</v>
      </c>
      <c r="AG29" s="12">
        <v>0</v>
      </c>
      <c r="AH29" s="12">
        <v>167.20813999999999</v>
      </c>
      <c r="AI29" s="12">
        <v>501.62441999999999</v>
      </c>
      <c r="AJ29" s="12">
        <v>836.04070000000002</v>
      </c>
      <c r="AK29" s="12">
        <v>1003.24884</v>
      </c>
      <c r="AL29" s="12">
        <v>1337.6651199999999</v>
      </c>
      <c r="AM29" s="12">
        <v>1672.0814</v>
      </c>
      <c r="AN29" s="12">
        <v>2006.4976799999999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_xlfn.LET(_xlpm.site,$B$1&amp;"-"&amp;$C$1,_xlpm.locations,Base!$D$4:$BD$4,_xlpm.rates,Base!$D35:$BD35,_xlpm.hours,Base!$D78:$BD78,_xlpm.comp,_xlpm.rates*_xlpm.hours,_xlpm.Customer,_xlfn.ANCHORARRAY($E$1),
_xlpm.Customer_comp,_xlfn.XLOOKUP(_xlpm.site,_xlpm.locations,_xlpm.comp,0,0),_xlpm.ann_incr,_xlfn.XLOOKUP(YEAR(_xlfn.ANCHORARRAY($E$25)),Base!$BJ$4:$BL$4,Base!$BJ78:$BL78,0,0),
_xlpm.bad_debt,_xlfn.XLOOKUP(_xlpm.site,_xlpm.locations,Base!$D$28:$BD$28,0,0),_xlpm.Customer_comp*_xlpm.Customer*_xlpm.bad_debt*_xlpm.ann_incr*(52/12))</f>
        <v>0</v>
      </c>
      <c r="F30" s="12">
        <v>0</v>
      </c>
      <c r="G30" s="12">
        <v>0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0</v>
      </c>
      <c r="N30" s="12">
        <v>0</v>
      </c>
      <c r="O30" s="12">
        <v>0</v>
      </c>
      <c r="P30" s="12">
        <v>0</v>
      </c>
      <c r="Q30" s="12">
        <v>0</v>
      </c>
      <c r="R30" s="12">
        <v>0</v>
      </c>
      <c r="S30" s="12">
        <v>0</v>
      </c>
      <c r="T30" s="12">
        <v>0</v>
      </c>
      <c r="U30" s="12">
        <v>0</v>
      </c>
      <c r="V30" s="12">
        <v>0</v>
      </c>
      <c r="W30" s="12">
        <v>0</v>
      </c>
      <c r="X30" s="12">
        <v>0</v>
      </c>
      <c r="Y30" s="12">
        <v>0</v>
      </c>
      <c r="Z30" s="12">
        <v>0</v>
      </c>
      <c r="AA30" s="12">
        <v>0</v>
      </c>
      <c r="AB30" s="12">
        <v>0</v>
      </c>
      <c r="AC30" s="12">
        <v>0</v>
      </c>
      <c r="AD30" s="12">
        <v>0</v>
      </c>
      <c r="AE30" s="12">
        <v>0</v>
      </c>
      <c r="AF30" s="12">
        <v>0</v>
      </c>
      <c r="AG30" s="12">
        <v>0</v>
      </c>
      <c r="AH30" s="12">
        <v>218.1677333333333</v>
      </c>
      <c r="AI30" s="12">
        <v>654.50319999999988</v>
      </c>
      <c r="AJ30" s="12">
        <v>1090.8386666666665</v>
      </c>
      <c r="AK30" s="12">
        <v>1309.0063999999998</v>
      </c>
      <c r="AL30" s="12">
        <v>1745.3418666666664</v>
      </c>
      <c r="AM30" s="12">
        <v>2181.6773333333331</v>
      </c>
      <c r="AN30" s="12">
        <v>2618.0127999999995</v>
      </c>
    </row>
    <row r="31" spans="2:50" x14ac:dyDescent="0.25">
      <c r="B31" s="39" t="str">
        <f>Base!B36</f>
        <v>Tertiary Direct Staff - Service A</v>
      </c>
      <c r="C31" s="4"/>
      <c r="E31" s="183" cm="1">
        <f t="array" ref="E31:AN31">_xlfn.LET(_xlpm.site,$B$1&amp;"-"&amp;$C$1,_xlpm.locations,Base!$D$4:$BD$4,_xlpm.rates,Base!$D36:$BD36,_xlpm.hours,Base!$D79:$BD79,_xlpm.comp,_xlpm.rates*_xlpm.hours,_xlpm.Customer,_xlfn.ANCHORARRAY($E$1)*0,
_xlpm.Customer_comp,_xlfn.XLOOKUP(_xlpm.site,_xlpm.locations,_xlpm.comp,0,0),_xlpm.ann_incr,_xlfn.XLOOKUP(YEAR(_xlfn.ANCHORARRAY($E$25)),Base!$BJ$4:$BL$4,Base!$BJ79:$BL79,0,0),
_xlpm.bad_debt,_xlfn.XLOOKUP(_xlpm.site,_xlpm.locations,Base!$D$28:$BD$28,0,0),_xlpm.Customer_comp*_xlpm.Customer*_xlpm.bad_debt*_xlpm.ann_incr*(52/12))</f>
        <v>0</v>
      </c>
      <c r="F31" s="183">
        <v>0</v>
      </c>
      <c r="G31" s="183">
        <v>0</v>
      </c>
      <c r="H31" s="183">
        <v>0</v>
      </c>
      <c r="I31" s="183">
        <v>0</v>
      </c>
      <c r="J31" s="183">
        <v>0</v>
      </c>
      <c r="K31" s="183">
        <v>0</v>
      </c>
      <c r="L31" s="183">
        <v>0</v>
      </c>
      <c r="M31" s="183">
        <v>0</v>
      </c>
      <c r="N31" s="183">
        <v>0</v>
      </c>
      <c r="O31" s="183">
        <v>0</v>
      </c>
      <c r="P31" s="183">
        <v>0</v>
      </c>
      <c r="Q31" s="183">
        <v>0</v>
      </c>
      <c r="R31" s="183">
        <v>0</v>
      </c>
      <c r="S31" s="183">
        <v>0</v>
      </c>
      <c r="T31" s="183">
        <v>0</v>
      </c>
      <c r="U31" s="183">
        <v>0</v>
      </c>
      <c r="V31" s="183">
        <v>0</v>
      </c>
      <c r="W31" s="183">
        <v>0</v>
      </c>
      <c r="X31" s="183">
        <v>0</v>
      </c>
      <c r="Y31" s="183">
        <v>0</v>
      </c>
      <c r="Z31" s="183">
        <v>0</v>
      </c>
      <c r="AA31" s="183">
        <v>0</v>
      </c>
      <c r="AB31" s="183">
        <v>0</v>
      </c>
      <c r="AC31" s="183">
        <v>0</v>
      </c>
      <c r="AD31" s="183">
        <v>0</v>
      </c>
      <c r="AE31" s="183">
        <v>0</v>
      </c>
      <c r="AF31" s="183">
        <v>0</v>
      </c>
      <c r="AG31" s="183">
        <v>0</v>
      </c>
      <c r="AH31" s="183">
        <v>0</v>
      </c>
      <c r="AI31" s="183">
        <v>0</v>
      </c>
      <c r="AJ31" s="183">
        <v>0</v>
      </c>
      <c r="AK31" s="183">
        <v>0</v>
      </c>
      <c r="AL31" s="183">
        <v>0</v>
      </c>
      <c r="AM31" s="183">
        <v>0</v>
      </c>
      <c r="AN31" s="183">
        <v>0</v>
      </c>
    </row>
    <row r="32" spans="2:50" x14ac:dyDescent="0.25">
      <c r="B32" s="39" t="str">
        <f>Base!B37</f>
        <v>Tertiary Direct Staff - Service B</v>
      </c>
      <c r="C32" s="4"/>
      <c r="E32" s="183" cm="1">
        <f t="array" ref="E32:AN32">_xlfn.LET(_xlpm.site,$B$1&amp;"-"&amp;$C$1,_xlpm.locations,Base!$D$4:$BD$4,_xlpm.rates,Base!$D37:$BD37,_xlpm.hours,Base!$D80:$BD80,_xlpm.comp,_xlpm.rates*_xlpm.hours,_xlpm.Customer,_xlfn.ANCHORARRAY($E$1)*0,
_xlpm.Customer_comp,_xlfn.XLOOKUP(_xlpm.site,_xlpm.locations,_xlpm.comp,0,0),_xlpm.ann_incr,_xlfn.XLOOKUP(YEAR(_xlfn.ANCHORARRAY($E$25)),Base!$BJ$4:$BL$4,Base!$BJ80:$BL80,0,0),
_xlpm.bad_debt,_xlfn.XLOOKUP(_xlpm.site,_xlpm.locations,Base!$D$28:$BD$28,0,0),_xlpm.Customer_comp*_xlpm.Customer*_xlpm.bad_debt*_xlpm.ann_incr*(52/12))</f>
        <v>0</v>
      </c>
      <c r="F32" s="183">
        <v>0</v>
      </c>
      <c r="G32" s="183">
        <v>0</v>
      </c>
      <c r="H32" s="183">
        <v>0</v>
      </c>
      <c r="I32" s="183">
        <v>0</v>
      </c>
      <c r="J32" s="183">
        <v>0</v>
      </c>
      <c r="K32" s="183">
        <v>0</v>
      </c>
      <c r="L32" s="183">
        <v>0</v>
      </c>
      <c r="M32" s="183">
        <v>0</v>
      </c>
      <c r="N32" s="183">
        <v>0</v>
      </c>
      <c r="O32" s="183">
        <v>0</v>
      </c>
      <c r="P32" s="183">
        <v>0</v>
      </c>
      <c r="Q32" s="183">
        <v>0</v>
      </c>
      <c r="R32" s="183">
        <v>0</v>
      </c>
      <c r="S32" s="183">
        <v>0</v>
      </c>
      <c r="T32" s="183">
        <v>0</v>
      </c>
      <c r="U32" s="183">
        <v>0</v>
      </c>
      <c r="V32" s="183">
        <v>0</v>
      </c>
      <c r="W32" s="183">
        <v>0</v>
      </c>
      <c r="X32" s="183">
        <v>0</v>
      </c>
      <c r="Y32" s="183">
        <v>0</v>
      </c>
      <c r="Z32" s="183">
        <v>0</v>
      </c>
      <c r="AA32" s="183">
        <v>0</v>
      </c>
      <c r="AB32" s="183">
        <v>0</v>
      </c>
      <c r="AC32" s="183">
        <v>0</v>
      </c>
      <c r="AD32" s="183">
        <v>0</v>
      </c>
      <c r="AE32" s="183">
        <v>0</v>
      </c>
      <c r="AF32" s="183">
        <v>0</v>
      </c>
      <c r="AG32" s="183">
        <v>0</v>
      </c>
      <c r="AH32" s="183">
        <v>0</v>
      </c>
      <c r="AI32" s="183">
        <v>0</v>
      </c>
      <c r="AJ32" s="183">
        <v>0</v>
      </c>
      <c r="AK32" s="183">
        <v>0</v>
      </c>
      <c r="AL32" s="183">
        <v>0</v>
      </c>
      <c r="AM32" s="183">
        <v>0</v>
      </c>
      <c r="AN32" s="183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_xlpm.Customer,_xlfn.ANCHORARRAY($E$2),_xlpm.ann_incr,_xlfn.XLOOKUP(YEAR(_xlfn.ANCHORARRAY($E$25)),Base!$BJ$4:$BL$4,Base!$BJ$81:$BL$81,0,0),
_xlpm.bad_debt,_xlfn.XLOOKUP(_xlpm.site,_xlpm.locations,Base!$D$28:$BD$28,0,0),
_xlpm.comp*_xlpm.bad_debt*_xlpm.ann_incr*(52/12))</f>
        <v>0</v>
      </c>
      <c r="F33" s="12">
        <v>0</v>
      </c>
      <c r="G33" s="12">
        <v>0</v>
      </c>
      <c r="H33" s="12">
        <v>0</v>
      </c>
      <c r="I33" s="12">
        <v>0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2">
        <v>0</v>
      </c>
      <c r="Y33" s="12">
        <v>0</v>
      </c>
      <c r="Z33" s="12">
        <v>0</v>
      </c>
      <c r="AA33" s="12">
        <v>0</v>
      </c>
      <c r="AB33" s="12">
        <v>0</v>
      </c>
      <c r="AC33" s="12">
        <v>0</v>
      </c>
      <c r="AD33" s="12">
        <v>0</v>
      </c>
      <c r="AE33" s="12">
        <v>0</v>
      </c>
      <c r="AF33" s="12">
        <v>0</v>
      </c>
      <c r="AG33" s="12">
        <v>0</v>
      </c>
      <c r="AH33" s="12">
        <v>0</v>
      </c>
      <c r="AI33" s="12">
        <v>0</v>
      </c>
      <c r="AJ33" s="12">
        <v>0</v>
      </c>
      <c r="AK33" s="12">
        <v>0</v>
      </c>
      <c r="AL33" s="12">
        <v>0</v>
      </c>
      <c r="AM33" s="12">
        <v>0</v>
      </c>
      <c r="AN33" s="12">
        <v>0</v>
      </c>
    </row>
    <row r="34" spans="2:40" x14ac:dyDescent="0.25">
      <c r="B34" s="39" t="str">
        <f>Base!B39</f>
        <v>Quinary Direct Staff - Service A</v>
      </c>
      <c r="C34" s="4"/>
      <c r="E34" s="183" cm="1">
        <f t="array" ref="E34:AN34">_xlfn.LET(_xlpm.site,$B$1&amp;"-"&amp;$C$1,_xlpm.locations,Base!$D$4:$BD$4,_xlpm.rates,Base!$D39:$BD39,_xlpm.hours,Base!$D82:$BD82,_xlpm.comp,_xlpm.rates*_xlpm.hours,_xlpm.Customer,_xlfn.ANCHORARRAY($E$1)*0,
_xlpm.Customer_comp,_xlfn.XLOOKUP(_xlpm.site,_xlpm.locations,_xlpm.comp,0,0),_xlpm.ann_incr,_xlfn.XLOOKUP(YEAR(_xlfn.ANCHORARRAY($E$25)),Base!$BJ$4:$BL$4,Base!$BJ82:$BL82,0,0),
_xlpm.bad_debt,_xlfn.XLOOKUP(_xlpm.site,_xlpm.locations,Base!$D$28:$BD$28,0,0),_xlpm.Customer_comp*_xlpm.Customer*_xlpm.bad_debt*_xlpm.ann_incr*(52/12))</f>
        <v>0</v>
      </c>
      <c r="F34" s="183">
        <v>0</v>
      </c>
      <c r="G34" s="183">
        <v>0</v>
      </c>
      <c r="H34" s="183">
        <v>0</v>
      </c>
      <c r="I34" s="183">
        <v>0</v>
      </c>
      <c r="J34" s="183">
        <v>0</v>
      </c>
      <c r="K34" s="183">
        <v>0</v>
      </c>
      <c r="L34" s="183">
        <v>0</v>
      </c>
      <c r="M34" s="183">
        <v>0</v>
      </c>
      <c r="N34" s="183">
        <v>0</v>
      </c>
      <c r="O34" s="183">
        <v>0</v>
      </c>
      <c r="P34" s="183">
        <v>0</v>
      </c>
      <c r="Q34" s="183">
        <v>0</v>
      </c>
      <c r="R34" s="183">
        <v>0</v>
      </c>
      <c r="S34" s="183">
        <v>0</v>
      </c>
      <c r="T34" s="183">
        <v>0</v>
      </c>
      <c r="U34" s="183">
        <v>0</v>
      </c>
      <c r="V34" s="183">
        <v>0</v>
      </c>
      <c r="W34" s="183">
        <v>0</v>
      </c>
      <c r="X34" s="183">
        <v>0</v>
      </c>
      <c r="Y34" s="183">
        <v>0</v>
      </c>
      <c r="Z34" s="183">
        <v>0</v>
      </c>
      <c r="AA34" s="183">
        <v>0</v>
      </c>
      <c r="AB34" s="183">
        <v>0</v>
      </c>
      <c r="AC34" s="183">
        <v>0</v>
      </c>
      <c r="AD34" s="183">
        <v>0</v>
      </c>
      <c r="AE34" s="183">
        <v>0</v>
      </c>
      <c r="AF34" s="183">
        <v>0</v>
      </c>
      <c r="AG34" s="183">
        <v>0</v>
      </c>
      <c r="AH34" s="183">
        <v>0</v>
      </c>
      <c r="AI34" s="183">
        <v>0</v>
      </c>
      <c r="AJ34" s="183">
        <v>0</v>
      </c>
      <c r="AK34" s="183">
        <v>0</v>
      </c>
      <c r="AL34" s="183">
        <v>0</v>
      </c>
      <c r="AM34" s="183">
        <v>0</v>
      </c>
      <c r="AN34" s="183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0</v>
      </c>
      <c r="F35" s="12">
        <v>0</v>
      </c>
      <c r="G35" s="12">
        <v>0</v>
      </c>
      <c r="H35" s="12">
        <v>0</v>
      </c>
      <c r="I35" s="12">
        <v>0</v>
      </c>
      <c r="J35" s="12">
        <v>0</v>
      </c>
      <c r="K35" s="12">
        <v>0</v>
      </c>
      <c r="L35" s="12">
        <v>0</v>
      </c>
      <c r="M35" s="12">
        <v>0</v>
      </c>
      <c r="N35" s="12">
        <v>0</v>
      </c>
      <c r="O35" s="12">
        <v>0</v>
      </c>
      <c r="P35" s="12">
        <v>0</v>
      </c>
      <c r="Q35" s="12">
        <v>0</v>
      </c>
      <c r="R35" s="12">
        <v>0</v>
      </c>
      <c r="S35" s="12">
        <v>0</v>
      </c>
      <c r="T35" s="12">
        <v>0</v>
      </c>
      <c r="U35" s="12">
        <v>0</v>
      </c>
      <c r="V35" s="12">
        <v>0</v>
      </c>
      <c r="W35" s="12">
        <v>0</v>
      </c>
      <c r="X35" s="12">
        <v>0</v>
      </c>
      <c r="Y35" s="12">
        <v>0</v>
      </c>
      <c r="Z35" s="12">
        <v>0</v>
      </c>
      <c r="AA35" s="12">
        <v>0</v>
      </c>
      <c r="AB35" s="12">
        <v>0</v>
      </c>
      <c r="AC35" s="12">
        <v>0</v>
      </c>
      <c r="AD35" s="12">
        <v>0</v>
      </c>
      <c r="AE35" s="12">
        <v>0</v>
      </c>
      <c r="AF35" s="12">
        <v>0</v>
      </c>
      <c r="AG35" s="12">
        <v>0</v>
      </c>
      <c r="AH35" s="12">
        <v>-1155.1497380000001</v>
      </c>
      <c r="AI35" s="12">
        <v>-3465.4492139999993</v>
      </c>
      <c r="AJ35" s="12">
        <v>-5775.7486899999985</v>
      </c>
      <c r="AK35" s="12">
        <v>-6930.8984279999986</v>
      </c>
      <c r="AL35" s="12">
        <v>-9241.1979040000006</v>
      </c>
      <c r="AM35" s="12">
        <v>-11551.497379999997</v>
      </c>
      <c r="AN35" s="12">
        <v>-13861.796855999997</v>
      </c>
    </row>
    <row r="36" spans="2:40" x14ac:dyDescent="0.25">
      <c r="B36" s="39" t="s">
        <v>261</v>
      </c>
      <c r="C36" s="15"/>
      <c r="E36" s="183" cm="1">
        <f t="array" ref="E36:AN36">_xlfn.BYCOL(_xlfn.ANCHORARRAY($E$25),_xlfn.LAMBDA(_xlpm.a,0))</f>
        <v>0</v>
      </c>
      <c r="F36" s="183">
        <v>0</v>
      </c>
      <c r="G36" s="183">
        <v>0</v>
      </c>
      <c r="H36" s="183">
        <v>0</v>
      </c>
      <c r="I36" s="183">
        <v>0</v>
      </c>
      <c r="J36" s="183">
        <v>0</v>
      </c>
      <c r="K36" s="183">
        <v>0</v>
      </c>
      <c r="L36" s="183">
        <v>0</v>
      </c>
      <c r="M36" s="183">
        <v>0</v>
      </c>
      <c r="N36" s="183">
        <v>0</v>
      </c>
      <c r="O36" s="183">
        <v>0</v>
      </c>
      <c r="P36" s="183">
        <v>0</v>
      </c>
      <c r="Q36" s="183">
        <v>0</v>
      </c>
      <c r="R36" s="183">
        <v>0</v>
      </c>
      <c r="S36" s="183">
        <v>0</v>
      </c>
      <c r="T36" s="183">
        <v>0</v>
      </c>
      <c r="U36" s="183">
        <v>0</v>
      </c>
      <c r="V36" s="183">
        <v>0</v>
      </c>
      <c r="W36" s="183">
        <v>0</v>
      </c>
      <c r="X36" s="183">
        <v>0</v>
      </c>
      <c r="Y36" s="183">
        <v>0</v>
      </c>
      <c r="Z36" s="183">
        <v>0</v>
      </c>
      <c r="AA36" s="183">
        <v>0</v>
      </c>
      <c r="AB36" s="183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271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0</v>
      </c>
      <c r="S37" s="13">
        <v>0</v>
      </c>
      <c r="T37" s="13">
        <v>0</v>
      </c>
      <c r="U37" s="13">
        <v>0</v>
      </c>
      <c r="V37" s="13">
        <v>0</v>
      </c>
      <c r="W37" s="13">
        <v>0</v>
      </c>
      <c r="X37" s="13">
        <v>0</v>
      </c>
      <c r="Y37" s="13">
        <v>0</v>
      </c>
      <c r="Z37" s="13">
        <v>0</v>
      </c>
      <c r="AA37" s="13">
        <v>0</v>
      </c>
      <c r="AB37" s="13">
        <v>0</v>
      </c>
      <c r="AC37" s="13">
        <v>0</v>
      </c>
      <c r="AD37" s="13">
        <v>0</v>
      </c>
      <c r="AE37" s="13">
        <v>0</v>
      </c>
      <c r="AF37" s="13">
        <v>0</v>
      </c>
      <c r="AG37" s="13">
        <v>0</v>
      </c>
      <c r="AH37" s="13">
        <v>8471.0980786666678</v>
      </c>
      <c r="AI37" s="13">
        <v>25413.294235999994</v>
      </c>
      <c r="AJ37" s="13">
        <v>42355.490393333319</v>
      </c>
      <c r="AK37" s="13">
        <v>50826.588471999989</v>
      </c>
      <c r="AL37" s="13">
        <v>67768.784629333342</v>
      </c>
      <c r="AM37" s="13">
        <v>84710.980786666638</v>
      </c>
      <c r="AN37" s="13">
        <v>101653.17694399998</v>
      </c>
    </row>
    <row r="38" spans="2:40" x14ac:dyDescent="0.25">
      <c r="E38" s="67"/>
      <c r="F38" s="67"/>
    </row>
    <row r="39" spans="2:40" x14ac:dyDescent="0.25">
      <c r="B39" s="1" t="s">
        <v>118</v>
      </c>
    </row>
    <row r="40" spans="2:40" x14ac:dyDescent="0.25">
      <c r="B40" s="39" t="s">
        <v>23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0</v>
      </c>
      <c r="F40" s="12">
        <v>0</v>
      </c>
      <c r="G40" s="12">
        <v>0</v>
      </c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0</v>
      </c>
      <c r="N40" s="12">
        <v>0</v>
      </c>
      <c r="O40" s="12">
        <v>0</v>
      </c>
      <c r="P40" s="12">
        <v>0</v>
      </c>
      <c r="Q40" s="12">
        <v>0</v>
      </c>
      <c r="R40" s="12">
        <v>0</v>
      </c>
      <c r="S40" s="12">
        <v>0</v>
      </c>
      <c r="T40" s="12">
        <v>0</v>
      </c>
      <c r="U40" s="12">
        <v>0</v>
      </c>
      <c r="V40" s="12">
        <v>0</v>
      </c>
      <c r="W40" s="12">
        <v>0</v>
      </c>
      <c r="X40" s="12">
        <v>0</v>
      </c>
      <c r="Y40" s="12">
        <v>0</v>
      </c>
      <c r="Z40" s="12">
        <v>0</v>
      </c>
      <c r="AA40" s="12">
        <v>0</v>
      </c>
      <c r="AB40" s="12">
        <v>0</v>
      </c>
      <c r="AC40" s="12">
        <v>0</v>
      </c>
      <c r="AD40" s="12">
        <v>0</v>
      </c>
      <c r="AE40" s="12">
        <v>0</v>
      </c>
      <c r="AF40" s="12">
        <v>0</v>
      </c>
      <c r="AG40" s="12">
        <v>0</v>
      </c>
      <c r="AH40" s="12">
        <v>14500.139038435716</v>
      </c>
      <c r="AI40" s="12">
        <v>30954.988849973819</v>
      </c>
      <c r="AJ40" s="12">
        <v>35899.148994845244</v>
      </c>
      <c r="AK40" s="12">
        <v>38944.950567280961</v>
      </c>
      <c r="AL40" s="12">
        <v>44211.938712152398</v>
      </c>
      <c r="AM40" s="12">
        <v>49159.607857023817</v>
      </c>
      <c r="AN40" s="12">
        <v>54569.087134561916</v>
      </c>
    </row>
    <row r="41" spans="2:40" x14ac:dyDescent="0.25">
      <c r="B41" s="39" t="s">
        <v>388</v>
      </c>
      <c r="C41" s="142">
        <f>_xlfn.XLOOKUP($B$1&amp;"-"&amp;$C$1,Base!$D$4:$BD$4,Base!$D$12:$BD$12,0,0)</f>
        <v>0</v>
      </c>
      <c r="E41" s="183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28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0</v>
      </c>
      <c r="AJ42" s="12">
        <v>0</v>
      </c>
      <c r="AK42" s="12">
        <v>0</v>
      </c>
      <c r="AL42" s="12">
        <v>0</v>
      </c>
      <c r="AM42" s="12">
        <v>0</v>
      </c>
      <c r="AN42" s="12">
        <v>0</v>
      </c>
    </row>
    <row r="43" spans="2:40" x14ac:dyDescent="0.25">
      <c r="B43" s="39" t="s">
        <v>31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0</v>
      </c>
      <c r="X43" s="12">
        <v>0</v>
      </c>
      <c r="Y43" s="12">
        <v>0</v>
      </c>
      <c r="Z43" s="12">
        <v>0</v>
      </c>
      <c r="AA43" s="12">
        <v>0</v>
      </c>
      <c r="AB43" s="12">
        <v>0</v>
      </c>
      <c r="AC43" s="12">
        <v>0</v>
      </c>
      <c r="AD43" s="12">
        <v>0</v>
      </c>
      <c r="AE43" s="12">
        <v>0</v>
      </c>
      <c r="AF43" s="12">
        <v>0</v>
      </c>
      <c r="AG43" s="12">
        <v>0</v>
      </c>
      <c r="AH43" s="12">
        <v>0</v>
      </c>
      <c r="AI43" s="12">
        <v>0</v>
      </c>
      <c r="AJ43" s="12">
        <v>0</v>
      </c>
      <c r="AK43" s="12">
        <v>0</v>
      </c>
      <c r="AL43" s="12">
        <v>0</v>
      </c>
      <c r="AM43" s="12">
        <v>0</v>
      </c>
      <c r="AN43" s="12">
        <v>0</v>
      </c>
    </row>
    <row r="44" spans="2:40" x14ac:dyDescent="0.25">
      <c r="B44" s="39" t="s">
        <v>34</v>
      </c>
      <c r="C44" s="96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  <c r="O44" s="12">
        <v>0</v>
      </c>
      <c r="P44" s="12">
        <v>0</v>
      </c>
      <c r="Q44" s="12">
        <v>0</v>
      </c>
      <c r="R44" s="12">
        <v>0</v>
      </c>
      <c r="S44" s="12">
        <v>0</v>
      </c>
      <c r="T44" s="12">
        <v>0</v>
      </c>
      <c r="U44" s="12">
        <v>0</v>
      </c>
      <c r="V44" s="12">
        <v>0</v>
      </c>
      <c r="W44" s="12">
        <v>0</v>
      </c>
      <c r="X44" s="12">
        <v>0</v>
      </c>
      <c r="Y44" s="12">
        <v>0</v>
      </c>
      <c r="Z44" s="12">
        <v>0</v>
      </c>
      <c r="AA44" s="12">
        <v>0</v>
      </c>
      <c r="AB44" s="12">
        <v>0</v>
      </c>
      <c r="AC44" s="12">
        <v>0</v>
      </c>
      <c r="AD44" s="12">
        <v>0</v>
      </c>
      <c r="AE44" s="12">
        <v>0</v>
      </c>
      <c r="AF44" s="12">
        <v>0</v>
      </c>
      <c r="AG44" s="12">
        <v>0</v>
      </c>
      <c r="AH44" s="12">
        <v>379.01167616000009</v>
      </c>
      <c r="AI44" s="12">
        <v>918.3744460800001</v>
      </c>
      <c r="AJ44" s="12">
        <v>936.59616128000027</v>
      </c>
      <c r="AK44" s="12">
        <v>965.75090560000012</v>
      </c>
      <c r="AL44" s="12">
        <v>994.90564992000009</v>
      </c>
      <c r="AM44" s="12">
        <v>1013.1273651200003</v>
      </c>
      <c r="AN44" s="12">
        <v>1042.2821094399999</v>
      </c>
    </row>
    <row r="45" spans="2:40" x14ac:dyDescent="0.25">
      <c r="B45" s="39" t="s">
        <v>36</v>
      </c>
      <c r="C45" s="96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0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12">
        <v>0</v>
      </c>
      <c r="R45" s="12">
        <v>0</v>
      </c>
      <c r="S45" s="12">
        <v>0</v>
      </c>
      <c r="T45" s="12">
        <v>0</v>
      </c>
      <c r="U45" s="12">
        <v>0</v>
      </c>
      <c r="V45" s="12">
        <v>0</v>
      </c>
      <c r="W45" s="12">
        <v>0</v>
      </c>
      <c r="X45" s="12">
        <v>0</v>
      </c>
      <c r="Y45" s="12">
        <v>0</v>
      </c>
      <c r="Z45" s="12">
        <v>0</v>
      </c>
      <c r="AA45" s="12">
        <v>0</v>
      </c>
      <c r="AB45" s="12">
        <v>0</v>
      </c>
      <c r="AC45" s="12">
        <v>0</v>
      </c>
      <c r="AD45" s="12">
        <v>0</v>
      </c>
      <c r="AE45" s="12">
        <v>0</v>
      </c>
      <c r="AF45" s="12">
        <v>0</v>
      </c>
      <c r="AG45" s="12">
        <v>0</v>
      </c>
      <c r="AH45" s="12">
        <v>0</v>
      </c>
      <c r="AI45" s="12">
        <v>0</v>
      </c>
      <c r="AJ45" s="12">
        <v>0</v>
      </c>
      <c r="AK45" s="12">
        <v>0</v>
      </c>
      <c r="AL45" s="12">
        <v>0</v>
      </c>
      <c r="AM45" s="12">
        <v>0</v>
      </c>
      <c r="AN45" s="12">
        <v>0</v>
      </c>
    </row>
    <row r="46" spans="2:40" x14ac:dyDescent="0.25">
      <c r="B46" s="39" t="s">
        <v>38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0</v>
      </c>
      <c r="F46" s="12">
        <v>0</v>
      </c>
      <c r="G46" s="12">
        <v>0</v>
      </c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0</v>
      </c>
      <c r="N46" s="12">
        <v>0</v>
      </c>
      <c r="O46" s="12">
        <v>0</v>
      </c>
      <c r="P46" s="12">
        <v>0</v>
      </c>
      <c r="Q46" s="12">
        <v>0</v>
      </c>
      <c r="R46" s="12">
        <v>0</v>
      </c>
      <c r="S46" s="12">
        <v>0</v>
      </c>
      <c r="T46" s="12">
        <v>0</v>
      </c>
      <c r="U46" s="12">
        <v>0</v>
      </c>
      <c r="V46" s="12">
        <v>0</v>
      </c>
      <c r="W46" s="12">
        <v>0</v>
      </c>
      <c r="X46" s="12">
        <v>0</v>
      </c>
      <c r="Y46" s="12">
        <v>0</v>
      </c>
      <c r="Z46" s="12">
        <v>0</v>
      </c>
      <c r="AA46" s="12">
        <v>0</v>
      </c>
      <c r="AB46" s="12">
        <v>0</v>
      </c>
      <c r="AC46" s="12">
        <v>0</v>
      </c>
      <c r="AD46" s="12">
        <v>0</v>
      </c>
      <c r="AE46" s="12">
        <v>0</v>
      </c>
      <c r="AF46" s="12">
        <v>0</v>
      </c>
      <c r="AG46" s="12">
        <v>0</v>
      </c>
      <c r="AH46" s="12">
        <v>2247.2640000000001</v>
      </c>
      <c r="AI46" s="12">
        <v>3578.9759999999997</v>
      </c>
      <c r="AJ46" s="12">
        <v>4166.8019999999997</v>
      </c>
      <c r="AK46" s="12">
        <v>4489.3260000000009</v>
      </c>
      <c r="AL46" s="12">
        <v>5092.7579999999998</v>
      </c>
      <c r="AM46" s="12">
        <v>5680.5839999999989</v>
      </c>
      <c r="AN46" s="12">
        <v>6294.4200000000019</v>
      </c>
    </row>
    <row r="47" spans="2:40" x14ac:dyDescent="0.25">
      <c r="B47" s="39" t="s">
        <v>40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  <c r="O47" s="12">
        <v>0</v>
      </c>
      <c r="P47" s="12">
        <v>0</v>
      </c>
      <c r="Q47" s="12">
        <v>0</v>
      </c>
      <c r="R47" s="12">
        <v>0</v>
      </c>
      <c r="S47" s="12">
        <v>0</v>
      </c>
      <c r="T47" s="12">
        <v>0</v>
      </c>
      <c r="U47" s="12">
        <v>0</v>
      </c>
      <c r="V47" s="12">
        <v>0</v>
      </c>
      <c r="W47" s="12">
        <v>0</v>
      </c>
      <c r="X47" s="12">
        <v>0</v>
      </c>
      <c r="Y47" s="12">
        <v>0</v>
      </c>
      <c r="Z47" s="12">
        <v>0</v>
      </c>
      <c r="AA47" s="12">
        <v>0</v>
      </c>
      <c r="AB47" s="12">
        <v>0</v>
      </c>
      <c r="AC47" s="12">
        <v>0</v>
      </c>
      <c r="AD47" s="12">
        <v>0</v>
      </c>
      <c r="AE47" s="12">
        <v>0</v>
      </c>
      <c r="AF47" s="12">
        <v>0</v>
      </c>
      <c r="AG47" s="12">
        <v>0</v>
      </c>
      <c r="AH47" s="12">
        <v>0</v>
      </c>
      <c r="AI47" s="12">
        <v>0</v>
      </c>
      <c r="AJ47" s="12">
        <v>0</v>
      </c>
      <c r="AK47" s="12">
        <v>0</v>
      </c>
      <c r="AL47" s="12">
        <v>0</v>
      </c>
      <c r="AM47" s="12">
        <v>0</v>
      </c>
      <c r="AN47" s="12">
        <v>0</v>
      </c>
    </row>
    <row r="48" spans="2:40" x14ac:dyDescent="0.25">
      <c r="B48" s="39" t="s">
        <v>41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42</v>
      </c>
      <c r="E49" s="12">
        <f>'Corp.'!E$50*(E$37-(E31-E32-E34)*$C$35)/(SUM('MDA1:NCA9'!E$37)-SUM('MDA1:NCA9'!E$31)-SUM('MDA1:NCA9'!E$32)-SUM('MDA1:NCA9'!E$34))</f>
        <v>0</v>
      </c>
      <c r="F49" s="12">
        <f>'Corp.'!F$50*(F$37-(F31-F32-F34)*$C$35)/(SUM('MDA1:NCA9'!F$37)-SUM('MDA1:NCA9'!F$31)-SUM('MDA1:NCA9'!F$32)-SUM('MDA1:NCA9'!F$34))</f>
        <v>0</v>
      </c>
      <c r="G49" s="12">
        <f>'Corp.'!G$50*(G$37-(G31-G32-G34)*$C$35)/(SUM('MDA1:NCA9'!G$37)-SUM('MDA1:NCA9'!G$31)-SUM('MDA1:NCA9'!G$32)-SUM('MDA1:NCA9'!G$34))</f>
        <v>0</v>
      </c>
      <c r="H49" s="12">
        <f>'Corp.'!H$50*(H$37-(H31-H32-H34)*$C$35)/(SUM('MDA1:NCA9'!H$37)-SUM('MDA1:NCA9'!H$31)-SUM('MDA1:NCA9'!H$32)-SUM('MDA1:NCA9'!H$34))</f>
        <v>0</v>
      </c>
      <c r="I49" s="12">
        <f>'Corp.'!I$50*(I$37-(I31-I32-I34)*$C$35)/(SUM('MDA1:NCA9'!I$37)-SUM('MDA1:NCA9'!I$31)-SUM('MDA1:NCA9'!I$32)-SUM('MDA1:NCA9'!I$34))</f>
        <v>0</v>
      </c>
      <c r="J49" s="12">
        <f>'Corp.'!J$50*(J$37-(J31-J32-J34)*$C$35)/(SUM('MDA1:NCA9'!J$37)-SUM('MDA1:NCA9'!J$31)-SUM('MDA1:NCA9'!J$32)-SUM('MDA1:NCA9'!J$34))</f>
        <v>0</v>
      </c>
      <c r="K49" s="12">
        <f>'Corp.'!K$50*(K$37-(K31-K32-K34)*$C$35)/(SUM('MDA1:NCA9'!K$37)-SUM('MDA1:NCA9'!K$31)-SUM('MDA1:NCA9'!K$32)-SUM('MDA1:NCA9'!K$34))</f>
        <v>0</v>
      </c>
      <c r="L49" s="12">
        <f>'Corp.'!L$50*(L$37-(L31-L32-L34)*$C$35)/(SUM('MDA1:NCA9'!L$37)-SUM('MDA1:NCA9'!L$31)-SUM('MDA1:NCA9'!L$32)-SUM('MDA1:NCA9'!L$34))</f>
        <v>0</v>
      </c>
      <c r="M49" s="12">
        <f>'Corp.'!M$50*(M$37-(M31-M32-M34)*$C$35)/(SUM('MDA1:NCA9'!M$37)-SUM('MDA1:NCA9'!M$31)-SUM('MDA1:NCA9'!M$32)-SUM('MDA1:NCA9'!M$34))</f>
        <v>0</v>
      </c>
      <c r="N49" s="12">
        <f>'Corp.'!N$50*(N$37-(N31-N32-N34)*$C$35)/(SUM('MDA1:NCA9'!N$37)-SUM('MDA1:NCA9'!N$31)-SUM('MDA1:NCA9'!N$32)-SUM('MDA1:NCA9'!N$34))</f>
        <v>0</v>
      </c>
      <c r="O49" s="12">
        <f>'Corp.'!O$50*(O$37-(O31-O32-O34)*$C$35)/(SUM('MDA1:NCA9'!O$37)-SUM('MDA1:NCA9'!O$31)-SUM('MDA1:NCA9'!O$32)-SUM('MDA1:NCA9'!O$34))</f>
        <v>0</v>
      </c>
      <c r="P49" s="12">
        <f>'Corp.'!P$50*(P$37-(P31-P32-P34)*$C$35)/(SUM('MDA1:NCA9'!P$37)-SUM('MDA1:NCA9'!P$31)-SUM('MDA1:NCA9'!P$32)-SUM('MDA1:NCA9'!P$34))</f>
        <v>0</v>
      </c>
      <c r="Q49" s="12">
        <f>'Corp.'!Q$50*(Q$37-(Q31-Q32-Q34)*$C$35)/(SUM('MDA1:NCA9'!Q$37)-SUM('MDA1:NCA9'!Q$31)-SUM('MDA1:NCA9'!Q$32)-SUM('MDA1:NCA9'!Q$34))</f>
        <v>0</v>
      </c>
      <c r="R49" s="12">
        <f>'Corp.'!R$50*(R$37-(R31-R32-R34)*$C$35)/(SUM('MDA1:NCA9'!R$37)-SUM('MDA1:NCA9'!R$31)-SUM('MDA1:NCA9'!R$32)-SUM('MDA1:NCA9'!R$34))</f>
        <v>0</v>
      </c>
      <c r="S49" s="12">
        <f>'Corp.'!S$50*(S$37-(S31-S32-S34)*$C$35)/(SUM('MDA1:NCA9'!S$37)-SUM('MDA1:NCA9'!S$31)-SUM('MDA1:NCA9'!S$32)-SUM('MDA1:NCA9'!S$34))</f>
        <v>0</v>
      </c>
      <c r="T49" s="12">
        <f>'Corp.'!T$50*(T$37-(T31-T32-T34)*$C$35)/(SUM('MDA1:NCA9'!T$37)-SUM('MDA1:NCA9'!T$31)-SUM('MDA1:NCA9'!T$32)-SUM('MDA1:NCA9'!T$34))</f>
        <v>0</v>
      </c>
      <c r="U49" s="12">
        <f>'Corp.'!U$50*(U$37-(U31-U32-U34)*$C$35)/(SUM('MDA1:NCA9'!U$37)-SUM('MDA1:NCA9'!U$31)-SUM('MDA1:NCA9'!U$32)-SUM('MDA1:NCA9'!U$34))</f>
        <v>0</v>
      </c>
      <c r="V49" s="12">
        <f>'Corp.'!V$50*(V$37-(V31-V32-V34)*$C$35)/(SUM('MDA1:NCA9'!V$37)-SUM('MDA1:NCA9'!V$31)-SUM('MDA1:NCA9'!V$32)-SUM('MDA1:NCA9'!V$34))</f>
        <v>0</v>
      </c>
      <c r="W49" s="12">
        <f>'Corp.'!W$50*(W$37-(W31-W32-W34)*$C$35)/(SUM('MDA1:NCA9'!W$37)-SUM('MDA1:NCA9'!W$31)-SUM('MDA1:NCA9'!W$32)-SUM('MDA1:NCA9'!W$34))</f>
        <v>0</v>
      </c>
      <c r="X49" s="12">
        <f>'Corp.'!X$50*(X$37-(X31-X32-X34)*$C$35)/(SUM('MDA1:NCA9'!X$37)-SUM('MDA1:NCA9'!X$31)-SUM('MDA1:NCA9'!X$32)-SUM('MDA1:NCA9'!X$34))</f>
        <v>0</v>
      </c>
      <c r="Y49" s="12">
        <f>'Corp.'!Y$50*(Y$37-(Y31-Y32-Y34)*$C$35)/(SUM('MDA1:NCA9'!Y$37)-SUM('MDA1:NCA9'!Y$31)-SUM('MDA1:NCA9'!Y$32)-SUM('MDA1:NCA9'!Y$34))</f>
        <v>0</v>
      </c>
      <c r="Z49" s="12">
        <f>'Corp.'!Z$50*(Z$37-(Z31-Z32-Z34)*$C$35)/(SUM('MDA1:NCA9'!Z$37)-SUM('MDA1:NCA9'!Z$31)-SUM('MDA1:NCA9'!Z$32)-SUM('MDA1:NCA9'!Z$34))</f>
        <v>0</v>
      </c>
      <c r="AA49" s="12">
        <f>'Corp.'!AA$50*(AA$37-(AA31-AA32-AA34)*$C$35)/(SUM('MDA1:NCA9'!AA$37)-SUM('MDA1:NCA9'!AA$31)-SUM('MDA1:NCA9'!AA$32)-SUM('MDA1:NCA9'!AA$34))</f>
        <v>0</v>
      </c>
      <c r="AB49" s="12">
        <f>'Corp.'!AB$50*(AB$37-(AB31-AB32-AB34)*$C$35)/(SUM('MDA1:NCA9'!AB$37)-SUM('MDA1:NCA9'!AB$31)-SUM('MDA1:NCA9'!AB$32)-SUM('MDA1:NCA9'!AB$34))</f>
        <v>0</v>
      </c>
      <c r="AC49" s="12">
        <f>'Corp.'!AC$50*(AC$37-(AC31-AC32-AC34)*$C$35)/(SUM('MDA1:NCA9'!AC$37)-SUM('MDA1:NCA9'!AC$31)-SUM('MDA1:NCA9'!AC$32)-SUM('MDA1:NCA9'!AC$34))</f>
        <v>0</v>
      </c>
      <c r="AD49" s="12">
        <f>'Corp.'!AD$50*(AD$37-(AD31-AD32-AD34)*$C$35)/(SUM('MDA1:NCA9'!AD$37)-SUM('MDA1:NCA9'!AD$31)-SUM('MDA1:NCA9'!AD$32)-SUM('MDA1:NCA9'!AD$34))</f>
        <v>0</v>
      </c>
      <c r="AE49" s="12">
        <f>'Corp.'!AE$50*(AE$37-(AE31-AE32-AE34)*$C$35)/(SUM('MDA1:NCA9'!AE$37)-SUM('MDA1:NCA9'!AE$31)-SUM('MDA1:NCA9'!AE$32)-SUM('MDA1:NCA9'!AE$34))</f>
        <v>0</v>
      </c>
      <c r="AF49" s="12">
        <f>'Corp.'!AF$50*(AF$37-(AF31-AF32-AF34)*$C$35)/(SUM('MDA1:NCA9'!AF$37)-SUM('MDA1:NCA9'!AF$31)-SUM('MDA1:NCA9'!AF$32)-SUM('MDA1:NCA9'!AF$34))</f>
        <v>0</v>
      </c>
      <c r="AG49" s="12">
        <f>'Corp.'!AG$50*(AG$37-(AG31-AG32-AG34)*$C$35)/(SUM('MDA1:NCA9'!AG$37)-SUM('MDA1:NCA9'!AG$31)-SUM('MDA1:NCA9'!AG$32)-SUM('MDA1:NCA9'!AG$34))</f>
        <v>0</v>
      </c>
      <c r="AH49" s="12">
        <f>'Corp.'!AH$50*(AH$37-(AH31-AH32-AH34)*$C$35)/(SUM('MDA1:NCA9'!AH$37)-SUM('MDA1:NCA9'!AH$31)-SUM('MDA1:NCA9'!AH$32)-SUM('MDA1:NCA9'!AH$34))</f>
        <v>941.79356045825875</v>
      </c>
      <c r="AI49" s="12">
        <f>'Corp.'!AI$50*(AI$37-(AI31-AI32-AI34)*$C$35)/(SUM('MDA1:NCA9'!AI$37)-SUM('MDA1:NCA9'!AI$31)-SUM('MDA1:NCA9'!AI$32)-SUM('MDA1:NCA9'!AI$34))</f>
        <v>2776.7285771020556</v>
      </c>
      <c r="AJ49" s="12">
        <f>'Corp.'!AJ$50*(AJ$37-(AJ31-AJ32-AJ34)*$C$35)/(SUM('MDA1:NCA9'!AJ$37)-SUM('MDA1:NCA9'!AJ$31)-SUM('MDA1:NCA9'!AJ$32)-SUM('MDA1:NCA9'!AJ$34))</f>
        <v>4544.802291193977</v>
      </c>
      <c r="AK49" s="12">
        <f>'Corp.'!AK$50*(AK$37-(AK31-AK32-AK34)*$C$35)/(SUM('MDA1:NCA9'!AK$37)-SUM('MDA1:NCA9'!AK$31)-SUM('MDA1:NCA9'!AK$32)-SUM('MDA1:NCA9'!AK$34))</f>
        <v>5361.7073597071339</v>
      </c>
      <c r="AL49" s="12">
        <f>'Corp.'!AL$50*(AL$37-(AL31-AL32-AL34)*$C$35)/(SUM('MDA1:NCA9'!AL$37)-SUM('MDA1:NCA9'!AL$31)-SUM('MDA1:NCA9'!AL$32)-SUM('MDA1:NCA9'!AL$34))</f>
        <v>7036.3089914135617</v>
      </c>
      <c r="AM49" s="12">
        <f>'Corp.'!AM$50*(AM$37-(AM31-AM32-AM34)*$C$35)/(SUM('MDA1:NCA9'!AM$37)-SUM('MDA1:NCA9'!AM$31)-SUM('MDA1:NCA9'!AM$32)-SUM('MDA1:NCA9'!AM$34))</f>
        <v>8643.7595276700904</v>
      </c>
      <c r="AN49" s="12">
        <f>'Corp.'!AN$50*(AN$37-(AN31-AN32-AN34)*$C$35)/(SUM('MDA1:NCA9'!AN$37)-SUM('MDA1:NCA9'!AN$31)-SUM('MDA1:NCA9'!AN$32)-SUM('MDA1:NCA9'!AN$34))</f>
        <v>10217.412172272023</v>
      </c>
    </row>
    <row r="50" spans="2:40" x14ac:dyDescent="0.25">
      <c r="B50" s="1" t="s">
        <v>272</v>
      </c>
      <c r="E50" s="13" cm="1">
        <f t="array" ref="E50:AN50">_xlfn.BYCOL(_xlfn.VSTACK(_xlfn.ANCHORARRAY(E40),_xlfn.ANCHORARRAY(E42),_xlfn.ANCHORARRAY(E43),_xlfn.ANCHORARRAY(E45),_xlfn.ANCHORARRAY(E46),_xlfn.ANCHORARRAY(E47),_xlfn.ANCHORARRAY(E48),_xlfn.HSTACK(E49:AN49)),_xlfn.LAMBDA(_xlpm.a,SUM(_xlpm.a)))</f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0</v>
      </c>
      <c r="Q50" s="13">
        <v>0</v>
      </c>
      <c r="R50" s="13">
        <v>0</v>
      </c>
      <c r="S50" s="13">
        <v>0</v>
      </c>
      <c r="T50" s="13">
        <v>0</v>
      </c>
      <c r="U50" s="13">
        <v>0</v>
      </c>
      <c r="V50" s="13">
        <v>0</v>
      </c>
      <c r="W50" s="13">
        <v>0</v>
      </c>
      <c r="X50" s="13">
        <v>0</v>
      </c>
      <c r="Y50" s="13">
        <v>0</v>
      </c>
      <c r="Z50" s="13">
        <v>0</v>
      </c>
      <c r="AA50" s="13">
        <v>0</v>
      </c>
      <c r="AB50" s="13">
        <v>0</v>
      </c>
      <c r="AC50" s="13">
        <v>0</v>
      </c>
      <c r="AD50" s="13">
        <v>0</v>
      </c>
      <c r="AE50" s="13">
        <v>0</v>
      </c>
      <c r="AF50" s="13">
        <v>0</v>
      </c>
      <c r="AG50" s="13">
        <v>0</v>
      </c>
      <c r="AH50" s="13">
        <v>17689.196598893977</v>
      </c>
      <c r="AI50" s="13">
        <v>37310.693427075872</v>
      </c>
      <c r="AJ50" s="13">
        <v>44610.753286039224</v>
      </c>
      <c r="AK50" s="13">
        <v>48795.983926988098</v>
      </c>
      <c r="AL50" s="13">
        <v>56341.005703565963</v>
      </c>
      <c r="AM50" s="13">
        <v>63483.951384693908</v>
      </c>
      <c r="AN50" s="13">
        <v>71080.919306833937</v>
      </c>
    </row>
    <row r="52" spans="2:40" x14ac:dyDescent="0.25">
      <c r="B52" s="1" t="s">
        <v>48</v>
      </c>
      <c r="E52" s="74">
        <f>E37-E50</f>
        <v>0</v>
      </c>
      <c r="F52" s="74">
        <f t="shared" ref="F52:AN52" si="0">F37-F50</f>
        <v>0</v>
      </c>
      <c r="G52" s="74">
        <f t="shared" si="0"/>
        <v>0</v>
      </c>
      <c r="H52" s="74">
        <f t="shared" si="0"/>
        <v>0</v>
      </c>
      <c r="I52" s="74">
        <f t="shared" si="0"/>
        <v>0</v>
      </c>
      <c r="J52" s="74">
        <f t="shared" si="0"/>
        <v>0</v>
      </c>
      <c r="K52" s="74">
        <f t="shared" si="0"/>
        <v>0</v>
      </c>
      <c r="L52" s="74">
        <f t="shared" si="0"/>
        <v>0</v>
      </c>
      <c r="M52" s="74">
        <f t="shared" si="0"/>
        <v>0</v>
      </c>
      <c r="N52" s="74">
        <f t="shared" si="0"/>
        <v>0</v>
      </c>
      <c r="O52" s="74">
        <f t="shared" si="0"/>
        <v>0</v>
      </c>
      <c r="P52" s="74">
        <f t="shared" si="0"/>
        <v>0</v>
      </c>
      <c r="Q52" s="74">
        <f t="shared" si="0"/>
        <v>0</v>
      </c>
      <c r="R52" s="74">
        <f t="shared" si="0"/>
        <v>0</v>
      </c>
      <c r="S52" s="74">
        <f t="shared" si="0"/>
        <v>0</v>
      </c>
      <c r="T52" s="74">
        <f t="shared" si="0"/>
        <v>0</v>
      </c>
      <c r="U52" s="74">
        <f t="shared" si="0"/>
        <v>0</v>
      </c>
      <c r="V52" s="74">
        <f t="shared" si="0"/>
        <v>0</v>
      </c>
      <c r="W52" s="74">
        <f t="shared" si="0"/>
        <v>0</v>
      </c>
      <c r="X52" s="74">
        <f t="shared" si="0"/>
        <v>0</v>
      </c>
      <c r="Y52" s="74">
        <f t="shared" si="0"/>
        <v>0</v>
      </c>
      <c r="Z52" s="74">
        <f t="shared" si="0"/>
        <v>0</v>
      </c>
      <c r="AA52" s="74">
        <f t="shared" si="0"/>
        <v>0</v>
      </c>
      <c r="AB52" s="74">
        <f t="shared" si="0"/>
        <v>0</v>
      </c>
      <c r="AC52" s="74">
        <f t="shared" si="0"/>
        <v>0</v>
      </c>
      <c r="AD52" s="74">
        <f t="shared" si="0"/>
        <v>0</v>
      </c>
      <c r="AE52" s="74">
        <f t="shared" si="0"/>
        <v>0</v>
      </c>
      <c r="AF52" s="74">
        <f t="shared" si="0"/>
        <v>0</v>
      </c>
      <c r="AG52" s="74">
        <f t="shared" si="0"/>
        <v>0</v>
      </c>
      <c r="AH52" s="74">
        <f t="shared" si="0"/>
        <v>-9218.0985202273096</v>
      </c>
      <c r="AI52" s="74">
        <f t="shared" si="0"/>
        <v>-11897.399191075878</v>
      </c>
      <c r="AJ52" s="74">
        <f t="shared" si="0"/>
        <v>-2255.262892705905</v>
      </c>
      <c r="AK52" s="74">
        <f t="shared" si="0"/>
        <v>2030.6045450118909</v>
      </c>
      <c r="AL52" s="74">
        <f t="shared" si="0"/>
        <v>11427.778925767379</v>
      </c>
      <c r="AM52" s="74">
        <f t="shared" si="0"/>
        <v>21227.02940197273</v>
      </c>
      <c r="AN52" s="74">
        <f t="shared" si="0"/>
        <v>30572.25763716604</v>
      </c>
    </row>
    <row r="53" spans="2:40" x14ac:dyDescent="0.25">
      <c r="E53" s="105" t="str">
        <f>IFERROR(E52/E37,"")</f>
        <v/>
      </c>
      <c r="F53" s="105" t="str">
        <f t="shared" ref="F53:AN53" si="1">IFERROR(F52/F37,"")</f>
        <v/>
      </c>
      <c r="G53" s="105" t="str">
        <f t="shared" si="1"/>
        <v/>
      </c>
      <c r="H53" s="105" t="str">
        <f t="shared" si="1"/>
        <v/>
      </c>
      <c r="I53" s="105" t="str">
        <f t="shared" si="1"/>
        <v/>
      </c>
      <c r="J53" s="105" t="str">
        <f t="shared" si="1"/>
        <v/>
      </c>
      <c r="K53" s="105" t="str">
        <f t="shared" si="1"/>
        <v/>
      </c>
      <c r="L53" s="105" t="str">
        <f t="shared" si="1"/>
        <v/>
      </c>
      <c r="M53" s="105" t="str">
        <f t="shared" si="1"/>
        <v/>
      </c>
      <c r="N53" s="105" t="str">
        <f t="shared" si="1"/>
        <v/>
      </c>
      <c r="O53" s="105" t="str">
        <f t="shared" si="1"/>
        <v/>
      </c>
      <c r="P53" s="105" t="str">
        <f t="shared" si="1"/>
        <v/>
      </c>
      <c r="Q53" s="105" t="str">
        <f t="shared" si="1"/>
        <v/>
      </c>
      <c r="R53" s="105" t="str">
        <f t="shared" si="1"/>
        <v/>
      </c>
      <c r="S53" s="105" t="str">
        <f t="shared" si="1"/>
        <v/>
      </c>
      <c r="T53" s="105" t="str">
        <f t="shared" si="1"/>
        <v/>
      </c>
      <c r="U53" s="105" t="str">
        <f t="shared" si="1"/>
        <v/>
      </c>
      <c r="V53" s="105" t="str">
        <f t="shared" si="1"/>
        <v/>
      </c>
      <c r="W53" s="105" t="str">
        <f t="shared" si="1"/>
        <v/>
      </c>
      <c r="X53" s="105" t="str">
        <f t="shared" si="1"/>
        <v/>
      </c>
      <c r="Y53" s="105" t="str">
        <f t="shared" si="1"/>
        <v/>
      </c>
      <c r="Z53" s="105" t="str">
        <f t="shared" si="1"/>
        <v/>
      </c>
      <c r="AA53" s="105" t="str">
        <f t="shared" si="1"/>
        <v/>
      </c>
      <c r="AB53" s="105" t="str">
        <f t="shared" si="1"/>
        <v/>
      </c>
      <c r="AC53" s="105" t="str">
        <f t="shared" si="1"/>
        <v/>
      </c>
      <c r="AD53" s="105" t="str">
        <f t="shared" si="1"/>
        <v/>
      </c>
      <c r="AE53" s="105" t="str">
        <f t="shared" si="1"/>
        <v/>
      </c>
      <c r="AF53" s="105" t="str">
        <f t="shared" si="1"/>
        <v/>
      </c>
      <c r="AG53" s="105" t="str">
        <f t="shared" si="1"/>
        <v/>
      </c>
      <c r="AH53" s="105">
        <f t="shared" si="1"/>
        <v>-1.0881822444532738</v>
      </c>
      <c r="AI53" s="105">
        <f t="shared" si="1"/>
        <v>-0.46815651212278675</v>
      </c>
      <c r="AJ53" s="105">
        <f t="shared" si="1"/>
        <v>-5.3246057872602968E-2</v>
      </c>
      <c r="AK53" s="105">
        <f t="shared" si="1"/>
        <v>3.9951619930787538E-2</v>
      </c>
      <c r="AL53" s="105">
        <f t="shared" si="1"/>
        <v>0.16862894898104649</v>
      </c>
      <c r="AM53" s="105">
        <f t="shared" si="1"/>
        <v>0.2505817924057589</v>
      </c>
      <c r="AN53" s="105">
        <f t="shared" si="1"/>
        <v>0.30075063619514897</v>
      </c>
    </row>
    <row r="55" spans="2:40" x14ac:dyDescent="0.25">
      <c r="B55" t="s">
        <v>57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0</v>
      </c>
      <c r="D55" s="12">
        <f>C55-SUM(_xlfn.ANCHORARRAY(E55))</f>
        <v>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</row>
    <row r="56" spans="2:40" x14ac:dyDescent="0.25">
      <c r="B56" t="s">
        <v>285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0</v>
      </c>
      <c r="F56" s="90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0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0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0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0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-1270.6647118000001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-3811.9941353999989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276</v>
      </c>
      <c r="E58" s="13">
        <f>E37-E50-E55+E56</f>
        <v>0</v>
      </c>
      <c r="F58" s="13">
        <f t="shared" ref="F58:AN58" si="2">F37-F50-F55+F56</f>
        <v>0</v>
      </c>
      <c r="G58" s="13">
        <f t="shared" si="2"/>
        <v>0</v>
      </c>
      <c r="H58" s="13">
        <f t="shared" si="2"/>
        <v>0</v>
      </c>
      <c r="I58" s="13">
        <f t="shared" si="2"/>
        <v>0</v>
      </c>
      <c r="J58" s="13">
        <f t="shared" si="2"/>
        <v>0</v>
      </c>
      <c r="K58" s="13">
        <f t="shared" si="2"/>
        <v>0</v>
      </c>
      <c r="L58" s="13">
        <f t="shared" si="2"/>
        <v>0</v>
      </c>
      <c r="M58" s="13">
        <f t="shared" si="2"/>
        <v>0</v>
      </c>
      <c r="N58" s="13">
        <f t="shared" si="2"/>
        <v>0</v>
      </c>
      <c r="O58" s="13">
        <f t="shared" si="2"/>
        <v>0</v>
      </c>
      <c r="P58" s="13">
        <f t="shared" si="2"/>
        <v>0</v>
      </c>
      <c r="Q58" s="13">
        <f t="shared" si="2"/>
        <v>0</v>
      </c>
      <c r="R58" s="13">
        <f t="shared" si="2"/>
        <v>0</v>
      </c>
      <c r="S58" s="13">
        <f t="shared" si="2"/>
        <v>0</v>
      </c>
      <c r="T58" s="13">
        <f t="shared" si="2"/>
        <v>0</v>
      </c>
      <c r="U58" s="13">
        <f t="shared" si="2"/>
        <v>0</v>
      </c>
      <c r="V58" s="13">
        <f t="shared" si="2"/>
        <v>0</v>
      </c>
      <c r="W58" s="13">
        <f t="shared" si="2"/>
        <v>0</v>
      </c>
      <c r="X58" s="13">
        <f t="shared" si="2"/>
        <v>0</v>
      </c>
      <c r="Y58" s="13">
        <f t="shared" si="2"/>
        <v>0</v>
      </c>
      <c r="Z58" s="13">
        <f t="shared" si="2"/>
        <v>0</v>
      </c>
      <c r="AA58" s="13">
        <f t="shared" si="2"/>
        <v>0</v>
      </c>
      <c r="AB58" s="13">
        <f t="shared" si="2"/>
        <v>0</v>
      </c>
      <c r="AC58" s="13">
        <f t="shared" si="2"/>
        <v>0</v>
      </c>
      <c r="AD58" s="13">
        <f t="shared" si="2"/>
        <v>0</v>
      </c>
      <c r="AE58" s="13">
        <f t="shared" si="2"/>
        <v>0</v>
      </c>
      <c r="AF58" s="13">
        <f t="shared" si="2"/>
        <v>0</v>
      </c>
      <c r="AG58" s="13">
        <f t="shared" si="2"/>
        <v>0</v>
      </c>
      <c r="AH58" s="13">
        <f t="shared" si="2"/>
        <v>-9218.0985202273096</v>
      </c>
      <c r="AI58" s="13">
        <f t="shared" si="2"/>
        <v>-11897.399191075878</v>
      </c>
      <c r="AJ58" s="13">
        <f t="shared" si="2"/>
        <v>-2255.262892705905</v>
      </c>
      <c r="AK58" s="13">
        <f t="shared" si="2"/>
        <v>2030.6045450118909</v>
      </c>
      <c r="AL58" s="13">
        <f t="shared" si="2"/>
        <v>11427.778925767379</v>
      </c>
      <c r="AM58" s="13">
        <f t="shared" si="2"/>
        <v>19956.36469017273</v>
      </c>
      <c r="AN58" s="13">
        <f t="shared" si="2"/>
        <v>26760.26350176604</v>
      </c>
    </row>
    <row r="59" spans="2:40" x14ac:dyDescent="0.25">
      <c r="B59" t="s">
        <v>277</v>
      </c>
      <c r="E59" s="12" cm="1">
        <f t="array" ref="E59:AN59">_xlfn.SCAN(-D55,E58:AN58,_xlfn.LAMBDA(_xlpm.capex,_xlpm.fcf,_xlpm.capex+_xlpm.fcf))</f>
        <v>0</v>
      </c>
      <c r="F59" s="12">
        <v>0</v>
      </c>
      <c r="G59" s="12">
        <v>0</v>
      </c>
      <c r="H59" s="12">
        <v>0</v>
      </c>
      <c r="I59" s="12">
        <v>0</v>
      </c>
      <c r="J59" s="12">
        <v>0</v>
      </c>
      <c r="K59" s="12">
        <v>0</v>
      </c>
      <c r="L59" s="12">
        <v>0</v>
      </c>
      <c r="M59" s="12">
        <v>0</v>
      </c>
      <c r="N59" s="12">
        <v>0</v>
      </c>
      <c r="O59" s="12">
        <v>0</v>
      </c>
      <c r="P59" s="12">
        <v>0</v>
      </c>
      <c r="Q59" s="12">
        <v>0</v>
      </c>
      <c r="R59" s="12">
        <v>0</v>
      </c>
      <c r="S59" s="12">
        <v>0</v>
      </c>
      <c r="T59" s="12">
        <v>0</v>
      </c>
      <c r="U59" s="12">
        <v>0</v>
      </c>
      <c r="V59" s="12">
        <v>0</v>
      </c>
      <c r="W59" s="12">
        <v>0</v>
      </c>
      <c r="X59" s="12">
        <v>0</v>
      </c>
      <c r="Y59" s="12">
        <v>0</v>
      </c>
      <c r="Z59" s="12">
        <v>0</v>
      </c>
      <c r="AA59" s="12">
        <v>0</v>
      </c>
      <c r="AB59" s="12">
        <v>0</v>
      </c>
      <c r="AC59" s="12">
        <v>0</v>
      </c>
      <c r="AD59" s="12">
        <v>0</v>
      </c>
      <c r="AE59" s="12">
        <v>0</v>
      </c>
      <c r="AF59" s="12">
        <v>0</v>
      </c>
      <c r="AG59" s="12">
        <v>0</v>
      </c>
      <c r="AH59" s="12">
        <v>-9218.0985202273096</v>
      </c>
      <c r="AI59" s="12">
        <v>-21115.497711303185</v>
      </c>
      <c r="AJ59" s="12">
        <v>-23370.76060400909</v>
      </c>
      <c r="AK59" s="12">
        <v>-21340.1560589972</v>
      </c>
      <c r="AL59" s="12">
        <v>-9912.3771332298202</v>
      </c>
      <c r="AM59" s="12">
        <v>10043.98755694291</v>
      </c>
      <c r="AN59" s="12">
        <v>36804.251058708949</v>
      </c>
    </row>
    <row r="61" spans="2:40" x14ac:dyDescent="0.25">
      <c r="B61" s="1" t="s">
        <v>302</v>
      </c>
    </row>
    <row r="63" spans="2:40" x14ac:dyDescent="0.25">
      <c r="B63" s="39" t="s">
        <v>103</v>
      </c>
      <c r="E63" s="12" cm="1">
        <f t="array" ref="E63:AN63">_xlfn.LET(_xlpm.site,$B$1&amp;"-"&amp;$C$1,_xlpm.locations,Base!$D$4:$BD$4,_xlpm.rates,Base!$D$36:$BD$36,_xlpm.hours,Base!$D$79:$BD$79,_xlpm.comp,_xlpm.rates*_xlpm.hours,_xlpm.Customer,_xlfn.ANCHORARRAY($E$1),
_xlpm.Customer_comp,_xlfn.XLOOKUP(_xlpm.site,_xlpm.locations,_xlpm.comp,0,0),_xlpm.ann_incr,_xlfn.XLOOKUP(YEAR(_xlfn.ANCHORARRAY($E$25)),Base!$BJ$4:$BL$4,Base!$BJ$79:$BL$79,0,0),
_xlpm.bad_debt,_xlfn.XLOOKUP(_xlpm.site,_xlpm.locations,Base!$D$28:$BD$28,0,0),_xlpm.Customer_comp*_xlpm.Customer*_xlpm.bad_debt*_xlpm.ann_incr*(52/12)*(1-$C$35))</f>
        <v>0</v>
      </c>
      <c r="F63" s="12">
        <v>0</v>
      </c>
      <c r="G63" s="12">
        <v>0</v>
      </c>
      <c r="H63" s="12">
        <v>0</v>
      </c>
      <c r="I63" s="12">
        <v>0</v>
      </c>
      <c r="J63" s="12">
        <v>0</v>
      </c>
      <c r="K63" s="12">
        <v>0</v>
      </c>
      <c r="L63" s="12">
        <v>0</v>
      </c>
      <c r="M63" s="12">
        <v>0</v>
      </c>
      <c r="N63" s="12">
        <v>0</v>
      </c>
      <c r="O63" s="12">
        <v>0</v>
      </c>
      <c r="P63" s="12">
        <v>0</v>
      </c>
      <c r="Q63" s="12">
        <v>0</v>
      </c>
      <c r="R63" s="12">
        <v>0</v>
      </c>
      <c r="S63" s="12">
        <v>0</v>
      </c>
      <c r="T63" s="12">
        <v>0</v>
      </c>
      <c r="U63" s="12">
        <v>0</v>
      </c>
      <c r="V63" s="12">
        <v>0</v>
      </c>
      <c r="W63" s="12">
        <v>0</v>
      </c>
      <c r="X63" s="12">
        <v>0</v>
      </c>
      <c r="Y63" s="12">
        <v>0</v>
      </c>
      <c r="Z63" s="12">
        <v>0</v>
      </c>
      <c r="AA63" s="12">
        <v>0</v>
      </c>
      <c r="AB63" s="12">
        <v>0</v>
      </c>
      <c r="AC63" s="12">
        <v>0</v>
      </c>
      <c r="AD63" s="12">
        <v>0</v>
      </c>
      <c r="AE63" s="12">
        <v>0</v>
      </c>
      <c r="AF63" s="12">
        <v>0</v>
      </c>
      <c r="AG63" s="12">
        <v>0</v>
      </c>
      <c r="AH63" s="12">
        <v>0</v>
      </c>
      <c r="AI63" s="12">
        <v>0</v>
      </c>
      <c r="AJ63" s="12">
        <v>0</v>
      </c>
      <c r="AK63" s="12">
        <v>0</v>
      </c>
      <c r="AL63" s="12">
        <v>0</v>
      </c>
      <c r="AM63" s="12">
        <v>0</v>
      </c>
      <c r="AN63" s="12">
        <v>0</v>
      </c>
    </row>
    <row r="64" spans="2:40" x14ac:dyDescent="0.25">
      <c r="B64" s="39" t="s">
        <v>104</v>
      </c>
      <c r="E64" s="12" cm="1">
        <f t="array" ref="E64:AN64">_xlfn.LET(_xlpm.site,$B$1&amp;"-"&amp;$C$1,_xlpm.locations,Base!$D$4:$BD$4,_xlpm.rates,Base!$D$37:$BD$37,_xlpm.hours,Base!$D$80:$BD$80,_xlpm.comp,_xlpm.rates*_xlpm.hours,_xlpm.Customer,_xlfn.ANCHORARRAY($E$1),
_xlpm.Customer_comp,_xlfn.XLOOKUP(_xlpm.site,_xlpm.locations,_xlpm.comp,0,0),_xlpm.ann_incr,_xlfn.XLOOKUP(YEAR(_xlfn.ANCHORARRAY($E$25)),Base!$BJ$4:$BL$4,Base!$BJ$80:$BL$80,0,0),
_xlpm.bad_debt,_xlfn.XLOOKUP(_xlpm.site,_xlpm.locations,Base!$D$28:$BD$28,0,0),_xlpm.Customer_comp*_xlpm.Customer*_xlpm.bad_debt*_xlpm.ann_incr*(52/12)*(1-$C$35))</f>
        <v>0</v>
      </c>
      <c r="F64" s="12">
        <v>0</v>
      </c>
      <c r="G64" s="12">
        <v>0</v>
      </c>
      <c r="H64" s="12">
        <v>0</v>
      </c>
      <c r="I64" s="12">
        <v>0</v>
      </c>
      <c r="J64" s="12">
        <v>0</v>
      </c>
      <c r="K64" s="12">
        <v>0</v>
      </c>
      <c r="L64" s="12">
        <v>0</v>
      </c>
      <c r="M64" s="12">
        <v>0</v>
      </c>
      <c r="N64" s="12">
        <v>0</v>
      </c>
      <c r="O64" s="12">
        <v>0</v>
      </c>
      <c r="P64" s="12">
        <v>0</v>
      </c>
      <c r="Q64" s="12">
        <v>0</v>
      </c>
      <c r="R64" s="12">
        <v>0</v>
      </c>
      <c r="S64" s="12">
        <v>0</v>
      </c>
      <c r="T64" s="12">
        <v>0</v>
      </c>
      <c r="U64" s="12">
        <v>0</v>
      </c>
      <c r="V64" s="12">
        <v>0</v>
      </c>
      <c r="W64" s="12">
        <v>0</v>
      </c>
      <c r="X64" s="12">
        <v>0</v>
      </c>
      <c r="Y64" s="12">
        <v>0</v>
      </c>
      <c r="Z64" s="12">
        <v>0</v>
      </c>
      <c r="AA64" s="12">
        <v>0</v>
      </c>
      <c r="AB64" s="12">
        <v>0</v>
      </c>
      <c r="AC64" s="12">
        <v>0</v>
      </c>
      <c r="AD64" s="12">
        <v>0</v>
      </c>
      <c r="AE64" s="12">
        <v>0</v>
      </c>
      <c r="AF64" s="12">
        <v>0</v>
      </c>
      <c r="AG64" s="12">
        <v>0</v>
      </c>
      <c r="AH64" s="12">
        <v>0</v>
      </c>
      <c r="AI64" s="12">
        <v>0</v>
      </c>
      <c r="AJ64" s="12">
        <v>0</v>
      </c>
      <c r="AK64" s="12">
        <v>0</v>
      </c>
      <c r="AL64" s="12">
        <v>0</v>
      </c>
      <c r="AM64" s="12">
        <v>0</v>
      </c>
      <c r="AN64" s="12">
        <v>0</v>
      </c>
    </row>
    <row r="65" spans="2:40" x14ac:dyDescent="0.25">
      <c r="B65" s="39" t="s">
        <v>56</v>
      </c>
      <c r="E65" s="12" cm="1">
        <f t="array" ref="E65:AN65">_xlfn.LET(_xlpm.site,$B$1&amp;"-"&amp;$C$1,_xlpm.locations,Base!$D$4:$BD$4,_xlpm.rates,Base!$D$39:$BD$39,_xlpm.hours,Base!$D$82:$BD$82,_xlpm.comp,_xlpm.rates*_xlpm.hours,_xlpm.Customer,_xlfn.ANCHORARRAY($E$1),
_xlpm.Customer_comp,_xlfn.XLOOKUP(_xlpm.site,_xlpm.locations,_xlpm.comp,0,0),_xlpm.ann_incr,_xlfn.XLOOKUP(YEAR(_xlfn.ANCHORARRAY($E$25)),Base!$BJ$4:$BL$4,Base!$BJ$82:$BL$82,0,0),
_xlpm.bad_debt,_xlfn.XLOOKUP(_xlpm.site,_xlpm.locations,Base!$D$28:$BD$28,0,0),_xlpm.Customer_comp*_xlpm.Customer*_xlpm.bad_debt*_xlpm.ann_incr*(52/12)*(1-$C$35))</f>
        <v>0</v>
      </c>
      <c r="F65" s="12">
        <v>0</v>
      </c>
      <c r="G65" s="12">
        <v>0</v>
      </c>
      <c r="H65" s="12">
        <v>0</v>
      </c>
      <c r="I65" s="12">
        <v>0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  <c r="O65" s="12">
        <v>0</v>
      </c>
      <c r="P65" s="12">
        <v>0</v>
      </c>
      <c r="Q65" s="12">
        <v>0</v>
      </c>
      <c r="R65" s="12">
        <v>0</v>
      </c>
      <c r="S65" s="12">
        <v>0</v>
      </c>
      <c r="T65" s="12">
        <v>0</v>
      </c>
      <c r="U65" s="12">
        <v>0</v>
      </c>
      <c r="V65" s="12">
        <v>0</v>
      </c>
      <c r="W65" s="12">
        <v>0</v>
      </c>
      <c r="X65" s="12">
        <v>0</v>
      </c>
      <c r="Y65" s="12">
        <v>0</v>
      </c>
      <c r="Z65" s="12">
        <v>0</v>
      </c>
      <c r="AA65" s="12">
        <v>0</v>
      </c>
      <c r="AB65" s="12">
        <v>0</v>
      </c>
      <c r="AC65" s="12">
        <v>0</v>
      </c>
      <c r="AD65" s="12">
        <v>0</v>
      </c>
      <c r="AE65" s="12">
        <v>0</v>
      </c>
      <c r="AF65" s="12">
        <v>0</v>
      </c>
      <c r="AG65" s="12">
        <v>0</v>
      </c>
      <c r="AH65" s="12">
        <v>0</v>
      </c>
      <c r="AI65" s="12">
        <v>0</v>
      </c>
      <c r="AJ65" s="12">
        <v>0</v>
      </c>
      <c r="AK65" s="12">
        <v>0</v>
      </c>
      <c r="AL65" s="12">
        <v>0</v>
      </c>
      <c r="AM65" s="12">
        <v>0</v>
      </c>
      <c r="AN65" s="12">
        <v>0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303</v>
      </c>
      <c r="C67" s="12"/>
      <c r="E67" s="13" cm="1">
        <f t="array" ref="E67:AN67">_xlfn.BYCOL(_xlfn.VSTACK(_xlfn.ANCHORARRAY($E$63),_xlfn.ANCHORARRAY($E$64),_xlfn.ANCHORARRAY($E$65)),_xlfn.LAMBDA(_xlpm.a,SUM(_xlpm.a)))</f>
        <v>0</v>
      </c>
      <c r="F67" s="13">
        <v>0</v>
      </c>
      <c r="G67" s="13">
        <v>0</v>
      </c>
      <c r="H67" s="13">
        <v>0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  <c r="W67" s="13">
        <v>0</v>
      </c>
      <c r="X67" s="13">
        <v>0</v>
      </c>
      <c r="Y67" s="13">
        <v>0</v>
      </c>
      <c r="Z67" s="13">
        <v>0</v>
      </c>
      <c r="AA67" s="13">
        <v>0</v>
      </c>
      <c r="AB67" s="13">
        <v>0</v>
      </c>
      <c r="AC67" s="13">
        <v>0</v>
      </c>
      <c r="AD67" s="13">
        <v>0</v>
      </c>
      <c r="AE67" s="13">
        <v>0</v>
      </c>
      <c r="AF67" s="13">
        <v>0</v>
      </c>
      <c r="AG67" s="13">
        <v>0</v>
      </c>
      <c r="AH67" s="13">
        <v>0</v>
      </c>
      <c r="AI67" s="13">
        <v>0</v>
      </c>
      <c r="AJ67" s="13">
        <v>0</v>
      </c>
      <c r="AK67" s="13">
        <v>0</v>
      </c>
      <c r="AL67" s="13">
        <v>0</v>
      </c>
      <c r="AM67" s="13">
        <v>0</v>
      </c>
      <c r="AN67" s="13">
        <v>0</v>
      </c>
    </row>
    <row r="68" spans="2:40" x14ac:dyDescent="0.25">
      <c r="B68" s="39"/>
      <c r="C68" s="12"/>
    </row>
    <row r="69" spans="2:40" x14ac:dyDescent="0.25">
      <c r="B69" s="39" t="s">
        <v>304</v>
      </c>
      <c r="C69" s="12"/>
      <c r="E69" s="106" cm="1">
        <f t="array" ref="E69:AN70">_xlfn.LET(_xlpm.Customer_staff,_xlfn._xlws.FILTER(Base!$D$96:$BD$97,ISNUMBER(SEARCH($B$1&amp;"-"&amp;$C$1,Base!$D$4:$BD$4))),_xlpm.Customer,_xlfn.ANCHORARRAY($E$1),_xlpm.headcount,_xlpm.Customer/_xlpm.Customer_staff,
_xlpm.rounding,_xlfn.VSTACK(0,0),IFERROR(ROUND(_xlpm.headcount,_xlpm.rounding),0))</f>
        <v>0</v>
      </c>
      <c r="F69" s="106">
        <v>0</v>
      </c>
      <c r="G69" s="106">
        <v>0</v>
      </c>
      <c r="H69" s="106">
        <v>0</v>
      </c>
      <c r="I69" s="106">
        <v>0</v>
      </c>
      <c r="J69" s="106">
        <v>0</v>
      </c>
      <c r="K69" s="106">
        <v>0</v>
      </c>
      <c r="L69" s="106">
        <v>0</v>
      </c>
      <c r="M69" s="106">
        <v>0</v>
      </c>
      <c r="N69" s="106">
        <v>0</v>
      </c>
      <c r="O69" s="106">
        <v>0</v>
      </c>
      <c r="P69" s="106">
        <v>0</v>
      </c>
      <c r="Q69" s="106">
        <v>0</v>
      </c>
      <c r="R69" s="106">
        <v>0</v>
      </c>
      <c r="S69" s="106">
        <v>0</v>
      </c>
      <c r="T69" s="106">
        <v>0</v>
      </c>
      <c r="U69" s="106">
        <v>0</v>
      </c>
      <c r="V69" s="106">
        <v>0</v>
      </c>
      <c r="W69" s="106">
        <v>0</v>
      </c>
      <c r="X69" s="106">
        <v>0</v>
      </c>
      <c r="Y69" s="106">
        <v>0</v>
      </c>
      <c r="Z69" s="106">
        <v>0</v>
      </c>
      <c r="AA69" s="106">
        <v>0</v>
      </c>
      <c r="AB69" s="106">
        <v>0</v>
      </c>
      <c r="AC69" s="106">
        <v>0</v>
      </c>
      <c r="AD69" s="106">
        <v>0</v>
      </c>
      <c r="AE69" s="106">
        <v>0</v>
      </c>
      <c r="AF69" s="106">
        <v>0</v>
      </c>
      <c r="AG69" s="106">
        <v>0</v>
      </c>
      <c r="AH69" s="106">
        <v>0</v>
      </c>
      <c r="AI69" s="106">
        <v>0</v>
      </c>
      <c r="AJ69" s="106">
        <v>0</v>
      </c>
      <c r="AK69" s="106">
        <v>0</v>
      </c>
      <c r="AL69" s="106">
        <v>0</v>
      </c>
      <c r="AM69" s="106">
        <v>0</v>
      </c>
      <c r="AN69" s="106">
        <v>0</v>
      </c>
    </row>
    <row r="70" spans="2:40" x14ac:dyDescent="0.25">
      <c r="B70" s="39" t="s">
        <v>305</v>
      </c>
      <c r="C70" s="12"/>
      <c r="E70" s="106">
        <v>0</v>
      </c>
      <c r="F70" s="106">
        <v>0</v>
      </c>
      <c r="G70" s="106">
        <v>0</v>
      </c>
      <c r="H70" s="106">
        <v>0</v>
      </c>
      <c r="I70" s="106">
        <v>0</v>
      </c>
      <c r="J70" s="106">
        <v>0</v>
      </c>
      <c r="K70" s="106">
        <v>0</v>
      </c>
      <c r="L70" s="106">
        <v>0</v>
      </c>
      <c r="M70" s="106">
        <v>0</v>
      </c>
      <c r="N70" s="106">
        <v>0</v>
      </c>
      <c r="O70" s="106">
        <v>0</v>
      </c>
      <c r="P70" s="106">
        <v>0</v>
      </c>
      <c r="Q70" s="106">
        <v>0</v>
      </c>
      <c r="R70" s="106">
        <v>0</v>
      </c>
      <c r="S70" s="106">
        <v>0</v>
      </c>
      <c r="T70" s="106">
        <v>0</v>
      </c>
      <c r="U70" s="106">
        <v>0</v>
      </c>
      <c r="V70" s="106">
        <v>0</v>
      </c>
      <c r="W70" s="106">
        <v>0</v>
      </c>
      <c r="X70" s="106">
        <v>0</v>
      </c>
      <c r="Y70" s="106">
        <v>0</v>
      </c>
      <c r="Z70" s="106">
        <v>0</v>
      </c>
      <c r="AA70" s="106">
        <v>0</v>
      </c>
      <c r="AB70" s="106">
        <v>0</v>
      </c>
      <c r="AC70" s="106">
        <v>0</v>
      </c>
      <c r="AD70" s="106">
        <v>0</v>
      </c>
      <c r="AE70" s="106">
        <v>0</v>
      </c>
      <c r="AF70" s="106">
        <v>0</v>
      </c>
      <c r="AG70" s="106">
        <v>0</v>
      </c>
      <c r="AH70" s="106">
        <v>0</v>
      </c>
      <c r="AI70" s="106">
        <v>0</v>
      </c>
      <c r="AJ70" s="106">
        <v>0</v>
      </c>
      <c r="AK70" s="106">
        <v>0</v>
      </c>
      <c r="AL70" s="106">
        <v>0</v>
      </c>
      <c r="AM70" s="106">
        <v>0</v>
      </c>
      <c r="AN70" s="106">
        <v>0</v>
      </c>
    </row>
    <row r="71" spans="2:40" x14ac:dyDescent="0.25">
      <c r="B71" s="39"/>
      <c r="C71" s="12"/>
    </row>
    <row r="72" spans="2:40" x14ac:dyDescent="0.25">
      <c r="B72" s="39" t="s">
        <v>23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0</v>
      </c>
      <c r="F72" s="12">
        <v>0</v>
      </c>
      <c r="G72" s="12">
        <v>0</v>
      </c>
      <c r="H72" s="12">
        <v>0</v>
      </c>
      <c r="I72" s="12">
        <v>0</v>
      </c>
      <c r="J72" s="12">
        <v>0</v>
      </c>
      <c r="K72" s="12">
        <v>0</v>
      </c>
      <c r="L72" s="12">
        <v>0</v>
      </c>
      <c r="M72" s="12">
        <v>0</v>
      </c>
      <c r="N72" s="12">
        <v>0</v>
      </c>
      <c r="O72" s="12">
        <v>0</v>
      </c>
      <c r="P72" s="12">
        <v>0</v>
      </c>
      <c r="Q72" s="12">
        <v>0</v>
      </c>
      <c r="R72" s="12">
        <v>0</v>
      </c>
      <c r="S72" s="12">
        <v>0</v>
      </c>
      <c r="T72" s="12">
        <v>0</v>
      </c>
      <c r="U72" s="12">
        <v>0</v>
      </c>
      <c r="V72" s="12">
        <v>0</v>
      </c>
      <c r="W72" s="12">
        <v>0</v>
      </c>
      <c r="X72" s="12">
        <v>0</v>
      </c>
      <c r="Y72" s="12">
        <v>0</v>
      </c>
      <c r="Z72" s="12">
        <v>0</v>
      </c>
      <c r="AA72" s="12">
        <v>0</v>
      </c>
      <c r="AB72" s="12">
        <v>0</v>
      </c>
      <c r="AC72" s="12">
        <v>0</v>
      </c>
      <c r="AD72" s="12">
        <v>0</v>
      </c>
      <c r="AE72" s="12">
        <v>0</v>
      </c>
      <c r="AF72" s="12">
        <v>0</v>
      </c>
      <c r="AG72" s="12">
        <v>0</v>
      </c>
      <c r="AH72" s="12">
        <v>1.2691023820243568E-3</v>
      </c>
      <c r="AI72" s="12">
        <v>3.8073071460730718E-3</v>
      </c>
      <c r="AJ72" s="12">
        <v>6.3455119101217868E-3</v>
      </c>
      <c r="AK72" s="12">
        <v>7.6146142921461437E-3</v>
      </c>
      <c r="AL72" s="12">
        <v>1.0152819056194855E-2</v>
      </c>
      <c r="AM72" s="12">
        <v>1.2691023820243574E-2</v>
      </c>
      <c r="AN72" s="12">
        <v>1.5229228584292287E-2</v>
      </c>
    </row>
    <row r="73" spans="2:40" x14ac:dyDescent="0.25">
      <c r="B73" s="39" t="s">
        <v>24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306</v>
      </c>
      <c r="E75" s="74" cm="1">
        <f t="array" ref="E75:AN75">_xlfn.ANCHORARRAY(E67)-_xlfn.ANCHORARRAY(E72)-_xlfn.ANCHORARRAY(E73)</f>
        <v>0</v>
      </c>
      <c r="F75" s="74">
        <v>0</v>
      </c>
      <c r="G75" s="74">
        <v>0</v>
      </c>
      <c r="H75" s="74">
        <v>0</v>
      </c>
      <c r="I75" s="74">
        <v>0</v>
      </c>
      <c r="J75" s="74">
        <v>0</v>
      </c>
      <c r="K75" s="74">
        <v>0</v>
      </c>
      <c r="L75" s="74">
        <v>0</v>
      </c>
      <c r="M75" s="74">
        <v>0</v>
      </c>
      <c r="N75" s="74">
        <v>0</v>
      </c>
      <c r="O75" s="74">
        <v>0</v>
      </c>
      <c r="P75" s="74">
        <v>0</v>
      </c>
      <c r="Q75" s="74">
        <v>0</v>
      </c>
      <c r="R75" s="74">
        <v>0</v>
      </c>
      <c r="S75" s="74">
        <v>0</v>
      </c>
      <c r="T75" s="74">
        <v>0</v>
      </c>
      <c r="U75" s="74">
        <v>0</v>
      </c>
      <c r="V75" s="74">
        <v>0</v>
      </c>
      <c r="W75" s="74">
        <v>0</v>
      </c>
      <c r="X75" s="74">
        <v>0</v>
      </c>
      <c r="Y75" s="74">
        <v>0</v>
      </c>
      <c r="Z75" s="74">
        <v>0</v>
      </c>
      <c r="AA75" s="74">
        <v>0</v>
      </c>
      <c r="AB75" s="74">
        <v>0</v>
      </c>
      <c r="AC75" s="74">
        <v>0</v>
      </c>
      <c r="AD75" s="74">
        <v>0</v>
      </c>
      <c r="AE75" s="74">
        <v>0</v>
      </c>
      <c r="AF75" s="74">
        <v>0</v>
      </c>
      <c r="AG75" s="74">
        <v>0</v>
      </c>
      <c r="AH75" s="74">
        <v>-1.2691023820243568E-3</v>
      </c>
      <c r="AI75" s="74">
        <v>-3.8073071460730718E-3</v>
      </c>
      <c r="AJ75" s="74">
        <v>-6.3455119101217868E-3</v>
      </c>
      <c r="AK75" s="74">
        <v>-7.6146142921461437E-3</v>
      </c>
      <c r="AL75" s="74">
        <v>-1.0152819056194855E-2</v>
      </c>
      <c r="AM75" s="74">
        <v>-1.2691023820243574E-2</v>
      </c>
      <c r="AN75" s="74">
        <v>-1.5229228584292287E-2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679D7E-2E2B-4205-A9D7-247A95DE1744}">
  <dimension ref="A1:AX75"/>
  <sheetViews>
    <sheetView workbookViewId="0">
      <pane xSplit="4" ySplit="25" topLeftCell="E26" activePane="bottomRight" state="frozen"/>
      <selection activeCell="E63" sqref="E63:E65"/>
      <selection pane="topRight" activeCell="E63" sqref="E63:E65"/>
      <selection pane="bottomLeft" activeCell="E63" sqref="E63:E65"/>
      <selection pane="bottomRight" activeCell="E63" sqref="E63:E65"/>
    </sheetView>
  </sheetViews>
  <sheetFormatPr defaultRowHeight="15" outlineLevelRow="1" x14ac:dyDescent="0.25"/>
  <cols>
    <col min="2" max="2" width="24.5703125" bestFit="1" customWidth="1"/>
    <col min="3" max="3" width="12.28515625" bestFit="1" customWidth="1"/>
    <col min="4" max="4" width="10" bestFit="1" customWidth="1"/>
    <col min="5" max="5" width="11.42578125" bestFit="1" customWidth="1"/>
    <col min="6" max="6" width="11.7109375" bestFit="1" customWidth="1"/>
    <col min="7" max="13" width="12.28515625" bestFit="1" customWidth="1"/>
    <col min="14" max="18" width="11.5703125" bestFit="1" customWidth="1"/>
    <col min="19" max="40" width="12.5703125" bestFit="1" customWidth="1"/>
  </cols>
  <sheetData>
    <row r="1" spans="1:40" x14ac:dyDescent="0.25">
      <c r="A1" s="96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>2028</v>
      </c>
      <c r="B1" s="58" t="s">
        <v>73</v>
      </c>
      <c r="C1" s="16" t="s">
        <v>61</v>
      </c>
      <c r="D1" s="3" t="s">
        <v>307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IFERROR(_xlpm.kiddos,0))</f>
        <v>0</v>
      </c>
      <c r="F1" s="69">
        <v>0</v>
      </c>
      <c r="G1" s="69">
        <v>0</v>
      </c>
      <c r="H1" s="69">
        <v>0</v>
      </c>
      <c r="I1" s="69">
        <v>0</v>
      </c>
      <c r="J1" s="69">
        <v>0</v>
      </c>
      <c r="K1" s="69">
        <v>0</v>
      </c>
      <c r="L1" s="69">
        <v>0</v>
      </c>
      <c r="M1" s="69">
        <v>0</v>
      </c>
      <c r="N1" s="69">
        <v>0</v>
      </c>
      <c r="O1" s="69">
        <v>0</v>
      </c>
      <c r="P1" s="69">
        <v>0</v>
      </c>
      <c r="Q1" s="69">
        <v>0</v>
      </c>
      <c r="R1" s="69">
        <v>0</v>
      </c>
      <c r="S1" s="69">
        <v>0</v>
      </c>
      <c r="T1" s="69">
        <v>0</v>
      </c>
      <c r="U1" s="69">
        <v>0</v>
      </c>
      <c r="V1" s="69">
        <v>0</v>
      </c>
      <c r="W1" s="69">
        <v>0</v>
      </c>
      <c r="X1" s="69">
        <v>0</v>
      </c>
      <c r="Y1" s="69">
        <v>0</v>
      </c>
      <c r="Z1" s="69">
        <v>0</v>
      </c>
      <c r="AA1" s="69">
        <v>0</v>
      </c>
      <c r="AB1" s="69">
        <v>0</v>
      </c>
      <c r="AC1" s="69">
        <v>0</v>
      </c>
      <c r="AD1" s="69">
        <v>0</v>
      </c>
      <c r="AE1" s="69">
        <v>0</v>
      </c>
      <c r="AF1" s="69">
        <v>0</v>
      </c>
      <c r="AG1" s="69">
        <v>0</v>
      </c>
      <c r="AH1" s="69">
        <v>0</v>
      </c>
      <c r="AI1" s="69">
        <v>0</v>
      </c>
      <c r="AJ1" s="69">
        <v>3</v>
      </c>
      <c r="AK1" s="69">
        <v>6</v>
      </c>
      <c r="AL1" s="69">
        <v>9</v>
      </c>
      <c r="AM1" s="69">
        <v>12</v>
      </c>
      <c r="AN1" s="69">
        <v>15</v>
      </c>
    </row>
    <row r="2" spans="1:40" x14ac:dyDescent="0.25">
      <c r="A2" s="65"/>
      <c r="B2" s="3" t="str">
        <f>_xlfn.XLOOKUP($B$1&amp;"-"&amp;$C$1,Base!$D$4:$BD$4,Base!$D$2:$BD$2,"",0)</f>
        <v>New Jersey</v>
      </c>
      <c r="C2" s="55"/>
      <c r="D2" s="55" t="s">
        <v>259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0</v>
      </c>
      <c r="F2" s="69">
        <v>0</v>
      </c>
      <c r="G2" s="69">
        <v>0</v>
      </c>
      <c r="H2" s="69">
        <v>0</v>
      </c>
      <c r="I2" s="69">
        <v>0</v>
      </c>
      <c r="J2" s="69">
        <v>0</v>
      </c>
      <c r="K2" s="69">
        <v>0</v>
      </c>
      <c r="L2" s="69">
        <v>0</v>
      </c>
      <c r="M2" s="69">
        <v>0</v>
      </c>
      <c r="N2" s="69">
        <v>0</v>
      </c>
      <c r="O2" s="69">
        <v>0</v>
      </c>
      <c r="P2" s="69">
        <v>0</v>
      </c>
      <c r="Q2" s="69">
        <v>0</v>
      </c>
      <c r="R2" s="69">
        <v>0</v>
      </c>
      <c r="S2" s="69">
        <v>0</v>
      </c>
      <c r="T2" s="69">
        <v>0</v>
      </c>
      <c r="U2" s="69">
        <v>0</v>
      </c>
      <c r="V2" s="69">
        <v>0</v>
      </c>
      <c r="W2" s="69">
        <v>0</v>
      </c>
      <c r="X2" s="69">
        <v>0</v>
      </c>
      <c r="Y2" s="69">
        <v>0</v>
      </c>
      <c r="Z2" s="69">
        <v>0</v>
      </c>
      <c r="AA2" s="69">
        <v>0</v>
      </c>
      <c r="AB2" s="69">
        <v>0</v>
      </c>
      <c r="AC2" s="69">
        <v>0</v>
      </c>
      <c r="AD2" s="69">
        <v>0</v>
      </c>
      <c r="AE2" s="69">
        <v>0</v>
      </c>
      <c r="AF2" s="69">
        <v>0</v>
      </c>
      <c r="AG2" s="69">
        <v>0</v>
      </c>
      <c r="AH2" s="69">
        <v>0</v>
      </c>
      <c r="AI2" s="69">
        <v>0</v>
      </c>
      <c r="AJ2" s="69">
        <v>0</v>
      </c>
      <c r="AK2" s="69">
        <v>3.1666666666666665</v>
      </c>
      <c r="AL2" s="69">
        <v>3.3333333333333335</v>
      </c>
      <c r="AM2" s="69">
        <v>3.5</v>
      </c>
      <c r="AN2" s="69">
        <v>3.6666666666666665</v>
      </c>
    </row>
    <row r="3" spans="1:40" x14ac:dyDescent="0.25">
      <c r="A3" s="65"/>
      <c r="B3" s="55"/>
      <c r="C3" s="55"/>
      <c r="D3" s="55" t="s">
        <v>62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_xlpm.months_since,DATEDIF(_xlpm.launchdate,_xlfn.ANCHORARRAY($E$25),"m"),_xlfn.BYCOL(_xlpm.months_since,_xlfn.LAMBDA(_xlpm.a,IFERROR(MIN(_xlpm.a/6,_xlpm.max_kiddos),0))))</f>
        <v>0</v>
      </c>
      <c r="F3" s="69">
        <v>0</v>
      </c>
      <c r="G3" s="69">
        <v>0</v>
      </c>
      <c r="H3" s="69">
        <v>0</v>
      </c>
      <c r="I3" s="69">
        <v>0</v>
      </c>
      <c r="J3" s="69">
        <v>0</v>
      </c>
      <c r="K3" s="69">
        <v>0</v>
      </c>
      <c r="L3" s="69">
        <v>0</v>
      </c>
      <c r="M3" s="69">
        <v>0</v>
      </c>
      <c r="N3" s="69">
        <v>0</v>
      </c>
      <c r="O3" s="69">
        <v>0</v>
      </c>
      <c r="P3" s="69">
        <v>0</v>
      </c>
      <c r="Q3" s="69">
        <v>0</v>
      </c>
      <c r="R3" s="69">
        <v>0</v>
      </c>
      <c r="S3" s="69">
        <v>0</v>
      </c>
      <c r="T3" s="69">
        <v>0</v>
      </c>
      <c r="U3" s="69">
        <v>0</v>
      </c>
      <c r="V3" s="69">
        <v>0</v>
      </c>
      <c r="W3" s="69">
        <v>0</v>
      </c>
      <c r="X3" s="69">
        <v>0</v>
      </c>
      <c r="Y3" s="69">
        <v>0</v>
      </c>
      <c r="Z3" s="69">
        <v>0</v>
      </c>
      <c r="AA3" s="69">
        <v>0</v>
      </c>
      <c r="AB3" s="69">
        <v>0</v>
      </c>
      <c r="AC3" s="69">
        <v>0</v>
      </c>
      <c r="AD3" s="69">
        <v>0</v>
      </c>
      <c r="AE3" s="69">
        <v>0</v>
      </c>
      <c r="AF3" s="69">
        <v>0</v>
      </c>
      <c r="AG3" s="69">
        <v>0</v>
      </c>
      <c r="AH3" s="69">
        <v>0</v>
      </c>
      <c r="AI3" s="69">
        <v>0</v>
      </c>
      <c r="AJ3" s="69">
        <v>0</v>
      </c>
      <c r="AK3" s="69">
        <v>0.16666666666666666</v>
      </c>
      <c r="AL3" s="69">
        <v>0.33333333333333331</v>
      </c>
      <c r="AM3" s="69">
        <v>0.5</v>
      </c>
      <c r="AN3" s="69">
        <v>0.66666666666666663</v>
      </c>
    </row>
    <row r="4" spans="1:40" x14ac:dyDescent="0.25">
      <c r="A4" s="65"/>
      <c r="B4" s="55"/>
      <c r="C4" s="55"/>
      <c r="D4" s="55" t="s">
        <v>260</v>
      </c>
      <c r="E4" s="69" cm="1">
        <f t="array" ref="E4:AN4">_xlfn.BYCOL(_xlfn.VSTACK(_xlfn.ANCHORARRAY($E$1),_xlfn.ANCHORARRAY($E$2)),_xlfn.LAMBDA(_xlpm.a,SUM(_xlpm.a)))</f>
        <v>0</v>
      </c>
      <c r="F4" s="69">
        <v>0</v>
      </c>
      <c r="G4" s="69">
        <v>0</v>
      </c>
      <c r="H4" s="69">
        <v>0</v>
      </c>
      <c r="I4" s="69">
        <v>0</v>
      </c>
      <c r="J4" s="69">
        <v>0</v>
      </c>
      <c r="K4" s="69">
        <v>0</v>
      </c>
      <c r="L4" s="69">
        <v>0</v>
      </c>
      <c r="M4" s="69">
        <v>0</v>
      </c>
      <c r="N4" s="69">
        <v>0</v>
      </c>
      <c r="O4" s="69">
        <v>0</v>
      </c>
      <c r="P4" s="69">
        <v>0</v>
      </c>
      <c r="Q4" s="69">
        <v>0</v>
      </c>
      <c r="R4" s="69">
        <v>0</v>
      </c>
      <c r="S4" s="69">
        <v>0</v>
      </c>
      <c r="T4" s="69">
        <v>0</v>
      </c>
      <c r="U4" s="69">
        <v>0</v>
      </c>
      <c r="V4" s="69">
        <v>0</v>
      </c>
      <c r="W4" s="69">
        <v>0</v>
      </c>
      <c r="X4" s="69">
        <v>0</v>
      </c>
      <c r="Y4" s="69">
        <v>0</v>
      </c>
      <c r="Z4" s="69">
        <v>0</v>
      </c>
      <c r="AA4" s="69">
        <v>0</v>
      </c>
      <c r="AB4" s="69">
        <v>0</v>
      </c>
      <c r="AC4" s="69">
        <v>0</v>
      </c>
      <c r="AD4" s="69">
        <v>0</v>
      </c>
      <c r="AE4" s="69">
        <v>0</v>
      </c>
      <c r="AF4" s="69">
        <v>0</v>
      </c>
      <c r="AG4" s="69">
        <v>0</v>
      </c>
      <c r="AH4" s="69">
        <v>0</v>
      </c>
      <c r="AI4" s="69">
        <v>0</v>
      </c>
      <c r="AJ4" s="69">
        <v>3</v>
      </c>
      <c r="AK4" s="69">
        <v>9.1666666666666661</v>
      </c>
      <c r="AL4" s="69">
        <v>12.333333333333334</v>
      </c>
      <c r="AM4" s="69">
        <v>15.5</v>
      </c>
      <c r="AN4" s="69">
        <v>18.666666666666668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107</v>
      </c>
      <c r="C6" s="3"/>
      <c r="D6" s="3"/>
      <c r="E6" s="66" cm="1">
        <f t="array" ref="E6:AN6">ROUND(_xlfn.BYCOL(_xlfn.ANCHORARRAY(E7),_xlfn.LAMBDA(_xlpm.a,SUM(_xlpm.a))),0)</f>
        <v>0</v>
      </c>
      <c r="F6" s="66">
        <v>0</v>
      </c>
      <c r="G6" s="66">
        <v>0</v>
      </c>
      <c r="H6" s="66">
        <v>0</v>
      </c>
      <c r="I6" s="66">
        <v>0</v>
      </c>
      <c r="J6" s="66">
        <v>0</v>
      </c>
      <c r="K6" s="66">
        <v>0</v>
      </c>
      <c r="L6" s="66">
        <v>0</v>
      </c>
      <c r="M6" s="66">
        <v>0</v>
      </c>
      <c r="N6" s="66">
        <v>0</v>
      </c>
      <c r="O6" s="66">
        <v>0</v>
      </c>
      <c r="P6" s="66">
        <v>0</v>
      </c>
      <c r="Q6" s="66">
        <v>0</v>
      </c>
      <c r="R6" s="66">
        <v>0</v>
      </c>
      <c r="S6" s="66">
        <v>0</v>
      </c>
      <c r="T6" s="66">
        <v>0</v>
      </c>
      <c r="U6" s="66">
        <v>0</v>
      </c>
      <c r="V6" s="66">
        <v>0</v>
      </c>
      <c r="W6" s="66">
        <v>0</v>
      </c>
      <c r="X6" s="66">
        <v>0</v>
      </c>
      <c r="Y6" s="66">
        <v>0</v>
      </c>
      <c r="Z6" s="66">
        <v>0</v>
      </c>
      <c r="AA6" s="66">
        <v>0</v>
      </c>
      <c r="AB6" s="66">
        <v>0</v>
      </c>
      <c r="AC6" s="66">
        <v>0</v>
      </c>
      <c r="AD6" s="66">
        <v>0</v>
      </c>
      <c r="AE6" s="66">
        <v>0</v>
      </c>
      <c r="AF6" s="66">
        <v>0</v>
      </c>
      <c r="AG6" s="66">
        <v>0</v>
      </c>
      <c r="AH6" s="66">
        <v>0</v>
      </c>
      <c r="AI6" s="66">
        <v>0</v>
      </c>
      <c r="AJ6" s="66">
        <v>6</v>
      </c>
      <c r="AK6" s="66">
        <v>11</v>
      </c>
      <c r="AL6" s="66">
        <v>15</v>
      </c>
      <c r="AM6" s="66">
        <v>18</v>
      </c>
      <c r="AN6" s="66">
        <v>22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1"/>
      <c r="E7" s="106" cm="1">
        <f t="array" ref="E7:AN20">_xlfn.LET(_xlpm.Customer_staff,_xlfn._xlws.FILTER(Base!$D$85:$BD$98,ISNUMBER(SEARCH($B$1&amp;"-"&amp;$C$1,Base!$D$4:$BD$4))),_xlpm.Customer,_xlfn.ANCHORARRAY($E$1),_xlpm.headcount,_xlpm.Customer/_xlpm.Customer_staff,
_xlpm.patient_staff,_xlfn.ANCHORARRAY($E$2)/_xlpm.Customer_staff,_xlpm.prim_staff_tr_rec,_xlfn.ANCHORARRAY($E$2)/_xlfn.CHOOSEROWS(_xlpm.Customer_staff,{7,8})+(_xlfn.ANCHORARRAY($E$1)*0.0055),_xlpm.rounding,_xlfn.VSTACK(2,2,0,0,2,2,2,2,2,2,2,0,0,0),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prim_staff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0</v>
      </c>
      <c r="F7" s="106">
        <v>0</v>
      </c>
      <c r="G7" s="106">
        <v>0</v>
      </c>
      <c r="H7" s="106">
        <v>0</v>
      </c>
      <c r="I7" s="106">
        <v>0</v>
      </c>
      <c r="J7" s="106">
        <v>0</v>
      </c>
      <c r="K7" s="106">
        <v>0</v>
      </c>
      <c r="L7" s="106">
        <v>0</v>
      </c>
      <c r="M7" s="106">
        <v>0</v>
      </c>
      <c r="N7" s="106">
        <v>0</v>
      </c>
      <c r="O7" s="106">
        <v>0</v>
      </c>
      <c r="P7" s="106">
        <v>0</v>
      </c>
      <c r="Q7" s="106">
        <v>0</v>
      </c>
      <c r="R7" s="106">
        <v>0</v>
      </c>
      <c r="S7" s="106">
        <v>0</v>
      </c>
      <c r="T7" s="106">
        <v>0</v>
      </c>
      <c r="U7" s="106">
        <v>0</v>
      </c>
      <c r="V7" s="106">
        <v>0</v>
      </c>
      <c r="W7" s="106">
        <v>0</v>
      </c>
      <c r="X7" s="106">
        <v>0</v>
      </c>
      <c r="Y7" s="106">
        <v>0</v>
      </c>
      <c r="Z7" s="106">
        <v>0</v>
      </c>
      <c r="AA7" s="106">
        <v>0</v>
      </c>
      <c r="AB7" s="106">
        <v>0</v>
      </c>
      <c r="AC7" s="106">
        <v>0</v>
      </c>
      <c r="AD7" s="106">
        <v>0</v>
      </c>
      <c r="AE7" s="106">
        <v>0</v>
      </c>
      <c r="AF7" s="106">
        <v>0</v>
      </c>
      <c r="AG7" s="106">
        <v>0</v>
      </c>
      <c r="AH7" s="106">
        <v>0</v>
      </c>
      <c r="AI7" s="106">
        <v>0</v>
      </c>
      <c r="AJ7" s="106">
        <v>2.8299999999999996</v>
      </c>
      <c r="AK7" s="106">
        <v>5.6499999999999995</v>
      </c>
      <c r="AL7" s="106">
        <v>8.48</v>
      </c>
      <c r="AM7" s="106">
        <v>11.299999999999999</v>
      </c>
      <c r="AN7" s="106">
        <v>14.12</v>
      </c>
    </row>
    <row r="8" spans="1:40" hidden="1" outlineLevel="1" x14ac:dyDescent="0.25">
      <c r="B8" s="39" t="str">
        <v>Secondary Direct Staff</v>
      </c>
      <c r="C8" s="3"/>
      <c r="D8" s="3"/>
      <c r="E8" s="106">
        <v>0</v>
      </c>
      <c r="F8" s="106">
        <v>0</v>
      </c>
      <c r="G8" s="106">
        <v>0</v>
      </c>
      <c r="H8" s="106">
        <v>0</v>
      </c>
      <c r="I8" s="106">
        <v>0</v>
      </c>
      <c r="J8" s="106">
        <v>0</v>
      </c>
      <c r="K8" s="106">
        <v>0</v>
      </c>
      <c r="L8" s="106">
        <v>0</v>
      </c>
      <c r="M8" s="106">
        <v>0</v>
      </c>
      <c r="N8" s="106">
        <v>0</v>
      </c>
      <c r="O8" s="106">
        <v>0</v>
      </c>
      <c r="P8" s="106">
        <v>0</v>
      </c>
      <c r="Q8" s="106">
        <v>0</v>
      </c>
      <c r="R8" s="106">
        <v>0</v>
      </c>
      <c r="S8" s="106">
        <v>0</v>
      </c>
      <c r="T8" s="106">
        <v>0</v>
      </c>
      <c r="U8" s="106">
        <v>0</v>
      </c>
      <c r="V8" s="106">
        <v>0</v>
      </c>
      <c r="W8" s="106">
        <v>0</v>
      </c>
      <c r="X8" s="106">
        <v>0</v>
      </c>
      <c r="Y8" s="106">
        <v>0</v>
      </c>
      <c r="Z8" s="106">
        <v>0</v>
      </c>
      <c r="AA8" s="106">
        <v>0</v>
      </c>
      <c r="AB8" s="106">
        <v>0</v>
      </c>
      <c r="AC8" s="106">
        <v>0</v>
      </c>
      <c r="AD8" s="106">
        <v>0</v>
      </c>
      <c r="AE8" s="106">
        <v>0</v>
      </c>
      <c r="AF8" s="106">
        <v>0</v>
      </c>
      <c r="AG8" s="106">
        <v>0</v>
      </c>
      <c r="AH8" s="106">
        <v>0</v>
      </c>
      <c r="AI8" s="106">
        <v>0</v>
      </c>
      <c r="AJ8" s="106">
        <v>0.43</v>
      </c>
      <c r="AK8" s="106">
        <v>0.86</v>
      </c>
      <c r="AL8" s="106">
        <v>1.29</v>
      </c>
      <c r="AM8" s="106">
        <v>1.72</v>
      </c>
      <c r="AN8" s="106">
        <v>2.15</v>
      </c>
    </row>
    <row r="9" spans="1:40" hidden="1" outlineLevel="1" x14ac:dyDescent="0.25">
      <c r="B9" s="39" t="str">
        <v>Center Manager</v>
      </c>
      <c r="C9" s="3"/>
      <c r="D9" s="3"/>
      <c r="E9" s="106">
        <v>0</v>
      </c>
      <c r="F9" s="106">
        <v>0</v>
      </c>
      <c r="G9" s="106">
        <v>0</v>
      </c>
      <c r="H9" s="106">
        <v>0</v>
      </c>
      <c r="I9" s="106">
        <v>0</v>
      </c>
      <c r="J9" s="106">
        <v>0</v>
      </c>
      <c r="K9" s="106">
        <v>0</v>
      </c>
      <c r="L9" s="106">
        <v>0</v>
      </c>
      <c r="M9" s="106">
        <v>0</v>
      </c>
      <c r="N9" s="106">
        <v>0</v>
      </c>
      <c r="O9" s="106">
        <v>0</v>
      </c>
      <c r="P9" s="106">
        <v>0</v>
      </c>
      <c r="Q9" s="106">
        <v>0</v>
      </c>
      <c r="R9" s="106">
        <v>0</v>
      </c>
      <c r="S9" s="106">
        <v>0</v>
      </c>
      <c r="T9" s="106">
        <v>0</v>
      </c>
      <c r="U9" s="106">
        <v>0</v>
      </c>
      <c r="V9" s="106">
        <v>0</v>
      </c>
      <c r="W9" s="106">
        <v>0</v>
      </c>
      <c r="X9" s="106">
        <v>0</v>
      </c>
      <c r="Y9" s="106">
        <v>0</v>
      </c>
      <c r="Z9" s="106">
        <v>0</v>
      </c>
      <c r="AA9" s="106">
        <v>0</v>
      </c>
      <c r="AB9" s="106">
        <v>0</v>
      </c>
      <c r="AC9" s="106">
        <v>0</v>
      </c>
      <c r="AD9" s="106">
        <v>0</v>
      </c>
      <c r="AE9" s="106">
        <v>0</v>
      </c>
      <c r="AF9" s="106">
        <v>0</v>
      </c>
      <c r="AG9" s="106">
        <v>0</v>
      </c>
      <c r="AH9" s="106">
        <v>0</v>
      </c>
      <c r="AI9" s="106">
        <v>0</v>
      </c>
      <c r="AJ9" s="106">
        <v>1</v>
      </c>
      <c r="AK9" s="106">
        <v>1</v>
      </c>
      <c r="AL9" s="106">
        <v>1</v>
      </c>
      <c r="AM9" s="106">
        <v>1</v>
      </c>
      <c r="AN9" s="106">
        <v>1</v>
      </c>
    </row>
    <row r="10" spans="1:40" hidden="1" outlineLevel="1" x14ac:dyDescent="0.25">
      <c r="B10" s="39" t="str">
        <v>Intake</v>
      </c>
      <c r="C10" s="3"/>
      <c r="D10" s="3"/>
      <c r="E10" s="106">
        <v>0</v>
      </c>
      <c r="F10" s="106">
        <v>0</v>
      </c>
      <c r="G10" s="106">
        <v>0</v>
      </c>
      <c r="H10" s="106">
        <v>0</v>
      </c>
      <c r="I10" s="106">
        <v>0</v>
      </c>
      <c r="J10" s="106">
        <v>0</v>
      </c>
      <c r="K10" s="106">
        <v>0</v>
      </c>
      <c r="L10" s="106">
        <v>0</v>
      </c>
      <c r="M10" s="106">
        <v>0</v>
      </c>
      <c r="N10" s="106">
        <v>0</v>
      </c>
      <c r="O10" s="106">
        <v>0</v>
      </c>
      <c r="P10" s="106">
        <v>0</v>
      </c>
      <c r="Q10" s="106">
        <v>0</v>
      </c>
      <c r="R10" s="106">
        <v>0</v>
      </c>
      <c r="S10" s="106">
        <v>0</v>
      </c>
      <c r="T10" s="106">
        <v>0</v>
      </c>
      <c r="U10" s="106">
        <v>0</v>
      </c>
      <c r="V10" s="106">
        <v>0</v>
      </c>
      <c r="W10" s="106">
        <v>0</v>
      </c>
      <c r="X10" s="106">
        <v>0</v>
      </c>
      <c r="Y10" s="106">
        <v>0</v>
      </c>
      <c r="Z10" s="106">
        <v>0</v>
      </c>
      <c r="AA10" s="106">
        <v>0</v>
      </c>
      <c r="AB10" s="106">
        <v>0</v>
      </c>
      <c r="AC10" s="106">
        <v>0</v>
      </c>
      <c r="AD10" s="106">
        <v>0</v>
      </c>
      <c r="AE10" s="106">
        <v>0</v>
      </c>
      <c r="AF10" s="106">
        <v>0</v>
      </c>
      <c r="AG10" s="106">
        <v>0</v>
      </c>
      <c r="AH10" s="106">
        <v>0</v>
      </c>
      <c r="AI10" s="106">
        <v>0</v>
      </c>
      <c r="AJ10" s="106">
        <v>0</v>
      </c>
      <c r="AK10" s="106">
        <v>1</v>
      </c>
      <c r="AL10" s="106">
        <v>1</v>
      </c>
      <c r="AM10" s="106">
        <v>1</v>
      </c>
      <c r="AN10" s="106">
        <v>1</v>
      </c>
    </row>
    <row r="11" spans="1:40" hidden="1" outlineLevel="1" x14ac:dyDescent="0.25">
      <c r="B11" s="39" t="str">
        <v>Scheduler</v>
      </c>
      <c r="C11" s="3"/>
      <c r="D11" s="3"/>
      <c r="E11" s="106">
        <v>0</v>
      </c>
      <c r="F11" s="106">
        <v>0</v>
      </c>
      <c r="G11" s="106">
        <v>0</v>
      </c>
      <c r="H11" s="106">
        <v>0</v>
      </c>
      <c r="I11" s="106">
        <v>0</v>
      </c>
      <c r="J11" s="106">
        <v>0</v>
      </c>
      <c r="K11" s="106">
        <v>0</v>
      </c>
      <c r="L11" s="106">
        <v>0</v>
      </c>
      <c r="M11" s="106">
        <v>0</v>
      </c>
      <c r="N11" s="106">
        <v>0</v>
      </c>
      <c r="O11" s="106">
        <v>0</v>
      </c>
      <c r="P11" s="106">
        <v>0</v>
      </c>
      <c r="Q11" s="106">
        <v>0</v>
      </c>
      <c r="R11" s="106">
        <v>0</v>
      </c>
      <c r="S11" s="106">
        <v>0</v>
      </c>
      <c r="T11" s="106">
        <v>0</v>
      </c>
      <c r="U11" s="106">
        <v>0</v>
      </c>
      <c r="V11" s="106">
        <v>0</v>
      </c>
      <c r="W11" s="106">
        <v>0</v>
      </c>
      <c r="X11" s="106">
        <v>0</v>
      </c>
      <c r="Y11" s="106">
        <v>0</v>
      </c>
      <c r="Z11" s="106">
        <v>0</v>
      </c>
      <c r="AA11" s="106">
        <v>0</v>
      </c>
      <c r="AB11" s="106">
        <v>0</v>
      </c>
      <c r="AC11" s="106">
        <v>0</v>
      </c>
      <c r="AD11" s="106">
        <v>0</v>
      </c>
      <c r="AE11" s="106">
        <v>0</v>
      </c>
      <c r="AF11" s="106">
        <v>0</v>
      </c>
      <c r="AG11" s="106">
        <v>0</v>
      </c>
      <c r="AH11" s="106">
        <v>0</v>
      </c>
      <c r="AI11" s="106">
        <v>0</v>
      </c>
      <c r="AJ11" s="106">
        <v>0</v>
      </c>
      <c r="AK11" s="106">
        <v>0</v>
      </c>
      <c r="AL11" s="106">
        <v>0</v>
      </c>
      <c r="AM11" s="106">
        <v>0</v>
      </c>
      <c r="AN11" s="106">
        <v>0</v>
      </c>
    </row>
    <row r="12" spans="1:40" hidden="1" outlineLevel="1" x14ac:dyDescent="0.25">
      <c r="B12" s="39" t="str">
        <v>Initial Consultation Expert</v>
      </c>
      <c r="C12" s="3"/>
      <c r="D12" s="3"/>
      <c r="E12" s="106">
        <v>0</v>
      </c>
      <c r="F12" s="106">
        <v>0</v>
      </c>
      <c r="G12" s="106">
        <v>0</v>
      </c>
      <c r="H12" s="106">
        <v>0</v>
      </c>
      <c r="I12" s="106">
        <v>0</v>
      </c>
      <c r="J12" s="106">
        <v>0</v>
      </c>
      <c r="K12" s="106">
        <v>0</v>
      </c>
      <c r="L12" s="106">
        <v>0</v>
      </c>
      <c r="M12" s="106">
        <v>0</v>
      </c>
      <c r="N12" s="106">
        <v>0</v>
      </c>
      <c r="O12" s="106">
        <v>0</v>
      </c>
      <c r="P12" s="106">
        <v>0</v>
      </c>
      <c r="Q12" s="106">
        <v>0</v>
      </c>
      <c r="R12" s="106">
        <v>0</v>
      </c>
      <c r="S12" s="106">
        <v>0</v>
      </c>
      <c r="T12" s="106">
        <v>0</v>
      </c>
      <c r="U12" s="106">
        <v>0</v>
      </c>
      <c r="V12" s="106">
        <v>0</v>
      </c>
      <c r="W12" s="106">
        <v>0</v>
      </c>
      <c r="X12" s="106">
        <v>0</v>
      </c>
      <c r="Y12" s="106">
        <v>0</v>
      </c>
      <c r="Z12" s="106">
        <v>0</v>
      </c>
      <c r="AA12" s="106">
        <v>0</v>
      </c>
      <c r="AB12" s="106">
        <v>0</v>
      </c>
      <c r="AC12" s="106">
        <v>0</v>
      </c>
      <c r="AD12" s="106">
        <v>0</v>
      </c>
      <c r="AE12" s="106">
        <v>0</v>
      </c>
      <c r="AF12" s="106">
        <v>0</v>
      </c>
      <c r="AG12" s="106">
        <v>0</v>
      </c>
      <c r="AH12" s="106">
        <v>0</v>
      </c>
      <c r="AI12" s="106">
        <v>0</v>
      </c>
      <c r="AJ12" s="106">
        <v>0</v>
      </c>
      <c r="AK12" s="106">
        <v>0.25</v>
      </c>
      <c r="AL12" s="106">
        <v>0.26</v>
      </c>
      <c r="AM12" s="106">
        <v>0.27</v>
      </c>
      <c r="AN12" s="106">
        <v>0.29000000000000004</v>
      </c>
    </row>
    <row r="13" spans="1:40" hidden="1" outlineLevel="1" x14ac:dyDescent="0.25">
      <c r="B13" s="39" t="str">
        <v>Trainer</v>
      </c>
      <c r="C13" s="3"/>
      <c r="D13" s="3"/>
      <c r="E13" s="106">
        <v>0</v>
      </c>
      <c r="F13" s="106">
        <v>0</v>
      </c>
      <c r="G13" s="106">
        <v>0</v>
      </c>
      <c r="H13" s="106">
        <v>0</v>
      </c>
      <c r="I13" s="106">
        <v>0</v>
      </c>
      <c r="J13" s="106">
        <v>0</v>
      </c>
      <c r="K13" s="106">
        <v>0</v>
      </c>
      <c r="L13" s="106">
        <v>0</v>
      </c>
      <c r="M13" s="106">
        <v>0</v>
      </c>
      <c r="N13" s="106">
        <v>0</v>
      </c>
      <c r="O13" s="106">
        <v>0</v>
      </c>
      <c r="P13" s="106">
        <v>0</v>
      </c>
      <c r="Q13" s="106">
        <v>0</v>
      </c>
      <c r="R13" s="106">
        <v>0</v>
      </c>
      <c r="S13" s="106">
        <v>0</v>
      </c>
      <c r="T13" s="106">
        <v>0</v>
      </c>
      <c r="U13" s="106">
        <v>0</v>
      </c>
      <c r="V13" s="106">
        <v>0</v>
      </c>
      <c r="W13" s="106">
        <v>0</v>
      </c>
      <c r="X13" s="106">
        <v>0</v>
      </c>
      <c r="Y13" s="106">
        <v>0</v>
      </c>
      <c r="Z13" s="106">
        <v>0</v>
      </c>
      <c r="AA13" s="106">
        <v>0</v>
      </c>
      <c r="AB13" s="106">
        <v>0</v>
      </c>
      <c r="AC13" s="106">
        <v>0</v>
      </c>
      <c r="AD13" s="106">
        <v>0</v>
      </c>
      <c r="AE13" s="106">
        <v>0</v>
      </c>
      <c r="AF13" s="106">
        <v>0</v>
      </c>
      <c r="AG13" s="106">
        <v>0</v>
      </c>
      <c r="AH13" s="106">
        <v>0</v>
      </c>
      <c r="AI13" s="106">
        <v>0</v>
      </c>
      <c r="AJ13" s="106">
        <v>0.02</v>
      </c>
      <c r="AK13" s="106">
        <v>0.35000000000000003</v>
      </c>
      <c r="AL13" s="106">
        <v>0.39</v>
      </c>
      <c r="AM13" s="106">
        <v>0.42</v>
      </c>
      <c r="AN13" s="106">
        <v>0.45</v>
      </c>
    </row>
    <row r="14" spans="1:40" hidden="1" outlineLevel="1" x14ac:dyDescent="0.25">
      <c r="B14" s="39" t="str">
        <v>Recruiter</v>
      </c>
      <c r="C14" s="3"/>
      <c r="D14" s="3"/>
      <c r="E14" s="106">
        <v>0</v>
      </c>
      <c r="F14" s="106">
        <v>0</v>
      </c>
      <c r="G14" s="106">
        <v>0</v>
      </c>
      <c r="H14" s="106">
        <v>0</v>
      </c>
      <c r="I14" s="106">
        <v>0</v>
      </c>
      <c r="J14" s="106">
        <v>0</v>
      </c>
      <c r="K14" s="106">
        <v>0</v>
      </c>
      <c r="L14" s="106">
        <v>0</v>
      </c>
      <c r="M14" s="106">
        <v>0</v>
      </c>
      <c r="N14" s="106">
        <v>0</v>
      </c>
      <c r="O14" s="106">
        <v>0</v>
      </c>
      <c r="P14" s="106">
        <v>0</v>
      </c>
      <c r="Q14" s="106">
        <v>0</v>
      </c>
      <c r="R14" s="106">
        <v>0</v>
      </c>
      <c r="S14" s="106">
        <v>0</v>
      </c>
      <c r="T14" s="106">
        <v>0</v>
      </c>
      <c r="U14" s="106">
        <v>0</v>
      </c>
      <c r="V14" s="106">
        <v>0</v>
      </c>
      <c r="W14" s="106">
        <v>0</v>
      </c>
      <c r="X14" s="106">
        <v>0</v>
      </c>
      <c r="Y14" s="106">
        <v>0</v>
      </c>
      <c r="Z14" s="106">
        <v>0</v>
      </c>
      <c r="AA14" s="106">
        <v>0</v>
      </c>
      <c r="AB14" s="106">
        <v>0</v>
      </c>
      <c r="AC14" s="106">
        <v>0</v>
      </c>
      <c r="AD14" s="106">
        <v>0</v>
      </c>
      <c r="AE14" s="106">
        <v>0</v>
      </c>
      <c r="AF14" s="106">
        <v>0</v>
      </c>
      <c r="AG14" s="106">
        <v>0</v>
      </c>
      <c r="AH14" s="106">
        <v>0</v>
      </c>
      <c r="AI14" s="106">
        <v>0</v>
      </c>
      <c r="AJ14" s="106">
        <v>0.02</v>
      </c>
      <c r="AK14" s="106">
        <v>0.2</v>
      </c>
      <c r="AL14" s="106">
        <v>0.22</v>
      </c>
      <c r="AM14" s="106">
        <v>0.25</v>
      </c>
      <c r="AN14" s="106">
        <v>0.27</v>
      </c>
    </row>
    <row r="15" spans="1:40" hidden="1" outlineLevel="1" x14ac:dyDescent="0.25">
      <c r="B15" s="39" t="str">
        <v>Center Director / Remote Site Director</v>
      </c>
      <c r="C15" s="3"/>
      <c r="D15" s="3"/>
      <c r="E15" s="106">
        <v>0</v>
      </c>
      <c r="F15" s="106">
        <v>0</v>
      </c>
      <c r="G15" s="106">
        <v>0</v>
      </c>
      <c r="H15" s="106">
        <v>0</v>
      </c>
      <c r="I15" s="106">
        <v>0</v>
      </c>
      <c r="J15" s="106">
        <v>0</v>
      </c>
      <c r="K15" s="106">
        <v>0</v>
      </c>
      <c r="L15" s="106">
        <v>0</v>
      </c>
      <c r="M15" s="106">
        <v>0</v>
      </c>
      <c r="N15" s="106">
        <v>0</v>
      </c>
      <c r="O15" s="106">
        <v>0</v>
      </c>
      <c r="P15" s="106">
        <v>0</v>
      </c>
      <c r="Q15" s="106">
        <v>0</v>
      </c>
      <c r="R15" s="106">
        <v>0</v>
      </c>
      <c r="S15" s="106">
        <v>0</v>
      </c>
      <c r="T15" s="106">
        <v>0</v>
      </c>
      <c r="U15" s="106">
        <v>0</v>
      </c>
      <c r="V15" s="106">
        <v>0</v>
      </c>
      <c r="W15" s="106">
        <v>0</v>
      </c>
      <c r="X15" s="106">
        <v>0</v>
      </c>
      <c r="Y15" s="106">
        <v>0</v>
      </c>
      <c r="Z15" s="106">
        <v>0</v>
      </c>
      <c r="AA15" s="106">
        <v>0</v>
      </c>
      <c r="AB15" s="106">
        <v>0</v>
      </c>
      <c r="AC15" s="106">
        <v>0</v>
      </c>
      <c r="AD15" s="106">
        <v>0</v>
      </c>
      <c r="AE15" s="106">
        <v>0</v>
      </c>
      <c r="AF15" s="106">
        <v>0</v>
      </c>
      <c r="AG15" s="106">
        <v>0</v>
      </c>
      <c r="AH15" s="106">
        <v>0</v>
      </c>
      <c r="AI15" s="106">
        <v>0</v>
      </c>
      <c r="AJ15" s="106">
        <v>0.02</v>
      </c>
      <c r="AK15" s="106">
        <v>0.03</v>
      </c>
      <c r="AL15" s="106">
        <v>0.04</v>
      </c>
      <c r="AM15" s="106">
        <v>0.05</v>
      </c>
      <c r="AN15" s="106">
        <v>0.06</v>
      </c>
    </row>
    <row r="16" spans="1:40" hidden="1" outlineLevel="1" x14ac:dyDescent="0.25">
      <c r="B16" s="39" t="str">
        <v>Center Marketing Outreach</v>
      </c>
      <c r="C16" s="3"/>
      <c r="D16" s="3"/>
      <c r="E16" s="106">
        <v>0</v>
      </c>
      <c r="F16" s="106">
        <v>0</v>
      </c>
      <c r="G16" s="106">
        <v>0</v>
      </c>
      <c r="H16" s="106">
        <v>0</v>
      </c>
      <c r="I16" s="106">
        <v>0</v>
      </c>
      <c r="J16" s="106">
        <v>0</v>
      </c>
      <c r="K16" s="106">
        <v>0</v>
      </c>
      <c r="L16" s="106">
        <v>0</v>
      </c>
      <c r="M16" s="106">
        <v>0</v>
      </c>
      <c r="N16" s="106">
        <v>0</v>
      </c>
      <c r="O16" s="106">
        <v>0</v>
      </c>
      <c r="P16" s="106">
        <v>0</v>
      </c>
      <c r="Q16" s="106">
        <v>0</v>
      </c>
      <c r="R16" s="106">
        <v>0</v>
      </c>
      <c r="S16" s="106">
        <v>0</v>
      </c>
      <c r="T16" s="106">
        <v>0</v>
      </c>
      <c r="U16" s="106">
        <v>0</v>
      </c>
      <c r="V16" s="106">
        <v>0</v>
      </c>
      <c r="W16" s="106">
        <v>0</v>
      </c>
      <c r="X16" s="106">
        <v>0</v>
      </c>
      <c r="Y16" s="106">
        <v>0</v>
      </c>
      <c r="Z16" s="106">
        <v>0</v>
      </c>
      <c r="AA16" s="106">
        <v>0</v>
      </c>
      <c r="AB16" s="106">
        <v>0</v>
      </c>
      <c r="AC16" s="106">
        <v>0</v>
      </c>
      <c r="AD16" s="106">
        <v>0</v>
      </c>
      <c r="AE16" s="106">
        <v>0</v>
      </c>
      <c r="AF16" s="106">
        <v>0</v>
      </c>
      <c r="AG16" s="106">
        <v>0</v>
      </c>
      <c r="AH16" s="106">
        <v>0</v>
      </c>
      <c r="AI16" s="106">
        <v>0</v>
      </c>
      <c r="AJ16" s="106">
        <v>0.02</v>
      </c>
      <c r="AK16" s="106">
        <v>0.03</v>
      </c>
      <c r="AL16" s="106">
        <v>0.04</v>
      </c>
      <c r="AM16" s="106">
        <v>0.05</v>
      </c>
      <c r="AN16" s="106">
        <v>0.06</v>
      </c>
    </row>
    <row r="17" spans="2:50" hidden="1" outlineLevel="1" x14ac:dyDescent="0.25">
      <c r="B17" s="39" t="str">
        <v>Primary Direct Staff Lead</v>
      </c>
      <c r="C17" s="3"/>
      <c r="D17" s="3"/>
      <c r="E17" s="106">
        <v>0</v>
      </c>
      <c r="F17" s="106">
        <v>0</v>
      </c>
      <c r="G17" s="106">
        <v>0</v>
      </c>
      <c r="H17" s="106">
        <v>0</v>
      </c>
      <c r="I17" s="106">
        <v>0</v>
      </c>
      <c r="J17" s="106">
        <v>0</v>
      </c>
      <c r="K17" s="106">
        <v>0</v>
      </c>
      <c r="L17" s="106">
        <v>0</v>
      </c>
      <c r="M17" s="106">
        <v>0</v>
      </c>
      <c r="N17" s="106">
        <v>0</v>
      </c>
      <c r="O17" s="106">
        <v>0</v>
      </c>
      <c r="P17" s="106">
        <v>0</v>
      </c>
      <c r="Q17" s="106">
        <v>0</v>
      </c>
      <c r="R17" s="106">
        <v>0</v>
      </c>
      <c r="S17" s="106">
        <v>0</v>
      </c>
      <c r="T17" s="106">
        <v>0</v>
      </c>
      <c r="U17" s="106">
        <v>0</v>
      </c>
      <c r="V17" s="106">
        <v>0</v>
      </c>
      <c r="W17" s="106">
        <v>0</v>
      </c>
      <c r="X17" s="106">
        <v>0</v>
      </c>
      <c r="Y17" s="106">
        <v>0</v>
      </c>
      <c r="Z17" s="106">
        <v>0</v>
      </c>
      <c r="AA17" s="106">
        <v>0</v>
      </c>
      <c r="AB17" s="106">
        <v>0</v>
      </c>
      <c r="AC17" s="106">
        <v>0</v>
      </c>
      <c r="AD17" s="106">
        <v>0</v>
      </c>
      <c r="AE17" s="106">
        <v>0</v>
      </c>
      <c r="AF17" s="106">
        <v>0</v>
      </c>
      <c r="AG17" s="106">
        <v>0</v>
      </c>
      <c r="AH17" s="106">
        <v>0</v>
      </c>
      <c r="AI17" s="106">
        <v>0</v>
      </c>
      <c r="AJ17" s="106">
        <v>0.3</v>
      </c>
      <c r="AK17" s="106">
        <v>0.6</v>
      </c>
      <c r="AL17" s="106">
        <v>0.9</v>
      </c>
      <c r="AM17" s="106">
        <v>1.2</v>
      </c>
      <c r="AN17" s="106">
        <v>1.5</v>
      </c>
    </row>
    <row r="18" spans="2:50" hidden="1" outlineLevel="1" x14ac:dyDescent="0.25">
      <c r="B18" s="39" t="str">
        <v>Tertiary Direct Staff</v>
      </c>
      <c r="C18" s="3"/>
      <c r="D18" s="3"/>
      <c r="E18" s="106">
        <v>0</v>
      </c>
      <c r="F18" s="106">
        <v>0</v>
      </c>
      <c r="G18" s="106">
        <v>0</v>
      </c>
      <c r="H18" s="106">
        <v>0</v>
      </c>
      <c r="I18" s="106">
        <v>0</v>
      </c>
      <c r="J18" s="106">
        <v>0</v>
      </c>
      <c r="K18" s="106">
        <v>0</v>
      </c>
      <c r="L18" s="106">
        <v>0</v>
      </c>
      <c r="M18" s="106">
        <v>0</v>
      </c>
      <c r="N18" s="106">
        <v>0</v>
      </c>
      <c r="O18" s="106">
        <v>0</v>
      </c>
      <c r="P18" s="106">
        <v>0</v>
      </c>
      <c r="Q18" s="106">
        <v>0</v>
      </c>
      <c r="R18" s="106">
        <v>0</v>
      </c>
      <c r="S18" s="106">
        <v>0</v>
      </c>
      <c r="T18" s="106">
        <v>0</v>
      </c>
      <c r="U18" s="106">
        <v>0</v>
      </c>
      <c r="V18" s="106">
        <v>0</v>
      </c>
      <c r="W18" s="106">
        <v>0</v>
      </c>
      <c r="X18" s="106">
        <v>0</v>
      </c>
      <c r="Y18" s="106">
        <v>0</v>
      </c>
      <c r="Z18" s="106">
        <v>0</v>
      </c>
      <c r="AA18" s="106">
        <v>0</v>
      </c>
      <c r="AB18" s="106">
        <v>0</v>
      </c>
      <c r="AC18" s="106">
        <v>0</v>
      </c>
      <c r="AD18" s="106">
        <v>0</v>
      </c>
      <c r="AE18" s="106">
        <v>0</v>
      </c>
      <c r="AF18" s="106">
        <v>0</v>
      </c>
      <c r="AG18" s="106">
        <v>0</v>
      </c>
      <c r="AH18" s="106">
        <v>0</v>
      </c>
      <c r="AI18" s="106">
        <v>0</v>
      </c>
      <c r="AJ18" s="106">
        <v>0</v>
      </c>
      <c r="AK18" s="106">
        <v>0</v>
      </c>
      <c r="AL18" s="106">
        <v>0</v>
      </c>
      <c r="AM18" s="106">
        <v>0</v>
      </c>
      <c r="AN18" s="106">
        <v>0</v>
      </c>
    </row>
    <row r="19" spans="2:50" hidden="1" outlineLevel="1" x14ac:dyDescent="0.25">
      <c r="B19" s="39" t="str">
        <v>Quinary Direct Staff</v>
      </c>
      <c r="C19" s="3"/>
      <c r="D19" s="3"/>
      <c r="E19" s="106">
        <v>0</v>
      </c>
      <c r="F19" s="106">
        <v>0</v>
      </c>
      <c r="G19" s="106">
        <v>0</v>
      </c>
      <c r="H19" s="106">
        <v>0</v>
      </c>
      <c r="I19" s="106">
        <v>0</v>
      </c>
      <c r="J19" s="106">
        <v>0</v>
      </c>
      <c r="K19" s="106">
        <v>0</v>
      </c>
      <c r="L19" s="106">
        <v>0</v>
      </c>
      <c r="M19" s="106">
        <v>0</v>
      </c>
      <c r="N19" s="106">
        <v>0</v>
      </c>
      <c r="O19" s="106">
        <v>0</v>
      </c>
      <c r="P19" s="106">
        <v>0</v>
      </c>
      <c r="Q19" s="106">
        <v>0</v>
      </c>
      <c r="R19" s="106">
        <v>0</v>
      </c>
      <c r="S19" s="106">
        <v>0</v>
      </c>
      <c r="T19" s="106">
        <v>0</v>
      </c>
      <c r="U19" s="106">
        <v>0</v>
      </c>
      <c r="V19" s="106">
        <v>0</v>
      </c>
      <c r="W19" s="106">
        <v>0</v>
      </c>
      <c r="X19" s="106">
        <v>0</v>
      </c>
      <c r="Y19" s="106">
        <v>0</v>
      </c>
      <c r="Z19" s="106">
        <v>0</v>
      </c>
      <c r="AA19" s="106">
        <v>0</v>
      </c>
      <c r="AB19" s="106">
        <v>0</v>
      </c>
      <c r="AC19" s="106">
        <v>0</v>
      </c>
      <c r="AD19" s="106">
        <v>0</v>
      </c>
      <c r="AE19" s="106">
        <v>0</v>
      </c>
      <c r="AF19" s="106">
        <v>0</v>
      </c>
      <c r="AG19" s="106">
        <v>0</v>
      </c>
      <c r="AH19" s="106">
        <v>0</v>
      </c>
      <c r="AI19" s="106">
        <v>0</v>
      </c>
      <c r="AJ19" s="106">
        <v>0</v>
      </c>
      <c r="AK19" s="106">
        <v>0</v>
      </c>
      <c r="AL19" s="106">
        <v>0</v>
      </c>
      <c r="AM19" s="106">
        <v>0</v>
      </c>
      <c r="AN19" s="106">
        <v>0</v>
      </c>
    </row>
    <row r="20" spans="2:50" hidden="1" outlineLevel="1" x14ac:dyDescent="0.25">
      <c r="B20" s="39" t="str">
        <v>Quaternary Direct Staff</v>
      </c>
      <c r="C20" s="3"/>
      <c r="D20" s="3"/>
      <c r="E20" s="106">
        <v>0</v>
      </c>
      <c r="F20" s="106">
        <v>0</v>
      </c>
      <c r="G20" s="106">
        <v>0</v>
      </c>
      <c r="H20" s="106">
        <v>0</v>
      </c>
      <c r="I20" s="106">
        <v>0</v>
      </c>
      <c r="J20" s="106">
        <v>0</v>
      </c>
      <c r="K20" s="106">
        <v>0</v>
      </c>
      <c r="L20" s="106">
        <v>0</v>
      </c>
      <c r="M20" s="106">
        <v>0</v>
      </c>
      <c r="N20" s="106">
        <v>0</v>
      </c>
      <c r="O20" s="106">
        <v>0</v>
      </c>
      <c r="P20" s="106">
        <v>0</v>
      </c>
      <c r="Q20" s="106">
        <v>0</v>
      </c>
      <c r="R20" s="106">
        <v>0</v>
      </c>
      <c r="S20" s="106">
        <v>0</v>
      </c>
      <c r="T20" s="106">
        <v>0</v>
      </c>
      <c r="U20" s="106">
        <v>0</v>
      </c>
      <c r="V20" s="106">
        <v>0</v>
      </c>
      <c r="W20" s="106">
        <v>0</v>
      </c>
      <c r="X20" s="106">
        <v>0</v>
      </c>
      <c r="Y20" s="106">
        <v>0</v>
      </c>
      <c r="Z20" s="106">
        <v>0</v>
      </c>
      <c r="AA20" s="106">
        <v>0</v>
      </c>
      <c r="AB20" s="106">
        <v>0</v>
      </c>
      <c r="AC20" s="106">
        <v>0</v>
      </c>
      <c r="AD20" s="106">
        <v>0</v>
      </c>
      <c r="AE20" s="106">
        <v>0</v>
      </c>
      <c r="AF20" s="106">
        <v>0</v>
      </c>
      <c r="AG20" s="106">
        <v>0</v>
      </c>
      <c r="AH20" s="106">
        <v>0</v>
      </c>
      <c r="AI20" s="106">
        <v>0</v>
      </c>
      <c r="AJ20" s="106">
        <v>1</v>
      </c>
      <c r="AK20" s="106">
        <v>1</v>
      </c>
      <c r="AL20" s="106">
        <v>1</v>
      </c>
      <c r="AM20" s="106">
        <v>1</v>
      </c>
      <c r="AN20" s="106">
        <v>1</v>
      </c>
    </row>
    <row r="21" spans="2:50" collapsed="1" x14ac:dyDescent="0.25">
      <c r="B21" s="39" t="s">
        <v>389</v>
      </c>
      <c r="C21" s="3"/>
      <c r="D21" s="5"/>
      <c r="E21" s="117" cm="1">
        <f t="array" ref="E21:AN21">ROUND(_xlfn.BYCOL(_xlfn.CHOOSEROWS(_xlfn.ANCHORARRAY(E7),1,2),_xlfn.LAMBDA(_xlpm.col,SUM(_xlpm.col))),0)</f>
        <v>0</v>
      </c>
      <c r="F21" s="117">
        <v>0</v>
      </c>
      <c r="G21" s="117">
        <v>0</v>
      </c>
      <c r="H21" s="117">
        <v>0</v>
      </c>
      <c r="I21" s="117">
        <v>0</v>
      </c>
      <c r="J21" s="117">
        <v>0</v>
      </c>
      <c r="K21" s="117">
        <v>0</v>
      </c>
      <c r="L21" s="117">
        <v>0</v>
      </c>
      <c r="M21" s="117">
        <v>0</v>
      </c>
      <c r="N21" s="117">
        <v>0</v>
      </c>
      <c r="O21" s="117">
        <v>0</v>
      </c>
      <c r="P21" s="117">
        <v>0</v>
      </c>
      <c r="Q21" s="117">
        <v>0</v>
      </c>
      <c r="R21" s="117">
        <v>0</v>
      </c>
      <c r="S21" s="117">
        <v>0</v>
      </c>
      <c r="T21" s="117">
        <v>0</v>
      </c>
      <c r="U21" s="117">
        <v>0</v>
      </c>
      <c r="V21" s="117">
        <v>0</v>
      </c>
      <c r="W21" s="117">
        <v>0</v>
      </c>
      <c r="X21" s="117">
        <v>0</v>
      </c>
      <c r="Y21" s="117">
        <v>0</v>
      </c>
      <c r="Z21" s="117">
        <v>0</v>
      </c>
      <c r="AA21" s="117">
        <v>0</v>
      </c>
      <c r="AB21" s="117">
        <v>0</v>
      </c>
      <c r="AC21" s="117">
        <v>0</v>
      </c>
      <c r="AD21" s="117">
        <v>0</v>
      </c>
      <c r="AE21" s="117">
        <v>0</v>
      </c>
      <c r="AF21" s="117">
        <v>0</v>
      </c>
      <c r="AG21" s="117">
        <v>0</v>
      </c>
      <c r="AH21" s="117">
        <v>0</v>
      </c>
      <c r="AI21" s="117">
        <v>0</v>
      </c>
      <c r="AJ21" s="117">
        <v>3</v>
      </c>
      <c r="AK21" s="117">
        <v>7</v>
      </c>
      <c r="AL21" s="117">
        <v>10</v>
      </c>
      <c r="AM21" s="117">
        <v>13</v>
      </c>
      <c r="AN21" s="117">
        <v>16</v>
      </c>
    </row>
    <row r="22" spans="2:50" x14ac:dyDescent="0.25">
      <c r="B22" s="2" t="s">
        <v>394</v>
      </c>
      <c r="C22" s="3"/>
      <c r="D22" s="77">
        <f>MAX(_xlfn.ANCHORARRAY(E22))</f>
        <v>170.02883240223466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0</v>
      </c>
      <c r="F22" s="78">
        <v>0</v>
      </c>
      <c r="G22" s="78">
        <v>0</v>
      </c>
      <c r="H22" s="78">
        <v>0</v>
      </c>
      <c r="I22" s="78">
        <v>0</v>
      </c>
      <c r="J22" s="78">
        <v>0</v>
      </c>
      <c r="K22" s="78">
        <v>0</v>
      </c>
      <c r="L22" s="78">
        <v>0</v>
      </c>
      <c r="M22" s="78">
        <v>0</v>
      </c>
      <c r="N22" s="78">
        <v>0</v>
      </c>
      <c r="O22" s="78">
        <v>0</v>
      </c>
      <c r="P22" s="78">
        <v>0</v>
      </c>
      <c r="Q22" s="78">
        <v>0</v>
      </c>
      <c r="R22" s="78">
        <v>0</v>
      </c>
      <c r="S22" s="78">
        <v>0</v>
      </c>
      <c r="T22" s="78">
        <v>0</v>
      </c>
      <c r="U22" s="78">
        <v>0</v>
      </c>
      <c r="V22" s="78">
        <v>0</v>
      </c>
      <c r="W22" s="78">
        <v>0</v>
      </c>
      <c r="X22" s="78">
        <v>0</v>
      </c>
      <c r="Y22" s="78">
        <v>0</v>
      </c>
      <c r="Z22" s="78">
        <v>0</v>
      </c>
      <c r="AA22" s="78">
        <v>0</v>
      </c>
      <c r="AB22" s="78">
        <v>0</v>
      </c>
      <c r="AC22" s="78">
        <v>0</v>
      </c>
      <c r="AD22" s="78">
        <v>0</v>
      </c>
      <c r="AE22" s="78">
        <v>0</v>
      </c>
      <c r="AF22" s="78">
        <v>0</v>
      </c>
      <c r="AG22" s="78">
        <v>0</v>
      </c>
      <c r="AH22" s="78">
        <v>0</v>
      </c>
      <c r="AI22" s="78">
        <v>0</v>
      </c>
      <c r="AJ22" s="78">
        <v>170.02883240223466</v>
      </c>
      <c r="AK22" s="78">
        <v>170.02883240223466</v>
      </c>
      <c r="AL22" s="78">
        <v>170.02883240223466</v>
      </c>
      <c r="AM22" s="78">
        <v>170.02883240223466</v>
      </c>
      <c r="AN22" s="78">
        <v>170.02883240223466</v>
      </c>
    </row>
    <row r="23" spans="2:50" x14ac:dyDescent="0.25">
      <c r="B23" s="2" t="s">
        <v>53</v>
      </c>
      <c r="C23" s="3"/>
      <c r="D23" s="72"/>
      <c r="E23" s="52" cm="1">
        <f t="array" ref="E23:AN23">_xlfn.LET(_xlpm.site,$B$1&amp;"-"&amp;$C$1,_xlpm.locations,Base!$D$4:$BD$4,_xlpm.Customer,_xlfn.ANCHORARRAY(E1),_xlpm.hours,SUM(_xlfn.XLOOKUP(_xlpm.site,_xlpm.locations,Base!$D$74:$BD$78,0,0)),
_xlpm.collection,1-_xlfn.XLOOKUP(_xlpm.site,_xlpm.locations,Base!$D$26:$BD$26,0,0),
_xlpm.Customer*_xlpm.hours*_xlpm.collection*(52/12))</f>
        <v>0</v>
      </c>
      <c r="F23" s="52">
        <v>0</v>
      </c>
      <c r="G23" s="52">
        <v>0</v>
      </c>
      <c r="H23" s="52">
        <v>0</v>
      </c>
      <c r="I23" s="52">
        <v>0</v>
      </c>
      <c r="J23" s="52">
        <v>0</v>
      </c>
      <c r="K23" s="52">
        <v>0</v>
      </c>
      <c r="L23" s="52">
        <v>0</v>
      </c>
      <c r="M23" s="52">
        <v>0</v>
      </c>
      <c r="N23" s="52">
        <v>0</v>
      </c>
      <c r="O23" s="52">
        <v>0</v>
      </c>
      <c r="P23" s="52">
        <v>0</v>
      </c>
      <c r="Q23" s="52">
        <v>0</v>
      </c>
      <c r="R23" s="52">
        <v>0</v>
      </c>
      <c r="S23" s="52">
        <v>0</v>
      </c>
      <c r="T23" s="52">
        <v>0</v>
      </c>
      <c r="U23" s="52">
        <v>0</v>
      </c>
      <c r="V23" s="52">
        <v>0</v>
      </c>
      <c r="W23" s="52">
        <v>0</v>
      </c>
      <c r="X23" s="52">
        <v>0</v>
      </c>
      <c r="Y23" s="52">
        <v>0</v>
      </c>
      <c r="Z23" s="52">
        <v>0</v>
      </c>
      <c r="AA23" s="52">
        <v>0</v>
      </c>
      <c r="AB23" s="52">
        <v>0</v>
      </c>
      <c r="AC23" s="52">
        <v>0</v>
      </c>
      <c r="AD23" s="52">
        <v>0</v>
      </c>
      <c r="AE23" s="52">
        <v>0</v>
      </c>
      <c r="AF23" s="52">
        <v>0</v>
      </c>
      <c r="AG23" s="52">
        <v>0</v>
      </c>
      <c r="AH23" s="52">
        <v>0</v>
      </c>
      <c r="AI23" s="52">
        <v>0</v>
      </c>
      <c r="AJ23" s="52">
        <v>315.03999999999996</v>
      </c>
      <c r="AK23" s="52">
        <v>630.07999999999993</v>
      </c>
      <c r="AL23" s="52">
        <v>945.11999999999989</v>
      </c>
      <c r="AM23" s="52">
        <v>1260.1599999999999</v>
      </c>
      <c r="AN23" s="52">
        <v>1575.1999999999996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21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_xlfn.LET(_xlpm.site,$B$1&amp;"-"&amp;$C$1,_xlpm.locations,Base!$D$4:$BD$4,_xlpm.rates,Base!$D31:$BD31,_xlpm.hours,Base!$D74:$BD74,_xlpm.comp,_xlpm.rates*_xlpm.hours,_xlpm.Customer,_xlfn.ANCHORARRAY($E$1),
_xlpm.Customer_comp,_xlfn.XLOOKUP(_xlpm.site,_xlpm.locations,_xlpm.comp,0,0),_xlpm.ann_incr,_xlfn.XLOOKUP(YEAR(_xlfn.ANCHORARRAY($E$25)),Base!$BJ$4:$BL$4,Base!$BJ74:$BL74,0,0),
_xlpm.bad_debt,_xlfn.XLOOKUP(_xlpm.site,_xlpm.locations,Base!$D$28:$BD$28,0,0),_xlpm.Customer_comp*_xlpm.Customer*_xlpm.bad_debt*_xlpm.ann_incr*(52/12))</f>
        <v>0</v>
      </c>
      <c r="F26" s="12">
        <v>0</v>
      </c>
      <c r="G26" s="12">
        <v>0</v>
      </c>
      <c r="H26" s="12">
        <v>0</v>
      </c>
      <c r="I26" s="12">
        <v>0</v>
      </c>
      <c r="J26" s="12">
        <v>0</v>
      </c>
      <c r="K26" s="12">
        <v>0</v>
      </c>
      <c r="L26" s="12">
        <v>0</v>
      </c>
      <c r="M26" s="12">
        <v>0</v>
      </c>
      <c r="N26" s="12">
        <v>0</v>
      </c>
      <c r="O26" s="12">
        <v>0</v>
      </c>
      <c r="P26" s="12">
        <v>0</v>
      </c>
      <c r="Q26" s="12">
        <v>0</v>
      </c>
      <c r="R26" s="12">
        <v>0</v>
      </c>
      <c r="S26" s="12">
        <v>0</v>
      </c>
      <c r="T26" s="12">
        <v>0</v>
      </c>
      <c r="U26" s="12">
        <v>0</v>
      </c>
      <c r="V26" s="12">
        <v>0</v>
      </c>
      <c r="W26" s="12">
        <v>0</v>
      </c>
      <c r="X26" s="12">
        <v>0</v>
      </c>
      <c r="Y26" s="12">
        <v>0</v>
      </c>
      <c r="Z26" s="12">
        <v>0</v>
      </c>
      <c r="AA26" s="12">
        <v>0</v>
      </c>
      <c r="AB26" s="12">
        <v>0</v>
      </c>
      <c r="AC26" s="12">
        <v>0</v>
      </c>
      <c r="AD26" s="12">
        <v>0</v>
      </c>
      <c r="AE26" s="12">
        <v>0</v>
      </c>
      <c r="AF26" s="12">
        <v>0</v>
      </c>
      <c r="AG26" s="12">
        <v>0</v>
      </c>
      <c r="AH26" s="12">
        <v>0</v>
      </c>
      <c r="AI26" s="12">
        <v>0</v>
      </c>
      <c r="AJ26" s="12">
        <v>46796.978800000004</v>
      </c>
      <c r="AK26" s="12">
        <v>93593.957600000009</v>
      </c>
      <c r="AL26" s="12">
        <v>140390.93640000001</v>
      </c>
      <c r="AM26" s="12">
        <v>187187.91520000002</v>
      </c>
      <c r="AN26" s="12">
        <v>233984.89399999997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_xlfn.LET(_xlpm.site,$B$1&amp;"-"&amp;$C$1,_xlpm.locations,Base!$D$4:$BD$4,_xlpm.rates,Base!$D32:$BD32,_xlpm.hours,Base!$D75:$BD75,_xlpm.comp,_xlpm.rates*_xlpm.hours,_xlpm.Customer,_xlfn.ANCHORARRAY($E$1),
_xlpm.Customer_comp,_xlfn.XLOOKUP(_xlpm.site,_xlpm.locations,_xlpm.comp,0,0),_xlpm.ann_incr,_xlfn.XLOOKUP(YEAR(_xlfn.ANCHORARRAY($E$25)),Base!$BJ$4:$BL$4,Base!$BJ75:$BL75,0,0),
_xlpm.bad_debt,_xlfn.XLOOKUP(_xlpm.site,_xlpm.locations,Base!$D$28:$BD$28,0,0),_xlpm.Customer_comp*_xlpm.Customer*_xlpm.bad_debt*_xlpm.ann_incr*(52/12))</f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12">
        <v>0</v>
      </c>
      <c r="AA27" s="12">
        <v>0</v>
      </c>
      <c r="AB27" s="12">
        <v>0</v>
      </c>
      <c r="AC27" s="12">
        <v>0</v>
      </c>
      <c r="AD27" s="12">
        <v>0</v>
      </c>
      <c r="AE27" s="12">
        <v>0</v>
      </c>
      <c r="AF27" s="12">
        <v>0</v>
      </c>
      <c r="AG27" s="12">
        <v>0</v>
      </c>
      <c r="AH27" s="12">
        <v>0</v>
      </c>
      <c r="AI27" s="12">
        <v>0</v>
      </c>
      <c r="AJ27" s="12">
        <v>2743.8788</v>
      </c>
      <c r="AK27" s="12">
        <v>5487.7575999999999</v>
      </c>
      <c r="AL27" s="12">
        <v>8231.6363999999994</v>
      </c>
      <c r="AM27" s="12">
        <v>10975.5152</v>
      </c>
      <c r="AN27" s="12">
        <v>13719.393999999998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_xlfn.LET(_xlpm.site,$B$1&amp;"-"&amp;$C$1,_xlpm.locations,Base!$D$4:$BD$4,_xlpm.rates,Base!$D33:$BD33,_xlpm.hours,Base!$D76:$BD76,_xlpm.comp,_xlpm.rates*_xlpm.hours,_xlpm.Customer,_xlfn.ANCHORARRAY($E$1),
_xlpm.Customer_comp,_xlfn.XLOOKUP(_xlpm.site,_xlpm.locations,_xlpm.comp,0,0),_xlpm.ann_incr,_xlfn.XLOOKUP(YEAR(_xlfn.ANCHORARRAY($E$25)),Base!$BJ$4:$BL$4,Base!$BJ76:$BL76,0,0),
_xlpm.bad_debt,_xlfn.XLOOKUP(_xlpm.site,_xlpm.locations,Base!$D$28:$BD$28,0,0),_xlpm.Customer_comp*_xlpm.Customer*_xlpm.bad_debt*_xlpm.ann_incr*(52/12))</f>
        <v>0</v>
      </c>
      <c r="F28" s="12">
        <v>0</v>
      </c>
      <c r="G28" s="12">
        <v>0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0</v>
      </c>
      <c r="N28" s="12">
        <v>0</v>
      </c>
      <c r="O28" s="12">
        <v>0</v>
      </c>
      <c r="P28" s="12">
        <v>0</v>
      </c>
      <c r="Q28" s="12">
        <v>0</v>
      </c>
      <c r="R28" s="12">
        <v>0</v>
      </c>
      <c r="S28" s="12">
        <v>0</v>
      </c>
      <c r="T28" s="12">
        <v>0</v>
      </c>
      <c r="U28" s="12">
        <v>0</v>
      </c>
      <c r="V28" s="12">
        <v>0</v>
      </c>
      <c r="W28" s="12">
        <v>0</v>
      </c>
      <c r="X28" s="12">
        <v>0</v>
      </c>
      <c r="Y28" s="12">
        <v>0</v>
      </c>
      <c r="Z28" s="12">
        <v>0</v>
      </c>
      <c r="AA28" s="12">
        <v>0</v>
      </c>
      <c r="AB28" s="12">
        <v>0</v>
      </c>
      <c r="AC28" s="12">
        <v>0</v>
      </c>
      <c r="AD28" s="12">
        <v>0</v>
      </c>
      <c r="AE28" s="12">
        <v>0</v>
      </c>
      <c r="AF28" s="12">
        <v>0</v>
      </c>
      <c r="AG28" s="12">
        <v>0</v>
      </c>
      <c r="AH28" s="12">
        <v>0</v>
      </c>
      <c r="AI28" s="12">
        <v>0</v>
      </c>
      <c r="AJ28" s="12">
        <v>6521.1174599999977</v>
      </c>
      <c r="AK28" s="12">
        <v>13042.234919999995</v>
      </c>
      <c r="AL28" s="12">
        <v>19563.352379999993</v>
      </c>
      <c r="AM28" s="12">
        <v>26084.469839999991</v>
      </c>
      <c r="AN28" s="12">
        <v>32605.587299999992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_xlfn.LET(_xlpm.site,$B$1&amp;"-"&amp;$C$1,_xlpm.locations,Base!$D$4:$BD$4,_xlpm.rates,Base!$D34:$BD34,_xlpm.hours,Base!$D77:$BD77,_xlpm.comp,_xlpm.rates*_xlpm.hours,_xlpm.Customer,_xlfn.ANCHORARRAY($E$1),
_xlpm.Customer_comp,_xlfn.XLOOKUP(_xlpm.site,_xlpm.locations,_xlpm.comp,0,0),_xlpm.ann_incr,_xlfn.XLOOKUP(YEAR(_xlfn.ANCHORARRAY($E$25)),Base!$BJ$4:$BL$4,Base!$BJ77:$BL77,0,0),
_xlpm.bad_debt,_xlfn.XLOOKUP(_xlpm.site,_xlpm.locations,Base!$D$28:$BD$28,0,0),_xlpm.Customer_comp*_xlpm.Customer*_xlpm.bad_debt*_xlpm.ann_incr*(52/12))</f>
        <v>0</v>
      </c>
      <c r="F29" s="12">
        <v>0</v>
      </c>
      <c r="G29" s="12">
        <v>0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0</v>
      </c>
      <c r="N29" s="12">
        <v>0</v>
      </c>
      <c r="O29" s="12">
        <v>0</v>
      </c>
      <c r="P29" s="12">
        <v>0</v>
      </c>
      <c r="Q29" s="12">
        <v>0</v>
      </c>
      <c r="R29" s="12">
        <v>0</v>
      </c>
      <c r="S29" s="12">
        <v>0</v>
      </c>
      <c r="T29" s="12">
        <v>0</v>
      </c>
      <c r="U29" s="12">
        <v>0</v>
      </c>
      <c r="V29" s="12">
        <v>0</v>
      </c>
      <c r="W29" s="12">
        <v>0</v>
      </c>
      <c r="X29" s="12">
        <v>0</v>
      </c>
      <c r="Y29" s="12">
        <v>0</v>
      </c>
      <c r="Z29" s="12">
        <v>0</v>
      </c>
      <c r="AA29" s="12">
        <v>0</v>
      </c>
      <c r="AB29" s="12">
        <v>0</v>
      </c>
      <c r="AC29" s="12">
        <v>0</v>
      </c>
      <c r="AD29" s="12">
        <v>0</v>
      </c>
      <c r="AE29" s="12">
        <v>0</v>
      </c>
      <c r="AF29" s="12">
        <v>0</v>
      </c>
      <c r="AG29" s="12">
        <v>0</v>
      </c>
      <c r="AH29" s="12">
        <v>0</v>
      </c>
      <c r="AI29" s="12">
        <v>0</v>
      </c>
      <c r="AJ29" s="12">
        <v>501.62441999999999</v>
      </c>
      <c r="AK29" s="12">
        <v>1003.24884</v>
      </c>
      <c r="AL29" s="12">
        <v>1504.8732600000001</v>
      </c>
      <c r="AM29" s="12">
        <v>2006.4976799999999</v>
      </c>
      <c r="AN29" s="12">
        <v>2508.1221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_xlfn.LET(_xlpm.site,$B$1&amp;"-"&amp;$C$1,_xlpm.locations,Base!$D$4:$BD$4,_xlpm.rates,Base!$D35:$BD35,_xlpm.hours,Base!$D78:$BD78,_xlpm.comp,_xlpm.rates*_xlpm.hours,_xlpm.Customer,_xlfn.ANCHORARRAY($E$1),
_xlpm.Customer_comp,_xlfn.XLOOKUP(_xlpm.site,_xlpm.locations,_xlpm.comp,0,0),_xlpm.ann_incr,_xlfn.XLOOKUP(YEAR(_xlfn.ANCHORARRAY($E$25)),Base!$BJ$4:$BL$4,Base!$BJ78:$BL78,0,0),
_xlpm.bad_debt,_xlfn.XLOOKUP(_xlpm.site,_xlpm.locations,Base!$D$28:$BD$28,0,0),_xlpm.Customer_comp*_xlpm.Customer*_xlpm.bad_debt*_xlpm.ann_incr*(52/12))</f>
        <v>0</v>
      </c>
      <c r="F30" s="12">
        <v>0</v>
      </c>
      <c r="G30" s="12">
        <v>0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0</v>
      </c>
      <c r="N30" s="12">
        <v>0</v>
      </c>
      <c r="O30" s="12">
        <v>0</v>
      </c>
      <c r="P30" s="12">
        <v>0</v>
      </c>
      <c r="Q30" s="12">
        <v>0</v>
      </c>
      <c r="R30" s="12">
        <v>0</v>
      </c>
      <c r="S30" s="12">
        <v>0</v>
      </c>
      <c r="T30" s="12">
        <v>0</v>
      </c>
      <c r="U30" s="12">
        <v>0</v>
      </c>
      <c r="V30" s="12">
        <v>0</v>
      </c>
      <c r="W30" s="12">
        <v>0</v>
      </c>
      <c r="X30" s="12">
        <v>0</v>
      </c>
      <c r="Y30" s="12">
        <v>0</v>
      </c>
      <c r="Z30" s="12">
        <v>0</v>
      </c>
      <c r="AA30" s="12">
        <v>0</v>
      </c>
      <c r="AB30" s="12">
        <v>0</v>
      </c>
      <c r="AC30" s="12">
        <v>0</v>
      </c>
      <c r="AD30" s="12">
        <v>0</v>
      </c>
      <c r="AE30" s="12">
        <v>0</v>
      </c>
      <c r="AF30" s="12">
        <v>0</v>
      </c>
      <c r="AG30" s="12">
        <v>0</v>
      </c>
      <c r="AH30" s="12">
        <v>0</v>
      </c>
      <c r="AI30" s="12">
        <v>0</v>
      </c>
      <c r="AJ30" s="12">
        <v>654.50319999999988</v>
      </c>
      <c r="AK30" s="12">
        <v>1309.0063999999998</v>
      </c>
      <c r="AL30" s="12">
        <v>1963.5095999999999</v>
      </c>
      <c r="AM30" s="12">
        <v>2618.0127999999995</v>
      </c>
      <c r="AN30" s="12">
        <v>3272.5159999999996</v>
      </c>
    </row>
    <row r="31" spans="2:50" x14ac:dyDescent="0.25">
      <c r="B31" s="39" t="str">
        <f>Base!B36</f>
        <v>Tertiary Direct Staff - Service A</v>
      </c>
      <c r="C31" s="4"/>
      <c r="E31" s="183" cm="1">
        <f t="array" ref="E31:AN31">_xlfn.LET(_xlpm.site,$B$1&amp;"-"&amp;$C$1,_xlpm.locations,Base!$D$4:$BD$4,_xlpm.rates,Base!$D36:$BD36,_xlpm.hours,Base!$D79:$BD79,_xlpm.comp,_xlpm.rates*_xlpm.hours,_xlpm.Customer,_xlfn.ANCHORARRAY($E$1)*0,
_xlpm.Customer_comp,_xlfn.XLOOKUP(_xlpm.site,_xlpm.locations,_xlpm.comp,0,0),_xlpm.ann_incr,_xlfn.XLOOKUP(YEAR(_xlfn.ANCHORARRAY($E$25)),Base!$BJ$4:$BL$4,Base!$BJ79:$BL79,0,0),
_xlpm.bad_debt,_xlfn.XLOOKUP(_xlpm.site,_xlpm.locations,Base!$D$28:$BD$28,0,0),_xlpm.Customer_comp*_xlpm.Customer*_xlpm.bad_debt*_xlpm.ann_incr*(52/12))</f>
        <v>0</v>
      </c>
      <c r="F31" s="183">
        <v>0</v>
      </c>
      <c r="G31" s="183">
        <v>0</v>
      </c>
      <c r="H31" s="183">
        <v>0</v>
      </c>
      <c r="I31" s="183">
        <v>0</v>
      </c>
      <c r="J31" s="183">
        <v>0</v>
      </c>
      <c r="K31" s="183">
        <v>0</v>
      </c>
      <c r="L31" s="183">
        <v>0</v>
      </c>
      <c r="M31" s="183">
        <v>0</v>
      </c>
      <c r="N31" s="183">
        <v>0</v>
      </c>
      <c r="O31" s="183">
        <v>0</v>
      </c>
      <c r="P31" s="183">
        <v>0</v>
      </c>
      <c r="Q31" s="183">
        <v>0</v>
      </c>
      <c r="R31" s="183">
        <v>0</v>
      </c>
      <c r="S31" s="183">
        <v>0</v>
      </c>
      <c r="T31" s="183">
        <v>0</v>
      </c>
      <c r="U31" s="183">
        <v>0</v>
      </c>
      <c r="V31" s="183">
        <v>0</v>
      </c>
      <c r="W31" s="183">
        <v>0</v>
      </c>
      <c r="X31" s="183">
        <v>0</v>
      </c>
      <c r="Y31" s="183">
        <v>0</v>
      </c>
      <c r="Z31" s="183">
        <v>0</v>
      </c>
      <c r="AA31" s="183">
        <v>0</v>
      </c>
      <c r="AB31" s="183">
        <v>0</v>
      </c>
      <c r="AC31" s="183">
        <v>0</v>
      </c>
      <c r="AD31" s="183">
        <v>0</v>
      </c>
      <c r="AE31" s="183">
        <v>0</v>
      </c>
      <c r="AF31" s="183">
        <v>0</v>
      </c>
      <c r="AG31" s="183">
        <v>0</v>
      </c>
      <c r="AH31" s="183">
        <v>0</v>
      </c>
      <c r="AI31" s="183">
        <v>0</v>
      </c>
      <c r="AJ31" s="183">
        <v>0</v>
      </c>
      <c r="AK31" s="183">
        <v>0</v>
      </c>
      <c r="AL31" s="183">
        <v>0</v>
      </c>
      <c r="AM31" s="183">
        <v>0</v>
      </c>
      <c r="AN31" s="183">
        <v>0</v>
      </c>
    </row>
    <row r="32" spans="2:50" x14ac:dyDescent="0.25">
      <c r="B32" s="39" t="str">
        <f>Base!B37</f>
        <v>Tertiary Direct Staff - Service B</v>
      </c>
      <c r="C32" s="4"/>
      <c r="E32" s="183" cm="1">
        <f t="array" ref="E32:AN32">_xlfn.LET(_xlpm.site,$B$1&amp;"-"&amp;$C$1,_xlpm.locations,Base!$D$4:$BD$4,_xlpm.rates,Base!$D37:$BD37,_xlpm.hours,Base!$D80:$BD80,_xlpm.comp,_xlpm.rates*_xlpm.hours,_xlpm.Customer,_xlfn.ANCHORARRAY($E$1)*0,
_xlpm.Customer_comp,_xlfn.XLOOKUP(_xlpm.site,_xlpm.locations,_xlpm.comp,0,0),_xlpm.ann_incr,_xlfn.XLOOKUP(YEAR(_xlfn.ANCHORARRAY($E$25)),Base!$BJ$4:$BL$4,Base!$BJ80:$BL80,0,0),
_xlpm.bad_debt,_xlfn.XLOOKUP(_xlpm.site,_xlpm.locations,Base!$D$28:$BD$28,0,0),_xlpm.Customer_comp*_xlpm.Customer*_xlpm.bad_debt*_xlpm.ann_incr*(52/12))</f>
        <v>0</v>
      </c>
      <c r="F32" s="183">
        <v>0</v>
      </c>
      <c r="G32" s="183">
        <v>0</v>
      </c>
      <c r="H32" s="183">
        <v>0</v>
      </c>
      <c r="I32" s="183">
        <v>0</v>
      </c>
      <c r="J32" s="183">
        <v>0</v>
      </c>
      <c r="K32" s="183">
        <v>0</v>
      </c>
      <c r="L32" s="183">
        <v>0</v>
      </c>
      <c r="M32" s="183">
        <v>0</v>
      </c>
      <c r="N32" s="183">
        <v>0</v>
      </c>
      <c r="O32" s="183">
        <v>0</v>
      </c>
      <c r="P32" s="183">
        <v>0</v>
      </c>
      <c r="Q32" s="183">
        <v>0</v>
      </c>
      <c r="R32" s="183">
        <v>0</v>
      </c>
      <c r="S32" s="183">
        <v>0</v>
      </c>
      <c r="T32" s="183">
        <v>0</v>
      </c>
      <c r="U32" s="183">
        <v>0</v>
      </c>
      <c r="V32" s="183">
        <v>0</v>
      </c>
      <c r="W32" s="183">
        <v>0</v>
      </c>
      <c r="X32" s="183">
        <v>0</v>
      </c>
      <c r="Y32" s="183">
        <v>0</v>
      </c>
      <c r="Z32" s="183">
        <v>0</v>
      </c>
      <c r="AA32" s="183">
        <v>0</v>
      </c>
      <c r="AB32" s="183">
        <v>0</v>
      </c>
      <c r="AC32" s="183">
        <v>0</v>
      </c>
      <c r="AD32" s="183">
        <v>0</v>
      </c>
      <c r="AE32" s="183">
        <v>0</v>
      </c>
      <c r="AF32" s="183">
        <v>0</v>
      </c>
      <c r="AG32" s="183">
        <v>0</v>
      </c>
      <c r="AH32" s="183">
        <v>0</v>
      </c>
      <c r="AI32" s="183">
        <v>0</v>
      </c>
      <c r="AJ32" s="183">
        <v>0</v>
      </c>
      <c r="AK32" s="183">
        <v>0</v>
      </c>
      <c r="AL32" s="183">
        <v>0</v>
      </c>
      <c r="AM32" s="183">
        <v>0</v>
      </c>
      <c r="AN32" s="183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_xlpm.Customer,_xlfn.ANCHORARRAY($E$2),_xlpm.ann_incr,_xlfn.XLOOKUP(YEAR(_xlfn.ANCHORARRAY($E$25)),Base!$BJ$4:$BL$4,Base!$BJ$81:$BL$81,0,0),
_xlpm.bad_debt,_xlfn.XLOOKUP(_xlpm.site,_xlpm.locations,Base!$D$28:$BD$28,0,0),
_xlpm.comp*_xlpm.bad_debt*_xlpm.ann_incr*(52/12))</f>
        <v>0</v>
      </c>
      <c r="F33" s="12">
        <v>0</v>
      </c>
      <c r="G33" s="12">
        <v>0</v>
      </c>
      <c r="H33" s="12">
        <v>0</v>
      </c>
      <c r="I33" s="12">
        <v>0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2">
        <v>0</v>
      </c>
      <c r="Y33" s="12">
        <v>0</v>
      </c>
      <c r="Z33" s="12">
        <v>0</v>
      </c>
      <c r="AA33" s="12">
        <v>0</v>
      </c>
      <c r="AB33" s="12">
        <v>0</v>
      </c>
      <c r="AC33" s="12">
        <v>0</v>
      </c>
      <c r="AD33" s="12">
        <v>0</v>
      </c>
      <c r="AE33" s="12">
        <v>0</v>
      </c>
      <c r="AF33" s="12">
        <v>0</v>
      </c>
      <c r="AG33" s="12">
        <v>0</v>
      </c>
      <c r="AH33" s="12">
        <v>0</v>
      </c>
      <c r="AI33" s="12">
        <v>0</v>
      </c>
      <c r="AJ33" s="12">
        <v>26688.836416666662</v>
      </c>
      <c r="AK33" s="12">
        <v>26688.836416666662</v>
      </c>
      <c r="AL33" s="12">
        <v>26688.836416666662</v>
      </c>
      <c r="AM33" s="12">
        <v>26688.836416666662</v>
      </c>
      <c r="AN33" s="12">
        <v>26688.836416666662</v>
      </c>
    </row>
    <row r="34" spans="2:40" x14ac:dyDescent="0.25">
      <c r="B34" s="39" t="str">
        <f>Base!B39</f>
        <v>Quinary Direct Staff - Service A</v>
      </c>
      <c r="C34" s="4"/>
      <c r="E34" s="183" cm="1">
        <f t="array" ref="E34:AN34">_xlfn.LET(_xlpm.site,$B$1&amp;"-"&amp;$C$1,_xlpm.locations,Base!$D$4:$BD$4,_xlpm.rates,Base!$D39:$BD39,_xlpm.hours,Base!$D82:$BD82,_xlpm.comp,_xlpm.rates*_xlpm.hours,_xlpm.Customer,_xlfn.ANCHORARRAY($E$1)*0,
_xlpm.Customer_comp,_xlfn.XLOOKUP(_xlpm.site,_xlpm.locations,_xlpm.comp,0,0),_xlpm.ann_incr,_xlfn.XLOOKUP(YEAR(_xlfn.ANCHORARRAY($E$25)),Base!$BJ$4:$BL$4,Base!$BJ82:$BL82,0,0),
_xlpm.bad_debt,_xlfn.XLOOKUP(_xlpm.site,_xlpm.locations,Base!$D$28:$BD$28,0,0),_xlpm.Customer_comp*_xlpm.Customer*_xlpm.bad_debt*_xlpm.ann_incr*(52/12))</f>
        <v>0</v>
      </c>
      <c r="F34" s="183">
        <v>0</v>
      </c>
      <c r="G34" s="183">
        <v>0</v>
      </c>
      <c r="H34" s="183">
        <v>0</v>
      </c>
      <c r="I34" s="183">
        <v>0</v>
      </c>
      <c r="J34" s="183">
        <v>0</v>
      </c>
      <c r="K34" s="183">
        <v>0</v>
      </c>
      <c r="L34" s="183">
        <v>0</v>
      </c>
      <c r="M34" s="183">
        <v>0</v>
      </c>
      <c r="N34" s="183">
        <v>0</v>
      </c>
      <c r="O34" s="183">
        <v>0</v>
      </c>
      <c r="P34" s="183">
        <v>0</v>
      </c>
      <c r="Q34" s="183">
        <v>0</v>
      </c>
      <c r="R34" s="183">
        <v>0</v>
      </c>
      <c r="S34" s="183">
        <v>0</v>
      </c>
      <c r="T34" s="183">
        <v>0</v>
      </c>
      <c r="U34" s="183">
        <v>0</v>
      </c>
      <c r="V34" s="183">
        <v>0</v>
      </c>
      <c r="W34" s="183">
        <v>0</v>
      </c>
      <c r="X34" s="183">
        <v>0</v>
      </c>
      <c r="Y34" s="183">
        <v>0</v>
      </c>
      <c r="Z34" s="183">
        <v>0</v>
      </c>
      <c r="AA34" s="183">
        <v>0</v>
      </c>
      <c r="AB34" s="183">
        <v>0</v>
      </c>
      <c r="AC34" s="183">
        <v>0</v>
      </c>
      <c r="AD34" s="183">
        <v>0</v>
      </c>
      <c r="AE34" s="183">
        <v>0</v>
      </c>
      <c r="AF34" s="183">
        <v>0</v>
      </c>
      <c r="AG34" s="183">
        <v>0</v>
      </c>
      <c r="AH34" s="183">
        <v>0</v>
      </c>
      <c r="AI34" s="183">
        <v>0</v>
      </c>
      <c r="AJ34" s="183">
        <v>0</v>
      </c>
      <c r="AK34" s="183">
        <v>0</v>
      </c>
      <c r="AL34" s="183">
        <v>0</v>
      </c>
      <c r="AM34" s="183">
        <v>0</v>
      </c>
      <c r="AN34" s="183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0</v>
      </c>
      <c r="F35" s="12">
        <v>0</v>
      </c>
      <c r="G35" s="12">
        <v>0</v>
      </c>
      <c r="H35" s="12">
        <v>0</v>
      </c>
      <c r="I35" s="12">
        <v>0</v>
      </c>
      <c r="J35" s="12">
        <v>0</v>
      </c>
      <c r="K35" s="12">
        <v>0</v>
      </c>
      <c r="L35" s="12">
        <v>0</v>
      </c>
      <c r="M35" s="12">
        <v>0</v>
      </c>
      <c r="N35" s="12">
        <v>0</v>
      </c>
      <c r="O35" s="12">
        <v>0</v>
      </c>
      <c r="P35" s="12">
        <v>0</v>
      </c>
      <c r="Q35" s="12">
        <v>0</v>
      </c>
      <c r="R35" s="12">
        <v>0</v>
      </c>
      <c r="S35" s="12">
        <v>0</v>
      </c>
      <c r="T35" s="12">
        <v>0</v>
      </c>
      <c r="U35" s="12">
        <v>0</v>
      </c>
      <c r="V35" s="12">
        <v>0</v>
      </c>
      <c r="W35" s="12">
        <v>0</v>
      </c>
      <c r="X35" s="12">
        <v>0</v>
      </c>
      <c r="Y35" s="12">
        <v>0</v>
      </c>
      <c r="Z35" s="12">
        <v>0</v>
      </c>
      <c r="AA35" s="12">
        <v>0</v>
      </c>
      <c r="AB35" s="12">
        <v>0</v>
      </c>
      <c r="AC35" s="12">
        <v>0</v>
      </c>
      <c r="AD35" s="12">
        <v>0</v>
      </c>
      <c r="AE35" s="12">
        <v>0</v>
      </c>
      <c r="AF35" s="12">
        <v>0</v>
      </c>
      <c r="AG35" s="12">
        <v>0</v>
      </c>
      <c r="AH35" s="12">
        <v>0</v>
      </c>
      <c r="AI35" s="12">
        <v>0</v>
      </c>
      <c r="AJ35" s="12">
        <v>-10068.832691599999</v>
      </c>
      <c r="AK35" s="12">
        <v>-16935.005013199996</v>
      </c>
      <c r="AL35" s="12">
        <v>-23801.177334799995</v>
      </c>
      <c r="AM35" s="12">
        <v>-30667.349656399994</v>
      </c>
      <c r="AN35" s="12">
        <v>-37533.521977999997</v>
      </c>
    </row>
    <row r="36" spans="2:40" x14ac:dyDescent="0.25">
      <c r="B36" s="39" t="s">
        <v>261</v>
      </c>
      <c r="C36" s="15"/>
      <c r="E36" s="183" cm="1">
        <f t="array" ref="E36:AN36">_xlfn.BYCOL(_xlfn.ANCHORARRAY($E$25),_xlfn.LAMBDA(_xlpm.a,0))</f>
        <v>0</v>
      </c>
      <c r="F36" s="183">
        <v>0</v>
      </c>
      <c r="G36" s="183">
        <v>0</v>
      </c>
      <c r="H36" s="183">
        <v>0</v>
      </c>
      <c r="I36" s="183">
        <v>0</v>
      </c>
      <c r="J36" s="183">
        <v>0</v>
      </c>
      <c r="K36" s="183">
        <v>0</v>
      </c>
      <c r="L36" s="183">
        <v>0</v>
      </c>
      <c r="M36" s="183">
        <v>0</v>
      </c>
      <c r="N36" s="183">
        <v>0</v>
      </c>
      <c r="O36" s="183">
        <v>0</v>
      </c>
      <c r="P36" s="183">
        <v>0</v>
      </c>
      <c r="Q36" s="183">
        <v>0</v>
      </c>
      <c r="R36" s="183">
        <v>0</v>
      </c>
      <c r="S36" s="183">
        <v>0</v>
      </c>
      <c r="T36" s="183">
        <v>0</v>
      </c>
      <c r="U36" s="183">
        <v>0</v>
      </c>
      <c r="V36" s="183">
        <v>0</v>
      </c>
      <c r="W36" s="183">
        <v>0</v>
      </c>
      <c r="X36" s="183">
        <v>0</v>
      </c>
      <c r="Y36" s="183">
        <v>0</v>
      </c>
      <c r="Z36" s="183">
        <v>0</v>
      </c>
      <c r="AA36" s="183">
        <v>0</v>
      </c>
      <c r="AB36" s="183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271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0</v>
      </c>
      <c r="S37" s="13">
        <v>0</v>
      </c>
      <c r="T37" s="13">
        <v>0</v>
      </c>
      <c r="U37" s="13">
        <v>0</v>
      </c>
      <c r="V37" s="13">
        <v>0</v>
      </c>
      <c r="W37" s="13">
        <v>0</v>
      </c>
      <c r="X37" s="13">
        <v>0</v>
      </c>
      <c r="Y37" s="13">
        <v>0</v>
      </c>
      <c r="Z37" s="13">
        <v>0</v>
      </c>
      <c r="AA37" s="13">
        <v>0</v>
      </c>
      <c r="AB37" s="13">
        <v>0</v>
      </c>
      <c r="AC37" s="13">
        <v>0</v>
      </c>
      <c r="AD37" s="13">
        <v>0</v>
      </c>
      <c r="AE37" s="13">
        <v>0</v>
      </c>
      <c r="AF37" s="13">
        <v>0</v>
      </c>
      <c r="AG37" s="13">
        <v>0</v>
      </c>
      <c r="AH37" s="13">
        <v>0</v>
      </c>
      <c r="AI37" s="13">
        <v>0</v>
      </c>
      <c r="AJ37" s="13">
        <v>71094.22760506667</v>
      </c>
      <c r="AK37" s="13">
        <v>118702.27916346668</v>
      </c>
      <c r="AL37" s="13">
        <v>166310.33072186666</v>
      </c>
      <c r="AM37" s="13">
        <v>213918.38228026667</v>
      </c>
      <c r="AN37" s="13">
        <v>261526.43383866665</v>
      </c>
    </row>
    <row r="38" spans="2:40" x14ac:dyDescent="0.25">
      <c r="E38" s="67"/>
      <c r="F38" s="67"/>
    </row>
    <row r="39" spans="2:40" x14ac:dyDescent="0.25">
      <c r="B39" s="1" t="s">
        <v>118</v>
      </c>
    </row>
    <row r="40" spans="2:40" x14ac:dyDescent="0.25">
      <c r="B40" s="39" t="s">
        <v>23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0</v>
      </c>
      <c r="F40" s="12">
        <v>0</v>
      </c>
      <c r="G40" s="12">
        <v>0</v>
      </c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0</v>
      </c>
      <c r="N40" s="12">
        <v>0</v>
      </c>
      <c r="O40" s="12">
        <v>0</v>
      </c>
      <c r="P40" s="12">
        <v>0</v>
      </c>
      <c r="Q40" s="12">
        <v>0</v>
      </c>
      <c r="R40" s="12">
        <v>0</v>
      </c>
      <c r="S40" s="12">
        <v>0</v>
      </c>
      <c r="T40" s="12">
        <v>0</v>
      </c>
      <c r="U40" s="12">
        <v>0</v>
      </c>
      <c r="V40" s="12">
        <v>0</v>
      </c>
      <c r="W40" s="12">
        <v>0</v>
      </c>
      <c r="X40" s="12">
        <v>0</v>
      </c>
      <c r="Y40" s="12">
        <v>0</v>
      </c>
      <c r="Z40" s="12">
        <v>0</v>
      </c>
      <c r="AA40" s="12">
        <v>0</v>
      </c>
      <c r="AB40" s="12">
        <v>0</v>
      </c>
      <c r="AC40" s="12">
        <v>0</v>
      </c>
      <c r="AD40" s="12">
        <v>0</v>
      </c>
      <c r="AE40" s="12">
        <v>0</v>
      </c>
      <c r="AF40" s="12">
        <v>0</v>
      </c>
      <c r="AG40" s="12">
        <v>0</v>
      </c>
      <c r="AH40" s="12">
        <v>0</v>
      </c>
      <c r="AI40" s="12">
        <v>0</v>
      </c>
      <c r="AJ40" s="12">
        <v>52771.717808043984</v>
      </c>
      <c r="AK40" s="12">
        <v>90050.480101421301</v>
      </c>
      <c r="AL40" s="12">
        <v>113599.24590946527</v>
      </c>
      <c r="AM40" s="12">
        <v>137099.33486950924</v>
      </c>
      <c r="AN40" s="12">
        <v>160639.19249621988</v>
      </c>
    </row>
    <row r="41" spans="2:40" x14ac:dyDescent="0.25">
      <c r="B41" s="39" t="s">
        <v>388</v>
      </c>
      <c r="C41" s="142">
        <f>_xlfn.XLOOKUP($B$1&amp;"-"&amp;$C$1,Base!$D$4:$BD$4,Base!$D$12:$BD$12,0,0)</f>
        <v>0</v>
      </c>
      <c r="E41" s="183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28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0</v>
      </c>
      <c r="AJ42" s="12">
        <v>15913.5</v>
      </c>
      <c r="AK42" s="12">
        <v>15913.5</v>
      </c>
      <c r="AL42" s="12">
        <v>15913.5</v>
      </c>
      <c r="AM42" s="12">
        <v>15913.5</v>
      </c>
      <c r="AN42" s="12">
        <v>15913.5</v>
      </c>
    </row>
    <row r="43" spans="2:40" x14ac:dyDescent="0.25">
      <c r="B43" s="39" t="s">
        <v>31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0</v>
      </c>
      <c r="X43" s="12">
        <v>0</v>
      </c>
      <c r="Y43" s="12">
        <v>0</v>
      </c>
      <c r="Z43" s="12">
        <v>0</v>
      </c>
      <c r="AA43" s="12">
        <v>0</v>
      </c>
      <c r="AB43" s="12">
        <v>0</v>
      </c>
      <c r="AC43" s="12">
        <v>0</v>
      </c>
      <c r="AD43" s="12">
        <v>0</v>
      </c>
      <c r="AE43" s="12">
        <v>0</v>
      </c>
      <c r="AF43" s="12">
        <v>0</v>
      </c>
      <c r="AG43" s="12">
        <v>0</v>
      </c>
      <c r="AH43" s="12">
        <v>0</v>
      </c>
      <c r="AI43" s="12">
        <v>0</v>
      </c>
      <c r="AJ43" s="12">
        <v>8328.3200000000015</v>
      </c>
      <c r="AK43" s="12">
        <v>8328.3200000000015</v>
      </c>
      <c r="AL43" s="12">
        <v>8328.3200000000015</v>
      </c>
      <c r="AM43" s="12">
        <v>8328.3200000000015</v>
      </c>
      <c r="AN43" s="12">
        <v>8328.3200000000015</v>
      </c>
    </row>
    <row r="44" spans="2:40" x14ac:dyDescent="0.25">
      <c r="B44" s="39" t="s">
        <v>34</v>
      </c>
      <c r="C44" s="96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  <c r="O44" s="12">
        <v>0</v>
      </c>
      <c r="P44" s="12">
        <v>0</v>
      </c>
      <c r="Q44" s="12">
        <v>0</v>
      </c>
      <c r="R44" s="12">
        <v>0</v>
      </c>
      <c r="S44" s="12">
        <v>0</v>
      </c>
      <c r="T44" s="12">
        <v>0</v>
      </c>
      <c r="U44" s="12">
        <v>0</v>
      </c>
      <c r="V44" s="12">
        <v>0</v>
      </c>
      <c r="W44" s="12">
        <v>0</v>
      </c>
      <c r="X44" s="12">
        <v>0</v>
      </c>
      <c r="Y44" s="12">
        <v>0</v>
      </c>
      <c r="Z44" s="12">
        <v>0</v>
      </c>
      <c r="AA44" s="12">
        <v>0</v>
      </c>
      <c r="AB44" s="12">
        <v>0</v>
      </c>
      <c r="AC44" s="12">
        <v>0</v>
      </c>
      <c r="AD44" s="12">
        <v>0</v>
      </c>
      <c r="AE44" s="12">
        <v>0</v>
      </c>
      <c r="AF44" s="12">
        <v>0</v>
      </c>
      <c r="AG44" s="12">
        <v>0</v>
      </c>
      <c r="AH44" s="12">
        <v>0</v>
      </c>
      <c r="AI44" s="12">
        <v>0</v>
      </c>
      <c r="AJ44" s="12">
        <v>393.58904832000007</v>
      </c>
      <c r="AK44" s="12">
        <v>1042.2821094400001</v>
      </c>
      <c r="AL44" s="12">
        <v>1075.0811968000003</v>
      </c>
      <c r="AM44" s="12">
        <v>1107.88028416</v>
      </c>
      <c r="AN44" s="12">
        <v>1140.6793715200004</v>
      </c>
    </row>
    <row r="45" spans="2:40" x14ac:dyDescent="0.25">
      <c r="B45" s="39" t="s">
        <v>36</v>
      </c>
      <c r="C45" s="96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0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12">
        <v>0</v>
      </c>
      <c r="R45" s="12">
        <v>0</v>
      </c>
      <c r="S45" s="12">
        <v>0</v>
      </c>
      <c r="T45" s="12">
        <v>0</v>
      </c>
      <c r="U45" s="12">
        <v>0</v>
      </c>
      <c r="V45" s="12">
        <v>0</v>
      </c>
      <c r="W45" s="12">
        <v>0</v>
      </c>
      <c r="X45" s="12">
        <v>0</v>
      </c>
      <c r="Y45" s="12">
        <v>0</v>
      </c>
      <c r="Z45" s="12">
        <v>0</v>
      </c>
      <c r="AA45" s="12">
        <v>0</v>
      </c>
      <c r="AB45" s="12">
        <v>0</v>
      </c>
      <c r="AC45" s="12">
        <v>0</v>
      </c>
      <c r="AD45" s="12">
        <v>0</v>
      </c>
      <c r="AE45" s="12">
        <v>0</v>
      </c>
      <c r="AF45" s="12">
        <v>0</v>
      </c>
      <c r="AG45" s="12">
        <v>0</v>
      </c>
      <c r="AH45" s="12">
        <v>0</v>
      </c>
      <c r="AI45" s="12">
        <v>0</v>
      </c>
      <c r="AJ45" s="12">
        <v>6762.6</v>
      </c>
      <c r="AK45" s="12">
        <v>6762.6</v>
      </c>
      <c r="AL45" s="12">
        <v>6762.6</v>
      </c>
      <c r="AM45" s="12">
        <v>6762.6</v>
      </c>
      <c r="AN45" s="12">
        <v>6762.6</v>
      </c>
    </row>
    <row r="46" spans="2:40" x14ac:dyDescent="0.25">
      <c r="B46" s="39" t="s">
        <v>38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0</v>
      </c>
      <c r="F46" s="12">
        <v>0</v>
      </c>
      <c r="G46" s="12">
        <v>0</v>
      </c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0</v>
      </c>
      <c r="N46" s="12">
        <v>0</v>
      </c>
      <c r="O46" s="12">
        <v>0</v>
      </c>
      <c r="P46" s="12">
        <v>0</v>
      </c>
      <c r="Q46" s="12">
        <v>0</v>
      </c>
      <c r="R46" s="12">
        <v>0</v>
      </c>
      <c r="S46" s="12">
        <v>0</v>
      </c>
      <c r="T46" s="12">
        <v>0</v>
      </c>
      <c r="U46" s="12">
        <v>0</v>
      </c>
      <c r="V46" s="12">
        <v>0</v>
      </c>
      <c r="W46" s="12">
        <v>0</v>
      </c>
      <c r="X46" s="12">
        <v>0</v>
      </c>
      <c r="Y46" s="12">
        <v>0</v>
      </c>
      <c r="Z46" s="12">
        <v>0</v>
      </c>
      <c r="AA46" s="12">
        <v>0</v>
      </c>
      <c r="AB46" s="12">
        <v>0</v>
      </c>
      <c r="AC46" s="12">
        <v>0</v>
      </c>
      <c r="AD46" s="12">
        <v>0</v>
      </c>
      <c r="AE46" s="12">
        <v>0</v>
      </c>
      <c r="AF46" s="12">
        <v>0</v>
      </c>
      <c r="AG46" s="12">
        <v>0</v>
      </c>
      <c r="AH46" s="12">
        <v>0</v>
      </c>
      <c r="AI46" s="12">
        <v>0</v>
      </c>
      <c r="AJ46" s="12">
        <v>3676.7735999999991</v>
      </c>
      <c r="AK46" s="12">
        <v>5617.639799999999</v>
      </c>
      <c r="AL46" s="12">
        <v>6946.7507999999998</v>
      </c>
      <c r="AM46" s="12">
        <v>8272.2203999999983</v>
      </c>
      <c r="AN46" s="12">
        <v>9597.6899999999969</v>
      </c>
    </row>
    <row r="47" spans="2:40" x14ac:dyDescent="0.25">
      <c r="B47" s="39" t="s">
        <v>40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  <c r="O47" s="12">
        <v>0</v>
      </c>
      <c r="P47" s="12">
        <v>0</v>
      </c>
      <c r="Q47" s="12">
        <v>0</v>
      </c>
      <c r="R47" s="12">
        <v>0</v>
      </c>
      <c r="S47" s="12">
        <v>0</v>
      </c>
      <c r="T47" s="12">
        <v>0</v>
      </c>
      <c r="U47" s="12">
        <v>0</v>
      </c>
      <c r="V47" s="12">
        <v>0</v>
      </c>
      <c r="W47" s="12">
        <v>0</v>
      </c>
      <c r="X47" s="12">
        <v>0</v>
      </c>
      <c r="Y47" s="12">
        <v>0</v>
      </c>
      <c r="Z47" s="12">
        <v>0</v>
      </c>
      <c r="AA47" s="12">
        <v>0</v>
      </c>
      <c r="AB47" s="12">
        <v>0</v>
      </c>
      <c r="AC47" s="12">
        <v>0</v>
      </c>
      <c r="AD47" s="12">
        <v>0</v>
      </c>
      <c r="AE47" s="12">
        <v>0</v>
      </c>
      <c r="AF47" s="12">
        <v>0</v>
      </c>
      <c r="AG47" s="12">
        <v>0</v>
      </c>
      <c r="AH47" s="12">
        <v>0</v>
      </c>
      <c r="AI47" s="12">
        <v>0</v>
      </c>
      <c r="AJ47" s="12">
        <v>6615</v>
      </c>
      <c r="AK47" s="12">
        <v>6615</v>
      </c>
      <c r="AL47" s="12">
        <v>6615</v>
      </c>
      <c r="AM47" s="12">
        <v>6615</v>
      </c>
      <c r="AN47" s="12">
        <v>6615</v>
      </c>
    </row>
    <row r="48" spans="2:40" x14ac:dyDescent="0.25">
      <c r="B48" s="39" t="s">
        <v>41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151234.47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42</v>
      </c>
      <c r="E49" s="12">
        <f>'Corp.'!E$50*(E$37-(E31-E32-E34)*$C$35)/(SUM('MDA1:NCA9'!E$37)-SUM('MDA1:NCA9'!E$31)-SUM('MDA1:NCA9'!E$32)-SUM('MDA1:NCA9'!E$34))</f>
        <v>0</v>
      </c>
      <c r="F49" s="12">
        <f>'Corp.'!F$50*(F$37-(F31-F32-F34)*$C$35)/(SUM('MDA1:NCA9'!F$37)-SUM('MDA1:NCA9'!F$31)-SUM('MDA1:NCA9'!F$32)-SUM('MDA1:NCA9'!F$34))</f>
        <v>0</v>
      </c>
      <c r="G49" s="12">
        <f>'Corp.'!G$50*(G$37-(G31-G32-G34)*$C$35)/(SUM('MDA1:NCA9'!G$37)-SUM('MDA1:NCA9'!G$31)-SUM('MDA1:NCA9'!G$32)-SUM('MDA1:NCA9'!G$34))</f>
        <v>0</v>
      </c>
      <c r="H49" s="12">
        <f>'Corp.'!H$50*(H$37-(H31-H32-H34)*$C$35)/(SUM('MDA1:NCA9'!H$37)-SUM('MDA1:NCA9'!H$31)-SUM('MDA1:NCA9'!H$32)-SUM('MDA1:NCA9'!H$34))</f>
        <v>0</v>
      </c>
      <c r="I49" s="12">
        <f>'Corp.'!I$50*(I$37-(I31-I32-I34)*$C$35)/(SUM('MDA1:NCA9'!I$37)-SUM('MDA1:NCA9'!I$31)-SUM('MDA1:NCA9'!I$32)-SUM('MDA1:NCA9'!I$34))</f>
        <v>0</v>
      </c>
      <c r="J49" s="12">
        <f>'Corp.'!J$50*(J$37-(J31-J32-J34)*$C$35)/(SUM('MDA1:NCA9'!J$37)-SUM('MDA1:NCA9'!J$31)-SUM('MDA1:NCA9'!J$32)-SUM('MDA1:NCA9'!J$34))</f>
        <v>0</v>
      </c>
      <c r="K49" s="12">
        <f>'Corp.'!K$50*(K$37-(K31-K32-K34)*$C$35)/(SUM('MDA1:NCA9'!K$37)-SUM('MDA1:NCA9'!K$31)-SUM('MDA1:NCA9'!K$32)-SUM('MDA1:NCA9'!K$34))</f>
        <v>0</v>
      </c>
      <c r="L49" s="12">
        <f>'Corp.'!L$50*(L$37-(L31-L32-L34)*$C$35)/(SUM('MDA1:NCA9'!L$37)-SUM('MDA1:NCA9'!L$31)-SUM('MDA1:NCA9'!L$32)-SUM('MDA1:NCA9'!L$34))</f>
        <v>0</v>
      </c>
      <c r="M49" s="12">
        <f>'Corp.'!M$50*(M$37-(M31-M32-M34)*$C$35)/(SUM('MDA1:NCA9'!M$37)-SUM('MDA1:NCA9'!M$31)-SUM('MDA1:NCA9'!M$32)-SUM('MDA1:NCA9'!M$34))</f>
        <v>0</v>
      </c>
      <c r="N49" s="12">
        <f>'Corp.'!N$50*(N$37-(N31-N32-N34)*$C$35)/(SUM('MDA1:NCA9'!N$37)-SUM('MDA1:NCA9'!N$31)-SUM('MDA1:NCA9'!N$32)-SUM('MDA1:NCA9'!N$34))</f>
        <v>0</v>
      </c>
      <c r="O49" s="12">
        <f>'Corp.'!O$50*(O$37-(O31-O32-O34)*$C$35)/(SUM('MDA1:NCA9'!O$37)-SUM('MDA1:NCA9'!O$31)-SUM('MDA1:NCA9'!O$32)-SUM('MDA1:NCA9'!O$34))</f>
        <v>0</v>
      </c>
      <c r="P49" s="12">
        <f>'Corp.'!P$50*(P$37-(P31-P32-P34)*$C$35)/(SUM('MDA1:NCA9'!P$37)-SUM('MDA1:NCA9'!P$31)-SUM('MDA1:NCA9'!P$32)-SUM('MDA1:NCA9'!P$34))</f>
        <v>0</v>
      </c>
      <c r="Q49" s="12">
        <f>'Corp.'!Q$50*(Q$37-(Q31-Q32-Q34)*$C$35)/(SUM('MDA1:NCA9'!Q$37)-SUM('MDA1:NCA9'!Q$31)-SUM('MDA1:NCA9'!Q$32)-SUM('MDA1:NCA9'!Q$34))</f>
        <v>0</v>
      </c>
      <c r="R49" s="12">
        <f>'Corp.'!R$50*(R$37-(R31-R32-R34)*$C$35)/(SUM('MDA1:NCA9'!R$37)-SUM('MDA1:NCA9'!R$31)-SUM('MDA1:NCA9'!R$32)-SUM('MDA1:NCA9'!R$34))</f>
        <v>0</v>
      </c>
      <c r="S49" s="12">
        <f>'Corp.'!S$50*(S$37-(S31-S32-S34)*$C$35)/(SUM('MDA1:NCA9'!S$37)-SUM('MDA1:NCA9'!S$31)-SUM('MDA1:NCA9'!S$32)-SUM('MDA1:NCA9'!S$34))</f>
        <v>0</v>
      </c>
      <c r="T49" s="12">
        <f>'Corp.'!T$50*(T$37-(T31-T32-T34)*$C$35)/(SUM('MDA1:NCA9'!T$37)-SUM('MDA1:NCA9'!T$31)-SUM('MDA1:NCA9'!T$32)-SUM('MDA1:NCA9'!T$34))</f>
        <v>0</v>
      </c>
      <c r="U49" s="12">
        <f>'Corp.'!U$50*(U$37-(U31-U32-U34)*$C$35)/(SUM('MDA1:NCA9'!U$37)-SUM('MDA1:NCA9'!U$31)-SUM('MDA1:NCA9'!U$32)-SUM('MDA1:NCA9'!U$34))</f>
        <v>0</v>
      </c>
      <c r="V49" s="12">
        <f>'Corp.'!V$50*(V$37-(V31-V32-V34)*$C$35)/(SUM('MDA1:NCA9'!V$37)-SUM('MDA1:NCA9'!V$31)-SUM('MDA1:NCA9'!V$32)-SUM('MDA1:NCA9'!V$34))</f>
        <v>0</v>
      </c>
      <c r="W49" s="12">
        <f>'Corp.'!W$50*(W$37-(W31-W32-W34)*$C$35)/(SUM('MDA1:NCA9'!W$37)-SUM('MDA1:NCA9'!W$31)-SUM('MDA1:NCA9'!W$32)-SUM('MDA1:NCA9'!W$34))</f>
        <v>0</v>
      </c>
      <c r="X49" s="12">
        <f>'Corp.'!X$50*(X$37-(X31-X32-X34)*$C$35)/(SUM('MDA1:NCA9'!X$37)-SUM('MDA1:NCA9'!X$31)-SUM('MDA1:NCA9'!X$32)-SUM('MDA1:NCA9'!X$34))</f>
        <v>0</v>
      </c>
      <c r="Y49" s="12">
        <f>'Corp.'!Y$50*(Y$37-(Y31-Y32-Y34)*$C$35)/(SUM('MDA1:NCA9'!Y$37)-SUM('MDA1:NCA9'!Y$31)-SUM('MDA1:NCA9'!Y$32)-SUM('MDA1:NCA9'!Y$34))</f>
        <v>0</v>
      </c>
      <c r="Z49" s="12">
        <f>'Corp.'!Z$50*(Z$37-(Z31-Z32-Z34)*$C$35)/(SUM('MDA1:NCA9'!Z$37)-SUM('MDA1:NCA9'!Z$31)-SUM('MDA1:NCA9'!Z$32)-SUM('MDA1:NCA9'!Z$34))</f>
        <v>0</v>
      </c>
      <c r="AA49" s="12">
        <f>'Corp.'!AA$50*(AA$37-(AA31-AA32-AA34)*$C$35)/(SUM('MDA1:NCA9'!AA$37)-SUM('MDA1:NCA9'!AA$31)-SUM('MDA1:NCA9'!AA$32)-SUM('MDA1:NCA9'!AA$34))</f>
        <v>0</v>
      </c>
      <c r="AB49" s="12">
        <f>'Corp.'!AB$50*(AB$37-(AB31-AB32-AB34)*$C$35)/(SUM('MDA1:NCA9'!AB$37)-SUM('MDA1:NCA9'!AB$31)-SUM('MDA1:NCA9'!AB$32)-SUM('MDA1:NCA9'!AB$34))</f>
        <v>0</v>
      </c>
      <c r="AC49" s="12">
        <f>'Corp.'!AC$50*(AC$37-(AC31-AC32-AC34)*$C$35)/(SUM('MDA1:NCA9'!AC$37)-SUM('MDA1:NCA9'!AC$31)-SUM('MDA1:NCA9'!AC$32)-SUM('MDA1:NCA9'!AC$34))</f>
        <v>0</v>
      </c>
      <c r="AD49" s="12">
        <f>'Corp.'!AD$50*(AD$37-(AD31-AD32-AD34)*$C$35)/(SUM('MDA1:NCA9'!AD$37)-SUM('MDA1:NCA9'!AD$31)-SUM('MDA1:NCA9'!AD$32)-SUM('MDA1:NCA9'!AD$34))</f>
        <v>0</v>
      </c>
      <c r="AE49" s="12">
        <f>'Corp.'!AE$50*(AE$37-(AE31-AE32-AE34)*$C$35)/(SUM('MDA1:NCA9'!AE$37)-SUM('MDA1:NCA9'!AE$31)-SUM('MDA1:NCA9'!AE$32)-SUM('MDA1:NCA9'!AE$34))</f>
        <v>0</v>
      </c>
      <c r="AF49" s="12">
        <f>'Corp.'!AF$50*(AF$37-(AF31-AF32-AF34)*$C$35)/(SUM('MDA1:NCA9'!AF$37)-SUM('MDA1:NCA9'!AF$31)-SUM('MDA1:NCA9'!AF$32)-SUM('MDA1:NCA9'!AF$34))</f>
        <v>0</v>
      </c>
      <c r="AG49" s="12">
        <f>'Corp.'!AG$50*(AG$37-(AG31-AG32-AG34)*$C$35)/(SUM('MDA1:NCA9'!AG$37)-SUM('MDA1:NCA9'!AG$31)-SUM('MDA1:NCA9'!AG$32)-SUM('MDA1:NCA9'!AG$34))</f>
        <v>0</v>
      </c>
      <c r="AH49" s="12">
        <f>'Corp.'!AH$50*(AH$37-(AH31-AH32-AH34)*$C$35)/(SUM('MDA1:NCA9'!AH$37)-SUM('MDA1:NCA9'!AH$31)-SUM('MDA1:NCA9'!AH$32)-SUM('MDA1:NCA9'!AH$34))</f>
        <v>0</v>
      </c>
      <c r="AI49" s="12">
        <f>'Corp.'!AI$50*(AI$37-(AI31-AI32-AI34)*$C$35)/(SUM('MDA1:NCA9'!AI$37)-SUM('MDA1:NCA9'!AI$31)-SUM('MDA1:NCA9'!AI$32)-SUM('MDA1:NCA9'!AI$34))</f>
        <v>0</v>
      </c>
      <c r="AJ49" s="12">
        <f>'Corp.'!AJ$50*(AJ$37-(AJ31-AJ32-AJ34)*$C$35)/(SUM('MDA1:NCA9'!AJ$37)-SUM('MDA1:NCA9'!AJ$31)-SUM('MDA1:NCA9'!AJ$32)-SUM('MDA1:NCA9'!AJ$34))</f>
        <v>7628.5082644452159</v>
      </c>
      <c r="AK49" s="12">
        <f>'Corp.'!AK$50*(AK$37-(AK31-AK32-AK34)*$C$35)/(SUM('MDA1:NCA9'!AK$37)-SUM('MDA1:NCA9'!AK$31)-SUM('MDA1:NCA9'!AK$32)-SUM('MDA1:NCA9'!AK$34))</f>
        <v>12521.928048650841</v>
      </c>
      <c r="AL49" s="12">
        <f>'Corp.'!AL$50*(AL$37-(AL31-AL32-AL34)*$C$35)/(SUM('MDA1:NCA9'!AL$37)-SUM('MDA1:NCA9'!AL$31)-SUM('MDA1:NCA9'!AL$32)-SUM('MDA1:NCA9'!AL$34))</f>
        <v>17267.697536908672</v>
      </c>
      <c r="AM49" s="12">
        <f>'Corp.'!AM$50*(AM$37-(AM31-AM32-AM34)*$C$35)/(SUM('MDA1:NCA9'!AM$37)-SUM('MDA1:NCA9'!AM$31)-SUM('MDA1:NCA9'!AM$32)-SUM('MDA1:NCA9'!AM$34))</f>
        <v>21827.855583863889</v>
      </c>
      <c r="AN49" s="12">
        <f>'Corp.'!AN$50*(AN$37-(AN31-AN32-AN34)*$C$35)/(SUM('MDA1:NCA9'!AN$37)-SUM('MDA1:NCA9'!AN$31)-SUM('MDA1:NCA9'!AN$32)-SUM('MDA1:NCA9'!AN$34))</f>
        <v>26286.66854107413</v>
      </c>
    </row>
    <row r="50" spans="2:40" x14ac:dyDescent="0.25">
      <c r="B50" s="1" t="s">
        <v>272</v>
      </c>
      <c r="E50" s="13" cm="1">
        <f t="array" ref="E50:AN50">_xlfn.BYCOL(_xlfn.VSTACK(_xlfn.ANCHORARRAY(E40),_xlfn.ANCHORARRAY(E42),_xlfn.ANCHORARRAY(E43),_xlfn.ANCHORARRAY(E45),_xlfn.ANCHORARRAY(E46),_xlfn.ANCHORARRAY(E47),_xlfn.ANCHORARRAY(E48),_xlfn.HSTACK(E49:AN49)),_xlfn.LAMBDA(_xlpm.a,SUM(_xlpm.a)))</f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0</v>
      </c>
      <c r="Q50" s="13">
        <v>0</v>
      </c>
      <c r="R50" s="13">
        <v>0</v>
      </c>
      <c r="S50" s="13">
        <v>0</v>
      </c>
      <c r="T50" s="13">
        <v>0</v>
      </c>
      <c r="U50" s="13">
        <v>0</v>
      </c>
      <c r="V50" s="13">
        <v>0</v>
      </c>
      <c r="W50" s="13">
        <v>0</v>
      </c>
      <c r="X50" s="13">
        <v>0</v>
      </c>
      <c r="Y50" s="13">
        <v>0</v>
      </c>
      <c r="Z50" s="13">
        <v>0</v>
      </c>
      <c r="AA50" s="13">
        <v>0</v>
      </c>
      <c r="AB50" s="13">
        <v>0</v>
      </c>
      <c r="AC50" s="13">
        <v>0</v>
      </c>
      <c r="AD50" s="13">
        <v>0</v>
      </c>
      <c r="AE50" s="13">
        <v>0</v>
      </c>
      <c r="AF50" s="13">
        <v>0</v>
      </c>
      <c r="AG50" s="13">
        <v>0</v>
      </c>
      <c r="AH50" s="13">
        <v>151234.47</v>
      </c>
      <c r="AI50" s="13">
        <v>0</v>
      </c>
      <c r="AJ50" s="13">
        <v>101696.41967248922</v>
      </c>
      <c r="AK50" s="13">
        <v>145809.46795007217</v>
      </c>
      <c r="AL50" s="13">
        <v>175433.11424637397</v>
      </c>
      <c r="AM50" s="13">
        <v>204818.83085337313</v>
      </c>
      <c r="AN50" s="13">
        <v>234142.97103729402</v>
      </c>
    </row>
    <row r="52" spans="2:40" x14ac:dyDescent="0.25">
      <c r="B52" s="1" t="s">
        <v>48</v>
      </c>
      <c r="E52" s="74">
        <f>E37-E50</f>
        <v>0</v>
      </c>
      <c r="F52" s="74">
        <f t="shared" ref="F52:AN52" si="0">F37-F50</f>
        <v>0</v>
      </c>
      <c r="G52" s="74">
        <f t="shared" si="0"/>
        <v>0</v>
      </c>
      <c r="H52" s="74">
        <f t="shared" si="0"/>
        <v>0</v>
      </c>
      <c r="I52" s="74">
        <f t="shared" si="0"/>
        <v>0</v>
      </c>
      <c r="J52" s="74">
        <f t="shared" si="0"/>
        <v>0</v>
      </c>
      <c r="K52" s="74">
        <f t="shared" si="0"/>
        <v>0</v>
      </c>
      <c r="L52" s="74">
        <f t="shared" si="0"/>
        <v>0</v>
      </c>
      <c r="M52" s="74">
        <f t="shared" si="0"/>
        <v>0</v>
      </c>
      <c r="N52" s="74">
        <f t="shared" si="0"/>
        <v>0</v>
      </c>
      <c r="O52" s="74">
        <f t="shared" si="0"/>
        <v>0</v>
      </c>
      <c r="P52" s="74">
        <f t="shared" si="0"/>
        <v>0</v>
      </c>
      <c r="Q52" s="74">
        <f t="shared" si="0"/>
        <v>0</v>
      </c>
      <c r="R52" s="74">
        <f t="shared" si="0"/>
        <v>0</v>
      </c>
      <c r="S52" s="74">
        <f t="shared" si="0"/>
        <v>0</v>
      </c>
      <c r="T52" s="74">
        <f t="shared" si="0"/>
        <v>0</v>
      </c>
      <c r="U52" s="74">
        <f t="shared" si="0"/>
        <v>0</v>
      </c>
      <c r="V52" s="74">
        <f t="shared" si="0"/>
        <v>0</v>
      </c>
      <c r="W52" s="74">
        <f t="shared" si="0"/>
        <v>0</v>
      </c>
      <c r="X52" s="74">
        <f t="shared" si="0"/>
        <v>0</v>
      </c>
      <c r="Y52" s="74">
        <f t="shared" si="0"/>
        <v>0</v>
      </c>
      <c r="Z52" s="74">
        <f t="shared" si="0"/>
        <v>0</v>
      </c>
      <c r="AA52" s="74">
        <f t="shared" si="0"/>
        <v>0</v>
      </c>
      <c r="AB52" s="74">
        <f t="shared" si="0"/>
        <v>0</v>
      </c>
      <c r="AC52" s="74">
        <f t="shared" si="0"/>
        <v>0</v>
      </c>
      <c r="AD52" s="74">
        <f t="shared" si="0"/>
        <v>0</v>
      </c>
      <c r="AE52" s="74">
        <f t="shared" si="0"/>
        <v>0</v>
      </c>
      <c r="AF52" s="74">
        <f t="shared" si="0"/>
        <v>0</v>
      </c>
      <c r="AG52" s="74">
        <f t="shared" si="0"/>
        <v>0</v>
      </c>
      <c r="AH52" s="74">
        <f t="shared" si="0"/>
        <v>-151234.47</v>
      </c>
      <c r="AI52" s="74">
        <f t="shared" si="0"/>
        <v>0</v>
      </c>
      <c r="AJ52" s="74">
        <f t="shared" si="0"/>
        <v>-30602.192067422555</v>
      </c>
      <c r="AK52" s="74">
        <f t="shared" si="0"/>
        <v>-27107.188786605489</v>
      </c>
      <c r="AL52" s="74">
        <f t="shared" si="0"/>
        <v>-9122.7835245073074</v>
      </c>
      <c r="AM52" s="74">
        <f t="shared" si="0"/>
        <v>9099.5514268935367</v>
      </c>
      <c r="AN52" s="74">
        <f t="shared" si="0"/>
        <v>27383.462801372632</v>
      </c>
    </row>
    <row r="53" spans="2:40" x14ac:dyDescent="0.25">
      <c r="E53" s="105" t="str">
        <f>IFERROR(E52/E37,"")</f>
        <v/>
      </c>
      <c r="F53" s="105" t="str">
        <f t="shared" ref="F53:AN53" si="1">IFERROR(F52/F37,"")</f>
        <v/>
      </c>
      <c r="G53" s="105" t="str">
        <f t="shared" si="1"/>
        <v/>
      </c>
      <c r="H53" s="105" t="str">
        <f t="shared" si="1"/>
        <v/>
      </c>
      <c r="I53" s="105" t="str">
        <f t="shared" si="1"/>
        <v/>
      </c>
      <c r="J53" s="105" t="str">
        <f t="shared" si="1"/>
        <v/>
      </c>
      <c r="K53" s="105" t="str">
        <f t="shared" si="1"/>
        <v/>
      </c>
      <c r="L53" s="105" t="str">
        <f t="shared" si="1"/>
        <v/>
      </c>
      <c r="M53" s="105" t="str">
        <f t="shared" si="1"/>
        <v/>
      </c>
      <c r="N53" s="105" t="str">
        <f t="shared" si="1"/>
        <v/>
      </c>
      <c r="O53" s="105" t="str">
        <f t="shared" si="1"/>
        <v/>
      </c>
      <c r="P53" s="105" t="str">
        <f t="shared" si="1"/>
        <v/>
      </c>
      <c r="Q53" s="105" t="str">
        <f t="shared" si="1"/>
        <v/>
      </c>
      <c r="R53" s="105" t="str">
        <f t="shared" si="1"/>
        <v/>
      </c>
      <c r="S53" s="105" t="str">
        <f t="shared" si="1"/>
        <v/>
      </c>
      <c r="T53" s="105" t="str">
        <f t="shared" si="1"/>
        <v/>
      </c>
      <c r="U53" s="105" t="str">
        <f t="shared" si="1"/>
        <v/>
      </c>
      <c r="V53" s="105" t="str">
        <f t="shared" si="1"/>
        <v/>
      </c>
      <c r="W53" s="105" t="str">
        <f t="shared" si="1"/>
        <v/>
      </c>
      <c r="X53" s="105" t="str">
        <f t="shared" si="1"/>
        <v/>
      </c>
      <c r="Y53" s="105" t="str">
        <f t="shared" si="1"/>
        <v/>
      </c>
      <c r="Z53" s="105" t="str">
        <f t="shared" si="1"/>
        <v/>
      </c>
      <c r="AA53" s="105" t="str">
        <f t="shared" si="1"/>
        <v/>
      </c>
      <c r="AB53" s="105" t="str">
        <f t="shared" si="1"/>
        <v/>
      </c>
      <c r="AC53" s="105" t="str">
        <f t="shared" si="1"/>
        <v/>
      </c>
      <c r="AD53" s="105" t="str">
        <f t="shared" si="1"/>
        <v/>
      </c>
      <c r="AE53" s="105" t="str">
        <f t="shared" si="1"/>
        <v/>
      </c>
      <c r="AF53" s="105" t="str">
        <f t="shared" si="1"/>
        <v/>
      </c>
      <c r="AG53" s="105" t="str">
        <f t="shared" si="1"/>
        <v/>
      </c>
      <c r="AH53" s="105" t="str">
        <f t="shared" si="1"/>
        <v/>
      </c>
      <c r="AI53" s="105" t="str">
        <f t="shared" si="1"/>
        <v/>
      </c>
      <c r="AJ53" s="105">
        <f t="shared" si="1"/>
        <v>-0.43044552417700971</v>
      </c>
      <c r="AK53" s="105">
        <f t="shared" si="1"/>
        <v>-0.22836283328035997</v>
      </c>
      <c r="AL53" s="105">
        <f t="shared" si="1"/>
        <v>-5.485397981538518E-2</v>
      </c>
      <c r="AM53" s="105">
        <f t="shared" si="1"/>
        <v>4.2537491775586148E-2</v>
      </c>
      <c r="AN53" s="105">
        <f t="shared" si="1"/>
        <v>0.10470629067754295</v>
      </c>
    </row>
    <row r="55" spans="2:40" x14ac:dyDescent="0.25">
      <c r="B55" t="s">
        <v>57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1411000</v>
      </c>
      <c r="D55" s="12">
        <f>C55-SUM(_xlfn.ANCHORARRAY(E55))</f>
        <v>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235166.66666666666</v>
      </c>
      <c r="AI55" s="12">
        <v>235166.66666666666</v>
      </c>
      <c r="AJ55" s="12">
        <v>235166.66666666666</v>
      </c>
      <c r="AK55" s="12">
        <v>235166.66666666666</v>
      </c>
      <c r="AL55" s="12">
        <v>235166.66666666666</v>
      </c>
      <c r="AM55" s="12">
        <v>235166.66666666666</v>
      </c>
      <c r="AN55" s="12">
        <v>0</v>
      </c>
    </row>
    <row r="56" spans="2:40" x14ac:dyDescent="0.25">
      <c r="B56" t="s">
        <v>285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0</v>
      </c>
      <c r="F56" s="90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0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0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0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0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-84424.829083026663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-92772.130592373302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276</v>
      </c>
      <c r="E58" s="13">
        <f>E37-E50-E55+E56</f>
        <v>0</v>
      </c>
      <c r="F58" s="13">
        <f t="shared" ref="F58:AN58" si="2">F37-F50-F55+F56</f>
        <v>0</v>
      </c>
      <c r="G58" s="13">
        <f t="shared" si="2"/>
        <v>0</v>
      </c>
      <c r="H58" s="13">
        <f t="shared" si="2"/>
        <v>0</v>
      </c>
      <c r="I58" s="13">
        <f t="shared" si="2"/>
        <v>0</v>
      </c>
      <c r="J58" s="13">
        <f t="shared" si="2"/>
        <v>0</v>
      </c>
      <c r="K58" s="13">
        <f t="shared" si="2"/>
        <v>0</v>
      </c>
      <c r="L58" s="13">
        <f t="shared" si="2"/>
        <v>0</v>
      </c>
      <c r="M58" s="13">
        <f t="shared" si="2"/>
        <v>0</v>
      </c>
      <c r="N58" s="13">
        <f t="shared" si="2"/>
        <v>0</v>
      </c>
      <c r="O58" s="13">
        <f t="shared" si="2"/>
        <v>0</v>
      </c>
      <c r="P58" s="13">
        <f t="shared" si="2"/>
        <v>0</v>
      </c>
      <c r="Q58" s="13">
        <f t="shared" si="2"/>
        <v>0</v>
      </c>
      <c r="R58" s="13">
        <f t="shared" si="2"/>
        <v>0</v>
      </c>
      <c r="S58" s="13">
        <f t="shared" si="2"/>
        <v>0</v>
      </c>
      <c r="T58" s="13">
        <f t="shared" si="2"/>
        <v>0</v>
      </c>
      <c r="U58" s="13">
        <f t="shared" si="2"/>
        <v>0</v>
      </c>
      <c r="V58" s="13">
        <f t="shared" si="2"/>
        <v>0</v>
      </c>
      <c r="W58" s="13">
        <f t="shared" si="2"/>
        <v>0</v>
      </c>
      <c r="X58" s="13">
        <f t="shared" si="2"/>
        <v>0</v>
      </c>
      <c r="Y58" s="13">
        <f t="shared" si="2"/>
        <v>0</v>
      </c>
      <c r="Z58" s="13">
        <f t="shared" si="2"/>
        <v>0</v>
      </c>
      <c r="AA58" s="13">
        <f t="shared" si="2"/>
        <v>0</v>
      </c>
      <c r="AB58" s="13">
        <f t="shared" si="2"/>
        <v>0</v>
      </c>
      <c r="AC58" s="13">
        <f t="shared" si="2"/>
        <v>0</v>
      </c>
      <c r="AD58" s="13">
        <f t="shared" si="2"/>
        <v>0</v>
      </c>
      <c r="AE58" s="13">
        <f t="shared" si="2"/>
        <v>0</v>
      </c>
      <c r="AF58" s="13">
        <f t="shared" si="2"/>
        <v>0</v>
      </c>
      <c r="AG58" s="13">
        <f t="shared" si="2"/>
        <v>0</v>
      </c>
      <c r="AH58" s="13">
        <f t="shared" si="2"/>
        <v>-386401.13666666666</v>
      </c>
      <c r="AI58" s="13">
        <f t="shared" si="2"/>
        <v>-235166.66666666666</v>
      </c>
      <c r="AJ58" s="13">
        <f t="shared" si="2"/>
        <v>-265768.85873408918</v>
      </c>
      <c r="AK58" s="13">
        <f t="shared" si="2"/>
        <v>-262273.85545327212</v>
      </c>
      <c r="AL58" s="13">
        <f t="shared" si="2"/>
        <v>-244289.45019117396</v>
      </c>
      <c r="AM58" s="13">
        <f t="shared" si="2"/>
        <v>-310491.9443227998</v>
      </c>
      <c r="AN58" s="13">
        <f t="shared" si="2"/>
        <v>-65388.667791000669</v>
      </c>
    </row>
    <row r="59" spans="2:40" x14ac:dyDescent="0.25">
      <c r="B59" t="s">
        <v>277</v>
      </c>
      <c r="E59" s="12" cm="1">
        <f t="array" ref="E59:AN59">_xlfn.SCAN(-D55,E58:AN58,_xlfn.LAMBDA(_xlpm.capex,_xlpm.fcf,_xlpm.capex+_xlpm.fcf))</f>
        <v>0</v>
      </c>
      <c r="F59" s="12">
        <v>0</v>
      </c>
      <c r="G59" s="12">
        <v>0</v>
      </c>
      <c r="H59" s="12">
        <v>0</v>
      </c>
      <c r="I59" s="12">
        <v>0</v>
      </c>
      <c r="J59" s="12">
        <v>0</v>
      </c>
      <c r="K59" s="12">
        <v>0</v>
      </c>
      <c r="L59" s="12">
        <v>0</v>
      </c>
      <c r="M59" s="12">
        <v>0</v>
      </c>
      <c r="N59" s="12">
        <v>0</v>
      </c>
      <c r="O59" s="12">
        <v>0</v>
      </c>
      <c r="P59" s="12">
        <v>0</v>
      </c>
      <c r="Q59" s="12">
        <v>0</v>
      </c>
      <c r="R59" s="12">
        <v>0</v>
      </c>
      <c r="S59" s="12">
        <v>0</v>
      </c>
      <c r="T59" s="12">
        <v>0</v>
      </c>
      <c r="U59" s="12">
        <v>0</v>
      </c>
      <c r="V59" s="12">
        <v>0</v>
      </c>
      <c r="W59" s="12">
        <v>0</v>
      </c>
      <c r="X59" s="12">
        <v>0</v>
      </c>
      <c r="Y59" s="12">
        <v>0</v>
      </c>
      <c r="Z59" s="12">
        <v>0</v>
      </c>
      <c r="AA59" s="12">
        <v>0</v>
      </c>
      <c r="AB59" s="12">
        <v>0</v>
      </c>
      <c r="AC59" s="12">
        <v>0</v>
      </c>
      <c r="AD59" s="12">
        <v>0</v>
      </c>
      <c r="AE59" s="12">
        <v>0</v>
      </c>
      <c r="AF59" s="12">
        <v>0</v>
      </c>
      <c r="AG59" s="12">
        <v>0</v>
      </c>
      <c r="AH59" s="12">
        <v>-386401.13666666666</v>
      </c>
      <c r="AI59" s="12">
        <v>-621567.80333333334</v>
      </c>
      <c r="AJ59" s="12">
        <v>-887336.66206742253</v>
      </c>
      <c r="AK59" s="12">
        <v>-1149610.5175206945</v>
      </c>
      <c r="AL59" s="12">
        <v>-1393899.9677118685</v>
      </c>
      <c r="AM59" s="12">
        <v>-1704391.9120346683</v>
      </c>
      <c r="AN59" s="12">
        <v>-1769780.5798256688</v>
      </c>
    </row>
    <row r="61" spans="2:40" x14ac:dyDescent="0.25">
      <c r="B61" s="1" t="s">
        <v>302</v>
      </c>
    </row>
    <row r="63" spans="2:40" x14ac:dyDescent="0.25">
      <c r="B63" s="39" t="s">
        <v>103</v>
      </c>
      <c r="E63" s="12" cm="1">
        <f t="array" ref="E63:AN63">_xlfn.LET(_xlpm.site,$B$1&amp;"-"&amp;$C$1,_xlpm.locations,Base!$D$4:$BD$4,_xlpm.rates,Base!$D$36:$BD$36,_xlpm.hours,Base!$D$79:$BD$79,_xlpm.comp,_xlpm.rates*_xlpm.hours,_xlpm.Customer,_xlfn.ANCHORARRAY($E$1),
_xlpm.Customer_comp,_xlfn.XLOOKUP(_xlpm.site,_xlpm.locations,_xlpm.comp,0,0),_xlpm.ann_incr,_xlfn.XLOOKUP(YEAR(_xlfn.ANCHORARRAY($E$25)),Base!$BJ$4:$BL$4,Base!$BJ$79:$BL$79,0,0),
_xlpm.bad_debt,_xlfn.XLOOKUP(_xlpm.site,_xlpm.locations,Base!$D$28:$BD$28,0,0),_xlpm.Customer_comp*_xlpm.Customer*_xlpm.bad_debt*_xlpm.ann_incr*(52/12)*(1-$C$35))</f>
        <v>0</v>
      </c>
      <c r="F63" s="12">
        <v>0</v>
      </c>
      <c r="G63" s="12">
        <v>0</v>
      </c>
      <c r="H63" s="12">
        <v>0</v>
      </c>
      <c r="I63" s="12">
        <v>0</v>
      </c>
      <c r="J63" s="12">
        <v>0</v>
      </c>
      <c r="K63" s="12">
        <v>0</v>
      </c>
      <c r="L63" s="12">
        <v>0</v>
      </c>
      <c r="M63" s="12">
        <v>0</v>
      </c>
      <c r="N63" s="12">
        <v>0</v>
      </c>
      <c r="O63" s="12">
        <v>0</v>
      </c>
      <c r="P63" s="12">
        <v>0</v>
      </c>
      <c r="Q63" s="12">
        <v>0</v>
      </c>
      <c r="R63" s="12">
        <v>0</v>
      </c>
      <c r="S63" s="12">
        <v>0</v>
      </c>
      <c r="T63" s="12">
        <v>0</v>
      </c>
      <c r="U63" s="12">
        <v>0</v>
      </c>
      <c r="V63" s="12">
        <v>0</v>
      </c>
      <c r="W63" s="12">
        <v>0</v>
      </c>
      <c r="X63" s="12">
        <v>0</v>
      </c>
      <c r="Y63" s="12">
        <v>0</v>
      </c>
      <c r="Z63" s="12">
        <v>0</v>
      </c>
      <c r="AA63" s="12">
        <v>0</v>
      </c>
      <c r="AB63" s="12">
        <v>0</v>
      </c>
      <c r="AC63" s="12">
        <v>0</v>
      </c>
      <c r="AD63" s="12">
        <v>0</v>
      </c>
      <c r="AE63" s="12">
        <v>0</v>
      </c>
      <c r="AF63" s="12">
        <v>0</v>
      </c>
      <c r="AG63" s="12">
        <v>0</v>
      </c>
      <c r="AH63" s="12">
        <v>0</v>
      </c>
      <c r="AI63" s="12">
        <v>0</v>
      </c>
      <c r="AJ63" s="12">
        <v>2179.0924014745592</v>
      </c>
      <c r="AK63" s="12">
        <v>4358.1848029491184</v>
      </c>
      <c r="AL63" s="12">
        <v>6537.2772044236781</v>
      </c>
      <c r="AM63" s="12">
        <v>8716.3696058982368</v>
      </c>
      <c r="AN63" s="12">
        <v>10895.4620073728</v>
      </c>
    </row>
    <row r="64" spans="2:40" x14ac:dyDescent="0.25">
      <c r="B64" s="39" t="s">
        <v>104</v>
      </c>
      <c r="E64" s="12" cm="1">
        <f t="array" ref="E64:AN64">_xlfn.LET(_xlpm.site,$B$1&amp;"-"&amp;$C$1,_xlpm.locations,Base!$D$4:$BD$4,_xlpm.rates,Base!$D$37:$BD$37,_xlpm.hours,Base!$D$80:$BD$80,_xlpm.comp,_xlpm.rates*_xlpm.hours,_xlpm.Customer,_xlfn.ANCHORARRAY($E$1),
_xlpm.Customer_comp,_xlfn.XLOOKUP(_xlpm.site,_xlpm.locations,_xlpm.comp,0,0),_xlpm.ann_incr,_xlfn.XLOOKUP(YEAR(_xlfn.ANCHORARRAY($E$25)),Base!$BJ$4:$BL$4,Base!$BJ$80:$BL$80,0,0),
_xlpm.bad_debt,_xlfn.XLOOKUP(_xlpm.site,_xlpm.locations,Base!$D$28:$BD$28,0,0),_xlpm.Customer_comp*_xlpm.Customer*_xlpm.bad_debt*_xlpm.ann_incr*(52/12)*(1-$C$35))</f>
        <v>0</v>
      </c>
      <c r="F64" s="12">
        <v>0</v>
      </c>
      <c r="G64" s="12">
        <v>0</v>
      </c>
      <c r="H64" s="12">
        <v>0</v>
      </c>
      <c r="I64" s="12">
        <v>0</v>
      </c>
      <c r="J64" s="12">
        <v>0</v>
      </c>
      <c r="K64" s="12">
        <v>0</v>
      </c>
      <c r="L64" s="12">
        <v>0</v>
      </c>
      <c r="M64" s="12">
        <v>0</v>
      </c>
      <c r="N64" s="12">
        <v>0</v>
      </c>
      <c r="O64" s="12">
        <v>0</v>
      </c>
      <c r="P64" s="12">
        <v>0</v>
      </c>
      <c r="Q64" s="12">
        <v>0</v>
      </c>
      <c r="R64" s="12">
        <v>0</v>
      </c>
      <c r="S64" s="12">
        <v>0</v>
      </c>
      <c r="T64" s="12">
        <v>0</v>
      </c>
      <c r="U64" s="12">
        <v>0</v>
      </c>
      <c r="V64" s="12">
        <v>0</v>
      </c>
      <c r="W64" s="12">
        <v>0</v>
      </c>
      <c r="X64" s="12">
        <v>0</v>
      </c>
      <c r="Y64" s="12">
        <v>0</v>
      </c>
      <c r="Z64" s="12">
        <v>0</v>
      </c>
      <c r="AA64" s="12">
        <v>0</v>
      </c>
      <c r="AB64" s="12">
        <v>0</v>
      </c>
      <c r="AC64" s="12">
        <v>0</v>
      </c>
      <c r="AD64" s="12">
        <v>0</v>
      </c>
      <c r="AE64" s="12">
        <v>0</v>
      </c>
      <c r="AF64" s="12">
        <v>0</v>
      </c>
      <c r="AG64" s="12">
        <v>0</v>
      </c>
      <c r="AH64" s="12">
        <v>0</v>
      </c>
      <c r="AI64" s="12">
        <v>0</v>
      </c>
      <c r="AJ64" s="12">
        <v>291.17026532352008</v>
      </c>
      <c r="AK64" s="12">
        <v>582.34053064704017</v>
      </c>
      <c r="AL64" s="12">
        <v>873.51079597056014</v>
      </c>
      <c r="AM64" s="12">
        <v>1164.6810612940803</v>
      </c>
      <c r="AN64" s="12">
        <v>1455.8513266176003</v>
      </c>
    </row>
    <row r="65" spans="2:40" x14ac:dyDescent="0.25">
      <c r="B65" s="39" t="s">
        <v>56</v>
      </c>
      <c r="E65" s="12" cm="1">
        <f t="array" ref="E65:AN65">_xlfn.LET(_xlpm.site,$B$1&amp;"-"&amp;$C$1,_xlpm.locations,Base!$D$4:$BD$4,_xlpm.rates,Base!$D$39:$BD$39,_xlpm.hours,Base!$D$82:$BD$82,_xlpm.comp,_xlpm.rates*_xlpm.hours,_xlpm.Customer,_xlfn.ANCHORARRAY($E$1),
_xlpm.Customer_comp,_xlfn.XLOOKUP(_xlpm.site,_xlpm.locations,_xlpm.comp,0,0),_xlpm.ann_incr,_xlfn.XLOOKUP(YEAR(_xlfn.ANCHORARRAY($E$25)),Base!$BJ$4:$BL$4,Base!$BJ$82:$BL$82,0,0),
_xlpm.bad_debt,_xlfn.XLOOKUP(_xlpm.site,_xlpm.locations,Base!$D$28:$BD$28,0,0),_xlpm.Customer_comp*_xlpm.Customer*_xlpm.bad_debt*_xlpm.ann_incr*(52/12)*(1-$C$35))</f>
        <v>0</v>
      </c>
      <c r="F65" s="12">
        <v>0</v>
      </c>
      <c r="G65" s="12">
        <v>0</v>
      </c>
      <c r="H65" s="12">
        <v>0</v>
      </c>
      <c r="I65" s="12">
        <v>0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  <c r="O65" s="12">
        <v>0</v>
      </c>
      <c r="P65" s="12">
        <v>0</v>
      </c>
      <c r="Q65" s="12">
        <v>0</v>
      </c>
      <c r="R65" s="12">
        <v>0</v>
      </c>
      <c r="S65" s="12">
        <v>0</v>
      </c>
      <c r="T65" s="12">
        <v>0</v>
      </c>
      <c r="U65" s="12">
        <v>0</v>
      </c>
      <c r="V65" s="12">
        <v>0</v>
      </c>
      <c r="W65" s="12">
        <v>0</v>
      </c>
      <c r="X65" s="12">
        <v>0</v>
      </c>
      <c r="Y65" s="12">
        <v>0</v>
      </c>
      <c r="Z65" s="12">
        <v>0</v>
      </c>
      <c r="AA65" s="12">
        <v>0</v>
      </c>
      <c r="AB65" s="12">
        <v>0</v>
      </c>
      <c r="AC65" s="12">
        <v>0</v>
      </c>
      <c r="AD65" s="12">
        <v>0</v>
      </c>
      <c r="AE65" s="12">
        <v>0</v>
      </c>
      <c r="AF65" s="12">
        <v>0</v>
      </c>
      <c r="AG65" s="12">
        <v>0</v>
      </c>
      <c r="AH65" s="12">
        <v>0</v>
      </c>
      <c r="AI65" s="12">
        <v>0</v>
      </c>
      <c r="AJ65" s="12">
        <v>1770.8074248550399</v>
      </c>
      <c r="AK65" s="12">
        <v>3541.6148497100799</v>
      </c>
      <c r="AL65" s="12">
        <v>5312.4222745651196</v>
      </c>
      <c r="AM65" s="12">
        <v>7083.2296994201597</v>
      </c>
      <c r="AN65" s="12">
        <v>8854.0371242752008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303</v>
      </c>
      <c r="C67" s="12"/>
      <c r="E67" s="13" cm="1">
        <f t="array" ref="E67:AN67">_xlfn.BYCOL(_xlfn.VSTACK(_xlfn.ANCHORARRAY($E$63),_xlfn.ANCHORARRAY($E$64),_xlfn.ANCHORARRAY($E$65)),_xlfn.LAMBDA(_xlpm.a,SUM(_xlpm.a)))</f>
        <v>0</v>
      </c>
      <c r="F67" s="13">
        <v>0</v>
      </c>
      <c r="G67" s="13">
        <v>0</v>
      </c>
      <c r="H67" s="13">
        <v>0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  <c r="W67" s="13">
        <v>0</v>
      </c>
      <c r="X67" s="13">
        <v>0</v>
      </c>
      <c r="Y67" s="13">
        <v>0</v>
      </c>
      <c r="Z67" s="13">
        <v>0</v>
      </c>
      <c r="AA67" s="13">
        <v>0</v>
      </c>
      <c r="AB67" s="13">
        <v>0</v>
      </c>
      <c r="AC67" s="13">
        <v>0</v>
      </c>
      <c r="AD67" s="13">
        <v>0</v>
      </c>
      <c r="AE67" s="13">
        <v>0</v>
      </c>
      <c r="AF67" s="13">
        <v>0</v>
      </c>
      <c r="AG67" s="13">
        <v>0</v>
      </c>
      <c r="AH67" s="13">
        <v>0</v>
      </c>
      <c r="AI67" s="13">
        <v>0</v>
      </c>
      <c r="AJ67" s="13">
        <v>4241.0700916531196</v>
      </c>
      <c r="AK67" s="13">
        <v>8482.1401833062391</v>
      </c>
      <c r="AL67" s="13">
        <v>12723.210274959358</v>
      </c>
      <c r="AM67" s="13">
        <v>16964.280366612478</v>
      </c>
      <c r="AN67" s="13">
        <v>21205.350458265602</v>
      </c>
    </row>
    <row r="68" spans="2:40" x14ac:dyDescent="0.25">
      <c r="B68" s="39"/>
      <c r="C68" s="12"/>
    </row>
    <row r="69" spans="2:40" x14ac:dyDescent="0.25">
      <c r="B69" s="39" t="s">
        <v>304</v>
      </c>
      <c r="C69" s="12"/>
      <c r="E69" s="106" cm="1">
        <f t="array" ref="E69:AN70">_xlfn.LET(_xlpm.Customer_staff,_xlfn._xlws.FILTER(Base!$D$96:$BD$97,ISNUMBER(SEARCH($B$1&amp;"-"&amp;$C$1,Base!$D$4:$BD$4))),_xlpm.Customer,_xlfn.ANCHORARRAY($E$1),_xlpm.headcount,_xlpm.Customer/_xlpm.Customer_staff,
_xlpm.rounding,_xlfn.VSTACK(0,0),IFERROR(ROUND(_xlpm.headcount,_xlpm.rounding),0))</f>
        <v>0</v>
      </c>
      <c r="F69" s="106">
        <v>0</v>
      </c>
      <c r="G69" s="106">
        <v>0</v>
      </c>
      <c r="H69" s="106">
        <v>0</v>
      </c>
      <c r="I69" s="106">
        <v>0</v>
      </c>
      <c r="J69" s="106">
        <v>0</v>
      </c>
      <c r="K69" s="106">
        <v>0</v>
      </c>
      <c r="L69" s="106">
        <v>0</v>
      </c>
      <c r="M69" s="106">
        <v>0</v>
      </c>
      <c r="N69" s="106">
        <v>0</v>
      </c>
      <c r="O69" s="106">
        <v>0</v>
      </c>
      <c r="P69" s="106">
        <v>0</v>
      </c>
      <c r="Q69" s="106">
        <v>0</v>
      </c>
      <c r="R69" s="106">
        <v>0</v>
      </c>
      <c r="S69" s="106">
        <v>0</v>
      </c>
      <c r="T69" s="106">
        <v>0</v>
      </c>
      <c r="U69" s="106">
        <v>0</v>
      </c>
      <c r="V69" s="106">
        <v>0</v>
      </c>
      <c r="W69" s="106">
        <v>0</v>
      </c>
      <c r="X69" s="106">
        <v>0</v>
      </c>
      <c r="Y69" s="106">
        <v>0</v>
      </c>
      <c r="Z69" s="106">
        <v>0</v>
      </c>
      <c r="AA69" s="106">
        <v>0</v>
      </c>
      <c r="AB69" s="106">
        <v>0</v>
      </c>
      <c r="AC69" s="106">
        <v>0</v>
      </c>
      <c r="AD69" s="106">
        <v>0</v>
      </c>
      <c r="AE69" s="106">
        <v>0</v>
      </c>
      <c r="AF69" s="106">
        <v>0</v>
      </c>
      <c r="AG69" s="106">
        <v>0</v>
      </c>
      <c r="AH69" s="106">
        <v>0</v>
      </c>
      <c r="AI69" s="106">
        <v>0</v>
      </c>
      <c r="AJ69" s="106">
        <v>0</v>
      </c>
      <c r="AK69" s="106">
        <v>0</v>
      </c>
      <c r="AL69" s="106">
        <v>0</v>
      </c>
      <c r="AM69" s="106">
        <v>0</v>
      </c>
      <c r="AN69" s="106">
        <v>0</v>
      </c>
    </row>
    <row r="70" spans="2:40" x14ac:dyDescent="0.25">
      <c r="B70" s="39" t="s">
        <v>305</v>
      </c>
      <c r="C70" s="12"/>
      <c r="E70" s="106">
        <v>0</v>
      </c>
      <c r="F70" s="106">
        <v>0</v>
      </c>
      <c r="G70" s="106">
        <v>0</v>
      </c>
      <c r="H70" s="106">
        <v>0</v>
      </c>
      <c r="I70" s="106">
        <v>0</v>
      </c>
      <c r="J70" s="106">
        <v>0</v>
      </c>
      <c r="K70" s="106">
        <v>0</v>
      </c>
      <c r="L70" s="106">
        <v>0</v>
      </c>
      <c r="M70" s="106">
        <v>0</v>
      </c>
      <c r="N70" s="106">
        <v>0</v>
      </c>
      <c r="O70" s="106">
        <v>0</v>
      </c>
      <c r="P70" s="106">
        <v>0</v>
      </c>
      <c r="Q70" s="106">
        <v>0</v>
      </c>
      <c r="R70" s="106">
        <v>0</v>
      </c>
      <c r="S70" s="106">
        <v>0</v>
      </c>
      <c r="T70" s="106">
        <v>0</v>
      </c>
      <c r="U70" s="106">
        <v>0</v>
      </c>
      <c r="V70" s="106">
        <v>0</v>
      </c>
      <c r="W70" s="106">
        <v>0</v>
      </c>
      <c r="X70" s="106">
        <v>0</v>
      </c>
      <c r="Y70" s="106">
        <v>0</v>
      </c>
      <c r="Z70" s="106">
        <v>0</v>
      </c>
      <c r="AA70" s="106">
        <v>0</v>
      </c>
      <c r="AB70" s="106">
        <v>0</v>
      </c>
      <c r="AC70" s="106">
        <v>0</v>
      </c>
      <c r="AD70" s="106">
        <v>0</v>
      </c>
      <c r="AE70" s="106">
        <v>0</v>
      </c>
      <c r="AF70" s="106">
        <v>0</v>
      </c>
      <c r="AG70" s="106">
        <v>0</v>
      </c>
      <c r="AH70" s="106">
        <v>0</v>
      </c>
      <c r="AI70" s="106">
        <v>0</v>
      </c>
      <c r="AJ70" s="106">
        <v>0</v>
      </c>
      <c r="AK70" s="106">
        <v>0</v>
      </c>
      <c r="AL70" s="106">
        <v>0</v>
      </c>
      <c r="AM70" s="106">
        <v>0</v>
      </c>
      <c r="AN70" s="106">
        <v>0</v>
      </c>
    </row>
    <row r="71" spans="2:40" x14ac:dyDescent="0.25">
      <c r="B71" s="39"/>
      <c r="C71" s="12"/>
    </row>
    <row r="72" spans="2:40" x14ac:dyDescent="0.25">
      <c r="B72" s="39" t="s">
        <v>23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0</v>
      </c>
      <c r="F72" s="12">
        <v>0</v>
      </c>
      <c r="G72" s="12">
        <v>0</v>
      </c>
      <c r="H72" s="12">
        <v>0</v>
      </c>
      <c r="I72" s="12">
        <v>0</v>
      </c>
      <c r="J72" s="12">
        <v>0</v>
      </c>
      <c r="K72" s="12">
        <v>0</v>
      </c>
      <c r="L72" s="12">
        <v>0</v>
      </c>
      <c r="M72" s="12">
        <v>0</v>
      </c>
      <c r="N72" s="12">
        <v>0</v>
      </c>
      <c r="O72" s="12">
        <v>0</v>
      </c>
      <c r="P72" s="12">
        <v>0</v>
      </c>
      <c r="Q72" s="12">
        <v>0</v>
      </c>
      <c r="R72" s="12">
        <v>0</v>
      </c>
      <c r="S72" s="12">
        <v>0</v>
      </c>
      <c r="T72" s="12">
        <v>0</v>
      </c>
      <c r="U72" s="12">
        <v>0</v>
      </c>
      <c r="V72" s="12">
        <v>0</v>
      </c>
      <c r="W72" s="12">
        <v>0</v>
      </c>
      <c r="X72" s="12">
        <v>0</v>
      </c>
      <c r="Y72" s="12">
        <v>0</v>
      </c>
      <c r="Z72" s="12">
        <v>0</v>
      </c>
      <c r="AA72" s="12">
        <v>0</v>
      </c>
      <c r="AB72" s="12">
        <v>0</v>
      </c>
      <c r="AC72" s="12">
        <v>0</v>
      </c>
      <c r="AD72" s="12">
        <v>0</v>
      </c>
      <c r="AE72" s="12">
        <v>0</v>
      </c>
      <c r="AF72" s="12">
        <v>0</v>
      </c>
      <c r="AG72" s="12">
        <v>0</v>
      </c>
      <c r="AH72" s="12">
        <v>0</v>
      </c>
      <c r="AI72" s="12">
        <v>0</v>
      </c>
      <c r="AJ72" s="12">
        <v>761.52099071064936</v>
      </c>
      <c r="AK72" s="12">
        <v>1523.0419814212987</v>
      </c>
      <c r="AL72" s="12">
        <v>2284.5629721319478</v>
      </c>
      <c r="AM72" s="12">
        <v>3046.0839628425974</v>
      </c>
      <c r="AN72" s="12">
        <v>3807.604953553247</v>
      </c>
    </row>
    <row r="73" spans="2:40" x14ac:dyDescent="0.25">
      <c r="B73" s="39" t="s">
        <v>24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306</v>
      </c>
      <c r="E75" s="74" cm="1">
        <f t="array" ref="E75:AN75">_xlfn.ANCHORARRAY(E67)-_xlfn.ANCHORARRAY(E72)-_xlfn.ANCHORARRAY(E73)</f>
        <v>0</v>
      </c>
      <c r="F75" s="74">
        <v>0</v>
      </c>
      <c r="G75" s="74">
        <v>0</v>
      </c>
      <c r="H75" s="74">
        <v>0</v>
      </c>
      <c r="I75" s="74">
        <v>0</v>
      </c>
      <c r="J75" s="74">
        <v>0</v>
      </c>
      <c r="K75" s="74">
        <v>0</v>
      </c>
      <c r="L75" s="74">
        <v>0</v>
      </c>
      <c r="M75" s="74">
        <v>0</v>
      </c>
      <c r="N75" s="74">
        <v>0</v>
      </c>
      <c r="O75" s="74">
        <v>0</v>
      </c>
      <c r="P75" s="74">
        <v>0</v>
      </c>
      <c r="Q75" s="74">
        <v>0</v>
      </c>
      <c r="R75" s="74">
        <v>0</v>
      </c>
      <c r="S75" s="74">
        <v>0</v>
      </c>
      <c r="T75" s="74">
        <v>0</v>
      </c>
      <c r="U75" s="74">
        <v>0</v>
      </c>
      <c r="V75" s="74">
        <v>0</v>
      </c>
      <c r="W75" s="74">
        <v>0</v>
      </c>
      <c r="X75" s="74">
        <v>0</v>
      </c>
      <c r="Y75" s="74">
        <v>0</v>
      </c>
      <c r="Z75" s="74">
        <v>0</v>
      </c>
      <c r="AA75" s="74">
        <v>0</v>
      </c>
      <c r="AB75" s="74">
        <v>0</v>
      </c>
      <c r="AC75" s="74">
        <v>0</v>
      </c>
      <c r="AD75" s="74">
        <v>0</v>
      </c>
      <c r="AE75" s="74">
        <v>0</v>
      </c>
      <c r="AF75" s="74">
        <v>0</v>
      </c>
      <c r="AG75" s="74">
        <v>0</v>
      </c>
      <c r="AH75" s="74">
        <v>0</v>
      </c>
      <c r="AI75" s="74">
        <v>0</v>
      </c>
      <c r="AJ75" s="74">
        <v>3479.5491009424704</v>
      </c>
      <c r="AK75" s="74">
        <v>6959.0982018849409</v>
      </c>
      <c r="AL75" s="74">
        <v>10438.64730282741</v>
      </c>
      <c r="AM75" s="74">
        <v>13918.196403769882</v>
      </c>
      <c r="AN75" s="74">
        <v>17397.745504712355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4D00F-1A81-4B84-ADA8-AAE6BA496C51}">
  <dimension ref="A1:AX75"/>
  <sheetViews>
    <sheetView workbookViewId="0">
      <pane xSplit="4" ySplit="25" topLeftCell="E26" activePane="bottomRight" state="frozen"/>
      <selection activeCell="E63" sqref="E63:E65"/>
      <selection pane="topRight" activeCell="E63" sqref="E63:E65"/>
      <selection pane="bottomLeft" activeCell="E63" sqref="E63:E65"/>
      <selection pane="bottomRight" activeCell="E63" sqref="E63:E65"/>
    </sheetView>
  </sheetViews>
  <sheetFormatPr defaultRowHeight="15" outlineLevelRow="1" x14ac:dyDescent="0.25"/>
  <cols>
    <col min="2" max="2" width="24.5703125" bestFit="1" customWidth="1"/>
    <col min="3" max="3" width="10.7109375" bestFit="1" customWidth="1"/>
    <col min="4" max="4" width="10" bestFit="1" customWidth="1"/>
    <col min="5" max="5" width="11.42578125" bestFit="1" customWidth="1"/>
    <col min="6" max="6" width="11.7109375" bestFit="1" customWidth="1"/>
    <col min="7" max="13" width="12.28515625" bestFit="1" customWidth="1"/>
    <col min="14" max="18" width="11.5703125" bestFit="1" customWidth="1"/>
    <col min="19" max="40" width="12.5703125" bestFit="1" customWidth="1"/>
  </cols>
  <sheetData>
    <row r="1" spans="1:40" x14ac:dyDescent="0.25">
      <c r="A1" s="96" t="str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/>
      </c>
      <c r="B1" s="58" t="s">
        <v>73</v>
      </c>
      <c r="C1" s="16" t="s">
        <v>344</v>
      </c>
      <c r="D1" s="3" t="s">
        <v>307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IFERROR(_xlpm.kiddos,0))</f>
        <v>0</v>
      </c>
      <c r="F1" s="69">
        <v>0</v>
      </c>
      <c r="G1" s="69">
        <v>0</v>
      </c>
      <c r="H1" s="69">
        <v>0</v>
      </c>
      <c r="I1" s="69">
        <v>0</v>
      </c>
      <c r="J1" s="69">
        <v>0</v>
      </c>
      <c r="K1" s="69">
        <v>0</v>
      </c>
      <c r="L1" s="69">
        <v>0</v>
      </c>
      <c r="M1" s="69">
        <v>0</v>
      </c>
      <c r="N1" s="69">
        <v>0</v>
      </c>
      <c r="O1" s="69">
        <v>0</v>
      </c>
      <c r="P1" s="69">
        <v>0</v>
      </c>
      <c r="Q1" s="69">
        <v>0</v>
      </c>
      <c r="R1" s="69">
        <v>0</v>
      </c>
      <c r="S1" s="69">
        <v>0</v>
      </c>
      <c r="T1" s="69">
        <v>0</v>
      </c>
      <c r="U1" s="69">
        <v>0</v>
      </c>
      <c r="V1" s="69">
        <v>0</v>
      </c>
      <c r="W1" s="69">
        <v>0</v>
      </c>
      <c r="X1" s="69">
        <v>0</v>
      </c>
      <c r="Y1" s="69">
        <v>0</v>
      </c>
      <c r="Z1" s="69">
        <v>0</v>
      </c>
      <c r="AA1" s="69">
        <v>0</v>
      </c>
      <c r="AB1" s="69">
        <v>0</v>
      </c>
      <c r="AC1" s="69">
        <v>0</v>
      </c>
      <c r="AD1" s="69">
        <v>0</v>
      </c>
      <c r="AE1" s="69">
        <v>0</v>
      </c>
      <c r="AF1" s="69">
        <v>0</v>
      </c>
      <c r="AG1" s="69">
        <v>0</v>
      </c>
      <c r="AH1" s="69">
        <v>0</v>
      </c>
      <c r="AI1" s="69">
        <v>0</v>
      </c>
      <c r="AJ1" s="69">
        <v>0</v>
      </c>
      <c r="AK1" s="69">
        <v>1</v>
      </c>
      <c r="AL1" s="69">
        <v>3</v>
      </c>
      <c r="AM1" s="69">
        <v>5</v>
      </c>
      <c r="AN1" s="69">
        <v>6</v>
      </c>
    </row>
    <row r="2" spans="1:40" x14ac:dyDescent="0.25">
      <c r="A2" s="65"/>
      <c r="B2" s="3" t="str">
        <f>_xlfn.XLOOKUP($B$1&amp;"-"&amp;$C$1,Base!$D$4:$BD$4,Base!$D$2:$BD$2,"",0)</f>
        <v>New Jersey</v>
      </c>
      <c r="C2" s="55"/>
      <c r="D2" s="55" t="s">
        <v>259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0</v>
      </c>
      <c r="F2" s="69">
        <v>0</v>
      </c>
      <c r="G2" s="69">
        <v>0</v>
      </c>
      <c r="H2" s="69">
        <v>0</v>
      </c>
      <c r="I2" s="69">
        <v>0</v>
      </c>
      <c r="J2" s="69">
        <v>0</v>
      </c>
      <c r="K2" s="69">
        <v>0</v>
      </c>
      <c r="L2" s="69">
        <v>0</v>
      </c>
      <c r="M2" s="69">
        <v>0</v>
      </c>
      <c r="N2" s="69">
        <v>0</v>
      </c>
      <c r="O2" s="69">
        <v>0</v>
      </c>
      <c r="P2" s="69">
        <v>0</v>
      </c>
      <c r="Q2" s="69">
        <v>0</v>
      </c>
      <c r="R2" s="69">
        <v>0</v>
      </c>
      <c r="S2" s="69">
        <v>0</v>
      </c>
      <c r="T2" s="69">
        <v>0</v>
      </c>
      <c r="U2" s="69">
        <v>0</v>
      </c>
      <c r="V2" s="69">
        <v>0</v>
      </c>
      <c r="W2" s="69">
        <v>0</v>
      </c>
      <c r="X2" s="69">
        <v>0</v>
      </c>
      <c r="Y2" s="69">
        <v>0</v>
      </c>
      <c r="Z2" s="69">
        <v>0</v>
      </c>
      <c r="AA2" s="69">
        <v>0</v>
      </c>
      <c r="AB2" s="69">
        <v>0</v>
      </c>
      <c r="AC2" s="69">
        <v>0</v>
      </c>
      <c r="AD2" s="69">
        <v>0</v>
      </c>
      <c r="AE2" s="69">
        <v>0</v>
      </c>
      <c r="AF2" s="69">
        <v>0</v>
      </c>
      <c r="AG2" s="69">
        <v>0</v>
      </c>
      <c r="AH2" s="69">
        <v>0</v>
      </c>
      <c r="AI2" s="69">
        <v>0</v>
      </c>
      <c r="AJ2" s="69">
        <v>0</v>
      </c>
      <c r="AK2" s="69">
        <v>0</v>
      </c>
      <c r="AL2" s="69">
        <v>1.8809523809523809</v>
      </c>
      <c r="AM2" s="69">
        <v>2.0476190476190474</v>
      </c>
      <c r="AN2" s="69">
        <v>2.2142857142857144</v>
      </c>
    </row>
    <row r="3" spans="1:40" x14ac:dyDescent="0.25">
      <c r="A3" s="65"/>
      <c r="B3" s="55"/>
      <c r="C3" s="55"/>
      <c r="D3" s="55" t="s">
        <v>62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_xlpm.months_since,DATEDIF(_xlpm.launchdate,_xlfn.ANCHORARRAY($E$25),"m"),_xlfn.BYCOL(_xlpm.months_since,_xlfn.LAMBDA(_xlpm.a,IFERROR(MIN(_xlpm.a/6,_xlpm.max_kiddos),0))))</f>
        <v>0</v>
      </c>
      <c r="F3" s="69">
        <v>0</v>
      </c>
      <c r="G3" s="69">
        <v>0</v>
      </c>
      <c r="H3" s="69">
        <v>0</v>
      </c>
      <c r="I3" s="69">
        <v>0</v>
      </c>
      <c r="J3" s="69">
        <v>0</v>
      </c>
      <c r="K3" s="69">
        <v>0</v>
      </c>
      <c r="L3" s="69">
        <v>0</v>
      </c>
      <c r="M3" s="69">
        <v>0</v>
      </c>
      <c r="N3" s="69">
        <v>0</v>
      </c>
      <c r="O3" s="69">
        <v>0</v>
      </c>
      <c r="P3" s="69">
        <v>0</v>
      </c>
      <c r="Q3" s="69">
        <v>0</v>
      </c>
      <c r="R3" s="69">
        <v>0</v>
      </c>
      <c r="S3" s="69">
        <v>0</v>
      </c>
      <c r="T3" s="69">
        <v>0</v>
      </c>
      <c r="U3" s="69">
        <v>0</v>
      </c>
      <c r="V3" s="69">
        <v>0</v>
      </c>
      <c r="W3" s="69">
        <v>0</v>
      </c>
      <c r="X3" s="69">
        <v>0</v>
      </c>
      <c r="Y3" s="69">
        <v>0</v>
      </c>
      <c r="Z3" s="69">
        <v>0</v>
      </c>
      <c r="AA3" s="69">
        <v>0</v>
      </c>
      <c r="AB3" s="69">
        <v>0</v>
      </c>
      <c r="AC3" s="69">
        <v>0</v>
      </c>
      <c r="AD3" s="69">
        <v>0</v>
      </c>
      <c r="AE3" s="69">
        <v>0</v>
      </c>
      <c r="AF3" s="69">
        <v>0</v>
      </c>
      <c r="AG3" s="69">
        <v>0</v>
      </c>
      <c r="AH3" s="69">
        <v>0</v>
      </c>
      <c r="AI3" s="69">
        <v>0</v>
      </c>
      <c r="AJ3" s="69">
        <v>0</v>
      </c>
      <c r="AK3" s="69">
        <v>0</v>
      </c>
      <c r="AL3" s="69">
        <v>0.16666666666666666</v>
      </c>
      <c r="AM3" s="69">
        <v>0.33333333333333331</v>
      </c>
      <c r="AN3" s="69">
        <v>0.5</v>
      </c>
    </row>
    <row r="4" spans="1:40" x14ac:dyDescent="0.25">
      <c r="A4" s="65"/>
      <c r="B4" s="55"/>
      <c r="C4" s="55"/>
      <c r="D4" s="55" t="s">
        <v>260</v>
      </c>
      <c r="E4" s="69" cm="1">
        <f t="array" ref="E4:AN4">_xlfn.BYCOL(_xlfn.VSTACK(_xlfn.ANCHORARRAY($E$1),_xlfn.ANCHORARRAY($E$2)),_xlfn.LAMBDA(_xlpm.a,SUM(_xlpm.a)))</f>
        <v>0</v>
      </c>
      <c r="F4" s="69">
        <v>0</v>
      </c>
      <c r="G4" s="69">
        <v>0</v>
      </c>
      <c r="H4" s="69">
        <v>0</v>
      </c>
      <c r="I4" s="69">
        <v>0</v>
      </c>
      <c r="J4" s="69">
        <v>0</v>
      </c>
      <c r="K4" s="69">
        <v>0</v>
      </c>
      <c r="L4" s="69">
        <v>0</v>
      </c>
      <c r="M4" s="69">
        <v>0</v>
      </c>
      <c r="N4" s="69">
        <v>0</v>
      </c>
      <c r="O4" s="69">
        <v>0</v>
      </c>
      <c r="P4" s="69">
        <v>0</v>
      </c>
      <c r="Q4" s="69">
        <v>0</v>
      </c>
      <c r="R4" s="69">
        <v>0</v>
      </c>
      <c r="S4" s="69">
        <v>0</v>
      </c>
      <c r="T4" s="69">
        <v>0</v>
      </c>
      <c r="U4" s="69">
        <v>0</v>
      </c>
      <c r="V4" s="69">
        <v>0</v>
      </c>
      <c r="W4" s="69">
        <v>0</v>
      </c>
      <c r="X4" s="69">
        <v>0</v>
      </c>
      <c r="Y4" s="69">
        <v>0</v>
      </c>
      <c r="Z4" s="69">
        <v>0</v>
      </c>
      <c r="AA4" s="69">
        <v>0</v>
      </c>
      <c r="AB4" s="69">
        <v>0</v>
      </c>
      <c r="AC4" s="69">
        <v>0</v>
      </c>
      <c r="AD4" s="69">
        <v>0</v>
      </c>
      <c r="AE4" s="69">
        <v>0</v>
      </c>
      <c r="AF4" s="69">
        <v>0</v>
      </c>
      <c r="AG4" s="69">
        <v>0</v>
      </c>
      <c r="AH4" s="69">
        <v>0</v>
      </c>
      <c r="AI4" s="69">
        <v>0</v>
      </c>
      <c r="AJ4" s="69">
        <v>0</v>
      </c>
      <c r="AK4" s="69">
        <v>1</v>
      </c>
      <c r="AL4" s="69">
        <v>4.8809523809523814</v>
      </c>
      <c r="AM4" s="69">
        <v>7.0476190476190474</v>
      </c>
      <c r="AN4" s="69">
        <v>8.2142857142857153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107</v>
      </c>
      <c r="C6" s="3"/>
      <c r="D6" s="3"/>
      <c r="E6" s="66" cm="1">
        <f t="array" ref="E6:AN6">ROUND(_xlfn.BYCOL(_xlfn.ANCHORARRAY(E7),_xlfn.LAMBDA(_xlpm.a,SUM(_xlpm.a))),0)</f>
        <v>0</v>
      </c>
      <c r="F6" s="66">
        <v>0</v>
      </c>
      <c r="G6" s="66">
        <v>0</v>
      </c>
      <c r="H6" s="66">
        <v>0</v>
      </c>
      <c r="I6" s="66">
        <v>0</v>
      </c>
      <c r="J6" s="66">
        <v>0</v>
      </c>
      <c r="K6" s="66">
        <v>0</v>
      </c>
      <c r="L6" s="66">
        <v>0</v>
      </c>
      <c r="M6" s="66">
        <v>0</v>
      </c>
      <c r="N6" s="66">
        <v>0</v>
      </c>
      <c r="O6" s="66">
        <v>0</v>
      </c>
      <c r="P6" s="66">
        <v>0</v>
      </c>
      <c r="Q6" s="66">
        <v>0</v>
      </c>
      <c r="R6" s="66">
        <v>0</v>
      </c>
      <c r="S6" s="66">
        <v>0</v>
      </c>
      <c r="T6" s="66">
        <v>0</v>
      </c>
      <c r="U6" s="66">
        <v>0</v>
      </c>
      <c r="V6" s="66">
        <v>0</v>
      </c>
      <c r="W6" s="66">
        <v>0</v>
      </c>
      <c r="X6" s="66">
        <v>0</v>
      </c>
      <c r="Y6" s="66">
        <v>0</v>
      </c>
      <c r="Z6" s="66">
        <v>0</v>
      </c>
      <c r="AA6" s="66">
        <v>0</v>
      </c>
      <c r="AB6" s="66">
        <v>0</v>
      </c>
      <c r="AC6" s="66">
        <v>0</v>
      </c>
      <c r="AD6" s="66">
        <v>0</v>
      </c>
      <c r="AE6" s="66">
        <v>0</v>
      </c>
      <c r="AF6" s="66">
        <v>0</v>
      </c>
      <c r="AG6" s="66">
        <v>0</v>
      </c>
      <c r="AH6" s="66">
        <v>0</v>
      </c>
      <c r="AI6" s="66">
        <v>0</v>
      </c>
      <c r="AJ6" s="66">
        <v>0</v>
      </c>
      <c r="AK6" s="66">
        <v>2</v>
      </c>
      <c r="AL6" s="66">
        <v>4</v>
      </c>
      <c r="AM6" s="66">
        <v>5</v>
      </c>
      <c r="AN6" s="66">
        <v>6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1"/>
      <c r="E7" s="106" cm="1">
        <f t="array" ref="E7:AN20">_xlfn.LET(_xlpm.Customer_staff,_xlfn._xlws.FILTER(Base!$D$85:$BD$98,ISNUMBER(SEARCH($B$1&amp;"-"&amp;$C$1,Base!$D$4:$BD$4))),_xlpm.Customer,_xlfn.ANCHORARRAY($E$1),_xlpm.headcount,_xlpm.Customer/_xlpm.Customer_staff,
_xlpm.patient_staff,_xlfn.ANCHORARRAY($E$2)/_xlpm.Customer_staff,_xlpm.prim_staff_tr_rec,_xlfn.ANCHORARRAY($E$2)/_xlfn.CHOOSEROWS(_xlpm.Customer_staff,{7,8})+(_xlfn.ANCHORARRAY($E$1)*0.0055),_xlpm.rounding,_xlfn.VSTACK(2,2,0,0,2,2,2,2,2,2,2,0,0,0),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prim_staff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0</v>
      </c>
      <c r="F7" s="106">
        <v>0</v>
      </c>
      <c r="G7" s="106">
        <v>0</v>
      </c>
      <c r="H7" s="106">
        <v>0</v>
      </c>
      <c r="I7" s="106">
        <v>0</v>
      </c>
      <c r="J7" s="106">
        <v>0</v>
      </c>
      <c r="K7" s="106">
        <v>0</v>
      </c>
      <c r="L7" s="106">
        <v>0</v>
      </c>
      <c r="M7" s="106">
        <v>0</v>
      </c>
      <c r="N7" s="106">
        <v>0</v>
      </c>
      <c r="O7" s="106">
        <v>0</v>
      </c>
      <c r="P7" s="106">
        <v>0</v>
      </c>
      <c r="Q7" s="106">
        <v>0</v>
      </c>
      <c r="R7" s="106">
        <v>0</v>
      </c>
      <c r="S7" s="106">
        <v>0</v>
      </c>
      <c r="T7" s="106">
        <v>0</v>
      </c>
      <c r="U7" s="106">
        <v>0</v>
      </c>
      <c r="V7" s="106">
        <v>0</v>
      </c>
      <c r="W7" s="106">
        <v>0</v>
      </c>
      <c r="X7" s="106">
        <v>0</v>
      </c>
      <c r="Y7" s="106">
        <v>0</v>
      </c>
      <c r="Z7" s="106">
        <v>0</v>
      </c>
      <c r="AA7" s="106">
        <v>0</v>
      </c>
      <c r="AB7" s="106">
        <v>0</v>
      </c>
      <c r="AC7" s="106">
        <v>0</v>
      </c>
      <c r="AD7" s="106">
        <v>0</v>
      </c>
      <c r="AE7" s="106">
        <v>0</v>
      </c>
      <c r="AF7" s="106">
        <v>0</v>
      </c>
      <c r="AG7" s="106">
        <v>0</v>
      </c>
      <c r="AH7" s="106">
        <v>0</v>
      </c>
      <c r="AI7" s="106">
        <v>0</v>
      </c>
      <c r="AJ7" s="106">
        <v>0</v>
      </c>
      <c r="AK7" s="106">
        <v>0.46</v>
      </c>
      <c r="AL7" s="106">
        <v>1.36</v>
      </c>
      <c r="AM7" s="106">
        <v>2.2599999999999998</v>
      </c>
      <c r="AN7" s="106">
        <v>2.71</v>
      </c>
    </row>
    <row r="8" spans="1:40" hidden="1" outlineLevel="1" x14ac:dyDescent="0.25">
      <c r="B8" s="39" t="str">
        <v>Secondary Direct Staff</v>
      </c>
      <c r="C8" s="3"/>
      <c r="D8" s="3"/>
      <c r="E8" s="106">
        <v>0</v>
      </c>
      <c r="F8" s="106">
        <v>0</v>
      </c>
      <c r="G8" s="106">
        <v>0</v>
      </c>
      <c r="H8" s="106">
        <v>0</v>
      </c>
      <c r="I8" s="106">
        <v>0</v>
      </c>
      <c r="J8" s="106">
        <v>0</v>
      </c>
      <c r="K8" s="106">
        <v>0</v>
      </c>
      <c r="L8" s="106">
        <v>0</v>
      </c>
      <c r="M8" s="106">
        <v>0</v>
      </c>
      <c r="N8" s="106">
        <v>0</v>
      </c>
      <c r="O8" s="106">
        <v>0</v>
      </c>
      <c r="P8" s="106">
        <v>0</v>
      </c>
      <c r="Q8" s="106">
        <v>0</v>
      </c>
      <c r="R8" s="106">
        <v>0</v>
      </c>
      <c r="S8" s="106">
        <v>0</v>
      </c>
      <c r="T8" s="106">
        <v>0</v>
      </c>
      <c r="U8" s="106">
        <v>0</v>
      </c>
      <c r="V8" s="106">
        <v>0</v>
      </c>
      <c r="W8" s="106">
        <v>0</v>
      </c>
      <c r="X8" s="106">
        <v>0</v>
      </c>
      <c r="Y8" s="106">
        <v>0</v>
      </c>
      <c r="Z8" s="106">
        <v>0</v>
      </c>
      <c r="AA8" s="106">
        <v>0</v>
      </c>
      <c r="AB8" s="106">
        <v>0</v>
      </c>
      <c r="AC8" s="106">
        <v>0</v>
      </c>
      <c r="AD8" s="106">
        <v>0</v>
      </c>
      <c r="AE8" s="106">
        <v>0</v>
      </c>
      <c r="AF8" s="106">
        <v>0</v>
      </c>
      <c r="AG8" s="106">
        <v>0</v>
      </c>
      <c r="AH8" s="106">
        <v>0</v>
      </c>
      <c r="AI8" s="106">
        <v>0</v>
      </c>
      <c r="AJ8" s="106">
        <v>0</v>
      </c>
      <c r="AK8" s="106">
        <v>9.9999999999999992E-2</v>
      </c>
      <c r="AL8" s="106">
        <v>0.28000000000000003</v>
      </c>
      <c r="AM8" s="106">
        <v>0.46</v>
      </c>
      <c r="AN8" s="106">
        <v>0.55000000000000004</v>
      </c>
    </row>
    <row r="9" spans="1:40" hidden="1" outlineLevel="1" x14ac:dyDescent="0.25">
      <c r="B9" s="39" t="str">
        <v>Center Manager</v>
      </c>
      <c r="C9" s="3"/>
      <c r="D9" s="3"/>
      <c r="E9" s="106">
        <v>0</v>
      </c>
      <c r="F9" s="106">
        <v>0</v>
      </c>
      <c r="G9" s="106">
        <v>0</v>
      </c>
      <c r="H9" s="106">
        <v>0</v>
      </c>
      <c r="I9" s="106">
        <v>0</v>
      </c>
      <c r="J9" s="106">
        <v>0</v>
      </c>
      <c r="K9" s="106">
        <v>0</v>
      </c>
      <c r="L9" s="106">
        <v>0</v>
      </c>
      <c r="M9" s="106">
        <v>0</v>
      </c>
      <c r="N9" s="106">
        <v>0</v>
      </c>
      <c r="O9" s="106">
        <v>0</v>
      </c>
      <c r="P9" s="106">
        <v>0</v>
      </c>
      <c r="Q9" s="106">
        <v>0</v>
      </c>
      <c r="R9" s="106">
        <v>0</v>
      </c>
      <c r="S9" s="106">
        <v>0</v>
      </c>
      <c r="T9" s="106">
        <v>0</v>
      </c>
      <c r="U9" s="106">
        <v>0</v>
      </c>
      <c r="V9" s="106">
        <v>0</v>
      </c>
      <c r="W9" s="106">
        <v>0</v>
      </c>
      <c r="X9" s="106">
        <v>0</v>
      </c>
      <c r="Y9" s="106">
        <v>0</v>
      </c>
      <c r="Z9" s="106">
        <v>0</v>
      </c>
      <c r="AA9" s="106">
        <v>0</v>
      </c>
      <c r="AB9" s="106">
        <v>0</v>
      </c>
      <c r="AC9" s="106">
        <v>0</v>
      </c>
      <c r="AD9" s="106">
        <v>0</v>
      </c>
      <c r="AE9" s="106">
        <v>0</v>
      </c>
      <c r="AF9" s="106">
        <v>0</v>
      </c>
      <c r="AG9" s="106">
        <v>0</v>
      </c>
      <c r="AH9" s="106">
        <v>0</v>
      </c>
      <c r="AI9" s="106">
        <v>0</v>
      </c>
      <c r="AJ9" s="106">
        <v>0</v>
      </c>
      <c r="AK9" s="106">
        <v>1</v>
      </c>
      <c r="AL9" s="106">
        <v>1</v>
      </c>
      <c r="AM9" s="106">
        <v>1</v>
      </c>
      <c r="AN9" s="106">
        <v>1</v>
      </c>
    </row>
    <row r="10" spans="1:40" hidden="1" outlineLevel="1" x14ac:dyDescent="0.25">
      <c r="B10" s="39" t="str">
        <v>Intake</v>
      </c>
      <c r="C10" s="3"/>
      <c r="D10" s="3"/>
      <c r="E10" s="106">
        <v>0</v>
      </c>
      <c r="F10" s="106">
        <v>0</v>
      </c>
      <c r="G10" s="106">
        <v>0</v>
      </c>
      <c r="H10" s="106">
        <v>0</v>
      </c>
      <c r="I10" s="106">
        <v>0</v>
      </c>
      <c r="J10" s="106">
        <v>0</v>
      </c>
      <c r="K10" s="106">
        <v>0</v>
      </c>
      <c r="L10" s="106">
        <v>0</v>
      </c>
      <c r="M10" s="106">
        <v>0</v>
      </c>
      <c r="N10" s="106">
        <v>0</v>
      </c>
      <c r="O10" s="106">
        <v>0</v>
      </c>
      <c r="P10" s="106">
        <v>0</v>
      </c>
      <c r="Q10" s="106">
        <v>0</v>
      </c>
      <c r="R10" s="106">
        <v>0</v>
      </c>
      <c r="S10" s="106">
        <v>0</v>
      </c>
      <c r="T10" s="106">
        <v>0</v>
      </c>
      <c r="U10" s="106">
        <v>0</v>
      </c>
      <c r="V10" s="106">
        <v>0</v>
      </c>
      <c r="W10" s="106">
        <v>0</v>
      </c>
      <c r="X10" s="106">
        <v>0</v>
      </c>
      <c r="Y10" s="106">
        <v>0</v>
      </c>
      <c r="Z10" s="106">
        <v>0</v>
      </c>
      <c r="AA10" s="106">
        <v>0</v>
      </c>
      <c r="AB10" s="106">
        <v>0</v>
      </c>
      <c r="AC10" s="106">
        <v>0</v>
      </c>
      <c r="AD10" s="106">
        <v>0</v>
      </c>
      <c r="AE10" s="106">
        <v>0</v>
      </c>
      <c r="AF10" s="106">
        <v>0</v>
      </c>
      <c r="AG10" s="106">
        <v>0</v>
      </c>
      <c r="AH10" s="106">
        <v>0</v>
      </c>
      <c r="AI10" s="106">
        <v>0</v>
      </c>
      <c r="AJ10" s="106">
        <v>0</v>
      </c>
      <c r="AK10" s="106">
        <v>0</v>
      </c>
      <c r="AL10" s="106">
        <v>1</v>
      </c>
      <c r="AM10" s="106">
        <v>1</v>
      </c>
      <c r="AN10" s="106">
        <v>1</v>
      </c>
    </row>
    <row r="11" spans="1:40" hidden="1" outlineLevel="1" x14ac:dyDescent="0.25">
      <c r="B11" s="39" t="str">
        <v>Scheduler</v>
      </c>
      <c r="C11" s="3"/>
      <c r="D11" s="3"/>
      <c r="E11" s="106">
        <v>0</v>
      </c>
      <c r="F11" s="106">
        <v>0</v>
      </c>
      <c r="G11" s="106">
        <v>0</v>
      </c>
      <c r="H11" s="106">
        <v>0</v>
      </c>
      <c r="I11" s="106">
        <v>0</v>
      </c>
      <c r="J11" s="106">
        <v>0</v>
      </c>
      <c r="K11" s="106">
        <v>0</v>
      </c>
      <c r="L11" s="106">
        <v>0</v>
      </c>
      <c r="M11" s="106">
        <v>0</v>
      </c>
      <c r="N11" s="106">
        <v>0</v>
      </c>
      <c r="O11" s="106">
        <v>0</v>
      </c>
      <c r="P11" s="106">
        <v>0</v>
      </c>
      <c r="Q11" s="106">
        <v>0</v>
      </c>
      <c r="R11" s="106">
        <v>0</v>
      </c>
      <c r="S11" s="106">
        <v>0</v>
      </c>
      <c r="T11" s="106">
        <v>0</v>
      </c>
      <c r="U11" s="106">
        <v>0</v>
      </c>
      <c r="V11" s="106">
        <v>0</v>
      </c>
      <c r="W11" s="106">
        <v>0</v>
      </c>
      <c r="X11" s="106">
        <v>0</v>
      </c>
      <c r="Y11" s="106">
        <v>0</v>
      </c>
      <c r="Z11" s="106">
        <v>0</v>
      </c>
      <c r="AA11" s="106">
        <v>0</v>
      </c>
      <c r="AB11" s="106">
        <v>0</v>
      </c>
      <c r="AC11" s="106">
        <v>0</v>
      </c>
      <c r="AD11" s="106">
        <v>0</v>
      </c>
      <c r="AE11" s="106">
        <v>0</v>
      </c>
      <c r="AF11" s="106">
        <v>0</v>
      </c>
      <c r="AG11" s="106">
        <v>0</v>
      </c>
      <c r="AH11" s="106">
        <v>0</v>
      </c>
      <c r="AI11" s="106">
        <v>0</v>
      </c>
      <c r="AJ11" s="106">
        <v>0</v>
      </c>
      <c r="AK11" s="106">
        <v>0</v>
      </c>
      <c r="AL11" s="106">
        <v>0</v>
      </c>
      <c r="AM11" s="106">
        <v>0</v>
      </c>
      <c r="AN11" s="106">
        <v>0</v>
      </c>
    </row>
    <row r="12" spans="1:40" hidden="1" outlineLevel="1" x14ac:dyDescent="0.25">
      <c r="B12" s="39" t="str">
        <v>Initial Consultation Expert</v>
      </c>
      <c r="C12" s="3"/>
      <c r="D12" s="3"/>
      <c r="E12" s="106">
        <v>0</v>
      </c>
      <c r="F12" s="106">
        <v>0</v>
      </c>
      <c r="G12" s="106">
        <v>0</v>
      </c>
      <c r="H12" s="106">
        <v>0</v>
      </c>
      <c r="I12" s="106">
        <v>0</v>
      </c>
      <c r="J12" s="106">
        <v>0</v>
      </c>
      <c r="K12" s="106">
        <v>0</v>
      </c>
      <c r="L12" s="106">
        <v>0</v>
      </c>
      <c r="M12" s="106">
        <v>0</v>
      </c>
      <c r="N12" s="106">
        <v>0</v>
      </c>
      <c r="O12" s="106">
        <v>0</v>
      </c>
      <c r="P12" s="106">
        <v>0</v>
      </c>
      <c r="Q12" s="106">
        <v>0</v>
      </c>
      <c r="R12" s="106">
        <v>0</v>
      </c>
      <c r="S12" s="106">
        <v>0</v>
      </c>
      <c r="T12" s="106">
        <v>0</v>
      </c>
      <c r="U12" s="106">
        <v>0</v>
      </c>
      <c r="V12" s="106">
        <v>0</v>
      </c>
      <c r="W12" s="106">
        <v>0</v>
      </c>
      <c r="X12" s="106">
        <v>0</v>
      </c>
      <c r="Y12" s="106">
        <v>0</v>
      </c>
      <c r="Z12" s="106">
        <v>0</v>
      </c>
      <c r="AA12" s="106">
        <v>0</v>
      </c>
      <c r="AB12" s="106">
        <v>0</v>
      </c>
      <c r="AC12" s="106">
        <v>0</v>
      </c>
      <c r="AD12" s="106">
        <v>0</v>
      </c>
      <c r="AE12" s="106">
        <v>0</v>
      </c>
      <c r="AF12" s="106">
        <v>0</v>
      </c>
      <c r="AG12" s="106">
        <v>0</v>
      </c>
      <c r="AH12" s="106">
        <v>0</v>
      </c>
      <c r="AI12" s="106">
        <v>0</v>
      </c>
      <c r="AJ12" s="106">
        <v>0</v>
      </c>
      <c r="AK12" s="106">
        <v>0</v>
      </c>
      <c r="AL12" s="106">
        <v>0.15000000000000002</v>
      </c>
      <c r="AM12" s="106">
        <v>0.16</v>
      </c>
      <c r="AN12" s="106">
        <v>0.18000000000000002</v>
      </c>
    </row>
    <row r="13" spans="1:40" hidden="1" outlineLevel="1" x14ac:dyDescent="0.25">
      <c r="B13" s="39" t="str">
        <v>Trainer</v>
      </c>
      <c r="C13" s="3"/>
      <c r="D13" s="3"/>
      <c r="E13" s="106">
        <v>0</v>
      </c>
      <c r="F13" s="106">
        <v>0</v>
      </c>
      <c r="G13" s="106">
        <v>0</v>
      </c>
      <c r="H13" s="106">
        <v>0</v>
      </c>
      <c r="I13" s="106">
        <v>0</v>
      </c>
      <c r="J13" s="106">
        <v>0</v>
      </c>
      <c r="K13" s="106">
        <v>0</v>
      </c>
      <c r="L13" s="106">
        <v>0</v>
      </c>
      <c r="M13" s="106">
        <v>0</v>
      </c>
      <c r="N13" s="106">
        <v>0</v>
      </c>
      <c r="O13" s="106">
        <v>0</v>
      </c>
      <c r="P13" s="106">
        <v>0</v>
      </c>
      <c r="Q13" s="106">
        <v>0</v>
      </c>
      <c r="R13" s="106">
        <v>0</v>
      </c>
      <c r="S13" s="106">
        <v>0</v>
      </c>
      <c r="T13" s="106">
        <v>0</v>
      </c>
      <c r="U13" s="106">
        <v>0</v>
      </c>
      <c r="V13" s="106">
        <v>0</v>
      </c>
      <c r="W13" s="106">
        <v>0</v>
      </c>
      <c r="X13" s="106">
        <v>0</v>
      </c>
      <c r="Y13" s="106">
        <v>0</v>
      </c>
      <c r="Z13" s="106">
        <v>0</v>
      </c>
      <c r="AA13" s="106">
        <v>0</v>
      </c>
      <c r="AB13" s="106">
        <v>0</v>
      </c>
      <c r="AC13" s="106">
        <v>0</v>
      </c>
      <c r="AD13" s="106">
        <v>0</v>
      </c>
      <c r="AE13" s="106">
        <v>0</v>
      </c>
      <c r="AF13" s="106">
        <v>0</v>
      </c>
      <c r="AG13" s="106">
        <v>0</v>
      </c>
      <c r="AH13" s="106">
        <v>0</v>
      </c>
      <c r="AI13" s="106">
        <v>0</v>
      </c>
      <c r="AJ13" s="106">
        <v>0</v>
      </c>
      <c r="AK13" s="106">
        <v>0.01</v>
      </c>
      <c r="AL13" s="106">
        <v>0.21000000000000002</v>
      </c>
      <c r="AM13" s="106">
        <v>0.24000000000000002</v>
      </c>
      <c r="AN13" s="106">
        <v>0.26</v>
      </c>
    </row>
    <row r="14" spans="1:40" hidden="1" outlineLevel="1" x14ac:dyDescent="0.25">
      <c r="B14" s="39" t="str">
        <v>Recruiter</v>
      </c>
      <c r="C14" s="3"/>
      <c r="D14" s="3"/>
      <c r="E14" s="106">
        <v>0</v>
      </c>
      <c r="F14" s="106">
        <v>0</v>
      </c>
      <c r="G14" s="106">
        <v>0</v>
      </c>
      <c r="H14" s="106">
        <v>0</v>
      </c>
      <c r="I14" s="106">
        <v>0</v>
      </c>
      <c r="J14" s="106">
        <v>0</v>
      </c>
      <c r="K14" s="106">
        <v>0</v>
      </c>
      <c r="L14" s="106">
        <v>0</v>
      </c>
      <c r="M14" s="106">
        <v>0</v>
      </c>
      <c r="N14" s="106">
        <v>0</v>
      </c>
      <c r="O14" s="106">
        <v>0</v>
      </c>
      <c r="P14" s="106">
        <v>0</v>
      </c>
      <c r="Q14" s="106">
        <v>0</v>
      </c>
      <c r="R14" s="106">
        <v>0</v>
      </c>
      <c r="S14" s="106">
        <v>0</v>
      </c>
      <c r="T14" s="106">
        <v>0</v>
      </c>
      <c r="U14" s="106">
        <v>0</v>
      </c>
      <c r="V14" s="106">
        <v>0</v>
      </c>
      <c r="W14" s="106">
        <v>0</v>
      </c>
      <c r="X14" s="106">
        <v>0</v>
      </c>
      <c r="Y14" s="106">
        <v>0</v>
      </c>
      <c r="Z14" s="106">
        <v>0</v>
      </c>
      <c r="AA14" s="106">
        <v>0</v>
      </c>
      <c r="AB14" s="106">
        <v>0</v>
      </c>
      <c r="AC14" s="106">
        <v>0</v>
      </c>
      <c r="AD14" s="106">
        <v>0</v>
      </c>
      <c r="AE14" s="106">
        <v>0</v>
      </c>
      <c r="AF14" s="106">
        <v>0</v>
      </c>
      <c r="AG14" s="106">
        <v>0</v>
      </c>
      <c r="AH14" s="106">
        <v>0</v>
      </c>
      <c r="AI14" s="106">
        <v>0</v>
      </c>
      <c r="AJ14" s="106">
        <v>0</v>
      </c>
      <c r="AK14" s="106">
        <v>0.01</v>
      </c>
      <c r="AL14" s="106">
        <v>0.12</v>
      </c>
      <c r="AM14" s="106">
        <v>0.13</v>
      </c>
      <c r="AN14" s="106">
        <v>0.15000000000000002</v>
      </c>
    </row>
    <row r="15" spans="1:40" hidden="1" outlineLevel="1" x14ac:dyDescent="0.25">
      <c r="B15" s="39" t="str">
        <v>Center Director / Remote Site Director</v>
      </c>
      <c r="C15" s="3"/>
      <c r="D15" s="3"/>
      <c r="E15" s="106">
        <v>0</v>
      </c>
      <c r="F15" s="106">
        <v>0</v>
      </c>
      <c r="G15" s="106">
        <v>0</v>
      </c>
      <c r="H15" s="106">
        <v>0</v>
      </c>
      <c r="I15" s="106">
        <v>0</v>
      </c>
      <c r="J15" s="106">
        <v>0</v>
      </c>
      <c r="K15" s="106">
        <v>0</v>
      </c>
      <c r="L15" s="106">
        <v>0</v>
      </c>
      <c r="M15" s="106">
        <v>0</v>
      </c>
      <c r="N15" s="106">
        <v>0</v>
      </c>
      <c r="O15" s="106">
        <v>0</v>
      </c>
      <c r="P15" s="106">
        <v>0</v>
      </c>
      <c r="Q15" s="106">
        <v>0</v>
      </c>
      <c r="R15" s="106">
        <v>0</v>
      </c>
      <c r="S15" s="106">
        <v>0</v>
      </c>
      <c r="T15" s="106">
        <v>0</v>
      </c>
      <c r="U15" s="106">
        <v>0</v>
      </c>
      <c r="V15" s="106">
        <v>0</v>
      </c>
      <c r="W15" s="106">
        <v>0</v>
      </c>
      <c r="X15" s="106">
        <v>0</v>
      </c>
      <c r="Y15" s="106">
        <v>0</v>
      </c>
      <c r="Z15" s="106">
        <v>0</v>
      </c>
      <c r="AA15" s="106">
        <v>0</v>
      </c>
      <c r="AB15" s="106">
        <v>0</v>
      </c>
      <c r="AC15" s="106">
        <v>0</v>
      </c>
      <c r="AD15" s="106">
        <v>0</v>
      </c>
      <c r="AE15" s="106">
        <v>0</v>
      </c>
      <c r="AF15" s="106">
        <v>0</v>
      </c>
      <c r="AG15" s="106">
        <v>0</v>
      </c>
      <c r="AH15" s="106">
        <v>0</v>
      </c>
      <c r="AI15" s="106">
        <v>0</v>
      </c>
      <c r="AJ15" s="106">
        <v>0</v>
      </c>
      <c r="AK15" s="106">
        <v>0.01</v>
      </c>
      <c r="AL15" s="106">
        <v>0.02</v>
      </c>
      <c r="AM15" s="106">
        <v>0.02</v>
      </c>
      <c r="AN15" s="106">
        <v>0.03</v>
      </c>
    </row>
    <row r="16" spans="1:40" hidden="1" outlineLevel="1" x14ac:dyDescent="0.25">
      <c r="B16" s="39" t="str">
        <v>Center Marketing Outreach</v>
      </c>
      <c r="C16" s="3"/>
      <c r="D16" s="3"/>
      <c r="E16" s="106">
        <v>0</v>
      </c>
      <c r="F16" s="106">
        <v>0</v>
      </c>
      <c r="G16" s="106">
        <v>0</v>
      </c>
      <c r="H16" s="106">
        <v>0</v>
      </c>
      <c r="I16" s="106">
        <v>0</v>
      </c>
      <c r="J16" s="106">
        <v>0</v>
      </c>
      <c r="K16" s="106">
        <v>0</v>
      </c>
      <c r="L16" s="106">
        <v>0</v>
      </c>
      <c r="M16" s="106">
        <v>0</v>
      </c>
      <c r="N16" s="106">
        <v>0</v>
      </c>
      <c r="O16" s="106">
        <v>0</v>
      </c>
      <c r="P16" s="106">
        <v>0</v>
      </c>
      <c r="Q16" s="106">
        <v>0</v>
      </c>
      <c r="R16" s="106">
        <v>0</v>
      </c>
      <c r="S16" s="106">
        <v>0</v>
      </c>
      <c r="T16" s="106">
        <v>0</v>
      </c>
      <c r="U16" s="106">
        <v>0</v>
      </c>
      <c r="V16" s="106">
        <v>0</v>
      </c>
      <c r="W16" s="106">
        <v>0</v>
      </c>
      <c r="X16" s="106">
        <v>0</v>
      </c>
      <c r="Y16" s="106">
        <v>0</v>
      </c>
      <c r="Z16" s="106">
        <v>0</v>
      </c>
      <c r="AA16" s="106">
        <v>0</v>
      </c>
      <c r="AB16" s="106">
        <v>0</v>
      </c>
      <c r="AC16" s="106">
        <v>0</v>
      </c>
      <c r="AD16" s="106">
        <v>0</v>
      </c>
      <c r="AE16" s="106">
        <v>0</v>
      </c>
      <c r="AF16" s="106">
        <v>0</v>
      </c>
      <c r="AG16" s="106">
        <v>0</v>
      </c>
      <c r="AH16" s="106">
        <v>0</v>
      </c>
      <c r="AI16" s="106">
        <v>0</v>
      </c>
      <c r="AJ16" s="106">
        <v>0</v>
      </c>
      <c r="AK16" s="106">
        <v>0.01</v>
      </c>
      <c r="AL16" s="106">
        <v>0.02</v>
      </c>
      <c r="AM16" s="106">
        <v>0.02</v>
      </c>
      <c r="AN16" s="106">
        <v>0.03</v>
      </c>
    </row>
    <row r="17" spans="2:50" hidden="1" outlineLevel="1" x14ac:dyDescent="0.25">
      <c r="B17" s="39" t="str">
        <v>Primary Direct Staff Lead</v>
      </c>
      <c r="C17" s="3"/>
      <c r="D17" s="3"/>
      <c r="E17" s="106">
        <v>0</v>
      </c>
      <c r="F17" s="106">
        <v>0</v>
      </c>
      <c r="G17" s="106">
        <v>0</v>
      </c>
      <c r="H17" s="106">
        <v>0</v>
      </c>
      <c r="I17" s="106">
        <v>0</v>
      </c>
      <c r="J17" s="106">
        <v>0</v>
      </c>
      <c r="K17" s="106">
        <v>0</v>
      </c>
      <c r="L17" s="106">
        <v>0</v>
      </c>
      <c r="M17" s="106">
        <v>0</v>
      </c>
      <c r="N17" s="106">
        <v>0</v>
      </c>
      <c r="O17" s="106">
        <v>0</v>
      </c>
      <c r="P17" s="106">
        <v>0</v>
      </c>
      <c r="Q17" s="106">
        <v>0</v>
      </c>
      <c r="R17" s="106">
        <v>0</v>
      </c>
      <c r="S17" s="106">
        <v>0</v>
      </c>
      <c r="T17" s="106">
        <v>0</v>
      </c>
      <c r="U17" s="106">
        <v>0</v>
      </c>
      <c r="V17" s="106">
        <v>0</v>
      </c>
      <c r="W17" s="106">
        <v>0</v>
      </c>
      <c r="X17" s="106">
        <v>0</v>
      </c>
      <c r="Y17" s="106">
        <v>0</v>
      </c>
      <c r="Z17" s="106">
        <v>0</v>
      </c>
      <c r="AA17" s="106">
        <v>0</v>
      </c>
      <c r="AB17" s="106">
        <v>0</v>
      </c>
      <c r="AC17" s="106">
        <v>0</v>
      </c>
      <c r="AD17" s="106">
        <v>0</v>
      </c>
      <c r="AE17" s="106">
        <v>0</v>
      </c>
      <c r="AF17" s="106">
        <v>0</v>
      </c>
      <c r="AG17" s="106">
        <v>0</v>
      </c>
      <c r="AH17" s="106">
        <v>0</v>
      </c>
      <c r="AI17" s="106">
        <v>0</v>
      </c>
      <c r="AJ17" s="106">
        <v>0</v>
      </c>
      <c r="AK17" s="106">
        <v>0</v>
      </c>
      <c r="AL17" s="106">
        <v>0</v>
      </c>
      <c r="AM17" s="106">
        <v>0</v>
      </c>
      <c r="AN17" s="106">
        <v>0</v>
      </c>
    </row>
    <row r="18" spans="2:50" hidden="1" outlineLevel="1" x14ac:dyDescent="0.25">
      <c r="B18" s="39" t="str">
        <v>Tertiary Direct Staff</v>
      </c>
      <c r="C18" s="3"/>
      <c r="D18" s="3"/>
      <c r="E18" s="106">
        <v>0</v>
      </c>
      <c r="F18" s="106">
        <v>0</v>
      </c>
      <c r="G18" s="106">
        <v>0</v>
      </c>
      <c r="H18" s="106">
        <v>0</v>
      </c>
      <c r="I18" s="106">
        <v>0</v>
      </c>
      <c r="J18" s="106">
        <v>0</v>
      </c>
      <c r="K18" s="106">
        <v>0</v>
      </c>
      <c r="L18" s="106">
        <v>0</v>
      </c>
      <c r="M18" s="106">
        <v>0</v>
      </c>
      <c r="N18" s="106">
        <v>0</v>
      </c>
      <c r="O18" s="106">
        <v>0</v>
      </c>
      <c r="P18" s="106">
        <v>0</v>
      </c>
      <c r="Q18" s="106">
        <v>0</v>
      </c>
      <c r="R18" s="106">
        <v>0</v>
      </c>
      <c r="S18" s="106">
        <v>0</v>
      </c>
      <c r="T18" s="106">
        <v>0</v>
      </c>
      <c r="U18" s="106">
        <v>0</v>
      </c>
      <c r="V18" s="106">
        <v>0</v>
      </c>
      <c r="W18" s="106">
        <v>0</v>
      </c>
      <c r="X18" s="106">
        <v>0</v>
      </c>
      <c r="Y18" s="106">
        <v>0</v>
      </c>
      <c r="Z18" s="106">
        <v>0</v>
      </c>
      <c r="AA18" s="106">
        <v>0</v>
      </c>
      <c r="AB18" s="106">
        <v>0</v>
      </c>
      <c r="AC18" s="106">
        <v>0</v>
      </c>
      <c r="AD18" s="106">
        <v>0</v>
      </c>
      <c r="AE18" s="106">
        <v>0</v>
      </c>
      <c r="AF18" s="106">
        <v>0</v>
      </c>
      <c r="AG18" s="106">
        <v>0</v>
      </c>
      <c r="AH18" s="106">
        <v>0</v>
      </c>
      <c r="AI18" s="106">
        <v>0</v>
      </c>
      <c r="AJ18" s="106">
        <v>0</v>
      </c>
      <c r="AK18" s="106">
        <v>0</v>
      </c>
      <c r="AL18" s="106">
        <v>0</v>
      </c>
      <c r="AM18" s="106">
        <v>0</v>
      </c>
      <c r="AN18" s="106">
        <v>0</v>
      </c>
    </row>
    <row r="19" spans="2:50" hidden="1" outlineLevel="1" x14ac:dyDescent="0.25">
      <c r="B19" s="39" t="str">
        <v>Quinary Direct Staff</v>
      </c>
      <c r="C19" s="3"/>
      <c r="D19" s="3"/>
      <c r="E19" s="106">
        <v>0</v>
      </c>
      <c r="F19" s="106">
        <v>0</v>
      </c>
      <c r="G19" s="106">
        <v>0</v>
      </c>
      <c r="H19" s="106">
        <v>0</v>
      </c>
      <c r="I19" s="106">
        <v>0</v>
      </c>
      <c r="J19" s="106">
        <v>0</v>
      </c>
      <c r="K19" s="106">
        <v>0</v>
      </c>
      <c r="L19" s="106">
        <v>0</v>
      </c>
      <c r="M19" s="106">
        <v>0</v>
      </c>
      <c r="N19" s="106">
        <v>0</v>
      </c>
      <c r="O19" s="106">
        <v>0</v>
      </c>
      <c r="P19" s="106">
        <v>0</v>
      </c>
      <c r="Q19" s="106">
        <v>0</v>
      </c>
      <c r="R19" s="106">
        <v>0</v>
      </c>
      <c r="S19" s="106">
        <v>0</v>
      </c>
      <c r="T19" s="106">
        <v>0</v>
      </c>
      <c r="U19" s="106">
        <v>0</v>
      </c>
      <c r="V19" s="106">
        <v>0</v>
      </c>
      <c r="W19" s="106">
        <v>0</v>
      </c>
      <c r="X19" s="106">
        <v>0</v>
      </c>
      <c r="Y19" s="106">
        <v>0</v>
      </c>
      <c r="Z19" s="106">
        <v>0</v>
      </c>
      <c r="AA19" s="106">
        <v>0</v>
      </c>
      <c r="AB19" s="106">
        <v>0</v>
      </c>
      <c r="AC19" s="106">
        <v>0</v>
      </c>
      <c r="AD19" s="106">
        <v>0</v>
      </c>
      <c r="AE19" s="106">
        <v>0</v>
      </c>
      <c r="AF19" s="106">
        <v>0</v>
      </c>
      <c r="AG19" s="106">
        <v>0</v>
      </c>
      <c r="AH19" s="106">
        <v>0</v>
      </c>
      <c r="AI19" s="106">
        <v>0</v>
      </c>
      <c r="AJ19" s="106">
        <v>0</v>
      </c>
      <c r="AK19" s="106">
        <v>0</v>
      </c>
      <c r="AL19" s="106">
        <v>0</v>
      </c>
      <c r="AM19" s="106">
        <v>0</v>
      </c>
      <c r="AN19" s="106">
        <v>0</v>
      </c>
    </row>
    <row r="20" spans="2:50" hidden="1" outlineLevel="1" x14ac:dyDescent="0.25">
      <c r="B20" s="39" t="str">
        <v>Quaternary Direct Staff</v>
      </c>
      <c r="C20" s="3"/>
      <c r="D20" s="3"/>
      <c r="E20" s="106">
        <v>0</v>
      </c>
      <c r="F20" s="106">
        <v>0</v>
      </c>
      <c r="G20" s="106">
        <v>0</v>
      </c>
      <c r="H20" s="106">
        <v>0</v>
      </c>
      <c r="I20" s="106">
        <v>0</v>
      </c>
      <c r="J20" s="106">
        <v>0</v>
      </c>
      <c r="K20" s="106">
        <v>0</v>
      </c>
      <c r="L20" s="106">
        <v>0</v>
      </c>
      <c r="M20" s="106">
        <v>0</v>
      </c>
      <c r="N20" s="106">
        <v>0</v>
      </c>
      <c r="O20" s="106">
        <v>0</v>
      </c>
      <c r="P20" s="106">
        <v>0</v>
      </c>
      <c r="Q20" s="106">
        <v>0</v>
      </c>
      <c r="R20" s="106">
        <v>0</v>
      </c>
      <c r="S20" s="106">
        <v>0</v>
      </c>
      <c r="T20" s="106">
        <v>0</v>
      </c>
      <c r="U20" s="106">
        <v>0</v>
      </c>
      <c r="V20" s="106">
        <v>0</v>
      </c>
      <c r="W20" s="106">
        <v>0</v>
      </c>
      <c r="X20" s="106">
        <v>0</v>
      </c>
      <c r="Y20" s="106">
        <v>0</v>
      </c>
      <c r="Z20" s="106">
        <v>0</v>
      </c>
      <c r="AA20" s="106">
        <v>0</v>
      </c>
      <c r="AB20" s="106">
        <v>0</v>
      </c>
      <c r="AC20" s="106">
        <v>0</v>
      </c>
      <c r="AD20" s="106">
        <v>0</v>
      </c>
      <c r="AE20" s="106">
        <v>0</v>
      </c>
      <c r="AF20" s="106">
        <v>0</v>
      </c>
      <c r="AG20" s="106">
        <v>0</v>
      </c>
      <c r="AH20" s="106">
        <v>0</v>
      </c>
      <c r="AI20" s="106">
        <v>0</v>
      </c>
      <c r="AJ20" s="106">
        <v>0</v>
      </c>
      <c r="AK20" s="106">
        <v>0</v>
      </c>
      <c r="AL20" s="106">
        <v>0</v>
      </c>
      <c r="AM20" s="106">
        <v>0</v>
      </c>
      <c r="AN20" s="106">
        <v>0</v>
      </c>
    </row>
    <row r="21" spans="2:50" collapsed="1" x14ac:dyDescent="0.25">
      <c r="B21" s="39" t="s">
        <v>389</v>
      </c>
      <c r="C21" s="3"/>
      <c r="D21" s="5"/>
      <c r="E21" s="117" cm="1">
        <f t="array" ref="E21:AN21">ROUND(_xlfn.BYCOL(_xlfn.CHOOSEROWS(_xlfn.ANCHORARRAY(E7),1,2),_xlfn.LAMBDA(_xlpm.col,SUM(_xlpm.col))),0)</f>
        <v>0</v>
      </c>
      <c r="F21" s="117">
        <v>0</v>
      </c>
      <c r="G21" s="117">
        <v>0</v>
      </c>
      <c r="H21" s="117">
        <v>0</v>
      </c>
      <c r="I21" s="117">
        <v>0</v>
      </c>
      <c r="J21" s="117">
        <v>0</v>
      </c>
      <c r="K21" s="117">
        <v>0</v>
      </c>
      <c r="L21" s="117">
        <v>0</v>
      </c>
      <c r="M21" s="117">
        <v>0</v>
      </c>
      <c r="N21" s="117">
        <v>0</v>
      </c>
      <c r="O21" s="117">
        <v>0</v>
      </c>
      <c r="P21" s="117">
        <v>0</v>
      </c>
      <c r="Q21" s="117">
        <v>0</v>
      </c>
      <c r="R21" s="117">
        <v>0</v>
      </c>
      <c r="S21" s="117">
        <v>0</v>
      </c>
      <c r="T21" s="117">
        <v>0</v>
      </c>
      <c r="U21" s="117">
        <v>0</v>
      </c>
      <c r="V21" s="117">
        <v>0</v>
      </c>
      <c r="W21" s="117">
        <v>0</v>
      </c>
      <c r="X21" s="117">
        <v>0</v>
      </c>
      <c r="Y21" s="117">
        <v>0</v>
      </c>
      <c r="Z21" s="117">
        <v>0</v>
      </c>
      <c r="AA21" s="117">
        <v>0</v>
      </c>
      <c r="AB21" s="117">
        <v>0</v>
      </c>
      <c r="AC21" s="117">
        <v>0</v>
      </c>
      <c r="AD21" s="117">
        <v>0</v>
      </c>
      <c r="AE21" s="117">
        <v>0</v>
      </c>
      <c r="AF21" s="117">
        <v>0</v>
      </c>
      <c r="AG21" s="117">
        <v>0</v>
      </c>
      <c r="AH21" s="117">
        <v>0</v>
      </c>
      <c r="AI21" s="117">
        <v>0</v>
      </c>
      <c r="AJ21" s="117">
        <v>0</v>
      </c>
      <c r="AK21" s="117">
        <v>1</v>
      </c>
      <c r="AL21" s="117">
        <v>2</v>
      </c>
      <c r="AM21" s="117">
        <v>3</v>
      </c>
      <c r="AN21" s="117">
        <v>3</v>
      </c>
    </row>
    <row r="22" spans="2:50" x14ac:dyDescent="0.25">
      <c r="B22" s="2" t="s">
        <v>394</v>
      </c>
      <c r="C22" s="3"/>
      <c r="D22" s="77">
        <f>MAX(_xlfn.ANCHORARRAY(E22))</f>
        <v>174.55720170454555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0</v>
      </c>
      <c r="F22" s="78">
        <v>0</v>
      </c>
      <c r="G22" s="78">
        <v>0</v>
      </c>
      <c r="H22" s="78">
        <v>0</v>
      </c>
      <c r="I22" s="78">
        <v>0</v>
      </c>
      <c r="J22" s="78">
        <v>0</v>
      </c>
      <c r="K22" s="78">
        <v>0</v>
      </c>
      <c r="L22" s="78">
        <v>0</v>
      </c>
      <c r="M22" s="78">
        <v>0</v>
      </c>
      <c r="N22" s="78">
        <v>0</v>
      </c>
      <c r="O22" s="78">
        <v>0</v>
      </c>
      <c r="P22" s="78">
        <v>0</v>
      </c>
      <c r="Q22" s="78">
        <v>0</v>
      </c>
      <c r="R22" s="78">
        <v>0</v>
      </c>
      <c r="S22" s="78">
        <v>0</v>
      </c>
      <c r="T22" s="78">
        <v>0</v>
      </c>
      <c r="U22" s="78">
        <v>0</v>
      </c>
      <c r="V22" s="78">
        <v>0</v>
      </c>
      <c r="W22" s="78">
        <v>0</v>
      </c>
      <c r="X22" s="78">
        <v>0</v>
      </c>
      <c r="Y22" s="78">
        <v>0</v>
      </c>
      <c r="Z22" s="78">
        <v>0</v>
      </c>
      <c r="AA22" s="78">
        <v>0</v>
      </c>
      <c r="AB22" s="78">
        <v>0</v>
      </c>
      <c r="AC22" s="78">
        <v>0</v>
      </c>
      <c r="AD22" s="78">
        <v>0</v>
      </c>
      <c r="AE22" s="78">
        <v>0</v>
      </c>
      <c r="AF22" s="78">
        <v>0</v>
      </c>
      <c r="AG22" s="78">
        <v>0</v>
      </c>
      <c r="AH22" s="78">
        <v>0</v>
      </c>
      <c r="AI22" s="78">
        <v>0</v>
      </c>
      <c r="AJ22" s="78">
        <v>0</v>
      </c>
      <c r="AK22" s="78">
        <v>174.55720170454555</v>
      </c>
      <c r="AL22" s="78">
        <v>174.55720170454543</v>
      </c>
      <c r="AM22" s="78">
        <v>174.55720170454541</v>
      </c>
      <c r="AN22" s="78">
        <v>174.55720170454543</v>
      </c>
    </row>
    <row r="23" spans="2:50" x14ac:dyDescent="0.25">
      <c r="B23" s="2" t="s">
        <v>53</v>
      </c>
      <c r="C23" s="3"/>
      <c r="D23" s="72"/>
      <c r="E23" s="52" cm="1">
        <f t="array" ref="E23:AN23">_xlfn.LET(_xlpm.site,$B$1&amp;"-"&amp;$C$1,_xlpm.locations,Base!$D$4:$BD$4,_xlpm.Customer,_xlfn.ANCHORARRAY(E1),_xlpm.hours,SUM(_xlfn.XLOOKUP(_xlpm.site,_xlpm.locations,Base!$D$74:$BD$78,0,0)),
_xlpm.collection,1-_xlfn.XLOOKUP(_xlpm.site,_xlpm.locations,Base!$D$26:$BD$26,0,0),
_xlpm.Customer*_xlpm.hours*_xlpm.collection*(52/12))</f>
        <v>0</v>
      </c>
      <c r="F23" s="52">
        <v>0</v>
      </c>
      <c r="G23" s="52">
        <v>0</v>
      </c>
      <c r="H23" s="52">
        <v>0</v>
      </c>
      <c r="I23" s="52">
        <v>0</v>
      </c>
      <c r="J23" s="52">
        <v>0</v>
      </c>
      <c r="K23" s="52">
        <v>0</v>
      </c>
      <c r="L23" s="52">
        <v>0</v>
      </c>
      <c r="M23" s="52">
        <v>0</v>
      </c>
      <c r="N23" s="52">
        <v>0</v>
      </c>
      <c r="O23" s="52">
        <v>0</v>
      </c>
      <c r="P23" s="52">
        <v>0</v>
      </c>
      <c r="Q23" s="52">
        <v>0</v>
      </c>
      <c r="R23" s="52">
        <v>0</v>
      </c>
      <c r="S23" s="52">
        <v>0</v>
      </c>
      <c r="T23" s="52">
        <v>0</v>
      </c>
      <c r="U23" s="52">
        <v>0</v>
      </c>
      <c r="V23" s="52">
        <v>0</v>
      </c>
      <c r="W23" s="52">
        <v>0</v>
      </c>
      <c r="X23" s="52">
        <v>0</v>
      </c>
      <c r="Y23" s="52">
        <v>0</v>
      </c>
      <c r="Z23" s="52">
        <v>0</v>
      </c>
      <c r="AA23" s="52">
        <v>0</v>
      </c>
      <c r="AB23" s="52">
        <v>0</v>
      </c>
      <c r="AC23" s="52">
        <v>0</v>
      </c>
      <c r="AD23" s="52">
        <v>0</v>
      </c>
      <c r="AE23" s="52">
        <v>0</v>
      </c>
      <c r="AF23" s="52">
        <v>0</v>
      </c>
      <c r="AG23" s="52">
        <v>0</v>
      </c>
      <c r="AH23" s="52">
        <v>0</v>
      </c>
      <c r="AI23" s="52">
        <v>0</v>
      </c>
      <c r="AJ23" s="52">
        <v>0</v>
      </c>
      <c r="AK23" s="52">
        <v>51.626666666666658</v>
      </c>
      <c r="AL23" s="52">
        <v>154.88</v>
      </c>
      <c r="AM23" s="52">
        <v>258.13333333333333</v>
      </c>
      <c r="AN23" s="52">
        <v>309.76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21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_xlfn.LET(_xlpm.site,$B$1&amp;"-"&amp;$C$1,_xlpm.locations,Base!$D$4:$BD$4,_xlpm.rates,Base!$D31:$BD31,_xlpm.hours,Base!$D74:$BD74,_xlpm.comp,_xlpm.rates*_xlpm.hours,_xlpm.Customer,_xlfn.ANCHORARRAY($E$1),
_xlpm.Customer_comp,_xlfn.XLOOKUP(_xlpm.site,_xlpm.locations,_xlpm.comp,0,0),_xlpm.ann_incr,_xlfn.XLOOKUP(YEAR(_xlfn.ANCHORARRAY($E$25)),Base!$BJ$4:$BL$4,Base!$BJ74:$BL74,0,0),
_xlpm.bad_debt,_xlfn.XLOOKUP(_xlpm.site,_xlpm.locations,Base!$D$28:$BD$28,0,0),_xlpm.Customer_comp*_xlpm.Customer*_xlpm.bad_debt*_xlpm.ann_incr*(52/12))</f>
        <v>0</v>
      </c>
      <c r="F26" s="12">
        <v>0</v>
      </c>
      <c r="G26" s="12">
        <v>0</v>
      </c>
      <c r="H26" s="12">
        <v>0</v>
      </c>
      <c r="I26" s="12">
        <v>0</v>
      </c>
      <c r="J26" s="12">
        <v>0</v>
      </c>
      <c r="K26" s="12">
        <v>0</v>
      </c>
      <c r="L26" s="12">
        <v>0</v>
      </c>
      <c r="M26" s="12">
        <v>0</v>
      </c>
      <c r="N26" s="12">
        <v>0</v>
      </c>
      <c r="O26" s="12">
        <v>0</v>
      </c>
      <c r="P26" s="12">
        <v>0</v>
      </c>
      <c r="Q26" s="12">
        <v>0</v>
      </c>
      <c r="R26" s="12">
        <v>0</v>
      </c>
      <c r="S26" s="12">
        <v>0</v>
      </c>
      <c r="T26" s="12">
        <v>0</v>
      </c>
      <c r="U26" s="12">
        <v>0</v>
      </c>
      <c r="V26" s="12">
        <v>0</v>
      </c>
      <c r="W26" s="12">
        <v>0</v>
      </c>
      <c r="X26" s="12">
        <v>0</v>
      </c>
      <c r="Y26" s="12">
        <v>0</v>
      </c>
      <c r="Z26" s="12">
        <v>0</v>
      </c>
      <c r="AA26" s="12">
        <v>0</v>
      </c>
      <c r="AB26" s="12">
        <v>0</v>
      </c>
      <c r="AC26" s="12">
        <v>0</v>
      </c>
      <c r="AD26" s="12">
        <v>0</v>
      </c>
      <c r="AE26" s="12">
        <v>0</v>
      </c>
      <c r="AF26" s="12">
        <v>0</v>
      </c>
      <c r="AG26" s="12">
        <v>0</v>
      </c>
      <c r="AH26" s="12">
        <v>0</v>
      </c>
      <c r="AI26" s="12">
        <v>0</v>
      </c>
      <c r="AJ26" s="12">
        <v>0</v>
      </c>
      <c r="AK26" s="12">
        <v>8154.019033333333</v>
      </c>
      <c r="AL26" s="12">
        <v>24462.057099999998</v>
      </c>
      <c r="AM26" s="12">
        <v>40770.095166666659</v>
      </c>
      <c r="AN26" s="12">
        <v>48924.114199999996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_xlfn.LET(_xlpm.site,$B$1&amp;"-"&amp;$C$1,_xlpm.locations,Base!$D$4:$BD$4,_xlpm.rates,Base!$D32:$BD32,_xlpm.hours,Base!$D75:$BD75,_xlpm.comp,_xlpm.rates*_xlpm.hours,_xlpm.Customer,_xlfn.ANCHORARRAY($E$1),
_xlpm.Customer_comp,_xlfn.XLOOKUP(_xlpm.site,_xlpm.locations,_xlpm.comp,0,0),_xlpm.ann_incr,_xlfn.XLOOKUP(YEAR(_xlfn.ANCHORARRAY($E$25)),Base!$BJ$4:$BL$4,Base!$BJ75:$BL75,0,0),
_xlpm.bad_debt,_xlfn.XLOOKUP(_xlpm.site,_xlpm.locations,Base!$D$28:$BD$28,0,0),_xlpm.Customer_comp*_xlpm.Customer*_xlpm.bad_debt*_xlpm.ann_incr*(52/12))</f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12">
        <v>0</v>
      </c>
      <c r="AA27" s="12">
        <v>0</v>
      </c>
      <c r="AB27" s="12">
        <v>0</v>
      </c>
      <c r="AC27" s="12">
        <v>0</v>
      </c>
      <c r="AD27" s="12">
        <v>0</v>
      </c>
      <c r="AE27" s="12">
        <v>0</v>
      </c>
      <c r="AF27" s="12">
        <v>0</v>
      </c>
      <c r="AG27" s="12">
        <v>0</v>
      </c>
      <c r="AH27" s="12">
        <v>0</v>
      </c>
      <c r="AI27" s="12">
        <v>0</v>
      </c>
      <c r="AJ27" s="12">
        <v>0</v>
      </c>
      <c r="AK27" s="12">
        <v>0</v>
      </c>
      <c r="AL27" s="12">
        <v>0</v>
      </c>
      <c r="AM27" s="12">
        <v>0</v>
      </c>
      <c r="AN27" s="12">
        <v>0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_xlfn.LET(_xlpm.site,$B$1&amp;"-"&amp;$C$1,_xlpm.locations,Base!$D$4:$BD$4,_xlpm.rates,Base!$D33:$BD33,_xlpm.hours,Base!$D76:$BD76,_xlpm.comp,_xlpm.rates*_xlpm.hours,_xlpm.Customer,_xlfn.ANCHORARRAY($E$1),
_xlpm.Customer_comp,_xlfn.XLOOKUP(_xlpm.site,_xlpm.locations,_xlpm.comp,0,0),_xlpm.ann_incr,_xlfn.XLOOKUP(YEAR(_xlfn.ANCHORARRAY($E$25)),Base!$BJ$4:$BL$4,Base!$BJ76:$BL76,0,0),
_xlpm.bad_debt,_xlfn.XLOOKUP(_xlpm.site,_xlpm.locations,Base!$D$28:$BD$28,0,0),_xlpm.Customer_comp*_xlpm.Customer*_xlpm.bad_debt*_xlpm.ann_incr*(52/12))</f>
        <v>0</v>
      </c>
      <c r="F28" s="12">
        <v>0</v>
      </c>
      <c r="G28" s="12">
        <v>0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0</v>
      </c>
      <c r="N28" s="12">
        <v>0</v>
      </c>
      <c r="O28" s="12">
        <v>0</v>
      </c>
      <c r="P28" s="12">
        <v>0</v>
      </c>
      <c r="Q28" s="12">
        <v>0</v>
      </c>
      <c r="R28" s="12">
        <v>0</v>
      </c>
      <c r="S28" s="12">
        <v>0</v>
      </c>
      <c r="T28" s="12">
        <v>0</v>
      </c>
      <c r="U28" s="12">
        <v>0</v>
      </c>
      <c r="V28" s="12">
        <v>0</v>
      </c>
      <c r="W28" s="12">
        <v>0</v>
      </c>
      <c r="X28" s="12">
        <v>0</v>
      </c>
      <c r="Y28" s="12">
        <v>0</v>
      </c>
      <c r="Z28" s="12">
        <v>0</v>
      </c>
      <c r="AA28" s="12">
        <v>0</v>
      </c>
      <c r="AB28" s="12">
        <v>0</v>
      </c>
      <c r="AC28" s="12">
        <v>0</v>
      </c>
      <c r="AD28" s="12">
        <v>0</v>
      </c>
      <c r="AE28" s="12">
        <v>0</v>
      </c>
      <c r="AF28" s="12">
        <v>0</v>
      </c>
      <c r="AG28" s="12">
        <v>0</v>
      </c>
      <c r="AH28" s="12">
        <v>0</v>
      </c>
      <c r="AI28" s="12">
        <v>0</v>
      </c>
      <c r="AJ28" s="12">
        <v>0</v>
      </c>
      <c r="AK28" s="12">
        <v>1086.8529099999998</v>
      </c>
      <c r="AL28" s="12">
        <v>3260.5587299999988</v>
      </c>
      <c r="AM28" s="12">
        <v>5434.2645499999981</v>
      </c>
      <c r="AN28" s="12">
        <v>6521.1174599999977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_xlfn.LET(_xlpm.site,$B$1&amp;"-"&amp;$C$1,_xlpm.locations,Base!$D$4:$BD$4,_xlpm.rates,Base!$D34:$BD34,_xlpm.hours,Base!$D77:$BD77,_xlpm.comp,_xlpm.rates*_xlpm.hours,_xlpm.Customer,_xlfn.ANCHORARRAY($E$1),
_xlpm.Customer_comp,_xlfn.XLOOKUP(_xlpm.site,_xlpm.locations,_xlpm.comp,0,0),_xlpm.ann_incr,_xlfn.XLOOKUP(YEAR(_xlfn.ANCHORARRAY($E$25)),Base!$BJ$4:$BL$4,Base!$BJ77:$BL77,0,0),
_xlpm.bad_debt,_xlfn.XLOOKUP(_xlpm.site,_xlpm.locations,Base!$D$28:$BD$28,0,0),_xlpm.Customer_comp*_xlpm.Customer*_xlpm.bad_debt*_xlpm.ann_incr*(52/12))</f>
        <v>0</v>
      </c>
      <c r="F29" s="12">
        <v>0</v>
      </c>
      <c r="G29" s="12">
        <v>0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0</v>
      </c>
      <c r="N29" s="12">
        <v>0</v>
      </c>
      <c r="O29" s="12">
        <v>0</v>
      </c>
      <c r="P29" s="12">
        <v>0</v>
      </c>
      <c r="Q29" s="12">
        <v>0</v>
      </c>
      <c r="R29" s="12">
        <v>0</v>
      </c>
      <c r="S29" s="12">
        <v>0</v>
      </c>
      <c r="T29" s="12">
        <v>0</v>
      </c>
      <c r="U29" s="12">
        <v>0</v>
      </c>
      <c r="V29" s="12">
        <v>0</v>
      </c>
      <c r="W29" s="12">
        <v>0</v>
      </c>
      <c r="X29" s="12">
        <v>0</v>
      </c>
      <c r="Y29" s="12">
        <v>0</v>
      </c>
      <c r="Z29" s="12">
        <v>0</v>
      </c>
      <c r="AA29" s="12">
        <v>0</v>
      </c>
      <c r="AB29" s="12">
        <v>0</v>
      </c>
      <c r="AC29" s="12">
        <v>0</v>
      </c>
      <c r="AD29" s="12">
        <v>0</v>
      </c>
      <c r="AE29" s="12">
        <v>0</v>
      </c>
      <c r="AF29" s="12">
        <v>0</v>
      </c>
      <c r="AG29" s="12">
        <v>0</v>
      </c>
      <c r="AH29" s="12">
        <v>0</v>
      </c>
      <c r="AI29" s="12">
        <v>0</v>
      </c>
      <c r="AJ29" s="12">
        <v>0</v>
      </c>
      <c r="AK29" s="12">
        <v>167.20813999999999</v>
      </c>
      <c r="AL29" s="12">
        <v>501.62441999999999</v>
      </c>
      <c r="AM29" s="12">
        <v>836.04070000000002</v>
      </c>
      <c r="AN29" s="12">
        <v>1003.24884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_xlfn.LET(_xlpm.site,$B$1&amp;"-"&amp;$C$1,_xlpm.locations,Base!$D$4:$BD$4,_xlpm.rates,Base!$D35:$BD35,_xlpm.hours,Base!$D78:$BD78,_xlpm.comp,_xlpm.rates*_xlpm.hours,_xlpm.Customer,_xlfn.ANCHORARRAY($E$1),
_xlpm.Customer_comp,_xlfn.XLOOKUP(_xlpm.site,_xlpm.locations,_xlpm.comp,0,0),_xlpm.ann_incr,_xlfn.XLOOKUP(YEAR(_xlfn.ANCHORARRAY($E$25)),Base!$BJ$4:$BL$4,Base!$BJ78:$BL78,0,0),
_xlpm.bad_debt,_xlfn.XLOOKUP(_xlpm.site,_xlpm.locations,Base!$D$28:$BD$28,0,0),_xlpm.Customer_comp*_xlpm.Customer*_xlpm.bad_debt*_xlpm.ann_incr*(52/12))</f>
        <v>0</v>
      </c>
      <c r="F30" s="12">
        <v>0</v>
      </c>
      <c r="G30" s="12">
        <v>0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0</v>
      </c>
      <c r="N30" s="12">
        <v>0</v>
      </c>
      <c r="O30" s="12">
        <v>0</v>
      </c>
      <c r="P30" s="12">
        <v>0</v>
      </c>
      <c r="Q30" s="12">
        <v>0</v>
      </c>
      <c r="R30" s="12">
        <v>0</v>
      </c>
      <c r="S30" s="12">
        <v>0</v>
      </c>
      <c r="T30" s="12">
        <v>0</v>
      </c>
      <c r="U30" s="12">
        <v>0</v>
      </c>
      <c r="V30" s="12">
        <v>0</v>
      </c>
      <c r="W30" s="12">
        <v>0</v>
      </c>
      <c r="X30" s="12">
        <v>0</v>
      </c>
      <c r="Y30" s="12">
        <v>0</v>
      </c>
      <c r="Z30" s="12">
        <v>0</v>
      </c>
      <c r="AA30" s="12">
        <v>0</v>
      </c>
      <c r="AB30" s="12">
        <v>0</v>
      </c>
      <c r="AC30" s="12">
        <v>0</v>
      </c>
      <c r="AD30" s="12">
        <v>0</v>
      </c>
      <c r="AE30" s="12">
        <v>0</v>
      </c>
      <c r="AF30" s="12">
        <v>0</v>
      </c>
      <c r="AG30" s="12">
        <v>0</v>
      </c>
      <c r="AH30" s="12">
        <v>0</v>
      </c>
      <c r="AI30" s="12">
        <v>0</v>
      </c>
      <c r="AJ30" s="12">
        <v>0</v>
      </c>
      <c r="AK30" s="12">
        <v>218.1677333333333</v>
      </c>
      <c r="AL30" s="12">
        <v>654.50319999999988</v>
      </c>
      <c r="AM30" s="12">
        <v>1090.8386666666665</v>
      </c>
      <c r="AN30" s="12">
        <v>1309.0063999999998</v>
      </c>
    </row>
    <row r="31" spans="2:50" x14ac:dyDescent="0.25">
      <c r="B31" s="39" t="str">
        <f>Base!B36</f>
        <v>Tertiary Direct Staff - Service A</v>
      </c>
      <c r="C31" s="4"/>
      <c r="E31" s="183" cm="1">
        <f t="array" ref="E31:AN31">_xlfn.LET(_xlpm.site,$B$1&amp;"-"&amp;$C$1,_xlpm.locations,Base!$D$4:$BD$4,_xlpm.rates,Base!$D36:$BD36,_xlpm.hours,Base!$D79:$BD79,_xlpm.comp,_xlpm.rates*_xlpm.hours,_xlpm.Customer,_xlfn.ANCHORARRAY($E$1)*0,
_xlpm.Customer_comp,_xlfn.XLOOKUP(_xlpm.site,_xlpm.locations,_xlpm.comp,0,0),_xlpm.ann_incr,_xlfn.XLOOKUP(YEAR(_xlfn.ANCHORARRAY($E$25)),Base!$BJ$4:$BL$4,Base!$BJ79:$BL79,0,0),
_xlpm.bad_debt,_xlfn.XLOOKUP(_xlpm.site,_xlpm.locations,Base!$D$28:$BD$28,0,0),_xlpm.Customer_comp*_xlpm.Customer*_xlpm.bad_debt*_xlpm.ann_incr*(52/12))</f>
        <v>0</v>
      </c>
      <c r="F31" s="183">
        <v>0</v>
      </c>
      <c r="G31" s="183">
        <v>0</v>
      </c>
      <c r="H31" s="183">
        <v>0</v>
      </c>
      <c r="I31" s="183">
        <v>0</v>
      </c>
      <c r="J31" s="183">
        <v>0</v>
      </c>
      <c r="K31" s="183">
        <v>0</v>
      </c>
      <c r="L31" s="183">
        <v>0</v>
      </c>
      <c r="M31" s="183">
        <v>0</v>
      </c>
      <c r="N31" s="183">
        <v>0</v>
      </c>
      <c r="O31" s="183">
        <v>0</v>
      </c>
      <c r="P31" s="183">
        <v>0</v>
      </c>
      <c r="Q31" s="183">
        <v>0</v>
      </c>
      <c r="R31" s="183">
        <v>0</v>
      </c>
      <c r="S31" s="183">
        <v>0</v>
      </c>
      <c r="T31" s="183">
        <v>0</v>
      </c>
      <c r="U31" s="183">
        <v>0</v>
      </c>
      <c r="V31" s="183">
        <v>0</v>
      </c>
      <c r="W31" s="183">
        <v>0</v>
      </c>
      <c r="X31" s="183">
        <v>0</v>
      </c>
      <c r="Y31" s="183">
        <v>0</v>
      </c>
      <c r="Z31" s="183">
        <v>0</v>
      </c>
      <c r="AA31" s="183">
        <v>0</v>
      </c>
      <c r="AB31" s="183">
        <v>0</v>
      </c>
      <c r="AC31" s="183">
        <v>0</v>
      </c>
      <c r="AD31" s="183">
        <v>0</v>
      </c>
      <c r="AE31" s="183">
        <v>0</v>
      </c>
      <c r="AF31" s="183">
        <v>0</v>
      </c>
      <c r="AG31" s="183">
        <v>0</v>
      </c>
      <c r="AH31" s="183">
        <v>0</v>
      </c>
      <c r="AI31" s="183">
        <v>0</v>
      </c>
      <c r="AJ31" s="183">
        <v>0</v>
      </c>
      <c r="AK31" s="183">
        <v>0</v>
      </c>
      <c r="AL31" s="183">
        <v>0</v>
      </c>
      <c r="AM31" s="183">
        <v>0</v>
      </c>
      <c r="AN31" s="183">
        <v>0</v>
      </c>
    </row>
    <row r="32" spans="2:50" x14ac:dyDescent="0.25">
      <c r="B32" s="39" t="str">
        <f>Base!B37</f>
        <v>Tertiary Direct Staff - Service B</v>
      </c>
      <c r="C32" s="4"/>
      <c r="E32" s="183" cm="1">
        <f t="array" ref="E32:AN32">_xlfn.LET(_xlpm.site,$B$1&amp;"-"&amp;$C$1,_xlpm.locations,Base!$D$4:$BD$4,_xlpm.rates,Base!$D37:$BD37,_xlpm.hours,Base!$D80:$BD80,_xlpm.comp,_xlpm.rates*_xlpm.hours,_xlpm.Customer,_xlfn.ANCHORARRAY($E$1)*0,
_xlpm.Customer_comp,_xlfn.XLOOKUP(_xlpm.site,_xlpm.locations,_xlpm.comp,0,0),_xlpm.ann_incr,_xlfn.XLOOKUP(YEAR(_xlfn.ANCHORARRAY($E$25)),Base!$BJ$4:$BL$4,Base!$BJ80:$BL80,0,0),
_xlpm.bad_debt,_xlfn.XLOOKUP(_xlpm.site,_xlpm.locations,Base!$D$28:$BD$28,0,0),_xlpm.Customer_comp*_xlpm.Customer*_xlpm.bad_debt*_xlpm.ann_incr*(52/12))</f>
        <v>0</v>
      </c>
      <c r="F32" s="183">
        <v>0</v>
      </c>
      <c r="G32" s="183">
        <v>0</v>
      </c>
      <c r="H32" s="183">
        <v>0</v>
      </c>
      <c r="I32" s="183">
        <v>0</v>
      </c>
      <c r="J32" s="183">
        <v>0</v>
      </c>
      <c r="K32" s="183">
        <v>0</v>
      </c>
      <c r="L32" s="183">
        <v>0</v>
      </c>
      <c r="M32" s="183">
        <v>0</v>
      </c>
      <c r="N32" s="183">
        <v>0</v>
      </c>
      <c r="O32" s="183">
        <v>0</v>
      </c>
      <c r="P32" s="183">
        <v>0</v>
      </c>
      <c r="Q32" s="183">
        <v>0</v>
      </c>
      <c r="R32" s="183">
        <v>0</v>
      </c>
      <c r="S32" s="183">
        <v>0</v>
      </c>
      <c r="T32" s="183">
        <v>0</v>
      </c>
      <c r="U32" s="183">
        <v>0</v>
      </c>
      <c r="V32" s="183">
        <v>0</v>
      </c>
      <c r="W32" s="183">
        <v>0</v>
      </c>
      <c r="X32" s="183">
        <v>0</v>
      </c>
      <c r="Y32" s="183">
        <v>0</v>
      </c>
      <c r="Z32" s="183">
        <v>0</v>
      </c>
      <c r="AA32" s="183">
        <v>0</v>
      </c>
      <c r="AB32" s="183">
        <v>0</v>
      </c>
      <c r="AC32" s="183">
        <v>0</v>
      </c>
      <c r="AD32" s="183">
        <v>0</v>
      </c>
      <c r="AE32" s="183">
        <v>0</v>
      </c>
      <c r="AF32" s="183">
        <v>0</v>
      </c>
      <c r="AG32" s="183">
        <v>0</v>
      </c>
      <c r="AH32" s="183">
        <v>0</v>
      </c>
      <c r="AI32" s="183">
        <v>0</v>
      </c>
      <c r="AJ32" s="183">
        <v>0</v>
      </c>
      <c r="AK32" s="183">
        <v>0</v>
      </c>
      <c r="AL32" s="183">
        <v>0</v>
      </c>
      <c r="AM32" s="183">
        <v>0</v>
      </c>
      <c r="AN32" s="183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_xlpm.Customer,_xlfn.ANCHORARRAY($E$2),_xlpm.ann_incr,_xlfn.XLOOKUP(YEAR(_xlfn.ANCHORARRAY($E$25)),Base!$BJ$4:$BL$4,Base!$BJ$81:$BL$81,0,0),
_xlpm.bad_debt,_xlfn.XLOOKUP(_xlpm.site,_xlpm.locations,Base!$D$28:$BD$28,0,0),
_xlpm.comp*_xlpm.bad_debt*_xlpm.ann_incr*(52/12))</f>
        <v>0</v>
      </c>
      <c r="F33" s="12">
        <v>0</v>
      </c>
      <c r="G33" s="12">
        <v>0</v>
      </c>
      <c r="H33" s="12">
        <v>0</v>
      </c>
      <c r="I33" s="12">
        <v>0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2">
        <v>0</v>
      </c>
      <c r="Y33" s="12">
        <v>0</v>
      </c>
      <c r="Z33" s="12">
        <v>0</v>
      </c>
      <c r="AA33" s="12">
        <v>0</v>
      </c>
      <c r="AB33" s="12">
        <v>0</v>
      </c>
      <c r="AC33" s="12">
        <v>0</v>
      </c>
      <c r="AD33" s="12">
        <v>0</v>
      </c>
      <c r="AE33" s="12">
        <v>0</v>
      </c>
      <c r="AF33" s="12">
        <v>0</v>
      </c>
      <c r="AG33" s="12">
        <v>0</v>
      </c>
      <c r="AH33" s="12">
        <v>0</v>
      </c>
      <c r="AI33" s="12">
        <v>0</v>
      </c>
      <c r="AJ33" s="12">
        <v>0</v>
      </c>
      <c r="AK33" s="12">
        <v>0</v>
      </c>
      <c r="AL33" s="12">
        <v>0</v>
      </c>
      <c r="AM33" s="12">
        <v>0</v>
      </c>
      <c r="AN33" s="12">
        <v>0</v>
      </c>
    </row>
    <row r="34" spans="2:40" x14ac:dyDescent="0.25">
      <c r="B34" s="39" t="str">
        <f>Base!B39</f>
        <v>Quinary Direct Staff - Service A</v>
      </c>
      <c r="C34" s="4"/>
      <c r="E34" s="183" cm="1">
        <f t="array" ref="E34:AN34">_xlfn.LET(_xlpm.site,$B$1&amp;"-"&amp;$C$1,_xlpm.locations,Base!$D$4:$BD$4,_xlpm.rates,Base!$D39:$BD39,_xlpm.hours,Base!$D82:$BD82,_xlpm.comp,_xlpm.rates*_xlpm.hours,_xlpm.Customer,_xlfn.ANCHORARRAY($E$1)*0,
_xlpm.Customer_comp,_xlfn.XLOOKUP(_xlpm.site,_xlpm.locations,_xlpm.comp,0,0),_xlpm.ann_incr,_xlfn.XLOOKUP(YEAR(_xlfn.ANCHORARRAY($E$25)),Base!$BJ$4:$BL$4,Base!$BJ82:$BL82,0,0),
_xlpm.bad_debt,_xlfn.XLOOKUP(_xlpm.site,_xlpm.locations,Base!$D$28:$BD$28,0,0),_xlpm.Customer_comp*_xlpm.Customer*_xlpm.bad_debt*_xlpm.ann_incr*(52/12))</f>
        <v>0</v>
      </c>
      <c r="F34" s="183">
        <v>0</v>
      </c>
      <c r="G34" s="183">
        <v>0</v>
      </c>
      <c r="H34" s="183">
        <v>0</v>
      </c>
      <c r="I34" s="183">
        <v>0</v>
      </c>
      <c r="J34" s="183">
        <v>0</v>
      </c>
      <c r="K34" s="183">
        <v>0</v>
      </c>
      <c r="L34" s="183">
        <v>0</v>
      </c>
      <c r="M34" s="183">
        <v>0</v>
      </c>
      <c r="N34" s="183">
        <v>0</v>
      </c>
      <c r="O34" s="183">
        <v>0</v>
      </c>
      <c r="P34" s="183">
        <v>0</v>
      </c>
      <c r="Q34" s="183">
        <v>0</v>
      </c>
      <c r="R34" s="183">
        <v>0</v>
      </c>
      <c r="S34" s="183">
        <v>0</v>
      </c>
      <c r="T34" s="183">
        <v>0</v>
      </c>
      <c r="U34" s="183">
        <v>0</v>
      </c>
      <c r="V34" s="183">
        <v>0</v>
      </c>
      <c r="W34" s="183">
        <v>0</v>
      </c>
      <c r="X34" s="183">
        <v>0</v>
      </c>
      <c r="Y34" s="183">
        <v>0</v>
      </c>
      <c r="Z34" s="183">
        <v>0</v>
      </c>
      <c r="AA34" s="183">
        <v>0</v>
      </c>
      <c r="AB34" s="183">
        <v>0</v>
      </c>
      <c r="AC34" s="183">
        <v>0</v>
      </c>
      <c r="AD34" s="183">
        <v>0</v>
      </c>
      <c r="AE34" s="183">
        <v>0</v>
      </c>
      <c r="AF34" s="183">
        <v>0</v>
      </c>
      <c r="AG34" s="183">
        <v>0</v>
      </c>
      <c r="AH34" s="183">
        <v>0</v>
      </c>
      <c r="AI34" s="183">
        <v>0</v>
      </c>
      <c r="AJ34" s="183">
        <v>0</v>
      </c>
      <c r="AK34" s="183">
        <v>0</v>
      </c>
      <c r="AL34" s="183">
        <v>0</v>
      </c>
      <c r="AM34" s="183">
        <v>0</v>
      </c>
      <c r="AN34" s="183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0</v>
      </c>
      <c r="F35" s="12">
        <v>0</v>
      </c>
      <c r="G35" s="12">
        <v>0</v>
      </c>
      <c r="H35" s="12">
        <v>0</v>
      </c>
      <c r="I35" s="12">
        <v>0</v>
      </c>
      <c r="J35" s="12">
        <v>0</v>
      </c>
      <c r="K35" s="12">
        <v>0</v>
      </c>
      <c r="L35" s="12">
        <v>0</v>
      </c>
      <c r="M35" s="12">
        <v>0</v>
      </c>
      <c r="N35" s="12">
        <v>0</v>
      </c>
      <c r="O35" s="12">
        <v>0</v>
      </c>
      <c r="P35" s="12">
        <v>0</v>
      </c>
      <c r="Q35" s="12">
        <v>0</v>
      </c>
      <c r="R35" s="12">
        <v>0</v>
      </c>
      <c r="S35" s="12">
        <v>0</v>
      </c>
      <c r="T35" s="12">
        <v>0</v>
      </c>
      <c r="U35" s="12">
        <v>0</v>
      </c>
      <c r="V35" s="12">
        <v>0</v>
      </c>
      <c r="W35" s="12">
        <v>0</v>
      </c>
      <c r="X35" s="12">
        <v>0</v>
      </c>
      <c r="Y35" s="12">
        <v>0</v>
      </c>
      <c r="Z35" s="12">
        <v>0</v>
      </c>
      <c r="AA35" s="12">
        <v>0</v>
      </c>
      <c r="AB35" s="12">
        <v>0</v>
      </c>
      <c r="AC35" s="12">
        <v>0</v>
      </c>
      <c r="AD35" s="12">
        <v>0</v>
      </c>
      <c r="AE35" s="12">
        <v>0</v>
      </c>
      <c r="AF35" s="12">
        <v>0</v>
      </c>
      <c r="AG35" s="12">
        <v>0</v>
      </c>
      <c r="AH35" s="12">
        <v>0</v>
      </c>
      <c r="AI35" s="12">
        <v>0</v>
      </c>
      <c r="AJ35" s="12">
        <v>0</v>
      </c>
      <c r="AK35" s="12">
        <v>-1155.1497380000001</v>
      </c>
      <c r="AL35" s="12">
        <v>-3465.4492139999993</v>
      </c>
      <c r="AM35" s="12">
        <v>-5775.7486899999985</v>
      </c>
      <c r="AN35" s="12">
        <v>-6930.8984279999986</v>
      </c>
    </row>
    <row r="36" spans="2:40" x14ac:dyDescent="0.25">
      <c r="B36" s="39" t="s">
        <v>261</v>
      </c>
      <c r="C36" s="15"/>
      <c r="E36" s="183" cm="1">
        <f t="array" ref="E36:AN36">_xlfn.BYCOL(_xlfn.ANCHORARRAY($E$25),_xlfn.LAMBDA(_xlpm.a,0))</f>
        <v>0</v>
      </c>
      <c r="F36" s="183">
        <v>0</v>
      </c>
      <c r="G36" s="183">
        <v>0</v>
      </c>
      <c r="H36" s="183">
        <v>0</v>
      </c>
      <c r="I36" s="183">
        <v>0</v>
      </c>
      <c r="J36" s="183">
        <v>0</v>
      </c>
      <c r="K36" s="183">
        <v>0</v>
      </c>
      <c r="L36" s="183">
        <v>0</v>
      </c>
      <c r="M36" s="183">
        <v>0</v>
      </c>
      <c r="N36" s="183">
        <v>0</v>
      </c>
      <c r="O36" s="183">
        <v>0</v>
      </c>
      <c r="P36" s="183">
        <v>0</v>
      </c>
      <c r="Q36" s="183">
        <v>0</v>
      </c>
      <c r="R36" s="183">
        <v>0</v>
      </c>
      <c r="S36" s="183">
        <v>0</v>
      </c>
      <c r="T36" s="183">
        <v>0</v>
      </c>
      <c r="U36" s="183">
        <v>0</v>
      </c>
      <c r="V36" s="183">
        <v>0</v>
      </c>
      <c r="W36" s="183">
        <v>0</v>
      </c>
      <c r="X36" s="183">
        <v>0</v>
      </c>
      <c r="Y36" s="183">
        <v>0</v>
      </c>
      <c r="Z36" s="183">
        <v>0</v>
      </c>
      <c r="AA36" s="183">
        <v>0</v>
      </c>
      <c r="AB36" s="183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271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0</v>
      </c>
      <c r="S37" s="13">
        <v>0</v>
      </c>
      <c r="T37" s="13">
        <v>0</v>
      </c>
      <c r="U37" s="13">
        <v>0</v>
      </c>
      <c r="V37" s="13">
        <v>0</v>
      </c>
      <c r="W37" s="13">
        <v>0</v>
      </c>
      <c r="X37" s="13">
        <v>0</v>
      </c>
      <c r="Y37" s="13">
        <v>0</v>
      </c>
      <c r="Z37" s="13">
        <v>0</v>
      </c>
      <c r="AA37" s="13">
        <v>0</v>
      </c>
      <c r="AB37" s="13">
        <v>0</v>
      </c>
      <c r="AC37" s="13">
        <v>0</v>
      </c>
      <c r="AD37" s="13">
        <v>0</v>
      </c>
      <c r="AE37" s="13">
        <v>0</v>
      </c>
      <c r="AF37" s="13">
        <v>0</v>
      </c>
      <c r="AG37" s="13">
        <v>0</v>
      </c>
      <c r="AH37" s="13">
        <v>0</v>
      </c>
      <c r="AI37" s="13">
        <v>0</v>
      </c>
      <c r="AJ37" s="13">
        <v>0</v>
      </c>
      <c r="AK37" s="13">
        <v>8471.0980786666678</v>
      </c>
      <c r="AL37" s="13">
        <v>25413.294235999994</v>
      </c>
      <c r="AM37" s="13">
        <v>42355.490393333319</v>
      </c>
      <c r="AN37" s="13">
        <v>50826.588471999989</v>
      </c>
    </row>
    <row r="38" spans="2:40" x14ac:dyDescent="0.25">
      <c r="E38" s="67"/>
      <c r="F38" s="67"/>
    </row>
    <row r="39" spans="2:40" x14ac:dyDescent="0.25">
      <c r="B39" s="1" t="s">
        <v>118</v>
      </c>
    </row>
    <row r="40" spans="2:40" x14ac:dyDescent="0.25">
      <c r="B40" s="39" t="s">
        <v>23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0</v>
      </c>
      <c r="F40" s="12">
        <v>0</v>
      </c>
      <c r="G40" s="12">
        <v>0</v>
      </c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0</v>
      </c>
      <c r="N40" s="12">
        <v>0</v>
      </c>
      <c r="O40" s="12">
        <v>0</v>
      </c>
      <c r="P40" s="12">
        <v>0</v>
      </c>
      <c r="Q40" s="12">
        <v>0</v>
      </c>
      <c r="R40" s="12">
        <v>0</v>
      </c>
      <c r="S40" s="12">
        <v>0</v>
      </c>
      <c r="T40" s="12">
        <v>0</v>
      </c>
      <c r="U40" s="12">
        <v>0</v>
      </c>
      <c r="V40" s="12">
        <v>0</v>
      </c>
      <c r="W40" s="12">
        <v>0</v>
      </c>
      <c r="X40" s="12">
        <v>0</v>
      </c>
      <c r="Y40" s="12">
        <v>0</v>
      </c>
      <c r="Z40" s="12">
        <v>0</v>
      </c>
      <c r="AA40" s="12">
        <v>0</v>
      </c>
      <c r="AB40" s="12">
        <v>0</v>
      </c>
      <c r="AC40" s="12">
        <v>0</v>
      </c>
      <c r="AD40" s="12">
        <v>0</v>
      </c>
      <c r="AE40" s="12">
        <v>0</v>
      </c>
      <c r="AF40" s="12">
        <v>0</v>
      </c>
      <c r="AG40" s="12">
        <v>0</v>
      </c>
      <c r="AH40" s="12">
        <v>0</v>
      </c>
      <c r="AI40" s="12">
        <v>0</v>
      </c>
      <c r="AJ40" s="12">
        <v>0</v>
      </c>
      <c r="AK40" s="12">
        <v>14500.139038435716</v>
      </c>
      <c r="AL40" s="12">
        <v>30954.988849973819</v>
      </c>
      <c r="AM40" s="12">
        <v>35899.148994845244</v>
      </c>
      <c r="AN40" s="12">
        <v>38944.950567280961</v>
      </c>
    </row>
    <row r="41" spans="2:40" x14ac:dyDescent="0.25">
      <c r="B41" s="39" t="s">
        <v>388</v>
      </c>
      <c r="C41" s="142">
        <f>_xlfn.XLOOKUP($B$1&amp;"-"&amp;$C$1,Base!$D$4:$BD$4,Base!$D$12:$BD$12,0,0)</f>
        <v>0</v>
      </c>
      <c r="E41" s="183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28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0</v>
      </c>
      <c r="AJ42" s="12">
        <v>0</v>
      </c>
      <c r="AK42" s="12">
        <v>0</v>
      </c>
      <c r="AL42" s="12">
        <v>0</v>
      </c>
      <c r="AM42" s="12">
        <v>0</v>
      </c>
      <c r="AN42" s="12">
        <v>0</v>
      </c>
    </row>
    <row r="43" spans="2:40" x14ac:dyDescent="0.25">
      <c r="B43" s="39" t="s">
        <v>31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0</v>
      </c>
      <c r="X43" s="12">
        <v>0</v>
      </c>
      <c r="Y43" s="12">
        <v>0</v>
      </c>
      <c r="Z43" s="12">
        <v>0</v>
      </c>
      <c r="AA43" s="12">
        <v>0</v>
      </c>
      <c r="AB43" s="12">
        <v>0</v>
      </c>
      <c r="AC43" s="12">
        <v>0</v>
      </c>
      <c r="AD43" s="12">
        <v>0</v>
      </c>
      <c r="AE43" s="12">
        <v>0</v>
      </c>
      <c r="AF43" s="12">
        <v>0</v>
      </c>
      <c r="AG43" s="12">
        <v>0</v>
      </c>
      <c r="AH43" s="12">
        <v>0</v>
      </c>
      <c r="AI43" s="12">
        <v>0</v>
      </c>
      <c r="AJ43" s="12">
        <v>0</v>
      </c>
      <c r="AK43" s="12">
        <v>0</v>
      </c>
      <c r="AL43" s="12">
        <v>0</v>
      </c>
      <c r="AM43" s="12">
        <v>0</v>
      </c>
      <c r="AN43" s="12">
        <v>0</v>
      </c>
    </row>
    <row r="44" spans="2:40" x14ac:dyDescent="0.25">
      <c r="B44" s="39" t="s">
        <v>34</v>
      </c>
      <c r="C44" s="96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  <c r="O44" s="12">
        <v>0</v>
      </c>
      <c r="P44" s="12">
        <v>0</v>
      </c>
      <c r="Q44" s="12">
        <v>0</v>
      </c>
      <c r="R44" s="12">
        <v>0</v>
      </c>
      <c r="S44" s="12">
        <v>0</v>
      </c>
      <c r="T44" s="12">
        <v>0</v>
      </c>
      <c r="U44" s="12">
        <v>0</v>
      </c>
      <c r="V44" s="12">
        <v>0</v>
      </c>
      <c r="W44" s="12">
        <v>0</v>
      </c>
      <c r="X44" s="12">
        <v>0</v>
      </c>
      <c r="Y44" s="12">
        <v>0</v>
      </c>
      <c r="Z44" s="12">
        <v>0</v>
      </c>
      <c r="AA44" s="12">
        <v>0</v>
      </c>
      <c r="AB44" s="12">
        <v>0</v>
      </c>
      <c r="AC44" s="12">
        <v>0</v>
      </c>
      <c r="AD44" s="12">
        <v>0</v>
      </c>
      <c r="AE44" s="12">
        <v>0</v>
      </c>
      <c r="AF44" s="12">
        <v>0</v>
      </c>
      <c r="AG44" s="12">
        <v>0</v>
      </c>
      <c r="AH44" s="12">
        <v>0</v>
      </c>
      <c r="AI44" s="12">
        <v>0</v>
      </c>
      <c r="AJ44" s="12">
        <v>0</v>
      </c>
      <c r="AK44" s="12">
        <v>379.01167616000009</v>
      </c>
      <c r="AL44" s="12">
        <v>918.3744460800001</v>
      </c>
      <c r="AM44" s="12">
        <v>936.59616128000027</v>
      </c>
      <c r="AN44" s="12">
        <v>965.75090560000012</v>
      </c>
    </row>
    <row r="45" spans="2:40" x14ac:dyDescent="0.25">
      <c r="B45" s="39" t="s">
        <v>36</v>
      </c>
      <c r="C45" s="96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0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12">
        <v>0</v>
      </c>
      <c r="R45" s="12">
        <v>0</v>
      </c>
      <c r="S45" s="12">
        <v>0</v>
      </c>
      <c r="T45" s="12">
        <v>0</v>
      </c>
      <c r="U45" s="12">
        <v>0</v>
      </c>
      <c r="V45" s="12">
        <v>0</v>
      </c>
      <c r="W45" s="12">
        <v>0</v>
      </c>
      <c r="X45" s="12">
        <v>0</v>
      </c>
      <c r="Y45" s="12">
        <v>0</v>
      </c>
      <c r="Z45" s="12">
        <v>0</v>
      </c>
      <c r="AA45" s="12">
        <v>0</v>
      </c>
      <c r="AB45" s="12">
        <v>0</v>
      </c>
      <c r="AC45" s="12">
        <v>0</v>
      </c>
      <c r="AD45" s="12">
        <v>0</v>
      </c>
      <c r="AE45" s="12">
        <v>0</v>
      </c>
      <c r="AF45" s="12">
        <v>0</v>
      </c>
      <c r="AG45" s="12">
        <v>0</v>
      </c>
      <c r="AH45" s="12">
        <v>0</v>
      </c>
      <c r="AI45" s="12">
        <v>0</v>
      </c>
      <c r="AJ45" s="12">
        <v>0</v>
      </c>
      <c r="AK45" s="12">
        <v>0</v>
      </c>
      <c r="AL45" s="12">
        <v>0</v>
      </c>
      <c r="AM45" s="12">
        <v>0</v>
      </c>
      <c r="AN45" s="12">
        <v>0</v>
      </c>
    </row>
    <row r="46" spans="2:40" x14ac:dyDescent="0.25">
      <c r="B46" s="39" t="s">
        <v>38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0</v>
      </c>
      <c r="F46" s="12">
        <v>0</v>
      </c>
      <c r="G46" s="12">
        <v>0</v>
      </c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0</v>
      </c>
      <c r="N46" s="12">
        <v>0</v>
      </c>
      <c r="O46" s="12">
        <v>0</v>
      </c>
      <c r="P46" s="12">
        <v>0</v>
      </c>
      <c r="Q46" s="12">
        <v>0</v>
      </c>
      <c r="R46" s="12">
        <v>0</v>
      </c>
      <c r="S46" s="12">
        <v>0</v>
      </c>
      <c r="T46" s="12">
        <v>0</v>
      </c>
      <c r="U46" s="12">
        <v>0</v>
      </c>
      <c r="V46" s="12">
        <v>0</v>
      </c>
      <c r="W46" s="12">
        <v>0</v>
      </c>
      <c r="X46" s="12">
        <v>0</v>
      </c>
      <c r="Y46" s="12">
        <v>0</v>
      </c>
      <c r="Z46" s="12">
        <v>0</v>
      </c>
      <c r="AA46" s="12">
        <v>0</v>
      </c>
      <c r="AB46" s="12">
        <v>0</v>
      </c>
      <c r="AC46" s="12">
        <v>0</v>
      </c>
      <c r="AD46" s="12">
        <v>0</v>
      </c>
      <c r="AE46" s="12">
        <v>0</v>
      </c>
      <c r="AF46" s="12">
        <v>0</v>
      </c>
      <c r="AG46" s="12">
        <v>0</v>
      </c>
      <c r="AH46" s="12">
        <v>0</v>
      </c>
      <c r="AI46" s="12">
        <v>0</v>
      </c>
      <c r="AJ46" s="12">
        <v>0</v>
      </c>
      <c r="AK46" s="12">
        <v>2247.2640000000001</v>
      </c>
      <c r="AL46" s="12">
        <v>3578.9759999999997</v>
      </c>
      <c r="AM46" s="12">
        <v>4166.8019999999997</v>
      </c>
      <c r="AN46" s="12">
        <v>4489.3260000000009</v>
      </c>
    </row>
    <row r="47" spans="2:40" x14ac:dyDescent="0.25">
      <c r="B47" s="39" t="s">
        <v>40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  <c r="O47" s="12">
        <v>0</v>
      </c>
      <c r="P47" s="12">
        <v>0</v>
      </c>
      <c r="Q47" s="12">
        <v>0</v>
      </c>
      <c r="R47" s="12">
        <v>0</v>
      </c>
      <c r="S47" s="12">
        <v>0</v>
      </c>
      <c r="T47" s="12">
        <v>0</v>
      </c>
      <c r="U47" s="12">
        <v>0</v>
      </c>
      <c r="V47" s="12">
        <v>0</v>
      </c>
      <c r="W47" s="12">
        <v>0</v>
      </c>
      <c r="X47" s="12">
        <v>0</v>
      </c>
      <c r="Y47" s="12">
        <v>0</v>
      </c>
      <c r="Z47" s="12">
        <v>0</v>
      </c>
      <c r="AA47" s="12">
        <v>0</v>
      </c>
      <c r="AB47" s="12">
        <v>0</v>
      </c>
      <c r="AC47" s="12">
        <v>0</v>
      </c>
      <c r="AD47" s="12">
        <v>0</v>
      </c>
      <c r="AE47" s="12">
        <v>0</v>
      </c>
      <c r="AF47" s="12">
        <v>0</v>
      </c>
      <c r="AG47" s="12">
        <v>0</v>
      </c>
      <c r="AH47" s="12">
        <v>0</v>
      </c>
      <c r="AI47" s="12">
        <v>0</v>
      </c>
      <c r="AJ47" s="12">
        <v>0</v>
      </c>
      <c r="AK47" s="12">
        <v>0</v>
      </c>
      <c r="AL47" s="12">
        <v>0</v>
      </c>
      <c r="AM47" s="12">
        <v>0</v>
      </c>
      <c r="AN47" s="12">
        <v>0</v>
      </c>
    </row>
    <row r="48" spans="2:40" x14ac:dyDescent="0.25">
      <c r="B48" s="39" t="s">
        <v>41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42</v>
      </c>
      <c r="E49" s="12">
        <f>'Corp.'!E$50*(E$37-(E31-E32-E34)*$C$35)/(SUM('MDA1:NCA9'!E$37)-SUM('MDA1:NCA9'!E$31)-SUM('MDA1:NCA9'!E$32)-SUM('MDA1:NCA9'!E$34))</f>
        <v>0</v>
      </c>
      <c r="F49" s="12">
        <f>'Corp.'!F$50*(F$37-(F31-F32-F34)*$C$35)/(SUM('MDA1:NCA9'!F$37)-SUM('MDA1:NCA9'!F$31)-SUM('MDA1:NCA9'!F$32)-SUM('MDA1:NCA9'!F$34))</f>
        <v>0</v>
      </c>
      <c r="G49" s="12">
        <f>'Corp.'!G$50*(G$37-(G31-G32-G34)*$C$35)/(SUM('MDA1:NCA9'!G$37)-SUM('MDA1:NCA9'!G$31)-SUM('MDA1:NCA9'!G$32)-SUM('MDA1:NCA9'!G$34))</f>
        <v>0</v>
      </c>
      <c r="H49" s="12">
        <f>'Corp.'!H$50*(H$37-(H31-H32-H34)*$C$35)/(SUM('MDA1:NCA9'!H$37)-SUM('MDA1:NCA9'!H$31)-SUM('MDA1:NCA9'!H$32)-SUM('MDA1:NCA9'!H$34))</f>
        <v>0</v>
      </c>
      <c r="I49" s="12">
        <f>'Corp.'!I$50*(I$37-(I31-I32-I34)*$C$35)/(SUM('MDA1:NCA9'!I$37)-SUM('MDA1:NCA9'!I$31)-SUM('MDA1:NCA9'!I$32)-SUM('MDA1:NCA9'!I$34))</f>
        <v>0</v>
      </c>
      <c r="J49" s="12">
        <f>'Corp.'!J$50*(J$37-(J31-J32-J34)*$C$35)/(SUM('MDA1:NCA9'!J$37)-SUM('MDA1:NCA9'!J$31)-SUM('MDA1:NCA9'!J$32)-SUM('MDA1:NCA9'!J$34))</f>
        <v>0</v>
      </c>
      <c r="K49" s="12">
        <f>'Corp.'!K$50*(K$37-(K31-K32-K34)*$C$35)/(SUM('MDA1:NCA9'!K$37)-SUM('MDA1:NCA9'!K$31)-SUM('MDA1:NCA9'!K$32)-SUM('MDA1:NCA9'!K$34))</f>
        <v>0</v>
      </c>
      <c r="L49" s="12">
        <f>'Corp.'!L$50*(L$37-(L31-L32-L34)*$C$35)/(SUM('MDA1:NCA9'!L$37)-SUM('MDA1:NCA9'!L$31)-SUM('MDA1:NCA9'!L$32)-SUM('MDA1:NCA9'!L$34))</f>
        <v>0</v>
      </c>
      <c r="M49" s="12">
        <f>'Corp.'!M$50*(M$37-(M31-M32-M34)*$C$35)/(SUM('MDA1:NCA9'!M$37)-SUM('MDA1:NCA9'!M$31)-SUM('MDA1:NCA9'!M$32)-SUM('MDA1:NCA9'!M$34))</f>
        <v>0</v>
      </c>
      <c r="N49" s="12">
        <f>'Corp.'!N$50*(N$37-(N31-N32-N34)*$C$35)/(SUM('MDA1:NCA9'!N$37)-SUM('MDA1:NCA9'!N$31)-SUM('MDA1:NCA9'!N$32)-SUM('MDA1:NCA9'!N$34))</f>
        <v>0</v>
      </c>
      <c r="O49" s="12">
        <f>'Corp.'!O$50*(O$37-(O31-O32-O34)*$C$35)/(SUM('MDA1:NCA9'!O$37)-SUM('MDA1:NCA9'!O$31)-SUM('MDA1:NCA9'!O$32)-SUM('MDA1:NCA9'!O$34))</f>
        <v>0</v>
      </c>
      <c r="P49" s="12">
        <f>'Corp.'!P$50*(P$37-(P31-P32-P34)*$C$35)/(SUM('MDA1:NCA9'!P$37)-SUM('MDA1:NCA9'!P$31)-SUM('MDA1:NCA9'!P$32)-SUM('MDA1:NCA9'!P$34))</f>
        <v>0</v>
      </c>
      <c r="Q49" s="12">
        <f>'Corp.'!Q$50*(Q$37-(Q31-Q32-Q34)*$C$35)/(SUM('MDA1:NCA9'!Q$37)-SUM('MDA1:NCA9'!Q$31)-SUM('MDA1:NCA9'!Q$32)-SUM('MDA1:NCA9'!Q$34))</f>
        <v>0</v>
      </c>
      <c r="R49" s="12">
        <f>'Corp.'!R$50*(R$37-(R31-R32-R34)*$C$35)/(SUM('MDA1:NCA9'!R$37)-SUM('MDA1:NCA9'!R$31)-SUM('MDA1:NCA9'!R$32)-SUM('MDA1:NCA9'!R$34))</f>
        <v>0</v>
      </c>
      <c r="S49" s="12">
        <f>'Corp.'!S$50*(S$37-(S31-S32-S34)*$C$35)/(SUM('MDA1:NCA9'!S$37)-SUM('MDA1:NCA9'!S$31)-SUM('MDA1:NCA9'!S$32)-SUM('MDA1:NCA9'!S$34))</f>
        <v>0</v>
      </c>
      <c r="T49" s="12">
        <f>'Corp.'!T$50*(T$37-(T31-T32-T34)*$C$35)/(SUM('MDA1:NCA9'!T$37)-SUM('MDA1:NCA9'!T$31)-SUM('MDA1:NCA9'!T$32)-SUM('MDA1:NCA9'!T$34))</f>
        <v>0</v>
      </c>
      <c r="U49" s="12">
        <f>'Corp.'!U$50*(U$37-(U31-U32-U34)*$C$35)/(SUM('MDA1:NCA9'!U$37)-SUM('MDA1:NCA9'!U$31)-SUM('MDA1:NCA9'!U$32)-SUM('MDA1:NCA9'!U$34))</f>
        <v>0</v>
      </c>
      <c r="V49" s="12">
        <f>'Corp.'!V$50*(V$37-(V31-V32-V34)*$C$35)/(SUM('MDA1:NCA9'!V$37)-SUM('MDA1:NCA9'!V$31)-SUM('MDA1:NCA9'!V$32)-SUM('MDA1:NCA9'!V$34))</f>
        <v>0</v>
      </c>
      <c r="W49" s="12">
        <f>'Corp.'!W$50*(W$37-(W31-W32-W34)*$C$35)/(SUM('MDA1:NCA9'!W$37)-SUM('MDA1:NCA9'!W$31)-SUM('MDA1:NCA9'!W$32)-SUM('MDA1:NCA9'!W$34))</f>
        <v>0</v>
      </c>
      <c r="X49" s="12">
        <f>'Corp.'!X$50*(X$37-(X31-X32-X34)*$C$35)/(SUM('MDA1:NCA9'!X$37)-SUM('MDA1:NCA9'!X$31)-SUM('MDA1:NCA9'!X$32)-SUM('MDA1:NCA9'!X$34))</f>
        <v>0</v>
      </c>
      <c r="Y49" s="12">
        <f>'Corp.'!Y$50*(Y$37-(Y31-Y32-Y34)*$C$35)/(SUM('MDA1:NCA9'!Y$37)-SUM('MDA1:NCA9'!Y$31)-SUM('MDA1:NCA9'!Y$32)-SUM('MDA1:NCA9'!Y$34))</f>
        <v>0</v>
      </c>
      <c r="Z49" s="12">
        <f>'Corp.'!Z$50*(Z$37-(Z31-Z32-Z34)*$C$35)/(SUM('MDA1:NCA9'!Z$37)-SUM('MDA1:NCA9'!Z$31)-SUM('MDA1:NCA9'!Z$32)-SUM('MDA1:NCA9'!Z$34))</f>
        <v>0</v>
      </c>
      <c r="AA49" s="12">
        <f>'Corp.'!AA$50*(AA$37-(AA31-AA32-AA34)*$C$35)/(SUM('MDA1:NCA9'!AA$37)-SUM('MDA1:NCA9'!AA$31)-SUM('MDA1:NCA9'!AA$32)-SUM('MDA1:NCA9'!AA$34))</f>
        <v>0</v>
      </c>
      <c r="AB49" s="12">
        <f>'Corp.'!AB$50*(AB$37-(AB31-AB32-AB34)*$C$35)/(SUM('MDA1:NCA9'!AB$37)-SUM('MDA1:NCA9'!AB$31)-SUM('MDA1:NCA9'!AB$32)-SUM('MDA1:NCA9'!AB$34))</f>
        <v>0</v>
      </c>
      <c r="AC49" s="12">
        <f>'Corp.'!AC$50*(AC$37-(AC31-AC32-AC34)*$C$35)/(SUM('MDA1:NCA9'!AC$37)-SUM('MDA1:NCA9'!AC$31)-SUM('MDA1:NCA9'!AC$32)-SUM('MDA1:NCA9'!AC$34))</f>
        <v>0</v>
      </c>
      <c r="AD49" s="12">
        <f>'Corp.'!AD$50*(AD$37-(AD31-AD32-AD34)*$C$35)/(SUM('MDA1:NCA9'!AD$37)-SUM('MDA1:NCA9'!AD$31)-SUM('MDA1:NCA9'!AD$32)-SUM('MDA1:NCA9'!AD$34))</f>
        <v>0</v>
      </c>
      <c r="AE49" s="12">
        <f>'Corp.'!AE$50*(AE$37-(AE31-AE32-AE34)*$C$35)/(SUM('MDA1:NCA9'!AE$37)-SUM('MDA1:NCA9'!AE$31)-SUM('MDA1:NCA9'!AE$32)-SUM('MDA1:NCA9'!AE$34))</f>
        <v>0</v>
      </c>
      <c r="AF49" s="12">
        <f>'Corp.'!AF$50*(AF$37-(AF31-AF32-AF34)*$C$35)/(SUM('MDA1:NCA9'!AF$37)-SUM('MDA1:NCA9'!AF$31)-SUM('MDA1:NCA9'!AF$32)-SUM('MDA1:NCA9'!AF$34))</f>
        <v>0</v>
      </c>
      <c r="AG49" s="12">
        <f>'Corp.'!AG$50*(AG$37-(AG31-AG32-AG34)*$C$35)/(SUM('MDA1:NCA9'!AG$37)-SUM('MDA1:NCA9'!AG$31)-SUM('MDA1:NCA9'!AG$32)-SUM('MDA1:NCA9'!AG$34))</f>
        <v>0</v>
      </c>
      <c r="AH49" s="12">
        <f>'Corp.'!AH$50*(AH$37-(AH31-AH32-AH34)*$C$35)/(SUM('MDA1:NCA9'!AH$37)-SUM('MDA1:NCA9'!AH$31)-SUM('MDA1:NCA9'!AH$32)-SUM('MDA1:NCA9'!AH$34))</f>
        <v>0</v>
      </c>
      <c r="AI49" s="12">
        <f>'Corp.'!AI$50*(AI$37-(AI31-AI32-AI34)*$C$35)/(SUM('MDA1:NCA9'!AI$37)-SUM('MDA1:NCA9'!AI$31)-SUM('MDA1:NCA9'!AI$32)-SUM('MDA1:NCA9'!AI$34))</f>
        <v>0</v>
      </c>
      <c r="AJ49" s="12">
        <f>'Corp.'!AJ$50*(AJ$37-(AJ31-AJ32-AJ34)*$C$35)/(SUM('MDA1:NCA9'!AJ$37)-SUM('MDA1:NCA9'!AJ$31)-SUM('MDA1:NCA9'!AJ$32)-SUM('MDA1:NCA9'!AJ$34))</f>
        <v>0</v>
      </c>
      <c r="AK49" s="12">
        <f>'Corp.'!AK$50*(AK$37-(AK31-AK32-AK34)*$C$35)/(SUM('MDA1:NCA9'!AK$37)-SUM('MDA1:NCA9'!AK$31)-SUM('MDA1:NCA9'!AK$32)-SUM('MDA1:NCA9'!AK$34))</f>
        <v>893.61789328452278</v>
      </c>
      <c r="AL49" s="12">
        <f>'Corp.'!AL$50*(AL$37-(AL31-AL32-AL34)*$C$35)/(SUM('MDA1:NCA9'!AL$37)-SUM('MDA1:NCA9'!AL$31)-SUM('MDA1:NCA9'!AL$32)-SUM('MDA1:NCA9'!AL$34))</f>
        <v>2638.6158717800849</v>
      </c>
      <c r="AM49" s="12">
        <f>'Corp.'!AM$50*(AM$37-(AM31-AM32-AM34)*$C$35)/(SUM('MDA1:NCA9'!AM$37)-SUM('MDA1:NCA9'!AM$31)-SUM('MDA1:NCA9'!AM$32)-SUM('MDA1:NCA9'!AM$34))</f>
        <v>4321.8797638350452</v>
      </c>
      <c r="AN49" s="12">
        <f>'Corp.'!AN$50*(AN$37-(AN31-AN32-AN34)*$C$35)/(SUM('MDA1:NCA9'!AN$37)-SUM('MDA1:NCA9'!AN$31)-SUM('MDA1:NCA9'!AN$32)-SUM('MDA1:NCA9'!AN$34))</f>
        <v>5108.7060861360114</v>
      </c>
    </row>
    <row r="50" spans="2:40" x14ac:dyDescent="0.25">
      <c r="B50" s="1" t="s">
        <v>272</v>
      </c>
      <c r="E50" s="13" cm="1">
        <f t="array" ref="E50:AN50">_xlfn.BYCOL(_xlfn.VSTACK(_xlfn.ANCHORARRAY(E40),_xlfn.ANCHORARRAY(E42),_xlfn.ANCHORARRAY(E43),_xlfn.ANCHORARRAY(E45),_xlfn.ANCHORARRAY(E46),_xlfn.ANCHORARRAY(E47),_xlfn.ANCHORARRAY(E48),_xlfn.HSTACK(E49:AN49)),_xlfn.LAMBDA(_xlpm.a,SUM(_xlpm.a)))</f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0</v>
      </c>
      <c r="Q50" s="13">
        <v>0</v>
      </c>
      <c r="R50" s="13">
        <v>0</v>
      </c>
      <c r="S50" s="13">
        <v>0</v>
      </c>
      <c r="T50" s="13">
        <v>0</v>
      </c>
      <c r="U50" s="13">
        <v>0</v>
      </c>
      <c r="V50" s="13">
        <v>0</v>
      </c>
      <c r="W50" s="13">
        <v>0</v>
      </c>
      <c r="X50" s="13">
        <v>0</v>
      </c>
      <c r="Y50" s="13">
        <v>0</v>
      </c>
      <c r="Z50" s="13">
        <v>0</v>
      </c>
      <c r="AA50" s="13">
        <v>0</v>
      </c>
      <c r="AB50" s="13">
        <v>0</v>
      </c>
      <c r="AC50" s="13">
        <v>0</v>
      </c>
      <c r="AD50" s="13">
        <v>0</v>
      </c>
      <c r="AE50" s="13">
        <v>0</v>
      </c>
      <c r="AF50" s="13">
        <v>0</v>
      </c>
      <c r="AG50" s="13">
        <v>0</v>
      </c>
      <c r="AH50" s="13">
        <v>0</v>
      </c>
      <c r="AI50" s="13">
        <v>0</v>
      </c>
      <c r="AJ50" s="13">
        <v>0</v>
      </c>
      <c r="AK50" s="13">
        <v>17641.020931720239</v>
      </c>
      <c r="AL50" s="13">
        <v>37172.580721753904</v>
      </c>
      <c r="AM50" s="13">
        <v>44387.830758680291</v>
      </c>
      <c r="AN50" s="13">
        <v>48542.98265341697</v>
      </c>
    </row>
    <row r="52" spans="2:40" x14ac:dyDescent="0.25">
      <c r="B52" s="1" t="s">
        <v>48</v>
      </c>
      <c r="E52" s="74">
        <f>E37-E50</f>
        <v>0</v>
      </c>
      <c r="F52" s="74">
        <f t="shared" ref="F52:AN52" si="0">F37-F50</f>
        <v>0</v>
      </c>
      <c r="G52" s="74">
        <f t="shared" si="0"/>
        <v>0</v>
      </c>
      <c r="H52" s="74">
        <f t="shared" si="0"/>
        <v>0</v>
      </c>
      <c r="I52" s="74">
        <f t="shared" si="0"/>
        <v>0</v>
      </c>
      <c r="J52" s="74">
        <f t="shared" si="0"/>
        <v>0</v>
      </c>
      <c r="K52" s="74">
        <f t="shared" si="0"/>
        <v>0</v>
      </c>
      <c r="L52" s="74">
        <f t="shared" si="0"/>
        <v>0</v>
      </c>
      <c r="M52" s="74">
        <f t="shared" si="0"/>
        <v>0</v>
      </c>
      <c r="N52" s="74">
        <f t="shared" si="0"/>
        <v>0</v>
      </c>
      <c r="O52" s="74">
        <f t="shared" si="0"/>
        <v>0</v>
      </c>
      <c r="P52" s="74">
        <f t="shared" si="0"/>
        <v>0</v>
      </c>
      <c r="Q52" s="74">
        <f t="shared" si="0"/>
        <v>0</v>
      </c>
      <c r="R52" s="74">
        <f t="shared" si="0"/>
        <v>0</v>
      </c>
      <c r="S52" s="74">
        <f t="shared" si="0"/>
        <v>0</v>
      </c>
      <c r="T52" s="74">
        <f t="shared" si="0"/>
        <v>0</v>
      </c>
      <c r="U52" s="74">
        <f t="shared" si="0"/>
        <v>0</v>
      </c>
      <c r="V52" s="74">
        <f t="shared" si="0"/>
        <v>0</v>
      </c>
      <c r="W52" s="74">
        <f t="shared" si="0"/>
        <v>0</v>
      </c>
      <c r="X52" s="74">
        <f t="shared" si="0"/>
        <v>0</v>
      </c>
      <c r="Y52" s="74">
        <f t="shared" si="0"/>
        <v>0</v>
      </c>
      <c r="Z52" s="74">
        <f t="shared" si="0"/>
        <v>0</v>
      </c>
      <c r="AA52" s="74">
        <f t="shared" si="0"/>
        <v>0</v>
      </c>
      <c r="AB52" s="74">
        <f t="shared" si="0"/>
        <v>0</v>
      </c>
      <c r="AC52" s="74">
        <f t="shared" si="0"/>
        <v>0</v>
      </c>
      <c r="AD52" s="74">
        <f t="shared" si="0"/>
        <v>0</v>
      </c>
      <c r="AE52" s="74">
        <f t="shared" si="0"/>
        <v>0</v>
      </c>
      <c r="AF52" s="74">
        <f t="shared" si="0"/>
        <v>0</v>
      </c>
      <c r="AG52" s="74">
        <f t="shared" si="0"/>
        <v>0</v>
      </c>
      <c r="AH52" s="74">
        <f t="shared" si="0"/>
        <v>0</v>
      </c>
      <c r="AI52" s="74">
        <f t="shared" si="0"/>
        <v>0</v>
      </c>
      <c r="AJ52" s="74">
        <f t="shared" si="0"/>
        <v>0</v>
      </c>
      <c r="AK52" s="74">
        <f t="shared" si="0"/>
        <v>-9169.9228530535711</v>
      </c>
      <c r="AL52" s="74">
        <f t="shared" si="0"/>
        <v>-11759.28648575391</v>
      </c>
      <c r="AM52" s="74">
        <f t="shared" si="0"/>
        <v>-2032.3403653469722</v>
      </c>
      <c r="AN52" s="74">
        <f t="shared" si="0"/>
        <v>2283.6058185830188</v>
      </c>
    </row>
    <row r="53" spans="2:40" x14ac:dyDescent="0.25">
      <c r="E53" s="105" t="str">
        <f>IFERROR(E52/E37,"")</f>
        <v/>
      </c>
      <c r="F53" s="105" t="str">
        <f t="shared" ref="F53:AN53" si="1">IFERROR(F52/F37,"")</f>
        <v/>
      </c>
      <c r="G53" s="105" t="str">
        <f t="shared" si="1"/>
        <v/>
      </c>
      <c r="H53" s="105" t="str">
        <f t="shared" si="1"/>
        <v/>
      </c>
      <c r="I53" s="105" t="str">
        <f t="shared" si="1"/>
        <v/>
      </c>
      <c r="J53" s="105" t="str">
        <f t="shared" si="1"/>
        <v/>
      </c>
      <c r="K53" s="105" t="str">
        <f t="shared" si="1"/>
        <v/>
      </c>
      <c r="L53" s="105" t="str">
        <f t="shared" si="1"/>
        <v/>
      </c>
      <c r="M53" s="105" t="str">
        <f t="shared" si="1"/>
        <v/>
      </c>
      <c r="N53" s="105" t="str">
        <f t="shared" si="1"/>
        <v/>
      </c>
      <c r="O53" s="105" t="str">
        <f t="shared" si="1"/>
        <v/>
      </c>
      <c r="P53" s="105" t="str">
        <f t="shared" si="1"/>
        <v/>
      </c>
      <c r="Q53" s="105" t="str">
        <f t="shared" si="1"/>
        <v/>
      </c>
      <c r="R53" s="105" t="str">
        <f t="shared" si="1"/>
        <v/>
      </c>
      <c r="S53" s="105" t="str">
        <f t="shared" si="1"/>
        <v/>
      </c>
      <c r="T53" s="105" t="str">
        <f t="shared" si="1"/>
        <v/>
      </c>
      <c r="U53" s="105" t="str">
        <f t="shared" si="1"/>
        <v/>
      </c>
      <c r="V53" s="105" t="str">
        <f t="shared" si="1"/>
        <v/>
      </c>
      <c r="W53" s="105" t="str">
        <f t="shared" si="1"/>
        <v/>
      </c>
      <c r="X53" s="105" t="str">
        <f t="shared" si="1"/>
        <v/>
      </c>
      <c r="Y53" s="105" t="str">
        <f t="shared" si="1"/>
        <v/>
      </c>
      <c r="Z53" s="105" t="str">
        <f t="shared" si="1"/>
        <v/>
      </c>
      <c r="AA53" s="105" t="str">
        <f t="shared" si="1"/>
        <v/>
      </c>
      <c r="AB53" s="105" t="str">
        <f t="shared" si="1"/>
        <v/>
      </c>
      <c r="AC53" s="105" t="str">
        <f t="shared" si="1"/>
        <v/>
      </c>
      <c r="AD53" s="105" t="str">
        <f t="shared" si="1"/>
        <v/>
      </c>
      <c r="AE53" s="105" t="str">
        <f t="shared" si="1"/>
        <v/>
      </c>
      <c r="AF53" s="105" t="str">
        <f t="shared" si="1"/>
        <v/>
      </c>
      <c r="AG53" s="105" t="str">
        <f t="shared" si="1"/>
        <v/>
      </c>
      <c r="AH53" s="105" t="str">
        <f t="shared" si="1"/>
        <v/>
      </c>
      <c r="AI53" s="105" t="str">
        <f t="shared" si="1"/>
        <v/>
      </c>
      <c r="AJ53" s="105" t="str">
        <f t="shared" si="1"/>
        <v/>
      </c>
      <c r="AK53" s="105">
        <f t="shared" si="1"/>
        <v>-1.0824951816042363</v>
      </c>
      <c r="AL53" s="105">
        <f t="shared" si="1"/>
        <v>-0.46272184851564524</v>
      </c>
      <c r="AM53" s="105">
        <f t="shared" si="1"/>
        <v>-4.7982926097034619E-2</v>
      </c>
      <c r="AN53" s="105">
        <f t="shared" si="1"/>
        <v>4.4929354639669378E-2</v>
      </c>
    </row>
    <row r="55" spans="2:40" x14ac:dyDescent="0.25">
      <c r="B55" t="s">
        <v>57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0</v>
      </c>
      <c r="D55" s="12">
        <f>C55-SUM(_xlfn.ANCHORARRAY(E55))</f>
        <v>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</row>
    <row r="56" spans="2:40" x14ac:dyDescent="0.25">
      <c r="B56" t="s">
        <v>285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0</v>
      </c>
      <c r="F56" s="90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0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0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0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0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0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276</v>
      </c>
      <c r="E58" s="13">
        <f>E37-E50-E55+E56</f>
        <v>0</v>
      </c>
      <c r="F58" s="13">
        <f t="shared" ref="F58:AN58" si="2">F37-F50-F55+F56</f>
        <v>0</v>
      </c>
      <c r="G58" s="13">
        <f t="shared" si="2"/>
        <v>0</v>
      </c>
      <c r="H58" s="13">
        <f t="shared" si="2"/>
        <v>0</v>
      </c>
      <c r="I58" s="13">
        <f t="shared" si="2"/>
        <v>0</v>
      </c>
      <c r="J58" s="13">
        <f t="shared" si="2"/>
        <v>0</v>
      </c>
      <c r="K58" s="13">
        <f t="shared" si="2"/>
        <v>0</v>
      </c>
      <c r="L58" s="13">
        <f t="shared" si="2"/>
        <v>0</v>
      </c>
      <c r="M58" s="13">
        <f t="shared" si="2"/>
        <v>0</v>
      </c>
      <c r="N58" s="13">
        <f t="shared" si="2"/>
        <v>0</v>
      </c>
      <c r="O58" s="13">
        <f t="shared" si="2"/>
        <v>0</v>
      </c>
      <c r="P58" s="13">
        <f t="shared" si="2"/>
        <v>0</v>
      </c>
      <c r="Q58" s="13">
        <f t="shared" si="2"/>
        <v>0</v>
      </c>
      <c r="R58" s="13">
        <f t="shared" si="2"/>
        <v>0</v>
      </c>
      <c r="S58" s="13">
        <f t="shared" si="2"/>
        <v>0</v>
      </c>
      <c r="T58" s="13">
        <f t="shared" si="2"/>
        <v>0</v>
      </c>
      <c r="U58" s="13">
        <f t="shared" si="2"/>
        <v>0</v>
      </c>
      <c r="V58" s="13">
        <f t="shared" si="2"/>
        <v>0</v>
      </c>
      <c r="W58" s="13">
        <f t="shared" si="2"/>
        <v>0</v>
      </c>
      <c r="X58" s="13">
        <f t="shared" si="2"/>
        <v>0</v>
      </c>
      <c r="Y58" s="13">
        <f t="shared" si="2"/>
        <v>0</v>
      </c>
      <c r="Z58" s="13">
        <f t="shared" si="2"/>
        <v>0</v>
      </c>
      <c r="AA58" s="13">
        <f t="shared" si="2"/>
        <v>0</v>
      </c>
      <c r="AB58" s="13">
        <f t="shared" si="2"/>
        <v>0</v>
      </c>
      <c r="AC58" s="13">
        <f t="shared" si="2"/>
        <v>0</v>
      </c>
      <c r="AD58" s="13">
        <f t="shared" si="2"/>
        <v>0</v>
      </c>
      <c r="AE58" s="13">
        <f t="shared" si="2"/>
        <v>0</v>
      </c>
      <c r="AF58" s="13">
        <f t="shared" si="2"/>
        <v>0</v>
      </c>
      <c r="AG58" s="13">
        <f t="shared" si="2"/>
        <v>0</v>
      </c>
      <c r="AH58" s="13">
        <f t="shared" si="2"/>
        <v>0</v>
      </c>
      <c r="AI58" s="13">
        <f t="shared" si="2"/>
        <v>0</v>
      </c>
      <c r="AJ58" s="13">
        <f t="shared" si="2"/>
        <v>0</v>
      </c>
      <c r="AK58" s="13">
        <f t="shared" si="2"/>
        <v>-9169.9228530535711</v>
      </c>
      <c r="AL58" s="13">
        <f t="shared" si="2"/>
        <v>-11759.28648575391</v>
      </c>
      <c r="AM58" s="13">
        <f t="shared" si="2"/>
        <v>-2032.3403653469722</v>
      </c>
      <c r="AN58" s="13">
        <f t="shared" si="2"/>
        <v>2283.6058185830188</v>
      </c>
    </row>
    <row r="59" spans="2:40" x14ac:dyDescent="0.25">
      <c r="B59" t="s">
        <v>277</v>
      </c>
      <c r="E59" s="12" cm="1">
        <f t="array" ref="E59:AN59">_xlfn.SCAN(-D55,E58:AN58,_xlfn.LAMBDA(_xlpm.capex,_xlpm.fcf,_xlpm.capex+_xlpm.fcf))</f>
        <v>0</v>
      </c>
      <c r="F59" s="12">
        <v>0</v>
      </c>
      <c r="G59" s="12">
        <v>0</v>
      </c>
      <c r="H59" s="12">
        <v>0</v>
      </c>
      <c r="I59" s="12">
        <v>0</v>
      </c>
      <c r="J59" s="12">
        <v>0</v>
      </c>
      <c r="K59" s="12">
        <v>0</v>
      </c>
      <c r="L59" s="12">
        <v>0</v>
      </c>
      <c r="M59" s="12">
        <v>0</v>
      </c>
      <c r="N59" s="12">
        <v>0</v>
      </c>
      <c r="O59" s="12">
        <v>0</v>
      </c>
      <c r="P59" s="12">
        <v>0</v>
      </c>
      <c r="Q59" s="12">
        <v>0</v>
      </c>
      <c r="R59" s="12">
        <v>0</v>
      </c>
      <c r="S59" s="12">
        <v>0</v>
      </c>
      <c r="T59" s="12">
        <v>0</v>
      </c>
      <c r="U59" s="12">
        <v>0</v>
      </c>
      <c r="V59" s="12">
        <v>0</v>
      </c>
      <c r="W59" s="12">
        <v>0</v>
      </c>
      <c r="X59" s="12">
        <v>0</v>
      </c>
      <c r="Y59" s="12">
        <v>0</v>
      </c>
      <c r="Z59" s="12">
        <v>0</v>
      </c>
      <c r="AA59" s="12">
        <v>0</v>
      </c>
      <c r="AB59" s="12">
        <v>0</v>
      </c>
      <c r="AC59" s="12">
        <v>0</v>
      </c>
      <c r="AD59" s="12">
        <v>0</v>
      </c>
      <c r="AE59" s="12">
        <v>0</v>
      </c>
      <c r="AF59" s="12">
        <v>0</v>
      </c>
      <c r="AG59" s="12">
        <v>0</v>
      </c>
      <c r="AH59" s="12">
        <v>0</v>
      </c>
      <c r="AI59" s="12">
        <v>0</v>
      </c>
      <c r="AJ59" s="12">
        <v>0</v>
      </c>
      <c r="AK59" s="12">
        <v>-9169.9228530535711</v>
      </c>
      <c r="AL59" s="12">
        <v>-20929.209338807479</v>
      </c>
      <c r="AM59" s="12">
        <v>-22961.549704154451</v>
      </c>
      <c r="AN59" s="12">
        <v>-20677.943885571432</v>
      </c>
    </row>
    <row r="61" spans="2:40" x14ac:dyDescent="0.25">
      <c r="B61" s="1" t="s">
        <v>302</v>
      </c>
    </row>
    <row r="63" spans="2:40" x14ac:dyDescent="0.25">
      <c r="B63" s="39" t="s">
        <v>103</v>
      </c>
      <c r="E63" s="12" cm="1">
        <f t="array" ref="E63:AN63">_xlfn.LET(_xlpm.site,$B$1&amp;"-"&amp;$C$1,_xlpm.locations,Base!$D$4:$BD$4,_xlpm.rates,Base!$D$36:$BD$36,_xlpm.hours,Base!$D$79:$BD$79,_xlpm.comp,_xlpm.rates*_xlpm.hours,_xlpm.Customer,_xlfn.ANCHORARRAY($E$1),
_xlpm.Customer_comp,_xlfn.XLOOKUP(_xlpm.site,_xlpm.locations,_xlpm.comp,0,0),_xlpm.ann_incr,_xlfn.XLOOKUP(YEAR(_xlfn.ANCHORARRAY($E$25)),Base!$BJ$4:$BL$4,Base!$BJ$79:$BL$79,0,0),
_xlpm.bad_debt,_xlfn.XLOOKUP(_xlpm.site,_xlpm.locations,Base!$D$28:$BD$28,0,0),_xlpm.Customer_comp*_xlpm.Customer*_xlpm.bad_debt*_xlpm.ann_incr*(52/12)*(1-$C$35))</f>
        <v>0</v>
      </c>
      <c r="F63" s="12">
        <v>0</v>
      </c>
      <c r="G63" s="12">
        <v>0</v>
      </c>
      <c r="H63" s="12">
        <v>0</v>
      </c>
      <c r="I63" s="12">
        <v>0</v>
      </c>
      <c r="J63" s="12">
        <v>0</v>
      </c>
      <c r="K63" s="12">
        <v>0</v>
      </c>
      <c r="L63" s="12">
        <v>0</v>
      </c>
      <c r="M63" s="12">
        <v>0</v>
      </c>
      <c r="N63" s="12">
        <v>0</v>
      </c>
      <c r="O63" s="12">
        <v>0</v>
      </c>
      <c r="P63" s="12">
        <v>0</v>
      </c>
      <c r="Q63" s="12">
        <v>0</v>
      </c>
      <c r="R63" s="12">
        <v>0</v>
      </c>
      <c r="S63" s="12">
        <v>0</v>
      </c>
      <c r="T63" s="12">
        <v>0</v>
      </c>
      <c r="U63" s="12">
        <v>0</v>
      </c>
      <c r="V63" s="12">
        <v>0</v>
      </c>
      <c r="W63" s="12">
        <v>0</v>
      </c>
      <c r="X63" s="12">
        <v>0</v>
      </c>
      <c r="Y63" s="12">
        <v>0</v>
      </c>
      <c r="Z63" s="12">
        <v>0</v>
      </c>
      <c r="AA63" s="12">
        <v>0</v>
      </c>
      <c r="AB63" s="12">
        <v>0</v>
      </c>
      <c r="AC63" s="12">
        <v>0</v>
      </c>
      <c r="AD63" s="12">
        <v>0</v>
      </c>
      <c r="AE63" s="12">
        <v>0</v>
      </c>
      <c r="AF63" s="12">
        <v>0</v>
      </c>
      <c r="AG63" s="12">
        <v>0</v>
      </c>
      <c r="AH63" s="12">
        <v>0</v>
      </c>
      <c r="AI63" s="12">
        <v>0</v>
      </c>
      <c r="AJ63" s="12">
        <v>0</v>
      </c>
      <c r="AK63" s="12">
        <v>0</v>
      </c>
      <c r="AL63" s="12">
        <v>0</v>
      </c>
      <c r="AM63" s="12">
        <v>0</v>
      </c>
      <c r="AN63" s="12">
        <v>0</v>
      </c>
    </row>
    <row r="64" spans="2:40" x14ac:dyDescent="0.25">
      <c r="B64" s="39" t="s">
        <v>104</v>
      </c>
      <c r="E64" s="12" cm="1">
        <f t="array" ref="E64:AN64">_xlfn.LET(_xlpm.site,$B$1&amp;"-"&amp;$C$1,_xlpm.locations,Base!$D$4:$BD$4,_xlpm.rates,Base!$D$37:$BD$37,_xlpm.hours,Base!$D$80:$BD$80,_xlpm.comp,_xlpm.rates*_xlpm.hours,_xlpm.Customer,_xlfn.ANCHORARRAY($E$1),
_xlpm.Customer_comp,_xlfn.XLOOKUP(_xlpm.site,_xlpm.locations,_xlpm.comp,0,0),_xlpm.ann_incr,_xlfn.XLOOKUP(YEAR(_xlfn.ANCHORARRAY($E$25)),Base!$BJ$4:$BL$4,Base!$BJ$80:$BL$80,0,0),
_xlpm.bad_debt,_xlfn.XLOOKUP(_xlpm.site,_xlpm.locations,Base!$D$28:$BD$28,0,0),_xlpm.Customer_comp*_xlpm.Customer*_xlpm.bad_debt*_xlpm.ann_incr*(52/12)*(1-$C$35))</f>
        <v>0</v>
      </c>
      <c r="F64" s="12">
        <v>0</v>
      </c>
      <c r="G64" s="12">
        <v>0</v>
      </c>
      <c r="H64" s="12">
        <v>0</v>
      </c>
      <c r="I64" s="12">
        <v>0</v>
      </c>
      <c r="J64" s="12">
        <v>0</v>
      </c>
      <c r="K64" s="12">
        <v>0</v>
      </c>
      <c r="L64" s="12">
        <v>0</v>
      </c>
      <c r="M64" s="12">
        <v>0</v>
      </c>
      <c r="N64" s="12">
        <v>0</v>
      </c>
      <c r="O64" s="12">
        <v>0</v>
      </c>
      <c r="P64" s="12">
        <v>0</v>
      </c>
      <c r="Q64" s="12">
        <v>0</v>
      </c>
      <c r="R64" s="12">
        <v>0</v>
      </c>
      <c r="S64" s="12">
        <v>0</v>
      </c>
      <c r="T64" s="12">
        <v>0</v>
      </c>
      <c r="U64" s="12">
        <v>0</v>
      </c>
      <c r="V64" s="12">
        <v>0</v>
      </c>
      <c r="W64" s="12">
        <v>0</v>
      </c>
      <c r="X64" s="12">
        <v>0</v>
      </c>
      <c r="Y64" s="12">
        <v>0</v>
      </c>
      <c r="Z64" s="12">
        <v>0</v>
      </c>
      <c r="AA64" s="12">
        <v>0</v>
      </c>
      <c r="AB64" s="12">
        <v>0</v>
      </c>
      <c r="AC64" s="12">
        <v>0</v>
      </c>
      <c r="AD64" s="12">
        <v>0</v>
      </c>
      <c r="AE64" s="12">
        <v>0</v>
      </c>
      <c r="AF64" s="12">
        <v>0</v>
      </c>
      <c r="AG64" s="12">
        <v>0</v>
      </c>
      <c r="AH64" s="12">
        <v>0</v>
      </c>
      <c r="AI64" s="12">
        <v>0</v>
      </c>
      <c r="AJ64" s="12">
        <v>0</v>
      </c>
      <c r="AK64" s="12">
        <v>0</v>
      </c>
      <c r="AL64" s="12">
        <v>0</v>
      </c>
      <c r="AM64" s="12">
        <v>0</v>
      </c>
      <c r="AN64" s="12">
        <v>0</v>
      </c>
    </row>
    <row r="65" spans="2:40" x14ac:dyDescent="0.25">
      <c r="B65" s="39" t="s">
        <v>56</v>
      </c>
      <c r="E65" s="12" cm="1">
        <f t="array" ref="E65:AN65">_xlfn.LET(_xlpm.site,$B$1&amp;"-"&amp;$C$1,_xlpm.locations,Base!$D$4:$BD$4,_xlpm.rates,Base!$D$39:$BD$39,_xlpm.hours,Base!$D$82:$BD$82,_xlpm.comp,_xlpm.rates*_xlpm.hours,_xlpm.Customer,_xlfn.ANCHORARRAY($E$1),
_xlpm.Customer_comp,_xlfn.XLOOKUP(_xlpm.site,_xlpm.locations,_xlpm.comp,0,0),_xlpm.ann_incr,_xlfn.XLOOKUP(YEAR(_xlfn.ANCHORARRAY($E$25)),Base!$BJ$4:$BL$4,Base!$BJ$82:$BL$82,0,0),
_xlpm.bad_debt,_xlfn.XLOOKUP(_xlpm.site,_xlpm.locations,Base!$D$28:$BD$28,0,0),_xlpm.Customer_comp*_xlpm.Customer*_xlpm.bad_debt*_xlpm.ann_incr*(52/12)*(1-$C$35))</f>
        <v>0</v>
      </c>
      <c r="F65" s="12">
        <v>0</v>
      </c>
      <c r="G65" s="12">
        <v>0</v>
      </c>
      <c r="H65" s="12">
        <v>0</v>
      </c>
      <c r="I65" s="12">
        <v>0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  <c r="O65" s="12">
        <v>0</v>
      </c>
      <c r="P65" s="12">
        <v>0</v>
      </c>
      <c r="Q65" s="12">
        <v>0</v>
      </c>
      <c r="R65" s="12">
        <v>0</v>
      </c>
      <c r="S65" s="12">
        <v>0</v>
      </c>
      <c r="T65" s="12">
        <v>0</v>
      </c>
      <c r="U65" s="12">
        <v>0</v>
      </c>
      <c r="V65" s="12">
        <v>0</v>
      </c>
      <c r="W65" s="12">
        <v>0</v>
      </c>
      <c r="X65" s="12">
        <v>0</v>
      </c>
      <c r="Y65" s="12">
        <v>0</v>
      </c>
      <c r="Z65" s="12">
        <v>0</v>
      </c>
      <c r="AA65" s="12">
        <v>0</v>
      </c>
      <c r="AB65" s="12">
        <v>0</v>
      </c>
      <c r="AC65" s="12">
        <v>0</v>
      </c>
      <c r="AD65" s="12">
        <v>0</v>
      </c>
      <c r="AE65" s="12">
        <v>0</v>
      </c>
      <c r="AF65" s="12">
        <v>0</v>
      </c>
      <c r="AG65" s="12">
        <v>0</v>
      </c>
      <c r="AH65" s="12">
        <v>0</v>
      </c>
      <c r="AI65" s="12">
        <v>0</v>
      </c>
      <c r="AJ65" s="12">
        <v>0</v>
      </c>
      <c r="AK65" s="12">
        <v>0</v>
      </c>
      <c r="AL65" s="12">
        <v>0</v>
      </c>
      <c r="AM65" s="12">
        <v>0</v>
      </c>
      <c r="AN65" s="12">
        <v>0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303</v>
      </c>
      <c r="C67" s="12"/>
      <c r="E67" s="13" cm="1">
        <f t="array" ref="E67:AN67">_xlfn.BYCOL(_xlfn.VSTACK(_xlfn.ANCHORARRAY($E$63),_xlfn.ANCHORARRAY($E$64),_xlfn.ANCHORARRAY($E$65)),_xlfn.LAMBDA(_xlpm.a,SUM(_xlpm.a)))</f>
        <v>0</v>
      </c>
      <c r="F67" s="13">
        <v>0</v>
      </c>
      <c r="G67" s="13">
        <v>0</v>
      </c>
      <c r="H67" s="13">
        <v>0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  <c r="W67" s="13">
        <v>0</v>
      </c>
      <c r="X67" s="13">
        <v>0</v>
      </c>
      <c r="Y67" s="13">
        <v>0</v>
      </c>
      <c r="Z67" s="13">
        <v>0</v>
      </c>
      <c r="AA67" s="13">
        <v>0</v>
      </c>
      <c r="AB67" s="13">
        <v>0</v>
      </c>
      <c r="AC67" s="13">
        <v>0</v>
      </c>
      <c r="AD67" s="13">
        <v>0</v>
      </c>
      <c r="AE67" s="13">
        <v>0</v>
      </c>
      <c r="AF67" s="13">
        <v>0</v>
      </c>
      <c r="AG67" s="13">
        <v>0</v>
      </c>
      <c r="AH67" s="13">
        <v>0</v>
      </c>
      <c r="AI67" s="13">
        <v>0</v>
      </c>
      <c r="AJ67" s="13">
        <v>0</v>
      </c>
      <c r="AK67" s="13">
        <v>0</v>
      </c>
      <c r="AL67" s="13">
        <v>0</v>
      </c>
      <c r="AM67" s="13">
        <v>0</v>
      </c>
      <c r="AN67" s="13">
        <v>0</v>
      </c>
    </row>
    <row r="68" spans="2:40" x14ac:dyDescent="0.25">
      <c r="B68" s="39"/>
      <c r="C68" s="12"/>
    </row>
    <row r="69" spans="2:40" x14ac:dyDescent="0.25">
      <c r="B69" s="39" t="s">
        <v>304</v>
      </c>
      <c r="C69" s="12"/>
      <c r="E69" s="106" cm="1">
        <f t="array" ref="E69:AN70">_xlfn.LET(_xlpm.Customer_staff,_xlfn._xlws.FILTER(Base!$D$96:$BD$97,ISNUMBER(SEARCH($B$1&amp;"-"&amp;$C$1,Base!$D$4:$BD$4))),_xlpm.Customer,_xlfn.ANCHORARRAY($E$1),_xlpm.headcount,_xlpm.Customer/_xlpm.Customer_staff,
_xlpm.rounding,_xlfn.VSTACK(0,0),IFERROR(ROUND(_xlpm.headcount,_xlpm.rounding),0))</f>
        <v>0</v>
      </c>
      <c r="F69" s="106">
        <v>0</v>
      </c>
      <c r="G69" s="106">
        <v>0</v>
      </c>
      <c r="H69" s="106">
        <v>0</v>
      </c>
      <c r="I69" s="106">
        <v>0</v>
      </c>
      <c r="J69" s="106">
        <v>0</v>
      </c>
      <c r="K69" s="106">
        <v>0</v>
      </c>
      <c r="L69" s="106">
        <v>0</v>
      </c>
      <c r="M69" s="106">
        <v>0</v>
      </c>
      <c r="N69" s="106">
        <v>0</v>
      </c>
      <c r="O69" s="106">
        <v>0</v>
      </c>
      <c r="P69" s="106">
        <v>0</v>
      </c>
      <c r="Q69" s="106">
        <v>0</v>
      </c>
      <c r="R69" s="106">
        <v>0</v>
      </c>
      <c r="S69" s="106">
        <v>0</v>
      </c>
      <c r="T69" s="106">
        <v>0</v>
      </c>
      <c r="U69" s="106">
        <v>0</v>
      </c>
      <c r="V69" s="106">
        <v>0</v>
      </c>
      <c r="W69" s="106">
        <v>0</v>
      </c>
      <c r="X69" s="106">
        <v>0</v>
      </c>
      <c r="Y69" s="106">
        <v>0</v>
      </c>
      <c r="Z69" s="106">
        <v>0</v>
      </c>
      <c r="AA69" s="106">
        <v>0</v>
      </c>
      <c r="AB69" s="106">
        <v>0</v>
      </c>
      <c r="AC69" s="106">
        <v>0</v>
      </c>
      <c r="AD69" s="106">
        <v>0</v>
      </c>
      <c r="AE69" s="106">
        <v>0</v>
      </c>
      <c r="AF69" s="106">
        <v>0</v>
      </c>
      <c r="AG69" s="106">
        <v>0</v>
      </c>
      <c r="AH69" s="106">
        <v>0</v>
      </c>
      <c r="AI69" s="106">
        <v>0</v>
      </c>
      <c r="AJ69" s="106">
        <v>0</v>
      </c>
      <c r="AK69" s="106">
        <v>0</v>
      </c>
      <c r="AL69" s="106">
        <v>0</v>
      </c>
      <c r="AM69" s="106">
        <v>0</v>
      </c>
      <c r="AN69" s="106">
        <v>0</v>
      </c>
    </row>
    <row r="70" spans="2:40" x14ac:dyDescent="0.25">
      <c r="B70" s="39" t="s">
        <v>305</v>
      </c>
      <c r="C70" s="12"/>
      <c r="E70" s="106">
        <v>0</v>
      </c>
      <c r="F70" s="106">
        <v>0</v>
      </c>
      <c r="G70" s="106">
        <v>0</v>
      </c>
      <c r="H70" s="106">
        <v>0</v>
      </c>
      <c r="I70" s="106">
        <v>0</v>
      </c>
      <c r="J70" s="106">
        <v>0</v>
      </c>
      <c r="K70" s="106">
        <v>0</v>
      </c>
      <c r="L70" s="106">
        <v>0</v>
      </c>
      <c r="M70" s="106">
        <v>0</v>
      </c>
      <c r="N70" s="106">
        <v>0</v>
      </c>
      <c r="O70" s="106">
        <v>0</v>
      </c>
      <c r="P70" s="106">
        <v>0</v>
      </c>
      <c r="Q70" s="106">
        <v>0</v>
      </c>
      <c r="R70" s="106">
        <v>0</v>
      </c>
      <c r="S70" s="106">
        <v>0</v>
      </c>
      <c r="T70" s="106">
        <v>0</v>
      </c>
      <c r="U70" s="106">
        <v>0</v>
      </c>
      <c r="V70" s="106">
        <v>0</v>
      </c>
      <c r="W70" s="106">
        <v>0</v>
      </c>
      <c r="X70" s="106">
        <v>0</v>
      </c>
      <c r="Y70" s="106">
        <v>0</v>
      </c>
      <c r="Z70" s="106">
        <v>0</v>
      </c>
      <c r="AA70" s="106">
        <v>0</v>
      </c>
      <c r="AB70" s="106">
        <v>0</v>
      </c>
      <c r="AC70" s="106">
        <v>0</v>
      </c>
      <c r="AD70" s="106">
        <v>0</v>
      </c>
      <c r="AE70" s="106">
        <v>0</v>
      </c>
      <c r="AF70" s="106">
        <v>0</v>
      </c>
      <c r="AG70" s="106">
        <v>0</v>
      </c>
      <c r="AH70" s="106">
        <v>0</v>
      </c>
      <c r="AI70" s="106">
        <v>0</v>
      </c>
      <c r="AJ70" s="106">
        <v>0</v>
      </c>
      <c r="AK70" s="106">
        <v>0</v>
      </c>
      <c r="AL70" s="106">
        <v>0</v>
      </c>
      <c r="AM70" s="106">
        <v>0</v>
      </c>
      <c r="AN70" s="106">
        <v>0</v>
      </c>
    </row>
    <row r="71" spans="2:40" x14ac:dyDescent="0.25">
      <c r="B71" s="39"/>
      <c r="C71" s="12"/>
    </row>
    <row r="72" spans="2:40" x14ac:dyDescent="0.25">
      <c r="B72" s="39" t="s">
        <v>23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0</v>
      </c>
      <c r="F72" s="12">
        <v>0</v>
      </c>
      <c r="G72" s="12">
        <v>0</v>
      </c>
      <c r="H72" s="12">
        <v>0</v>
      </c>
      <c r="I72" s="12">
        <v>0</v>
      </c>
      <c r="J72" s="12">
        <v>0</v>
      </c>
      <c r="K72" s="12">
        <v>0</v>
      </c>
      <c r="L72" s="12">
        <v>0</v>
      </c>
      <c r="M72" s="12">
        <v>0</v>
      </c>
      <c r="N72" s="12">
        <v>0</v>
      </c>
      <c r="O72" s="12">
        <v>0</v>
      </c>
      <c r="P72" s="12">
        <v>0</v>
      </c>
      <c r="Q72" s="12">
        <v>0</v>
      </c>
      <c r="R72" s="12">
        <v>0</v>
      </c>
      <c r="S72" s="12">
        <v>0</v>
      </c>
      <c r="T72" s="12">
        <v>0</v>
      </c>
      <c r="U72" s="12">
        <v>0</v>
      </c>
      <c r="V72" s="12">
        <v>0</v>
      </c>
      <c r="W72" s="12">
        <v>0</v>
      </c>
      <c r="X72" s="12">
        <v>0</v>
      </c>
      <c r="Y72" s="12">
        <v>0</v>
      </c>
      <c r="Z72" s="12">
        <v>0</v>
      </c>
      <c r="AA72" s="12">
        <v>0</v>
      </c>
      <c r="AB72" s="12">
        <v>0</v>
      </c>
      <c r="AC72" s="12">
        <v>0</v>
      </c>
      <c r="AD72" s="12">
        <v>0</v>
      </c>
      <c r="AE72" s="12">
        <v>0</v>
      </c>
      <c r="AF72" s="12">
        <v>0</v>
      </c>
      <c r="AG72" s="12">
        <v>0</v>
      </c>
      <c r="AH72" s="12">
        <v>0</v>
      </c>
      <c r="AI72" s="12">
        <v>0</v>
      </c>
      <c r="AJ72" s="12">
        <v>0</v>
      </c>
      <c r="AK72" s="12">
        <v>1.2691023820243568E-3</v>
      </c>
      <c r="AL72" s="12">
        <v>3.8073071460730718E-3</v>
      </c>
      <c r="AM72" s="12">
        <v>6.3455119101217868E-3</v>
      </c>
      <c r="AN72" s="12">
        <v>7.6146142921461437E-3</v>
      </c>
    </row>
    <row r="73" spans="2:40" x14ac:dyDescent="0.25">
      <c r="B73" s="39" t="s">
        <v>24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306</v>
      </c>
      <c r="E75" s="74" cm="1">
        <f t="array" ref="E75:AN75">_xlfn.ANCHORARRAY(E67)-_xlfn.ANCHORARRAY(E72)-_xlfn.ANCHORARRAY(E73)</f>
        <v>0</v>
      </c>
      <c r="F75" s="74">
        <v>0</v>
      </c>
      <c r="G75" s="74">
        <v>0</v>
      </c>
      <c r="H75" s="74">
        <v>0</v>
      </c>
      <c r="I75" s="74">
        <v>0</v>
      </c>
      <c r="J75" s="74">
        <v>0</v>
      </c>
      <c r="K75" s="74">
        <v>0</v>
      </c>
      <c r="L75" s="74">
        <v>0</v>
      </c>
      <c r="M75" s="74">
        <v>0</v>
      </c>
      <c r="N75" s="74">
        <v>0</v>
      </c>
      <c r="O75" s="74">
        <v>0</v>
      </c>
      <c r="P75" s="74">
        <v>0</v>
      </c>
      <c r="Q75" s="74">
        <v>0</v>
      </c>
      <c r="R75" s="74">
        <v>0</v>
      </c>
      <c r="S75" s="74">
        <v>0</v>
      </c>
      <c r="T75" s="74">
        <v>0</v>
      </c>
      <c r="U75" s="74">
        <v>0</v>
      </c>
      <c r="V75" s="74">
        <v>0</v>
      </c>
      <c r="W75" s="74">
        <v>0</v>
      </c>
      <c r="X75" s="74">
        <v>0</v>
      </c>
      <c r="Y75" s="74">
        <v>0</v>
      </c>
      <c r="Z75" s="74">
        <v>0</v>
      </c>
      <c r="AA75" s="74">
        <v>0</v>
      </c>
      <c r="AB75" s="74">
        <v>0</v>
      </c>
      <c r="AC75" s="74">
        <v>0</v>
      </c>
      <c r="AD75" s="74">
        <v>0</v>
      </c>
      <c r="AE75" s="74">
        <v>0</v>
      </c>
      <c r="AF75" s="74">
        <v>0</v>
      </c>
      <c r="AG75" s="74">
        <v>0</v>
      </c>
      <c r="AH75" s="74">
        <v>0</v>
      </c>
      <c r="AI75" s="74">
        <v>0</v>
      </c>
      <c r="AJ75" s="74">
        <v>0</v>
      </c>
      <c r="AK75" s="74">
        <v>-1.2691023820243568E-3</v>
      </c>
      <c r="AL75" s="74">
        <v>-3.8073071460730718E-3</v>
      </c>
      <c r="AM75" s="74">
        <v>-6.3455119101217868E-3</v>
      </c>
      <c r="AN75" s="74">
        <v>-7.6146142921461437E-3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A27BEE-731C-4B74-9156-1FA0ED68F482}">
  <dimension ref="A1:AX75"/>
  <sheetViews>
    <sheetView workbookViewId="0">
      <pane xSplit="4" ySplit="25" topLeftCell="E26" activePane="bottomRight" state="frozen"/>
      <selection activeCell="E63" sqref="E63:E65"/>
      <selection pane="topRight" activeCell="E63" sqref="E63:E65"/>
      <selection pane="bottomLeft" activeCell="E63" sqref="E63:E65"/>
      <selection pane="bottomRight" activeCell="E63" sqref="E63:E65"/>
    </sheetView>
  </sheetViews>
  <sheetFormatPr defaultRowHeight="15" outlineLevelRow="1" x14ac:dyDescent="0.25"/>
  <cols>
    <col min="2" max="2" width="24.5703125" bestFit="1" customWidth="1"/>
    <col min="3" max="3" width="11.5703125" bestFit="1" customWidth="1"/>
    <col min="4" max="4" width="10" bestFit="1" customWidth="1"/>
    <col min="5" max="5" width="11.42578125" bestFit="1" customWidth="1"/>
    <col min="6" max="6" width="11.7109375" bestFit="1" customWidth="1"/>
    <col min="7" max="13" width="12.28515625" bestFit="1" customWidth="1"/>
    <col min="14" max="18" width="11.5703125" bestFit="1" customWidth="1"/>
    <col min="19" max="40" width="12.5703125" bestFit="1" customWidth="1"/>
  </cols>
  <sheetData>
    <row r="1" spans="1:40" x14ac:dyDescent="0.25">
      <c r="A1" s="96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>2028</v>
      </c>
      <c r="B1" s="58" t="s">
        <v>74</v>
      </c>
      <c r="C1" s="16" t="s">
        <v>61</v>
      </c>
      <c r="D1" s="3" t="s">
        <v>307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IFERROR(_xlpm.kiddos,0))</f>
        <v>0</v>
      </c>
      <c r="F1" s="69">
        <v>0</v>
      </c>
      <c r="G1" s="69">
        <v>0</v>
      </c>
      <c r="H1" s="69">
        <v>0</v>
      </c>
      <c r="I1" s="69">
        <v>0</v>
      </c>
      <c r="J1" s="69">
        <v>0</v>
      </c>
      <c r="K1" s="69">
        <v>0</v>
      </c>
      <c r="L1" s="69">
        <v>0</v>
      </c>
      <c r="M1" s="69">
        <v>0</v>
      </c>
      <c r="N1" s="69">
        <v>0</v>
      </c>
      <c r="O1" s="69">
        <v>0</v>
      </c>
      <c r="P1" s="69">
        <v>0</v>
      </c>
      <c r="Q1" s="69">
        <v>0</v>
      </c>
      <c r="R1" s="69">
        <v>0</v>
      </c>
      <c r="S1" s="69">
        <v>0</v>
      </c>
      <c r="T1" s="69">
        <v>0</v>
      </c>
      <c r="U1" s="69">
        <v>0</v>
      </c>
      <c r="V1" s="69">
        <v>0</v>
      </c>
      <c r="W1" s="69">
        <v>0</v>
      </c>
      <c r="X1" s="69">
        <v>0</v>
      </c>
      <c r="Y1" s="69">
        <v>0</v>
      </c>
      <c r="Z1" s="69">
        <v>0</v>
      </c>
      <c r="AA1" s="69">
        <v>0</v>
      </c>
      <c r="AB1" s="69">
        <v>0</v>
      </c>
      <c r="AC1" s="69">
        <v>0</v>
      </c>
      <c r="AD1" s="69">
        <v>0</v>
      </c>
      <c r="AE1" s="69">
        <v>0</v>
      </c>
      <c r="AF1" s="69">
        <v>0</v>
      </c>
      <c r="AG1" s="69">
        <v>0</v>
      </c>
      <c r="AH1" s="69">
        <v>0</v>
      </c>
      <c r="AI1" s="69">
        <v>0</v>
      </c>
      <c r="AJ1" s="69">
        <v>0</v>
      </c>
      <c r="AK1" s="69">
        <v>3</v>
      </c>
      <c r="AL1" s="69">
        <v>6</v>
      </c>
      <c r="AM1" s="69">
        <v>9</v>
      </c>
      <c r="AN1" s="69">
        <v>12</v>
      </c>
    </row>
    <row r="2" spans="1:40" x14ac:dyDescent="0.25">
      <c r="A2" s="65"/>
      <c r="B2" s="3" t="str">
        <f>_xlfn.XLOOKUP($B$1&amp;"-"&amp;$C$1,Base!$D$4:$BD$4,Base!$D$2:$BD$2,"",0)</f>
        <v>New Jersey</v>
      </c>
      <c r="C2" s="55"/>
      <c r="D2" s="55" t="s">
        <v>259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0</v>
      </c>
      <c r="F2" s="69">
        <v>0</v>
      </c>
      <c r="G2" s="69">
        <v>0</v>
      </c>
      <c r="H2" s="69">
        <v>0</v>
      </c>
      <c r="I2" s="69">
        <v>0</v>
      </c>
      <c r="J2" s="69">
        <v>0</v>
      </c>
      <c r="K2" s="69">
        <v>0</v>
      </c>
      <c r="L2" s="69">
        <v>0</v>
      </c>
      <c r="M2" s="69">
        <v>0</v>
      </c>
      <c r="N2" s="69">
        <v>0</v>
      </c>
      <c r="O2" s="69">
        <v>0</v>
      </c>
      <c r="P2" s="69">
        <v>0</v>
      </c>
      <c r="Q2" s="69">
        <v>0</v>
      </c>
      <c r="R2" s="69">
        <v>0</v>
      </c>
      <c r="S2" s="69">
        <v>0</v>
      </c>
      <c r="T2" s="69">
        <v>0</v>
      </c>
      <c r="U2" s="69">
        <v>0</v>
      </c>
      <c r="V2" s="69">
        <v>0</v>
      </c>
      <c r="W2" s="69">
        <v>0</v>
      </c>
      <c r="X2" s="69">
        <v>0</v>
      </c>
      <c r="Y2" s="69">
        <v>0</v>
      </c>
      <c r="Z2" s="69">
        <v>0</v>
      </c>
      <c r="AA2" s="69">
        <v>0</v>
      </c>
      <c r="AB2" s="69">
        <v>0</v>
      </c>
      <c r="AC2" s="69">
        <v>0</v>
      </c>
      <c r="AD2" s="69">
        <v>0</v>
      </c>
      <c r="AE2" s="69">
        <v>0</v>
      </c>
      <c r="AF2" s="69">
        <v>0</v>
      </c>
      <c r="AG2" s="69">
        <v>0</v>
      </c>
      <c r="AH2" s="69">
        <v>0</v>
      </c>
      <c r="AI2" s="69">
        <v>0</v>
      </c>
      <c r="AJ2" s="69">
        <v>0</v>
      </c>
      <c r="AK2" s="69">
        <v>0</v>
      </c>
      <c r="AL2" s="69">
        <v>3.1666666666666665</v>
      </c>
      <c r="AM2" s="69">
        <v>3.3333333333333335</v>
      </c>
      <c r="AN2" s="69">
        <v>3.5</v>
      </c>
    </row>
    <row r="3" spans="1:40" x14ac:dyDescent="0.25">
      <c r="A3" s="65"/>
      <c r="B3" s="55"/>
      <c r="C3" s="55"/>
      <c r="D3" s="55" t="s">
        <v>62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_xlpm.months_since,DATEDIF(_xlpm.launchdate,_xlfn.ANCHORARRAY($E$25),"m"),_xlfn.BYCOL(_xlpm.months_since,_xlfn.LAMBDA(_xlpm.a,IFERROR(MIN(_xlpm.a/6,_xlpm.max_kiddos),0))))</f>
        <v>0</v>
      </c>
      <c r="F3" s="69">
        <v>0</v>
      </c>
      <c r="G3" s="69">
        <v>0</v>
      </c>
      <c r="H3" s="69">
        <v>0</v>
      </c>
      <c r="I3" s="69">
        <v>0</v>
      </c>
      <c r="J3" s="69">
        <v>0</v>
      </c>
      <c r="K3" s="69">
        <v>0</v>
      </c>
      <c r="L3" s="69">
        <v>0</v>
      </c>
      <c r="M3" s="69">
        <v>0</v>
      </c>
      <c r="N3" s="69">
        <v>0</v>
      </c>
      <c r="O3" s="69">
        <v>0</v>
      </c>
      <c r="P3" s="69">
        <v>0</v>
      </c>
      <c r="Q3" s="69">
        <v>0</v>
      </c>
      <c r="R3" s="69">
        <v>0</v>
      </c>
      <c r="S3" s="69">
        <v>0</v>
      </c>
      <c r="T3" s="69">
        <v>0</v>
      </c>
      <c r="U3" s="69">
        <v>0</v>
      </c>
      <c r="V3" s="69">
        <v>0</v>
      </c>
      <c r="W3" s="69">
        <v>0</v>
      </c>
      <c r="X3" s="69">
        <v>0</v>
      </c>
      <c r="Y3" s="69">
        <v>0</v>
      </c>
      <c r="Z3" s="69">
        <v>0</v>
      </c>
      <c r="AA3" s="69">
        <v>0</v>
      </c>
      <c r="AB3" s="69">
        <v>0</v>
      </c>
      <c r="AC3" s="69">
        <v>0</v>
      </c>
      <c r="AD3" s="69">
        <v>0</v>
      </c>
      <c r="AE3" s="69">
        <v>0</v>
      </c>
      <c r="AF3" s="69">
        <v>0</v>
      </c>
      <c r="AG3" s="69">
        <v>0</v>
      </c>
      <c r="AH3" s="69">
        <v>0</v>
      </c>
      <c r="AI3" s="69">
        <v>0</v>
      </c>
      <c r="AJ3" s="69">
        <v>0</v>
      </c>
      <c r="AK3" s="69">
        <v>0</v>
      </c>
      <c r="AL3" s="69">
        <v>0.16666666666666666</v>
      </c>
      <c r="AM3" s="69">
        <v>0.33333333333333331</v>
      </c>
      <c r="AN3" s="69">
        <v>0.5</v>
      </c>
    </row>
    <row r="4" spans="1:40" x14ac:dyDescent="0.25">
      <c r="A4" s="65"/>
      <c r="B4" s="55"/>
      <c r="C4" s="55"/>
      <c r="D4" s="55" t="s">
        <v>260</v>
      </c>
      <c r="E4" s="69" cm="1">
        <f t="array" ref="E4:AN4">_xlfn.BYCOL(_xlfn.VSTACK(_xlfn.ANCHORARRAY($E$1),_xlfn.ANCHORARRAY($E$2)),_xlfn.LAMBDA(_xlpm.a,SUM(_xlpm.a)))</f>
        <v>0</v>
      </c>
      <c r="F4" s="69">
        <v>0</v>
      </c>
      <c r="G4" s="69">
        <v>0</v>
      </c>
      <c r="H4" s="69">
        <v>0</v>
      </c>
      <c r="I4" s="69">
        <v>0</v>
      </c>
      <c r="J4" s="69">
        <v>0</v>
      </c>
      <c r="K4" s="69">
        <v>0</v>
      </c>
      <c r="L4" s="69">
        <v>0</v>
      </c>
      <c r="M4" s="69">
        <v>0</v>
      </c>
      <c r="N4" s="69">
        <v>0</v>
      </c>
      <c r="O4" s="69">
        <v>0</v>
      </c>
      <c r="P4" s="69">
        <v>0</v>
      </c>
      <c r="Q4" s="69">
        <v>0</v>
      </c>
      <c r="R4" s="69">
        <v>0</v>
      </c>
      <c r="S4" s="69">
        <v>0</v>
      </c>
      <c r="T4" s="69">
        <v>0</v>
      </c>
      <c r="U4" s="69">
        <v>0</v>
      </c>
      <c r="V4" s="69">
        <v>0</v>
      </c>
      <c r="W4" s="69">
        <v>0</v>
      </c>
      <c r="X4" s="69">
        <v>0</v>
      </c>
      <c r="Y4" s="69">
        <v>0</v>
      </c>
      <c r="Z4" s="69">
        <v>0</v>
      </c>
      <c r="AA4" s="69">
        <v>0</v>
      </c>
      <c r="AB4" s="69">
        <v>0</v>
      </c>
      <c r="AC4" s="69">
        <v>0</v>
      </c>
      <c r="AD4" s="69">
        <v>0</v>
      </c>
      <c r="AE4" s="69">
        <v>0</v>
      </c>
      <c r="AF4" s="69">
        <v>0</v>
      </c>
      <c r="AG4" s="69">
        <v>0</v>
      </c>
      <c r="AH4" s="69">
        <v>0</v>
      </c>
      <c r="AI4" s="69">
        <v>0</v>
      </c>
      <c r="AJ4" s="69">
        <v>0</v>
      </c>
      <c r="AK4" s="69">
        <v>3</v>
      </c>
      <c r="AL4" s="69">
        <v>9.1666666666666661</v>
      </c>
      <c r="AM4" s="69">
        <v>12.333333333333334</v>
      </c>
      <c r="AN4" s="69">
        <v>15.5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107</v>
      </c>
      <c r="C6" s="3"/>
      <c r="D6" s="3"/>
      <c r="E6" s="66" cm="1">
        <f t="array" ref="E6:AN6">ROUND(_xlfn.BYCOL(_xlfn.ANCHORARRAY(E7),_xlfn.LAMBDA(_xlpm.a,SUM(_xlpm.a))),0)</f>
        <v>0</v>
      </c>
      <c r="F6" s="66">
        <v>0</v>
      </c>
      <c r="G6" s="66">
        <v>0</v>
      </c>
      <c r="H6" s="66">
        <v>0</v>
      </c>
      <c r="I6" s="66">
        <v>0</v>
      </c>
      <c r="J6" s="66">
        <v>0</v>
      </c>
      <c r="K6" s="66">
        <v>0</v>
      </c>
      <c r="L6" s="66">
        <v>0</v>
      </c>
      <c r="M6" s="66">
        <v>0</v>
      </c>
      <c r="N6" s="66">
        <v>0</v>
      </c>
      <c r="O6" s="66">
        <v>0</v>
      </c>
      <c r="P6" s="66">
        <v>0</v>
      </c>
      <c r="Q6" s="66">
        <v>0</v>
      </c>
      <c r="R6" s="66">
        <v>0</v>
      </c>
      <c r="S6" s="66">
        <v>0</v>
      </c>
      <c r="T6" s="66">
        <v>0</v>
      </c>
      <c r="U6" s="66">
        <v>0</v>
      </c>
      <c r="V6" s="66">
        <v>0</v>
      </c>
      <c r="W6" s="66">
        <v>0</v>
      </c>
      <c r="X6" s="66">
        <v>0</v>
      </c>
      <c r="Y6" s="66">
        <v>0</v>
      </c>
      <c r="Z6" s="66">
        <v>0</v>
      </c>
      <c r="AA6" s="66">
        <v>0</v>
      </c>
      <c r="AB6" s="66">
        <v>0</v>
      </c>
      <c r="AC6" s="66">
        <v>0</v>
      </c>
      <c r="AD6" s="66">
        <v>0</v>
      </c>
      <c r="AE6" s="66">
        <v>0</v>
      </c>
      <c r="AF6" s="66">
        <v>0</v>
      </c>
      <c r="AG6" s="66">
        <v>0</v>
      </c>
      <c r="AH6" s="66">
        <v>0</v>
      </c>
      <c r="AI6" s="66">
        <v>0</v>
      </c>
      <c r="AJ6" s="66">
        <v>0</v>
      </c>
      <c r="AK6" s="66">
        <v>6</v>
      </c>
      <c r="AL6" s="66">
        <v>11</v>
      </c>
      <c r="AM6" s="66">
        <v>15</v>
      </c>
      <c r="AN6" s="66">
        <v>18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1"/>
      <c r="E7" s="106" cm="1">
        <f t="array" ref="E7:AN20">_xlfn.LET(_xlpm.Customer_staff,_xlfn._xlws.FILTER(Base!$D$85:$BD$98,ISNUMBER(SEARCH($B$1&amp;"-"&amp;$C$1,Base!$D$4:$BD$4))),_xlpm.Customer,_xlfn.ANCHORARRAY($E$1),_xlpm.headcount,_xlpm.Customer/_xlpm.Customer_staff,
_xlpm.patient_staff,_xlfn.ANCHORARRAY($E$2)/_xlpm.Customer_staff,_xlpm.prim_staff_tr_rec,_xlfn.ANCHORARRAY($E$2)/_xlfn.CHOOSEROWS(_xlpm.Customer_staff,{7,8})+(_xlfn.ANCHORARRAY($E$1)*0.0055),_xlpm.rounding,_xlfn.VSTACK(2,2,0,0,2,2,2,2,2,2,2,0,0,0),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prim_staff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0</v>
      </c>
      <c r="F7" s="106">
        <v>0</v>
      </c>
      <c r="G7" s="106">
        <v>0</v>
      </c>
      <c r="H7" s="106">
        <v>0</v>
      </c>
      <c r="I7" s="106">
        <v>0</v>
      </c>
      <c r="J7" s="106">
        <v>0</v>
      </c>
      <c r="K7" s="106">
        <v>0</v>
      </c>
      <c r="L7" s="106">
        <v>0</v>
      </c>
      <c r="M7" s="106">
        <v>0</v>
      </c>
      <c r="N7" s="106">
        <v>0</v>
      </c>
      <c r="O7" s="106">
        <v>0</v>
      </c>
      <c r="P7" s="106">
        <v>0</v>
      </c>
      <c r="Q7" s="106">
        <v>0</v>
      </c>
      <c r="R7" s="106">
        <v>0</v>
      </c>
      <c r="S7" s="106">
        <v>0</v>
      </c>
      <c r="T7" s="106">
        <v>0</v>
      </c>
      <c r="U7" s="106">
        <v>0</v>
      </c>
      <c r="V7" s="106">
        <v>0</v>
      </c>
      <c r="W7" s="106">
        <v>0</v>
      </c>
      <c r="X7" s="106">
        <v>0</v>
      </c>
      <c r="Y7" s="106">
        <v>0</v>
      </c>
      <c r="Z7" s="106">
        <v>0</v>
      </c>
      <c r="AA7" s="106">
        <v>0</v>
      </c>
      <c r="AB7" s="106">
        <v>0</v>
      </c>
      <c r="AC7" s="106">
        <v>0</v>
      </c>
      <c r="AD7" s="106">
        <v>0</v>
      </c>
      <c r="AE7" s="106">
        <v>0</v>
      </c>
      <c r="AF7" s="106">
        <v>0</v>
      </c>
      <c r="AG7" s="106">
        <v>0</v>
      </c>
      <c r="AH7" s="106">
        <v>0</v>
      </c>
      <c r="AI7" s="106">
        <v>0</v>
      </c>
      <c r="AJ7" s="106">
        <v>0</v>
      </c>
      <c r="AK7" s="106">
        <v>2.8299999999999996</v>
      </c>
      <c r="AL7" s="106">
        <v>5.6499999999999995</v>
      </c>
      <c r="AM7" s="106">
        <v>8.48</v>
      </c>
      <c r="AN7" s="106">
        <v>11.299999999999999</v>
      </c>
    </row>
    <row r="8" spans="1:40" hidden="1" outlineLevel="1" x14ac:dyDescent="0.25">
      <c r="B8" s="39" t="str">
        <v>Secondary Direct Staff</v>
      </c>
      <c r="C8" s="3"/>
      <c r="D8" s="3"/>
      <c r="E8" s="106">
        <v>0</v>
      </c>
      <c r="F8" s="106">
        <v>0</v>
      </c>
      <c r="G8" s="106">
        <v>0</v>
      </c>
      <c r="H8" s="106">
        <v>0</v>
      </c>
      <c r="I8" s="106">
        <v>0</v>
      </c>
      <c r="J8" s="106">
        <v>0</v>
      </c>
      <c r="K8" s="106">
        <v>0</v>
      </c>
      <c r="L8" s="106">
        <v>0</v>
      </c>
      <c r="M8" s="106">
        <v>0</v>
      </c>
      <c r="N8" s="106">
        <v>0</v>
      </c>
      <c r="O8" s="106">
        <v>0</v>
      </c>
      <c r="P8" s="106">
        <v>0</v>
      </c>
      <c r="Q8" s="106">
        <v>0</v>
      </c>
      <c r="R8" s="106">
        <v>0</v>
      </c>
      <c r="S8" s="106">
        <v>0</v>
      </c>
      <c r="T8" s="106">
        <v>0</v>
      </c>
      <c r="U8" s="106">
        <v>0</v>
      </c>
      <c r="V8" s="106">
        <v>0</v>
      </c>
      <c r="W8" s="106">
        <v>0</v>
      </c>
      <c r="X8" s="106">
        <v>0</v>
      </c>
      <c r="Y8" s="106">
        <v>0</v>
      </c>
      <c r="Z8" s="106">
        <v>0</v>
      </c>
      <c r="AA8" s="106">
        <v>0</v>
      </c>
      <c r="AB8" s="106">
        <v>0</v>
      </c>
      <c r="AC8" s="106">
        <v>0</v>
      </c>
      <c r="AD8" s="106">
        <v>0</v>
      </c>
      <c r="AE8" s="106">
        <v>0</v>
      </c>
      <c r="AF8" s="106">
        <v>0</v>
      </c>
      <c r="AG8" s="106">
        <v>0</v>
      </c>
      <c r="AH8" s="106">
        <v>0</v>
      </c>
      <c r="AI8" s="106">
        <v>0</v>
      </c>
      <c r="AJ8" s="106">
        <v>0</v>
      </c>
      <c r="AK8" s="106">
        <v>0.43</v>
      </c>
      <c r="AL8" s="106">
        <v>0.86</v>
      </c>
      <c r="AM8" s="106">
        <v>1.29</v>
      </c>
      <c r="AN8" s="106">
        <v>1.72</v>
      </c>
    </row>
    <row r="9" spans="1:40" hidden="1" outlineLevel="1" x14ac:dyDescent="0.25">
      <c r="B9" s="39" t="str">
        <v>Center Manager</v>
      </c>
      <c r="C9" s="3"/>
      <c r="D9" s="3"/>
      <c r="E9" s="106">
        <v>0</v>
      </c>
      <c r="F9" s="106">
        <v>0</v>
      </c>
      <c r="G9" s="106">
        <v>0</v>
      </c>
      <c r="H9" s="106">
        <v>0</v>
      </c>
      <c r="I9" s="106">
        <v>0</v>
      </c>
      <c r="J9" s="106">
        <v>0</v>
      </c>
      <c r="K9" s="106">
        <v>0</v>
      </c>
      <c r="L9" s="106">
        <v>0</v>
      </c>
      <c r="M9" s="106">
        <v>0</v>
      </c>
      <c r="N9" s="106">
        <v>0</v>
      </c>
      <c r="O9" s="106">
        <v>0</v>
      </c>
      <c r="P9" s="106">
        <v>0</v>
      </c>
      <c r="Q9" s="106">
        <v>0</v>
      </c>
      <c r="R9" s="106">
        <v>0</v>
      </c>
      <c r="S9" s="106">
        <v>0</v>
      </c>
      <c r="T9" s="106">
        <v>0</v>
      </c>
      <c r="U9" s="106">
        <v>0</v>
      </c>
      <c r="V9" s="106">
        <v>0</v>
      </c>
      <c r="W9" s="106">
        <v>0</v>
      </c>
      <c r="X9" s="106">
        <v>0</v>
      </c>
      <c r="Y9" s="106">
        <v>0</v>
      </c>
      <c r="Z9" s="106">
        <v>0</v>
      </c>
      <c r="AA9" s="106">
        <v>0</v>
      </c>
      <c r="AB9" s="106">
        <v>0</v>
      </c>
      <c r="AC9" s="106">
        <v>0</v>
      </c>
      <c r="AD9" s="106">
        <v>0</v>
      </c>
      <c r="AE9" s="106">
        <v>0</v>
      </c>
      <c r="AF9" s="106">
        <v>0</v>
      </c>
      <c r="AG9" s="106">
        <v>0</v>
      </c>
      <c r="AH9" s="106">
        <v>0</v>
      </c>
      <c r="AI9" s="106">
        <v>0</v>
      </c>
      <c r="AJ9" s="106">
        <v>0</v>
      </c>
      <c r="AK9" s="106">
        <v>1</v>
      </c>
      <c r="AL9" s="106">
        <v>1</v>
      </c>
      <c r="AM9" s="106">
        <v>1</v>
      </c>
      <c r="AN9" s="106">
        <v>1</v>
      </c>
    </row>
    <row r="10" spans="1:40" hidden="1" outlineLevel="1" x14ac:dyDescent="0.25">
      <c r="B10" s="39" t="str">
        <v>Intake</v>
      </c>
      <c r="C10" s="3"/>
      <c r="D10" s="3"/>
      <c r="E10" s="106">
        <v>0</v>
      </c>
      <c r="F10" s="106">
        <v>0</v>
      </c>
      <c r="G10" s="106">
        <v>0</v>
      </c>
      <c r="H10" s="106">
        <v>0</v>
      </c>
      <c r="I10" s="106">
        <v>0</v>
      </c>
      <c r="J10" s="106">
        <v>0</v>
      </c>
      <c r="K10" s="106">
        <v>0</v>
      </c>
      <c r="L10" s="106">
        <v>0</v>
      </c>
      <c r="M10" s="106">
        <v>0</v>
      </c>
      <c r="N10" s="106">
        <v>0</v>
      </c>
      <c r="O10" s="106">
        <v>0</v>
      </c>
      <c r="P10" s="106">
        <v>0</v>
      </c>
      <c r="Q10" s="106">
        <v>0</v>
      </c>
      <c r="R10" s="106">
        <v>0</v>
      </c>
      <c r="S10" s="106">
        <v>0</v>
      </c>
      <c r="T10" s="106">
        <v>0</v>
      </c>
      <c r="U10" s="106">
        <v>0</v>
      </c>
      <c r="V10" s="106">
        <v>0</v>
      </c>
      <c r="W10" s="106">
        <v>0</v>
      </c>
      <c r="X10" s="106">
        <v>0</v>
      </c>
      <c r="Y10" s="106">
        <v>0</v>
      </c>
      <c r="Z10" s="106">
        <v>0</v>
      </c>
      <c r="AA10" s="106">
        <v>0</v>
      </c>
      <c r="AB10" s="106">
        <v>0</v>
      </c>
      <c r="AC10" s="106">
        <v>0</v>
      </c>
      <c r="AD10" s="106">
        <v>0</v>
      </c>
      <c r="AE10" s="106">
        <v>0</v>
      </c>
      <c r="AF10" s="106">
        <v>0</v>
      </c>
      <c r="AG10" s="106">
        <v>0</v>
      </c>
      <c r="AH10" s="106">
        <v>0</v>
      </c>
      <c r="AI10" s="106">
        <v>0</v>
      </c>
      <c r="AJ10" s="106">
        <v>0</v>
      </c>
      <c r="AK10" s="106">
        <v>0</v>
      </c>
      <c r="AL10" s="106">
        <v>1</v>
      </c>
      <c r="AM10" s="106">
        <v>1</v>
      </c>
      <c r="AN10" s="106">
        <v>1</v>
      </c>
    </row>
    <row r="11" spans="1:40" hidden="1" outlineLevel="1" x14ac:dyDescent="0.25">
      <c r="B11" s="39" t="str">
        <v>Scheduler</v>
      </c>
      <c r="C11" s="3"/>
      <c r="D11" s="3"/>
      <c r="E11" s="106">
        <v>0</v>
      </c>
      <c r="F11" s="106">
        <v>0</v>
      </c>
      <c r="G11" s="106">
        <v>0</v>
      </c>
      <c r="H11" s="106">
        <v>0</v>
      </c>
      <c r="I11" s="106">
        <v>0</v>
      </c>
      <c r="J11" s="106">
        <v>0</v>
      </c>
      <c r="K11" s="106">
        <v>0</v>
      </c>
      <c r="L11" s="106">
        <v>0</v>
      </c>
      <c r="M11" s="106">
        <v>0</v>
      </c>
      <c r="N11" s="106">
        <v>0</v>
      </c>
      <c r="O11" s="106">
        <v>0</v>
      </c>
      <c r="P11" s="106">
        <v>0</v>
      </c>
      <c r="Q11" s="106">
        <v>0</v>
      </c>
      <c r="R11" s="106">
        <v>0</v>
      </c>
      <c r="S11" s="106">
        <v>0</v>
      </c>
      <c r="T11" s="106">
        <v>0</v>
      </c>
      <c r="U11" s="106">
        <v>0</v>
      </c>
      <c r="V11" s="106">
        <v>0</v>
      </c>
      <c r="W11" s="106">
        <v>0</v>
      </c>
      <c r="X11" s="106">
        <v>0</v>
      </c>
      <c r="Y11" s="106">
        <v>0</v>
      </c>
      <c r="Z11" s="106">
        <v>0</v>
      </c>
      <c r="AA11" s="106">
        <v>0</v>
      </c>
      <c r="AB11" s="106">
        <v>0</v>
      </c>
      <c r="AC11" s="106">
        <v>0</v>
      </c>
      <c r="AD11" s="106">
        <v>0</v>
      </c>
      <c r="AE11" s="106">
        <v>0</v>
      </c>
      <c r="AF11" s="106">
        <v>0</v>
      </c>
      <c r="AG11" s="106">
        <v>0</v>
      </c>
      <c r="AH11" s="106">
        <v>0</v>
      </c>
      <c r="AI11" s="106">
        <v>0</v>
      </c>
      <c r="AJ11" s="106">
        <v>0</v>
      </c>
      <c r="AK11" s="106">
        <v>0</v>
      </c>
      <c r="AL11" s="106">
        <v>0</v>
      </c>
      <c r="AM11" s="106">
        <v>0</v>
      </c>
      <c r="AN11" s="106">
        <v>0</v>
      </c>
    </row>
    <row r="12" spans="1:40" hidden="1" outlineLevel="1" x14ac:dyDescent="0.25">
      <c r="B12" s="39" t="str">
        <v>Initial Consultation Expert</v>
      </c>
      <c r="C12" s="3"/>
      <c r="D12" s="3"/>
      <c r="E12" s="106">
        <v>0</v>
      </c>
      <c r="F12" s="106">
        <v>0</v>
      </c>
      <c r="G12" s="106">
        <v>0</v>
      </c>
      <c r="H12" s="106">
        <v>0</v>
      </c>
      <c r="I12" s="106">
        <v>0</v>
      </c>
      <c r="J12" s="106">
        <v>0</v>
      </c>
      <c r="K12" s="106">
        <v>0</v>
      </c>
      <c r="L12" s="106">
        <v>0</v>
      </c>
      <c r="M12" s="106">
        <v>0</v>
      </c>
      <c r="N12" s="106">
        <v>0</v>
      </c>
      <c r="O12" s="106">
        <v>0</v>
      </c>
      <c r="P12" s="106">
        <v>0</v>
      </c>
      <c r="Q12" s="106">
        <v>0</v>
      </c>
      <c r="R12" s="106">
        <v>0</v>
      </c>
      <c r="S12" s="106">
        <v>0</v>
      </c>
      <c r="T12" s="106">
        <v>0</v>
      </c>
      <c r="U12" s="106">
        <v>0</v>
      </c>
      <c r="V12" s="106">
        <v>0</v>
      </c>
      <c r="W12" s="106">
        <v>0</v>
      </c>
      <c r="X12" s="106">
        <v>0</v>
      </c>
      <c r="Y12" s="106">
        <v>0</v>
      </c>
      <c r="Z12" s="106">
        <v>0</v>
      </c>
      <c r="AA12" s="106">
        <v>0</v>
      </c>
      <c r="AB12" s="106">
        <v>0</v>
      </c>
      <c r="AC12" s="106">
        <v>0</v>
      </c>
      <c r="AD12" s="106">
        <v>0</v>
      </c>
      <c r="AE12" s="106">
        <v>0</v>
      </c>
      <c r="AF12" s="106">
        <v>0</v>
      </c>
      <c r="AG12" s="106">
        <v>0</v>
      </c>
      <c r="AH12" s="106">
        <v>0</v>
      </c>
      <c r="AI12" s="106">
        <v>0</v>
      </c>
      <c r="AJ12" s="106">
        <v>0</v>
      </c>
      <c r="AK12" s="106">
        <v>0</v>
      </c>
      <c r="AL12" s="106">
        <v>0.25</v>
      </c>
      <c r="AM12" s="106">
        <v>0.26</v>
      </c>
      <c r="AN12" s="106">
        <v>0.27</v>
      </c>
    </row>
    <row r="13" spans="1:40" hidden="1" outlineLevel="1" x14ac:dyDescent="0.25">
      <c r="B13" s="39" t="str">
        <v>Trainer</v>
      </c>
      <c r="C13" s="3"/>
      <c r="D13" s="3"/>
      <c r="E13" s="106">
        <v>0</v>
      </c>
      <c r="F13" s="106">
        <v>0</v>
      </c>
      <c r="G13" s="106">
        <v>0</v>
      </c>
      <c r="H13" s="106">
        <v>0</v>
      </c>
      <c r="I13" s="106">
        <v>0</v>
      </c>
      <c r="J13" s="106">
        <v>0</v>
      </c>
      <c r="K13" s="106">
        <v>0</v>
      </c>
      <c r="L13" s="106">
        <v>0</v>
      </c>
      <c r="M13" s="106">
        <v>0</v>
      </c>
      <c r="N13" s="106">
        <v>0</v>
      </c>
      <c r="O13" s="106">
        <v>0</v>
      </c>
      <c r="P13" s="106">
        <v>0</v>
      </c>
      <c r="Q13" s="106">
        <v>0</v>
      </c>
      <c r="R13" s="106">
        <v>0</v>
      </c>
      <c r="S13" s="106">
        <v>0</v>
      </c>
      <c r="T13" s="106">
        <v>0</v>
      </c>
      <c r="U13" s="106">
        <v>0</v>
      </c>
      <c r="V13" s="106">
        <v>0</v>
      </c>
      <c r="W13" s="106">
        <v>0</v>
      </c>
      <c r="X13" s="106">
        <v>0</v>
      </c>
      <c r="Y13" s="106">
        <v>0</v>
      </c>
      <c r="Z13" s="106">
        <v>0</v>
      </c>
      <c r="AA13" s="106">
        <v>0</v>
      </c>
      <c r="AB13" s="106">
        <v>0</v>
      </c>
      <c r="AC13" s="106">
        <v>0</v>
      </c>
      <c r="AD13" s="106">
        <v>0</v>
      </c>
      <c r="AE13" s="106">
        <v>0</v>
      </c>
      <c r="AF13" s="106">
        <v>0</v>
      </c>
      <c r="AG13" s="106">
        <v>0</v>
      </c>
      <c r="AH13" s="106">
        <v>0</v>
      </c>
      <c r="AI13" s="106">
        <v>0</v>
      </c>
      <c r="AJ13" s="106">
        <v>0</v>
      </c>
      <c r="AK13" s="106">
        <v>0.02</v>
      </c>
      <c r="AL13" s="106">
        <v>0.35000000000000003</v>
      </c>
      <c r="AM13" s="106">
        <v>0.39</v>
      </c>
      <c r="AN13" s="106">
        <v>0.42</v>
      </c>
    </row>
    <row r="14" spans="1:40" hidden="1" outlineLevel="1" x14ac:dyDescent="0.25">
      <c r="B14" s="39" t="str">
        <v>Recruiter</v>
      </c>
      <c r="C14" s="3"/>
      <c r="D14" s="3"/>
      <c r="E14" s="106">
        <v>0</v>
      </c>
      <c r="F14" s="106">
        <v>0</v>
      </c>
      <c r="G14" s="106">
        <v>0</v>
      </c>
      <c r="H14" s="106">
        <v>0</v>
      </c>
      <c r="I14" s="106">
        <v>0</v>
      </c>
      <c r="J14" s="106">
        <v>0</v>
      </c>
      <c r="K14" s="106">
        <v>0</v>
      </c>
      <c r="L14" s="106">
        <v>0</v>
      </c>
      <c r="M14" s="106">
        <v>0</v>
      </c>
      <c r="N14" s="106">
        <v>0</v>
      </c>
      <c r="O14" s="106">
        <v>0</v>
      </c>
      <c r="P14" s="106">
        <v>0</v>
      </c>
      <c r="Q14" s="106">
        <v>0</v>
      </c>
      <c r="R14" s="106">
        <v>0</v>
      </c>
      <c r="S14" s="106">
        <v>0</v>
      </c>
      <c r="T14" s="106">
        <v>0</v>
      </c>
      <c r="U14" s="106">
        <v>0</v>
      </c>
      <c r="V14" s="106">
        <v>0</v>
      </c>
      <c r="W14" s="106">
        <v>0</v>
      </c>
      <c r="X14" s="106">
        <v>0</v>
      </c>
      <c r="Y14" s="106">
        <v>0</v>
      </c>
      <c r="Z14" s="106">
        <v>0</v>
      </c>
      <c r="AA14" s="106">
        <v>0</v>
      </c>
      <c r="AB14" s="106">
        <v>0</v>
      </c>
      <c r="AC14" s="106">
        <v>0</v>
      </c>
      <c r="AD14" s="106">
        <v>0</v>
      </c>
      <c r="AE14" s="106">
        <v>0</v>
      </c>
      <c r="AF14" s="106">
        <v>0</v>
      </c>
      <c r="AG14" s="106">
        <v>0</v>
      </c>
      <c r="AH14" s="106">
        <v>0</v>
      </c>
      <c r="AI14" s="106">
        <v>0</v>
      </c>
      <c r="AJ14" s="106">
        <v>0</v>
      </c>
      <c r="AK14" s="106">
        <v>0.02</v>
      </c>
      <c r="AL14" s="106">
        <v>0.2</v>
      </c>
      <c r="AM14" s="106">
        <v>0.22</v>
      </c>
      <c r="AN14" s="106">
        <v>0.25</v>
      </c>
    </row>
    <row r="15" spans="1:40" hidden="1" outlineLevel="1" x14ac:dyDescent="0.25">
      <c r="B15" s="39" t="str">
        <v>Center Director / Remote Site Director</v>
      </c>
      <c r="C15" s="3"/>
      <c r="D15" s="3"/>
      <c r="E15" s="106">
        <v>0</v>
      </c>
      <c r="F15" s="106">
        <v>0</v>
      </c>
      <c r="G15" s="106">
        <v>0</v>
      </c>
      <c r="H15" s="106">
        <v>0</v>
      </c>
      <c r="I15" s="106">
        <v>0</v>
      </c>
      <c r="J15" s="106">
        <v>0</v>
      </c>
      <c r="K15" s="106">
        <v>0</v>
      </c>
      <c r="L15" s="106">
        <v>0</v>
      </c>
      <c r="M15" s="106">
        <v>0</v>
      </c>
      <c r="N15" s="106">
        <v>0</v>
      </c>
      <c r="O15" s="106">
        <v>0</v>
      </c>
      <c r="P15" s="106">
        <v>0</v>
      </c>
      <c r="Q15" s="106">
        <v>0</v>
      </c>
      <c r="R15" s="106">
        <v>0</v>
      </c>
      <c r="S15" s="106">
        <v>0</v>
      </c>
      <c r="T15" s="106">
        <v>0</v>
      </c>
      <c r="U15" s="106">
        <v>0</v>
      </c>
      <c r="V15" s="106">
        <v>0</v>
      </c>
      <c r="W15" s="106">
        <v>0</v>
      </c>
      <c r="X15" s="106">
        <v>0</v>
      </c>
      <c r="Y15" s="106">
        <v>0</v>
      </c>
      <c r="Z15" s="106">
        <v>0</v>
      </c>
      <c r="AA15" s="106">
        <v>0</v>
      </c>
      <c r="AB15" s="106">
        <v>0</v>
      </c>
      <c r="AC15" s="106">
        <v>0</v>
      </c>
      <c r="AD15" s="106">
        <v>0</v>
      </c>
      <c r="AE15" s="106">
        <v>0</v>
      </c>
      <c r="AF15" s="106">
        <v>0</v>
      </c>
      <c r="AG15" s="106">
        <v>0</v>
      </c>
      <c r="AH15" s="106">
        <v>0</v>
      </c>
      <c r="AI15" s="106">
        <v>0</v>
      </c>
      <c r="AJ15" s="106">
        <v>0</v>
      </c>
      <c r="AK15" s="106">
        <v>0.02</v>
      </c>
      <c r="AL15" s="106">
        <v>0.03</v>
      </c>
      <c r="AM15" s="106">
        <v>0.04</v>
      </c>
      <c r="AN15" s="106">
        <v>0.05</v>
      </c>
    </row>
    <row r="16" spans="1:40" hidden="1" outlineLevel="1" x14ac:dyDescent="0.25">
      <c r="B16" s="39" t="str">
        <v>Center Marketing Outreach</v>
      </c>
      <c r="C16" s="3"/>
      <c r="D16" s="3"/>
      <c r="E16" s="106">
        <v>0</v>
      </c>
      <c r="F16" s="106">
        <v>0</v>
      </c>
      <c r="G16" s="106">
        <v>0</v>
      </c>
      <c r="H16" s="106">
        <v>0</v>
      </c>
      <c r="I16" s="106">
        <v>0</v>
      </c>
      <c r="J16" s="106">
        <v>0</v>
      </c>
      <c r="K16" s="106">
        <v>0</v>
      </c>
      <c r="L16" s="106">
        <v>0</v>
      </c>
      <c r="M16" s="106">
        <v>0</v>
      </c>
      <c r="N16" s="106">
        <v>0</v>
      </c>
      <c r="O16" s="106">
        <v>0</v>
      </c>
      <c r="P16" s="106">
        <v>0</v>
      </c>
      <c r="Q16" s="106">
        <v>0</v>
      </c>
      <c r="R16" s="106">
        <v>0</v>
      </c>
      <c r="S16" s="106">
        <v>0</v>
      </c>
      <c r="T16" s="106">
        <v>0</v>
      </c>
      <c r="U16" s="106">
        <v>0</v>
      </c>
      <c r="V16" s="106">
        <v>0</v>
      </c>
      <c r="W16" s="106">
        <v>0</v>
      </c>
      <c r="X16" s="106">
        <v>0</v>
      </c>
      <c r="Y16" s="106">
        <v>0</v>
      </c>
      <c r="Z16" s="106">
        <v>0</v>
      </c>
      <c r="AA16" s="106">
        <v>0</v>
      </c>
      <c r="AB16" s="106">
        <v>0</v>
      </c>
      <c r="AC16" s="106">
        <v>0</v>
      </c>
      <c r="AD16" s="106">
        <v>0</v>
      </c>
      <c r="AE16" s="106">
        <v>0</v>
      </c>
      <c r="AF16" s="106">
        <v>0</v>
      </c>
      <c r="AG16" s="106">
        <v>0</v>
      </c>
      <c r="AH16" s="106">
        <v>0</v>
      </c>
      <c r="AI16" s="106">
        <v>0</v>
      </c>
      <c r="AJ16" s="106">
        <v>0</v>
      </c>
      <c r="AK16" s="106">
        <v>0.02</v>
      </c>
      <c r="AL16" s="106">
        <v>0.03</v>
      </c>
      <c r="AM16" s="106">
        <v>0.04</v>
      </c>
      <c r="AN16" s="106">
        <v>0.05</v>
      </c>
    </row>
    <row r="17" spans="2:50" hidden="1" outlineLevel="1" x14ac:dyDescent="0.25">
      <c r="B17" s="39" t="str">
        <v>Primary Direct Staff Lead</v>
      </c>
      <c r="C17" s="3"/>
      <c r="D17" s="3"/>
      <c r="E17" s="106">
        <v>0</v>
      </c>
      <c r="F17" s="106">
        <v>0</v>
      </c>
      <c r="G17" s="106">
        <v>0</v>
      </c>
      <c r="H17" s="106">
        <v>0</v>
      </c>
      <c r="I17" s="106">
        <v>0</v>
      </c>
      <c r="J17" s="106">
        <v>0</v>
      </c>
      <c r="K17" s="106">
        <v>0</v>
      </c>
      <c r="L17" s="106">
        <v>0</v>
      </c>
      <c r="M17" s="106">
        <v>0</v>
      </c>
      <c r="N17" s="106">
        <v>0</v>
      </c>
      <c r="O17" s="106">
        <v>0</v>
      </c>
      <c r="P17" s="106">
        <v>0</v>
      </c>
      <c r="Q17" s="106">
        <v>0</v>
      </c>
      <c r="R17" s="106">
        <v>0</v>
      </c>
      <c r="S17" s="106">
        <v>0</v>
      </c>
      <c r="T17" s="106">
        <v>0</v>
      </c>
      <c r="U17" s="106">
        <v>0</v>
      </c>
      <c r="V17" s="106">
        <v>0</v>
      </c>
      <c r="W17" s="106">
        <v>0</v>
      </c>
      <c r="X17" s="106">
        <v>0</v>
      </c>
      <c r="Y17" s="106">
        <v>0</v>
      </c>
      <c r="Z17" s="106">
        <v>0</v>
      </c>
      <c r="AA17" s="106">
        <v>0</v>
      </c>
      <c r="AB17" s="106">
        <v>0</v>
      </c>
      <c r="AC17" s="106">
        <v>0</v>
      </c>
      <c r="AD17" s="106">
        <v>0</v>
      </c>
      <c r="AE17" s="106">
        <v>0</v>
      </c>
      <c r="AF17" s="106">
        <v>0</v>
      </c>
      <c r="AG17" s="106">
        <v>0</v>
      </c>
      <c r="AH17" s="106">
        <v>0</v>
      </c>
      <c r="AI17" s="106">
        <v>0</v>
      </c>
      <c r="AJ17" s="106">
        <v>0</v>
      </c>
      <c r="AK17" s="106">
        <v>0.3</v>
      </c>
      <c r="AL17" s="106">
        <v>0.6</v>
      </c>
      <c r="AM17" s="106">
        <v>0.9</v>
      </c>
      <c r="AN17" s="106">
        <v>1.2</v>
      </c>
    </row>
    <row r="18" spans="2:50" hidden="1" outlineLevel="1" x14ac:dyDescent="0.25">
      <c r="B18" s="39" t="str">
        <v>Tertiary Direct Staff</v>
      </c>
      <c r="C18" s="3"/>
      <c r="D18" s="3"/>
      <c r="E18" s="106">
        <v>0</v>
      </c>
      <c r="F18" s="106">
        <v>0</v>
      </c>
      <c r="G18" s="106">
        <v>0</v>
      </c>
      <c r="H18" s="106">
        <v>0</v>
      </c>
      <c r="I18" s="106">
        <v>0</v>
      </c>
      <c r="J18" s="106">
        <v>0</v>
      </c>
      <c r="K18" s="106">
        <v>0</v>
      </c>
      <c r="L18" s="106">
        <v>0</v>
      </c>
      <c r="M18" s="106">
        <v>0</v>
      </c>
      <c r="N18" s="106">
        <v>0</v>
      </c>
      <c r="O18" s="106">
        <v>0</v>
      </c>
      <c r="P18" s="106">
        <v>0</v>
      </c>
      <c r="Q18" s="106">
        <v>0</v>
      </c>
      <c r="R18" s="106">
        <v>0</v>
      </c>
      <c r="S18" s="106">
        <v>0</v>
      </c>
      <c r="T18" s="106">
        <v>0</v>
      </c>
      <c r="U18" s="106">
        <v>0</v>
      </c>
      <c r="V18" s="106">
        <v>0</v>
      </c>
      <c r="W18" s="106">
        <v>0</v>
      </c>
      <c r="X18" s="106">
        <v>0</v>
      </c>
      <c r="Y18" s="106">
        <v>0</v>
      </c>
      <c r="Z18" s="106">
        <v>0</v>
      </c>
      <c r="AA18" s="106">
        <v>0</v>
      </c>
      <c r="AB18" s="106">
        <v>0</v>
      </c>
      <c r="AC18" s="106">
        <v>0</v>
      </c>
      <c r="AD18" s="106">
        <v>0</v>
      </c>
      <c r="AE18" s="106">
        <v>0</v>
      </c>
      <c r="AF18" s="106">
        <v>0</v>
      </c>
      <c r="AG18" s="106">
        <v>0</v>
      </c>
      <c r="AH18" s="106">
        <v>0</v>
      </c>
      <c r="AI18" s="106">
        <v>0</v>
      </c>
      <c r="AJ18" s="106">
        <v>0</v>
      </c>
      <c r="AK18" s="106">
        <v>0</v>
      </c>
      <c r="AL18" s="106">
        <v>0</v>
      </c>
      <c r="AM18" s="106">
        <v>0</v>
      </c>
      <c r="AN18" s="106">
        <v>0</v>
      </c>
    </row>
    <row r="19" spans="2:50" hidden="1" outlineLevel="1" x14ac:dyDescent="0.25">
      <c r="B19" s="39" t="str">
        <v>Quinary Direct Staff</v>
      </c>
      <c r="C19" s="3"/>
      <c r="D19" s="3"/>
      <c r="E19" s="106">
        <v>0</v>
      </c>
      <c r="F19" s="106">
        <v>0</v>
      </c>
      <c r="G19" s="106">
        <v>0</v>
      </c>
      <c r="H19" s="106">
        <v>0</v>
      </c>
      <c r="I19" s="106">
        <v>0</v>
      </c>
      <c r="J19" s="106">
        <v>0</v>
      </c>
      <c r="K19" s="106">
        <v>0</v>
      </c>
      <c r="L19" s="106">
        <v>0</v>
      </c>
      <c r="M19" s="106">
        <v>0</v>
      </c>
      <c r="N19" s="106">
        <v>0</v>
      </c>
      <c r="O19" s="106">
        <v>0</v>
      </c>
      <c r="P19" s="106">
        <v>0</v>
      </c>
      <c r="Q19" s="106">
        <v>0</v>
      </c>
      <c r="R19" s="106">
        <v>0</v>
      </c>
      <c r="S19" s="106">
        <v>0</v>
      </c>
      <c r="T19" s="106">
        <v>0</v>
      </c>
      <c r="U19" s="106">
        <v>0</v>
      </c>
      <c r="V19" s="106">
        <v>0</v>
      </c>
      <c r="W19" s="106">
        <v>0</v>
      </c>
      <c r="X19" s="106">
        <v>0</v>
      </c>
      <c r="Y19" s="106">
        <v>0</v>
      </c>
      <c r="Z19" s="106">
        <v>0</v>
      </c>
      <c r="AA19" s="106">
        <v>0</v>
      </c>
      <c r="AB19" s="106">
        <v>0</v>
      </c>
      <c r="AC19" s="106">
        <v>0</v>
      </c>
      <c r="AD19" s="106">
        <v>0</v>
      </c>
      <c r="AE19" s="106">
        <v>0</v>
      </c>
      <c r="AF19" s="106">
        <v>0</v>
      </c>
      <c r="AG19" s="106">
        <v>0</v>
      </c>
      <c r="AH19" s="106">
        <v>0</v>
      </c>
      <c r="AI19" s="106">
        <v>0</v>
      </c>
      <c r="AJ19" s="106">
        <v>0</v>
      </c>
      <c r="AK19" s="106">
        <v>0</v>
      </c>
      <c r="AL19" s="106">
        <v>0</v>
      </c>
      <c r="AM19" s="106">
        <v>0</v>
      </c>
      <c r="AN19" s="106">
        <v>0</v>
      </c>
    </row>
    <row r="20" spans="2:50" hidden="1" outlineLevel="1" x14ac:dyDescent="0.25">
      <c r="B20" s="39" t="str">
        <v>Quaternary Direct Staff</v>
      </c>
      <c r="C20" s="3"/>
      <c r="D20" s="3"/>
      <c r="E20" s="106">
        <v>0</v>
      </c>
      <c r="F20" s="106">
        <v>0</v>
      </c>
      <c r="G20" s="106">
        <v>0</v>
      </c>
      <c r="H20" s="106">
        <v>0</v>
      </c>
      <c r="I20" s="106">
        <v>0</v>
      </c>
      <c r="J20" s="106">
        <v>0</v>
      </c>
      <c r="K20" s="106">
        <v>0</v>
      </c>
      <c r="L20" s="106">
        <v>0</v>
      </c>
      <c r="M20" s="106">
        <v>0</v>
      </c>
      <c r="N20" s="106">
        <v>0</v>
      </c>
      <c r="O20" s="106">
        <v>0</v>
      </c>
      <c r="P20" s="106">
        <v>0</v>
      </c>
      <c r="Q20" s="106">
        <v>0</v>
      </c>
      <c r="R20" s="106">
        <v>0</v>
      </c>
      <c r="S20" s="106">
        <v>0</v>
      </c>
      <c r="T20" s="106">
        <v>0</v>
      </c>
      <c r="U20" s="106">
        <v>0</v>
      </c>
      <c r="V20" s="106">
        <v>0</v>
      </c>
      <c r="W20" s="106">
        <v>0</v>
      </c>
      <c r="X20" s="106">
        <v>0</v>
      </c>
      <c r="Y20" s="106">
        <v>0</v>
      </c>
      <c r="Z20" s="106">
        <v>0</v>
      </c>
      <c r="AA20" s="106">
        <v>0</v>
      </c>
      <c r="AB20" s="106">
        <v>0</v>
      </c>
      <c r="AC20" s="106">
        <v>0</v>
      </c>
      <c r="AD20" s="106">
        <v>0</v>
      </c>
      <c r="AE20" s="106">
        <v>0</v>
      </c>
      <c r="AF20" s="106">
        <v>0</v>
      </c>
      <c r="AG20" s="106">
        <v>0</v>
      </c>
      <c r="AH20" s="106">
        <v>0</v>
      </c>
      <c r="AI20" s="106">
        <v>0</v>
      </c>
      <c r="AJ20" s="106">
        <v>0</v>
      </c>
      <c r="AK20" s="106">
        <v>1</v>
      </c>
      <c r="AL20" s="106">
        <v>1</v>
      </c>
      <c r="AM20" s="106">
        <v>1</v>
      </c>
      <c r="AN20" s="106">
        <v>1</v>
      </c>
    </row>
    <row r="21" spans="2:50" collapsed="1" x14ac:dyDescent="0.25">
      <c r="B21" s="39" t="s">
        <v>389</v>
      </c>
      <c r="C21" s="3"/>
      <c r="D21" s="5"/>
      <c r="E21" s="117" cm="1">
        <f t="array" ref="E21:AN21">ROUND(_xlfn.BYCOL(_xlfn.CHOOSEROWS(_xlfn.ANCHORARRAY(E7),1,2),_xlfn.LAMBDA(_xlpm.col,SUM(_xlpm.col))),0)</f>
        <v>0</v>
      </c>
      <c r="F21" s="117">
        <v>0</v>
      </c>
      <c r="G21" s="117">
        <v>0</v>
      </c>
      <c r="H21" s="117">
        <v>0</v>
      </c>
      <c r="I21" s="117">
        <v>0</v>
      </c>
      <c r="J21" s="117">
        <v>0</v>
      </c>
      <c r="K21" s="117">
        <v>0</v>
      </c>
      <c r="L21" s="117">
        <v>0</v>
      </c>
      <c r="M21" s="117">
        <v>0</v>
      </c>
      <c r="N21" s="117">
        <v>0</v>
      </c>
      <c r="O21" s="117">
        <v>0</v>
      </c>
      <c r="P21" s="117">
        <v>0</v>
      </c>
      <c r="Q21" s="117">
        <v>0</v>
      </c>
      <c r="R21" s="117">
        <v>0</v>
      </c>
      <c r="S21" s="117">
        <v>0</v>
      </c>
      <c r="T21" s="117">
        <v>0</v>
      </c>
      <c r="U21" s="117">
        <v>0</v>
      </c>
      <c r="V21" s="117">
        <v>0</v>
      </c>
      <c r="W21" s="117">
        <v>0</v>
      </c>
      <c r="X21" s="117">
        <v>0</v>
      </c>
      <c r="Y21" s="117">
        <v>0</v>
      </c>
      <c r="Z21" s="117">
        <v>0</v>
      </c>
      <c r="AA21" s="117">
        <v>0</v>
      </c>
      <c r="AB21" s="117">
        <v>0</v>
      </c>
      <c r="AC21" s="117">
        <v>0</v>
      </c>
      <c r="AD21" s="117">
        <v>0</v>
      </c>
      <c r="AE21" s="117">
        <v>0</v>
      </c>
      <c r="AF21" s="117">
        <v>0</v>
      </c>
      <c r="AG21" s="117">
        <v>0</v>
      </c>
      <c r="AH21" s="117">
        <v>0</v>
      </c>
      <c r="AI21" s="117">
        <v>0</v>
      </c>
      <c r="AJ21" s="117">
        <v>0</v>
      </c>
      <c r="AK21" s="117">
        <v>3</v>
      </c>
      <c r="AL21" s="117">
        <v>7</v>
      </c>
      <c r="AM21" s="117">
        <v>10</v>
      </c>
      <c r="AN21" s="117">
        <v>13</v>
      </c>
    </row>
    <row r="22" spans="2:50" x14ac:dyDescent="0.25">
      <c r="B22" s="2" t="s">
        <v>394</v>
      </c>
      <c r="C22" s="3"/>
      <c r="D22" s="77">
        <f>MAX(_xlfn.ANCHORARRAY(E22))</f>
        <v>170.02883240223466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0</v>
      </c>
      <c r="F22" s="78">
        <v>0</v>
      </c>
      <c r="G22" s="78">
        <v>0</v>
      </c>
      <c r="H22" s="78">
        <v>0</v>
      </c>
      <c r="I22" s="78">
        <v>0</v>
      </c>
      <c r="J22" s="78">
        <v>0</v>
      </c>
      <c r="K22" s="78">
        <v>0</v>
      </c>
      <c r="L22" s="78">
        <v>0</v>
      </c>
      <c r="M22" s="78">
        <v>0</v>
      </c>
      <c r="N22" s="78">
        <v>0</v>
      </c>
      <c r="O22" s="78">
        <v>0</v>
      </c>
      <c r="P22" s="78">
        <v>0</v>
      </c>
      <c r="Q22" s="78">
        <v>0</v>
      </c>
      <c r="R22" s="78">
        <v>0</v>
      </c>
      <c r="S22" s="78">
        <v>0</v>
      </c>
      <c r="T22" s="78">
        <v>0</v>
      </c>
      <c r="U22" s="78">
        <v>0</v>
      </c>
      <c r="V22" s="78">
        <v>0</v>
      </c>
      <c r="W22" s="78">
        <v>0</v>
      </c>
      <c r="X22" s="78">
        <v>0</v>
      </c>
      <c r="Y22" s="78">
        <v>0</v>
      </c>
      <c r="Z22" s="78">
        <v>0</v>
      </c>
      <c r="AA22" s="78">
        <v>0</v>
      </c>
      <c r="AB22" s="78">
        <v>0</v>
      </c>
      <c r="AC22" s="78">
        <v>0</v>
      </c>
      <c r="AD22" s="78">
        <v>0</v>
      </c>
      <c r="AE22" s="78">
        <v>0</v>
      </c>
      <c r="AF22" s="78">
        <v>0</v>
      </c>
      <c r="AG22" s="78">
        <v>0</v>
      </c>
      <c r="AH22" s="78">
        <v>0</v>
      </c>
      <c r="AI22" s="78">
        <v>0</v>
      </c>
      <c r="AJ22" s="78">
        <v>0</v>
      </c>
      <c r="AK22" s="78">
        <v>170.02883240223466</v>
      </c>
      <c r="AL22" s="78">
        <v>170.02883240223466</v>
      </c>
      <c r="AM22" s="78">
        <v>170.02883240223466</v>
      </c>
      <c r="AN22" s="78">
        <v>170.02883240223466</v>
      </c>
    </row>
    <row r="23" spans="2:50" x14ac:dyDescent="0.25">
      <c r="B23" s="2" t="s">
        <v>53</v>
      </c>
      <c r="C23" s="3"/>
      <c r="D23" s="72"/>
      <c r="E23" s="52" cm="1">
        <f t="array" ref="E23:AN23">_xlfn.LET(_xlpm.site,$B$1&amp;"-"&amp;$C$1,_xlpm.locations,Base!$D$4:$BD$4,_xlpm.Customer,_xlfn.ANCHORARRAY(E1),_xlpm.hours,SUM(_xlfn.XLOOKUP(_xlpm.site,_xlpm.locations,Base!$D$74:$BD$78,0,0)),
_xlpm.collection,1-_xlfn.XLOOKUP(_xlpm.site,_xlpm.locations,Base!$D$26:$BD$26,0,0),
_xlpm.Customer*_xlpm.hours*_xlpm.collection*(52/12))</f>
        <v>0</v>
      </c>
      <c r="F23" s="52">
        <v>0</v>
      </c>
      <c r="G23" s="52">
        <v>0</v>
      </c>
      <c r="H23" s="52">
        <v>0</v>
      </c>
      <c r="I23" s="52">
        <v>0</v>
      </c>
      <c r="J23" s="52">
        <v>0</v>
      </c>
      <c r="K23" s="52">
        <v>0</v>
      </c>
      <c r="L23" s="52">
        <v>0</v>
      </c>
      <c r="M23" s="52">
        <v>0</v>
      </c>
      <c r="N23" s="52">
        <v>0</v>
      </c>
      <c r="O23" s="52">
        <v>0</v>
      </c>
      <c r="P23" s="52">
        <v>0</v>
      </c>
      <c r="Q23" s="52">
        <v>0</v>
      </c>
      <c r="R23" s="52">
        <v>0</v>
      </c>
      <c r="S23" s="52">
        <v>0</v>
      </c>
      <c r="T23" s="52">
        <v>0</v>
      </c>
      <c r="U23" s="52">
        <v>0</v>
      </c>
      <c r="V23" s="52">
        <v>0</v>
      </c>
      <c r="W23" s="52">
        <v>0</v>
      </c>
      <c r="X23" s="52">
        <v>0</v>
      </c>
      <c r="Y23" s="52">
        <v>0</v>
      </c>
      <c r="Z23" s="52">
        <v>0</v>
      </c>
      <c r="AA23" s="52">
        <v>0</v>
      </c>
      <c r="AB23" s="52">
        <v>0</v>
      </c>
      <c r="AC23" s="52">
        <v>0</v>
      </c>
      <c r="AD23" s="52">
        <v>0</v>
      </c>
      <c r="AE23" s="52">
        <v>0</v>
      </c>
      <c r="AF23" s="52">
        <v>0</v>
      </c>
      <c r="AG23" s="52">
        <v>0</v>
      </c>
      <c r="AH23" s="52">
        <v>0</v>
      </c>
      <c r="AI23" s="52">
        <v>0</v>
      </c>
      <c r="AJ23" s="52">
        <v>0</v>
      </c>
      <c r="AK23" s="52">
        <v>315.03999999999996</v>
      </c>
      <c r="AL23" s="52">
        <v>630.07999999999993</v>
      </c>
      <c r="AM23" s="52">
        <v>945.11999999999989</v>
      </c>
      <c r="AN23" s="52">
        <v>1260.1599999999999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21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_xlfn.LET(_xlpm.site,$B$1&amp;"-"&amp;$C$1,_xlpm.locations,Base!$D$4:$BD$4,_xlpm.rates,Base!$D31:$BD31,_xlpm.hours,Base!$D74:$BD74,_xlpm.comp,_xlpm.rates*_xlpm.hours,_xlpm.Customer,_xlfn.ANCHORARRAY($E$1),
_xlpm.Customer_comp,_xlfn.XLOOKUP(_xlpm.site,_xlpm.locations,_xlpm.comp,0,0),_xlpm.ann_incr,_xlfn.XLOOKUP(YEAR(_xlfn.ANCHORARRAY($E$25)),Base!$BJ$4:$BL$4,Base!$BJ74:$BL74,0,0),
_xlpm.bad_debt,_xlfn.XLOOKUP(_xlpm.site,_xlpm.locations,Base!$D$28:$BD$28,0,0),_xlpm.Customer_comp*_xlpm.Customer*_xlpm.bad_debt*_xlpm.ann_incr*(52/12))</f>
        <v>0</v>
      </c>
      <c r="F26" s="12">
        <v>0</v>
      </c>
      <c r="G26" s="12">
        <v>0</v>
      </c>
      <c r="H26" s="12">
        <v>0</v>
      </c>
      <c r="I26" s="12">
        <v>0</v>
      </c>
      <c r="J26" s="12">
        <v>0</v>
      </c>
      <c r="K26" s="12">
        <v>0</v>
      </c>
      <c r="L26" s="12">
        <v>0</v>
      </c>
      <c r="M26" s="12">
        <v>0</v>
      </c>
      <c r="N26" s="12">
        <v>0</v>
      </c>
      <c r="O26" s="12">
        <v>0</v>
      </c>
      <c r="P26" s="12">
        <v>0</v>
      </c>
      <c r="Q26" s="12">
        <v>0</v>
      </c>
      <c r="R26" s="12">
        <v>0</v>
      </c>
      <c r="S26" s="12">
        <v>0</v>
      </c>
      <c r="T26" s="12">
        <v>0</v>
      </c>
      <c r="U26" s="12">
        <v>0</v>
      </c>
      <c r="V26" s="12">
        <v>0</v>
      </c>
      <c r="W26" s="12">
        <v>0</v>
      </c>
      <c r="X26" s="12">
        <v>0</v>
      </c>
      <c r="Y26" s="12">
        <v>0</v>
      </c>
      <c r="Z26" s="12">
        <v>0</v>
      </c>
      <c r="AA26" s="12">
        <v>0</v>
      </c>
      <c r="AB26" s="12">
        <v>0</v>
      </c>
      <c r="AC26" s="12">
        <v>0</v>
      </c>
      <c r="AD26" s="12">
        <v>0</v>
      </c>
      <c r="AE26" s="12">
        <v>0</v>
      </c>
      <c r="AF26" s="12">
        <v>0</v>
      </c>
      <c r="AG26" s="12">
        <v>0</v>
      </c>
      <c r="AH26" s="12">
        <v>0</v>
      </c>
      <c r="AI26" s="12">
        <v>0</v>
      </c>
      <c r="AJ26" s="12">
        <v>0</v>
      </c>
      <c r="AK26" s="12">
        <v>46796.978800000004</v>
      </c>
      <c r="AL26" s="12">
        <v>93593.957600000009</v>
      </c>
      <c r="AM26" s="12">
        <v>140390.93640000001</v>
      </c>
      <c r="AN26" s="12">
        <v>187187.91520000002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_xlfn.LET(_xlpm.site,$B$1&amp;"-"&amp;$C$1,_xlpm.locations,Base!$D$4:$BD$4,_xlpm.rates,Base!$D32:$BD32,_xlpm.hours,Base!$D75:$BD75,_xlpm.comp,_xlpm.rates*_xlpm.hours,_xlpm.Customer,_xlfn.ANCHORARRAY($E$1),
_xlpm.Customer_comp,_xlfn.XLOOKUP(_xlpm.site,_xlpm.locations,_xlpm.comp,0,0),_xlpm.ann_incr,_xlfn.XLOOKUP(YEAR(_xlfn.ANCHORARRAY($E$25)),Base!$BJ$4:$BL$4,Base!$BJ75:$BL75,0,0),
_xlpm.bad_debt,_xlfn.XLOOKUP(_xlpm.site,_xlpm.locations,Base!$D$28:$BD$28,0,0),_xlpm.Customer_comp*_xlpm.Customer*_xlpm.bad_debt*_xlpm.ann_incr*(52/12))</f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12">
        <v>0</v>
      </c>
      <c r="AA27" s="12">
        <v>0</v>
      </c>
      <c r="AB27" s="12">
        <v>0</v>
      </c>
      <c r="AC27" s="12">
        <v>0</v>
      </c>
      <c r="AD27" s="12">
        <v>0</v>
      </c>
      <c r="AE27" s="12">
        <v>0</v>
      </c>
      <c r="AF27" s="12">
        <v>0</v>
      </c>
      <c r="AG27" s="12">
        <v>0</v>
      </c>
      <c r="AH27" s="12">
        <v>0</v>
      </c>
      <c r="AI27" s="12">
        <v>0</v>
      </c>
      <c r="AJ27" s="12">
        <v>0</v>
      </c>
      <c r="AK27" s="12">
        <v>2743.8788</v>
      </c>
      <c r="AL27" s="12">
        <v>5487.7575999999999</v>
      </c>
      <c r="AM27" s="12">
        <v>8231.6363999999994</v>
      </c>
      <c r="AN27" s="12">
        <v>10975.5152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_xlfn.LET(_xlpm.site,$B$1&amp;"-"&amp;$C$1,_xlpm.locations,Base!$D$4:$BD$4,_xlpm.rates,Base!$D33:$BD33,_xlpm.hours,Base!$D76:$BD76,_xlpm.comp,_xlpm.rates*_xlpm.hours,_xlpm.Customer,_xlfn.ANCHORARRAY($E$1),
_xlpm.Customer_comp,_xlfn.XLOOKUP(_xlpm.site,_xlpm.locations,_xlpm.comp,0,0),_xlpm.ann_incr,_xlfn.XLOOKUP(YEAR(_xlfn.ANCHORARRAY($E$25)),Base!$BJ$4:$BL$4,Base!$BJ76:$BL76,0,0),
_xlpm.bad_debt,_xlfn.XLOOKUP(_xlpm.site,_xlpm.locations,Base!$D$28:$BD$28,0,0),_xlpm.Customer_comp*_xlpm.Customer*_xlpm.bad_debt*_xlpm.ann_incr*(52/12))</f>
        <v>0</v>
      </c>
      <c r="F28" s="12">
        <v>0</v>
      </c>
      <c r="G28" s="12">
        <v>0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0</v>
      </c>
      <c r="N28" s="12">
        <v>0</v>
      </c>
      <c r="O28" s="12">
        <v>0</v>
      </c>
      <c r="P28" s="12">
        <v>0</v>
      </c>
      <c r="Q28" s="12">
        <v>0</v>
      </c>
      <c r="R28" s="12">
        <v>0</v>
      </c>
      <c r="S28" s="12">
        <v>0</v>
      </c>
      <c r="T28" s="12">
        <v>0</v>
      </c>
      <c r="U28" s="12">
        <v>0</v>
      </c>
      <c r="V28" s="12">
        <v>0</v>
      </c>
      <c r="W28" s="12">
        <v>0</v>
      </c>
      <c r="X28" s="12">
        <v>0</v>
      </c>
      <c r="Y28" s="12">
        <v>0</v>
      </c>
      <c r="Z28" s="12">
        <v>0</v>
      </c>
      <c r="AA28" s="12">
        <v>0</v>
      </c>
      <c r="AB28" s="12">
        <v>0</v>
      </c>
      <c r="AC28" s="12">
        <v>0</v>
      </c>
      <c r="AD28" s="12">
        <v>0</v>
      </c>
      <c r="AE28" s="12">
        <v>0</v>
      </c>
      <c r="AF28" s="12">
        <v>0</v>
      </c>
      <c r="AG28" s="12">
        <v>0</v>
      </c>
      <c r="AH28" s="12">
        <v>0</v>
      </c>
      <c r="AI28" s="12">
        <v>0</v>
      </c>
      <c r="AJ28" s="12">
        <v>0</v>
      </c>
      <c r="AK28" s="12">
        <v>6521.1174599999977</v>
      </c>
      <c r="AL28" s="12">
        <v>13042.234919999995</v>
      </c>
      <c r="AM28" s="12">
        <v>19563.352379999993</v>
      </c>
      <c r="AN28" s="12">
        <v>26084.469839999991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_xlfn.LET(_xlpm.site,$B$1&amp;"-"&amp;$C$1,_xlpm.locations,Base!$D$4:$BD$4,_xlpm.rates,Base!$D34:$BD34,_xlpm.hours,Base!$D77:$BD77,_xlpm.comp,_xlpm.rates*_xlpm.hours,_xlpm.Customer,_xlfn.ANCHORARRAY($E$1),
_xlpm.Customer_comp,_xlfn.XLOOKUP(_xlpm.site,_xlpm.locations,_xlpm.comp,0,0),_xlpm.ann_incr,_xlfn.XLOOKUP(YEAR(_xlfn.ANCHORARRAY($E$25)),Base!$BJ$4:$BL$4,Base!$BJ77:$BL77,0,0),
_xlpm.bad_debt,_xlfn.XLOOKUP(_xlpm.site,_xlpm.locations,Base!$D$28:$BD$28,0,0),_xlpm.Customer_comp*_xlpm.Customer*_xlpm.bad_debt*_xlpm.ann_incr*(52/12))</f>
        <v>0</v>
      </c>
      <c r="F29" s="12">
        <v>0</v>
      </c>
      <c r="G29" s="12">
        <v>0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0</v>
      </c>
      <c r="N29" s="12">
        <v>0</v>
      </c>
      <c r="O29" s="12">
        <v>0</v>
      </c>
      <c r="P29" s="12">
        <v>0</v>
      </c>
      <c r="Q29" s="12">
        <v>0</v>
      </c>
      <c r="R29" s="12">
        <v>0</v>
      </c>
      <c r="S29" s="12">
        <v>0</v>
      </c>
      <c r="T29" s="12">
        <v>0</v>
      </c>
      <c r="U29" s="12">
        <v>0</v>
      </c>
      <c r="V29" s="12">
        <v>0</v>
      </c>
      <c r="W29" s="12">
        <v>0</v>
      </c>
      <c r="X29" s="12">
        <v>0</v>
      </c>
      <c r="Y29" s="12">
        <v>0</v>
      </c>
      <c r="Z29" s="12">
        <v>0</v>
      </c>
      <c r="AA29" s="12">
        <v>0</v>
      </c>
      <c r="AB29" s="12">
        <v>0</v>
      </c>
      <c r="AC29" s="12">
        <v>0</v>
      </c>
      <c r="AD29" s="12">
        <v>0</v>
      </c>
      <c r="AE29" s="12">
        <v>0</v>
      </c>
      <c r="AF29" s="12">
        <v>0</v>
      </c>
      <c r="AG29" s="12">
        <v>0</v>
      </c>
      <c r="AH29" s="12">
        <v>0</v>
      </c>
      <c r="AI29" s="12">
        <v>0</v>
      </c>
      <c r="AJ29" s="12">
        <v>0</v>
      </c>
      <c r="AK29" s="12">
        <v>501.62441999999999</v>
      </c>
      <c r="AL29" s="12">
        <v>1003.24884</v>
      </c>
      <c r="AM29" s="12">
        <v>1504.8732600000001</v>
      </c>
      <c r="AN29" s="12">
        <v>2006.4976799999999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_xlfn.LET(_xlpm.site,$B$1&amp;"-"&amp;$C$1,_xlpm.locations,Base!$D$4:$BD$4,_xlpm.rates,Base!$D35:$BD35,_xlpm.hours,Base!$D78:$BD78,_xlpm.comp,_xlpm.rates*_xlpm.hours,_xlpm.Customer,_xlfn.ANCHORARRAY($E$1),
_xlpm.Customer_comp,_xlfn.XLOOKUP(_xlpm.site,_xlpm.locations,_xlpm.comp,0,0),_xlpm.ann_incr,_xlfn.XLOOKUP(YEAR(_xlfn.ANCHORARRAY($E$25)),Base!$BJ$4:$BL$4,Base!$BJ78:$BL78,0,0),
_xlpm.bad_debt,_xlfn.XLOOKUP(_xlpm.site,_xlpm.locations,Base!$D$28:$BD$28,0,0),_xlpm.Customer_comp*_xlpm.Customer*_xlpm.bad_debt*_xlpm.ann_incr*(52/12))</f>
        <v>0</v>
      </c>
      <c r="F30" s="12">
        <v>0</v>
      </c>
      <c r="G30" s="12">
        <v>0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0</v>
      </c>
      <c r="N30" s="12">
        <v>0</v>
      </c>
      <c r="O30" s="12">
        <v>0</v>
      </c>
      <c r="P30" s="12">
        <v>0</v>
      </c>
      <c r="Q30" s="12">
        <v>0</v>
      </c>
      <c r="R30" s="12">
        <v>0</v>
      </c>
      <c r="S30" s="12">
        <v>0</v>
      </c>
      <c r="T30" s="12">
        <v>0</v>
      </c>
      <c r="U30" s="12">
        <v>0</v>
      </c>
      <c r="V30" s="12">
        <v>0</v>
      </c>
      <c r="W30" s="12">
        <v>0</v>
      </c>
      <c r="X30" s="12">
        <v>0</v>
      </c>
      <c r="Y30" s="12">
        <v>0</v>
      </c>
      <c r="Z30" s="12">
        <v>0</v>
      </c>
      <c r="AA30" s="12">
        <v>0</v>
      </c>
      <c r="AB30" s="12">
        <v>0</v>
      </c>
      <c r="AC30" s="12">
        <v>0</v>
      </c>
      <c r="AD30" s="12">
        <v>0</v>
      </c>
      <c r="AE30" s="12">
        <v>0</v>
      </c>
      <c r="AF30" s="12">
        <v>0</v>
      </c>
      <c r="AG30" s="12">
        <v>0</v>
      </c>
      <c r="AH30" s="12">
        <v>0</v>
      </c>
      <c r="AI30" s="12">
        <v>0</v>
      </c>
      <c r="AJ30" s="12">
        <v>0</v>
      </c>
      <c r="AK30" s="12">
        <v>654.50319999999988</v>
      </c>
      <c r="AL30" s="12">
        <v>1309.0063999999998</v>
      </c>
      <c r="AM30" s="12">
        <v>1963.5095999999999</v>
      </c>
      <c r="AN30" s="12">
        <v>2618.0127999999995</v>
      </c>
    </row>
    <row r="31" spans="2:50" x14ac:dyDescent="0.25">
      <c r="B31" s="39" t="str">
        <f>Base!B36</f>
        <v>Tertiary Direct Staff - Service A</v>
      </c>
      <c r="C31" s="4"/>
      <c r="E31" s="183" cm="1">
        <f t="array" ref="E31:AN31">_xlfn.LET(_xlpm.site,$B$1&amp;"-"&amp;$C$1,_xlpm.locations,Base!$D$4:$BD$4,_xlpm.rates,Base!$D36:$BD36,_xlpm.hours,Base!$D79:$BD79,_xlpm.comp,_xlpm.rates*_xlpm.hours,_xlpm.Customer,_xlfn.ANCHORARRAY($E$1)*0,
_xlpm.Customer_comp,_xlfn.XLOOKUP(_xlpm.site,_xlpm.locations,_xlpm.comp,0,0),_xlpm.ann_incr,_xlfn.XLOOKUP(YEAR(_xlfn.ANCHORARRAY($E$25)),Base!$BJ$4:$BL$4,Base!$BJ79:$BL79,0,0),
_xlpm.bad_debt,_xlfn.XLOOKUP(_xlpm.site,_xlpm.locations,Base!$D$28:$BD$28,0,0),_xlpm.Customer_comp*_xlpm.Customer*_xlpm.bad_debt*_xlpm.ann_incr*(52/12))</f>
        <v>0</v>
      </c>
      <c r="F31" s="183">
        <v>0</v>
      </c>
      <c r="G31" s="183">
        <v>0</v>
      </c>
      <c r="H31" s="183">
        <v>0</v>
      </c>
      <c r="I31" s="183">
        <v>0</v>
      </c>
      <c r="J31" s="183">
        <v>0</v>
      </c>
      <c r="K31" s="183">
        <v>0</v>
      </c>
      <c r="L31" s="183">
        <v>0</v>
      </c>
      <c r="M31" s="183">
        <v>0</v>
      </c>
      <c r="N31" s="183">
        <v>0</v>
      </c>
      <c r="O31" s="183">
        <v>0</v>
      </c>
      <c r="P31" s="183">
        <v>0</v>
      </c>
      <c r="Q31" s="183">
        <v>0</v>
      </c>
      <c r="R31" s="183">
        <v>0</v>
      </c>
      <c r="S31" s="183">
        <v>0</v>
      </c>
      <c r="T31" s="183">
        <v>0</v>
      </c>
      <c r="U31" s="183">
        <v>0</v>
      </c>
      <c r="V31" s="183">
        <v>0</v>
      </c>
      <c r="W31" s="183">
        <v>0</v>
      </c>
      <c r="X31" s="183">
        <v>0</v>
      </c>
      <c r="Y31" s="183">
        <v>0</v>
      </c>
      <c r="Z31" s="183">
        <v>0</v>
      </c>
      <c r="AA31" s="183">
        <v>0</v>
      </c>
      <c r="AB31" s="183">
        <v>0</v>
      </c>
      <c r="AC31" s="183">
        <v>0</v>
      </c>
      <c r="AD31" s="183">
        <v>0</v>
      </c>
      <c r="AE31" s="183">
        <v>0</v>
      </c>
      <c r="AF31" s="183">
        <v>0</v>
      </c>
      <c r="AG31" s="183">
        <v>0</v>
      </c>
      <c r="AH31" s="183">
        <v>0</v>
      </c>
      <c r="AI31" s="183">
        <v>0</v>
      </c>
      <c r="AJ31" s="183">
        <v>0</v>
      </c>
      <c r="AK31" s="183">
        <v>0</v>
      </c>
      <c r="AL31" s="183">
        <v>0</v>
      </c>
      <c r="AM31" s="183">
        <v>0</v>
      </c>
      <c r="AN31" s="183">
        <v>0</v>
      </c>
    </row>
    <row r="32" spans="2:50" x14ac:dyDescent="0.25">
      <c r="B32" s="39" t="str">
        <f>Base!B37</f>
        <v>Tertiary Direct Staff - Service B</v>
      </c>
      <c r="C32" s="4"/>
      <c r="E32" s="183" cm="1">
        <f t="array" ref="E32:AN32">_xlfn.LET(_xlpm.site,$B$1&amp;"-"&amp;$C$1,_xlpm.locations,Base!$D$4:$BD$4,_xlpm.rates,Base!$D37:$BD37,_xlpm.hours,Base!$D80:$BD80,_xlpm.comp,_xlpm.rates*_xlpm.hours,_xlpm.Customer,_xlfn.ANCHORARRAY($E$1)*0,
_xlpm.Customer_comp,_xlfn.XLOOKUP(_xlpm.site,_xlpm.locations,_xlpm.comp,0,0),_xlpm.ann_incr,_xlfn.XLOOKUP(YEAR(_xlfn.ANCHORARRAY($E$25)),Base!$BJ$4:$BL$4,Base!$BJ80:$BL80,0,0),
_xlpm.bad_debt,_xlfn.XLOOKUP(_xlpm.site,_xlpm.locations,Base!$D$28:$BD$28,0,0),_xlpm.Customer_comp*_xlpm.Customer*_xlpm.bad_debt*_xlpm.ann_incr*(52/12))</f>
        <v>0</v>
      </c>
      <c r="F32" s="183">
        <v>0</v>
      </c>
      <c r="G32" s="183">
        <v>0</v>
      </c>
      <c r="H32" s="183">
        <v>0</v>
      </c>
      <c r="I32" s="183">
        <v>0</v>
      </c>
      <c r="J32" s="183">
        <v>0</v>
      </c>
      <c r="K32" s="183">
        <v>0</v>
      </c>
      <c r="L32" s="183">
        <v>0</v>
      </c>
      <c r="M32" s="183">
        <v>0</v>
      </c>
      <c r="N32" s="183">
        <v>0</v>
      </c>
      <c r="O32" s="183">
        <v>0</v>
      </c>
      <c r="P32" s="183">
        <v>0</v>
      </c>
      <c r="Q32" s="183">
        <v>0</v>
      </c>
      <c r="R32" s="183">
        <v>0</v>
      </c>
      <c r="S32" s="183">
        <v>0</v>
      </c>
      <c r="T32" s="183">
        <v>0</v>
      </c>
      <c r="U32" s="183">
        <v>0</v>
      </c>
      <c r="V32" s="183">
        <v>0</v>
      </c>
      <c r="W32" s="183">
        <v>0</v>
      </c>
      <c r="X32" s="183">
        <v>0</v>
      </c>
      <c r="Y32" s="183">
        <v>0</v>
      </c>
      <c r="Z32" s="183">
        <v>0</v>
      </c>
      <c r="AA32" s="183">
        <v>0</v>
      </c>
      <c r="AB32" s="183">
        <v>0</v>
      </c>
      <c r="AC32" s="183">
        <v>0</v>
      </c>
      <c r="AD32" s="183">
        <v>0</v>
      </c>
      <c r="AE32" s="183">
        <v>0</v>
      </c>
      <c r="AF32" s="183">
        <v>0</v>
      </c>
      <c r="AG32" s="183">
        <v>0</v>
      </c>
      <c r="AH32" s="183">
        <v>0</v>
      </c>
      <c r="AI32" s="183">
        <v>0</v>
      </c>
      <c r="AJ32" s="183">
        <v>0</v>
      </c>
      <c r="AK32" s="183">
        <v>0</v>
      </c>
      <c r="AL32" s="183">
        <v>0</v>
      </c>
      <c r="AM32" s="183">
        <v>0</v>
      </c>
      <c r="AN32" s="183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_xlpm.Customer,_xlfn.ANCHORARRAY($E$2),_xlpm.ann_incr,_xlfn.XLOOKUP(YEAR(_xlfn.ANCHORARRAY($E$25)),Base!$BJ$4:$BL$4,Base!$BJ$81:$BL$81,0,0),
_xlpm.bad_debt,_xlfn.XLOOKUP(_xlpm.site,_xlpm.locations,Base!$D$28:$BD$28,0,0),
_xlpm.comp*_xlpm.bad_debt*_xlpm.ann_incr*(52/12))</f>
        <v>0</v>
      </c>
      <c r="F33" s="12">
        <v>0</v>
      </c>
      <c r="G33" s="12">
        <v>0</v>
      </c>
      <c r="H33" s="12">
        <v>0</v>
      </c>
      <c r="I33" s="12">
        <v>0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2">
        <v>0</v>
      </c>
      <c r="Y33" s="12">
        <v>0</v>
      </c>
      <c r="Z33" s="12">
        <v>0</v>
      </c>
      <c r="AA33" s="12">
        <v>0</v>
      </c>
      <c r="AB33" s="12">
        <v>0</v>
      </c>
      <c r="AC33" s="12">
        <v>0</v>
      </c>
      <c r="AD33" s="12">
        <v>0</v>
      </c>
      <c r="AE33" s="12">
        <v>0</v>
      </c>
      <c r="AF33" s="12">
        <v>0</v>
      </c>
      <c r="AG33" s="12">
        <v>0</v>
      </c>
      <c r="AH33" s="12">
        <v>0</v>
      </c>
      <c r="AI33" s="12">
        <v>0</v>
      </c>
      <c r="AJ33" s="12">
        <v>0</v>
      </c>
      <c r="AK33" s="12">
        <v>26688.836416666662</v>
      </c>
      <c r="AL33" s="12">
        <v>26688.836416666662</v>
      </c>
      <c r="AM33" s="12">
        <v>26688.836416666662</v>
      </c>
      <c r="AN33" s="12">
        <v>26688.836416666662</v>
      </c>
    </row>
    <row r="34" spans="2:40" x14ac:dyDescent="0.25">
      <c r="B34" s="39" t="str">
        <f>Base!B39</f>
        <v>Quinary Direct Staff - Service A</v>
      </c>
      <c r="C34" s="4"/>
      <c r="E34" s="183" cm="1">
        <f t="array" ref="E34:AN34">_xlfn.LET(_xlpm.site,$B$1&amp;"-"&amp;$C$1,_xlpm.locations,Base!$D$4:$BD$4,_xlpm.rates,Base!$D39:$BD39,_xlpm.hours,Base!$D82:$BD82,_xlpm.comp,_xlpm.rates*_xlpm.hours,_xlpm.Customer,_xlfn.ANCHORARRAY($E$1)*0,
_xlpm.Customer_comp,_xlfn.XLOOKUP(_xlpm.site,_xlpm.locations,_xlpm.comp,0,0),_xlpm.ann_incr,_xlfn.XLOOKUP(YEAR(_xlfn.ANCHORARRAY($E$25)),Base!$BJ$4:$BL$4,Base!$BJ82:$BL82,0,0),
_xlpm.bad_debt,_xlfn.XLOOKUP(_xlpm.site,_xlpm.locations,Base!$D$28:$BD$28,0,0),_xlpm.Customer_comp*_xlpm.Customer*_xlpm.bad_debt*_xlpm.ann_incr*(52/12))</f>
        <v>0</v>
      </c>
      <c r="F34" s="183">
        <v>0</v>
      </c>
      <c r="G34" s="183">
        <v>0</v>
      </c>
      <c r="H34" s="183">
        <v>0</v>
      </c>
      <c r="I34" s="183">
        <v>0</v>
      </c>
      <c r="J34" s="183">
        <v>0</v>
      </c>
      <c r="K34" s="183">
        <v>0</v>
      </c>
      <c r="L34" s="183">
        <v>0</v>
      </c>
      <c r="M34" s="183">
        <v>0</v>
      </c>
      <c r="N34" s="183">
        <v>0</v>
      </c>
      <c r="O34" s="183">
        <v>0</v>
      </c>
      <c r="P34" s="183">
        <v>0</v>
      </c>
      <c r="Q34" s="183">
        <v>0</v>
      </c>
      <c r="R34" s="183">
        <v>0</v>
      </c>
      <c r="S34" s="183">
        <v>0</v>
      </c>
      <c r="T34" s="183">
        <v>0</v>
      </c>
      <c r="U34" s="183">
        <v>0</v>
      </c>
      <c r="V34" s="183">
        <v>0</v>
      </c>
      <c r="W34" s="183">
        <v>0</v>
      </c>
      <c r="X34" s="183">
        <v>0</v>
      </c>
      <c r="Y34" s="183">
        <v>0</v>
      </c>
      <c r="Z34" s="183">
        <v>0</v>
      </c>
      <c r="AA34" s="183">
        <v>0</v>
      </c>
      <c r="AB34" s="183">
        <v>0</v>
      </c>
      <c r="AC34" s="183">
        <v>0</v>
      </c>
      <c r="AD34" s="183">
        <v>0</v>
      </c>
      <c r="AE34" s="183">
        <v>0</v>
      </c>
      <c r="AF34" s="183">
        <v>0</v>
      </c>
      <c r="AG34" s="183">
        <v>0</v>
      </c>
      <c r="AH34" s="183">
        <v>0</v>
      </c>
      <c r="AI34" s="183">
        <v>0</v>
      </c>
      <c r="AJ34" s="183">
        <v>0</v>
      </c>
      <c r="AK34" s="183">
        <v>0</v>
      </c>
      <c r="AL34" s="183">
        <v>0</v>
      </c>
      <c r="AM34" s="183">
        <v>0</v>
      </c>
      <c r="AN34" s="183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0</v>
      </c>
      <c r="F35" s="12">
        <v>0</v>
      </c>
      <c r="G35" s="12">
        <v>0</v>
      </c>
      <c r="H35" s="12">
        <v>0</v>
      </c>
      <c r="I35" s="12">
        <v>0</v>
      </c>
      <c r="J35" s="12">
        <v>0</v>
      </c>
      <c r="K35" s="12">
        <v>0</v>
      </c>
      <c r="L35" s="12">
        <v>0</v>
      </c>
      <c r="M35" s="12">
        <v>0</v>
      </c>
      <c r="N35" s="12">
        <v>0</v>
      </c>
      <c r="O35" s="12">
        <v>0</v>
      </c>
      <c r="P35" s="12">
        <v>0</v>
      </c>
      <c r="Q35" s="12">
        <v>0</v>
      </c>
      <c r="R35" s="12">
        <v>0</v>
      </c>
      <c r="S35" s="12">
        <v>0</v>
      </c>
      <c r="T35" s="12">
        <v>0</v>
      </c>
      <c r="U35" s="12">
        <v>0</v>
      </c>
      <c r="V35" s="12">
        <v>0</v>
      </c>
      <c r="W35" s="12">
        <v>0</v>
      </c>
      <c r="X35" s="12">
        <v>0</v>
      </c>
      <c r="Y35" s="12">
        <v>0</v>
      </c>
      <c r="Z35" s="12">
        <v>0</v>
      </c>
      <c r="AA35" s="12">
        <v>0</v>
      </c>
      <c r="AB35" s="12">
        <v>0</v>
      </c>
      <c r="AC35" s="12">
        <v>0</v>
      </c>
      <c r="AD35" s="12">
        <v>0</v>
      </c>
      <c r="AE35" s="12">
        <v>0</v>
      </c>
      <c r="AF35" s="12">
        <v>0</v>
      </c>
      <c r="AG35" s="12">
        <v>0</v>
      </c>
      <c r="AH35" s="12">
        <v>0</v>
      </c>
      <c r="AI35" s="12">
        <v>0</v>
      </c>
      <c r="AJ35" s="12">
        <v>0</v>
      </c>
      <c r="AK35" s="12">
        <v>-10068.832691599999</v>
      </c>
      <c r="AL35" s="12">
        <v>-16935.005013199996</v>
      </c>
      <c r="AM35" s="12">
        <v>-23801.177334799995</v>
      </c>
      <c r="AN35" s="12">
        <v>-30667.349656399994</v>
      </c>
    </row>
    <row r="36" spans="2:40" x14ac:dyDescent="0.25">
      <c r="B36" s="39" t="s">
        <v>261</v>
      </c>
      <c r="C36" s="15"/>
      <c r="E36" s="183" cm="1">
        <f t="array" ref="E36:AN36">_xlfn.BYCOL(_xlfn.ANCHORARRAY($E$25),_xlfn.LAMBDA(_xlpm.a,0))</f>
        <v>0</v>
      </c>
      <c r="F36" s="183">
        <v>0</v>
      </c>
      <c r="G36" s="183">
        <v>0</v>
      </c>
      <c r="H36" s="183">
        <v>0</v>
      </c>
      <c r="I36" s="183">
        <v>0</v>
      </c>
      <c r="J36" s="183">
        <v>0</v>
      </c>
      <c r="K36" s="183">
        <v>0</v>
      </c>
      <c r="L36" s="183">
        <v>0</v>
      </c>
      <c r="M36" s="183">
        <v>0</v>
      </c>
      <c r="N36" s="183">
        <v>0</v>
      </c>
      <c r="O36" s="183">
        <v>0</v>
      </c>
      <c r="P36" s="183">
        <v>0</v>
      </c>
      <c r="Q36" s="183">
        <v>0</v>
      </c>
      <c r="R36" s="183">
        <v>0</v>
      </c>
      <c r="S36" s="183">
        <v>0</v>
      </c>
      <c r="T36" s="183">
        <v>0</v>
      </c>
      <c r="U36" s="183">
        <v>0</v>
      </c>
      <c r="V36" s="183">
        <v>0</v>
      </c>
      <c r="W36" s="183">
        <v>0</v>
      </c>
      <c r="X36" s="183">
        <v>0</v>
      </c>
      <c r="Y36" s="183">
        <v>0</v>
      </c>
      <c r="Z36" s="183">
        <v>0</v>
      </c>
      <c r="AA36" s="183">
        <v>0</v>
      </c>
      <c r="AB36" s="183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271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0</v>
      </c>
      <c r="S37" s="13">
        <v>0</v>
      </c>
      <c r="T37" s="13">
        <v>0</v>
      </c>
      <c r="U37" s="13">
        <v>0</v>
      </c>
      <c r="V37" s="13">
        <v>0</v>
      </c>
      <c r="W37" s="13">
        <v>0</v>
      </c>
      <c r="X37" s="13">
        <v>0</v>
      </c>
      <c r="Y37" s="13">
        <v>0</v>
      </c>
      <c r="Z37" s="13">
        <v>0</v>
      </c>
      <c r="AA37" s="13">
        <v>0</v>
      </c>
      <c r="AB37" s="13">
        <v>0</v>
      </c>
      <c r="AC37" s="13">
        <v>0</v>
      </c>
      <c r="AD37" s="13">
        <v>0</v>
      </c>
      <c r="AE37" s="13">
        <v>0</v>
      </c>
      <c r="AF37" s="13">
        <v>0</v>
      </c>
      <c r="AG37" s="13">
        <v>0</v>
      </c>
      <c r="AH37" s="13">
        <v>0</v>
      </c>
      <c r="AI37" s="13">
        <v>0</v>
      </c>
      <c r="AJ37" s="13">
        <v>0</v>
      </c>
      <c r="AK37" s="13">
        <v>71094.22760506667</v>
      </c>
      <c r="AL37" s="13">
        <v>118702.27916346668</v>
      </c>
      <c r="AM37" s="13">
        <v>166310.33072186666</v>
      </c>
      <c r="AN37" s="13">
        <v>213918.38228026667</v>
      </c>
    </row>
    <row r="38" spans="2:40" x14ac:dyDescent="0.25">
      <c r="E38" s="67"/>
      <c r="F38" s="67"/>
    </row>
    <row r="39" spans="2:40" x14ac:dyDescent="0.25">
      <c r="B39" s="1" t="s">
        <v>118</v>
      </c>
    </row>
    <row r="40" spans="2:40" x14ac:dyDescent="0.25">
      <c r="B40" s="39" t="s">
        <v>23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0</v>
      </c>
      <c r="F40" s="12">
        <v>0</v>
      </c>
      <c r="G40" s="12">
        <v>0</v>
      </c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0</v>
      </c>
      <c r="N40" s="12">
        <v>0</v>
      </c>
      <c r="O40" s="12">
        <v>0</v>
      </c>
      <c r="P40" s="12">
        <v>0</v>
      </c>
      <c r="Q40" s="12">
        <v>0</v>
      </c>
      <c r="R40" s="12">
        <v>0</v>
      </c>
      <c r="S40" s="12">
        <v>0</v>
      </c>
      <c r="T40" s="12">
        <v>0</v>
      </c>
      <c r="U40" s="12">
        <v>0</v>
      </c>
      <c r="V40" s="12">
        <v>0</v>
      </c>
      <c r="W40" s="12">
        <v>0</v>
      </c>
      <c r="X40" s="12">
        <v>0</v>
      </c>
      <c r="Y40" s="12">
        <v>0</v>
      </c>
      <c r="Z40" s="12">
        <v>0</v>
      </c>
      <c r="AA40" s="12">
        <v>0</v>
      </c>
      <c r="AB40" s="12">
        <v>0</v>
      </c>
      <c r="AC40" s="12">
        <v>0</v>
      </c>
      <c r="AD40" s="12">
        <v>0</v>
      </c>
      <c r="AE40" s="12">
        <v>0</v>
      </c>
      <c r="AF40" s="12">
        <v>0</v>
      </c>
      <c r="AG40" s="12">
        <v>0</v>
      </c>
      <c r="AH40" s="12">
        <v>0</v>
      </c>
      <c r="AI40" s="12">
        <v>0</v>
      </c>
      <c r="AJ40" s="12">
        <v>0</v>
      </c>
      <c r="AK40" s="12">
        <v>52771.717808043984</v>
      </c>
      <c r="AL40" s="12">
        <v>90050.480101421301</v>
      </c>
      <c r="AM40" s="12">
        <v>113599.24590946527</v>
      </c>
      <c r="AN40" s="12">
        <v>137099.33486950924</v>
      </c>
    </row>
    <row r="41" spans="2:40" x14ac:dyDescent="0.25">
      <c r="B41" s="39" t="s">
        <v>388</v>
      </c>
      <c r="C41" s="142">
        <f>_xlfn.XLOOKUP($B$1&amp;"-"&amp;$C$1,Base!$D$4:$BD$4,Base!$D$12:$BD$12,0,0)</f>
        <v>0</v>
      </c>
      <c r="E41" s="183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28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0</v>
      </c>
      <c r="AJ42" s="12">
        <v>0</v>
      </c>
      <c r="AK42" s="12">
        <v>15913.5</v>
      </c>
      <c r="AL42" s="12">
        <v>15913.5</v>
      </c>
      <c r="AM42" s="12">
        <v>15913.5</v>
      </c>
      <c r="AN42" s="12">
        <v>15913.5</v>
      </c>
    </row>
    <row r="43" spans="2:40" x14ac:dyDescent="0.25">
      <c r="B43" s="39" t="s">
        <v>31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0</v>
      </c>
      <c r="X43" s="12">
        <v>0</v>
      </c>
      <c r="Y43" s="12">
        <v>0</v>
      </c>
      <c r="Z43" s="12">
        <v>0</v>
      </c>
      <c r="AA43" s="12">
        <v>0</v>
      </c>
      <c r="AB43" s="12">
        <v>0</v>
      </c>
      <c r="AC43" s="12">
        <v>0</v>
      </c>
      <c r="AD43" s="12">
        <v>0</v>
      </c>
      <c r="AE43" s="12">
        <v>0</v>
      </c>
      <c r="AF43" s="12">
        <v>0</v>
      </c>
      <c r="AG43" s="12">
        <v>0</v>
      </c>
      <c r="AH43" s="12">
        <v>0</v>
      </c>
      <c r="AI43" s="12">
        <v>0</v>
      </c>
      <c r="AJ43" s="12">
        <v>0</v>
      </c>
      <c r="AK43" s="12">
        <v>8328.3200000000015</v>
      </c>
      <c r="AL43" s="12">
        <v>8328.3200000000015</v>
      </c>
      <c r="AM43" s="12">
        <v>8328.3200000000015</v>
      </c>
      <c r="AN43" s="12">
        <v>8328.3200000000015</v>
      </c>
    </row>
    <row r="44" spans="2:40" x14ac:dyDescent="0.25">
      <c r="B44" s="39" t="s">
        <v>34</v>
      </c>
      <c r="C44" s="96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  <c r="O44" s="12">
        <v>0</v>
      </c>
      <c r="P44" s="12">
        <v>0</v>
      </c>
      <c r="Q44" s="12">
        <v>0</v>
      </c>
      <c r="R44" s="12">
        <v>0</v>
      </c>
      <c r="S44" s="12">
        <v>0</v>
      </c>
      <c r="T44" s="12">
        <v>0</v>
      </c>
      <c r="U44" s="12">
        <v>0</v>
      </c>
      <c r="V44" s="12">
        <v>0</v>
      </c>
      <c r="W44" s="12">
        <v>0</v>
      </c>
      <c r="X44" s="12">
        <v>0</v>
      </c>
      <c r="Y44" s="12">
        <v>0</v>
      </c>
      <c r="Z44" s="12">
        <v>0</v>
      </c>
      <c r="AA44" s="12">
        <v>0</v>
      </c>
      <c r="AB44" s="12">
        <v>0</v>
      </c>
      <c r="AC44" s="12">
        <v>0</v>
      </c>
      <c r="AD44" s="12">
        <v>0</v>
      </c>
      <c r="AE44" s="12">
        <v>0</v>
      </c>
      <c r="AF44" s="12">
        <v>0</v>
      </c>
      <c r="AG44" s="12">
        <v>0</v>
      </c>
      <c r="AH44" s="12">
        <v>0</v>
      </c>
      <c r="AI44" s="12">
        <v>0</v>
      </c>
      <c r="AJ44" s="12">
        <v>0</v>
      </c>
      <c r="AK44" s="12">
        <v>393.58904832000007</v>
      </c>
      <c r="AL44" s="12">
        <v>1042.2821094400001</v>
      </c>
      <c r="AM44" s="12">
        <v>1075.0811968000003</v>
      </c>
      <c r="AN44" s="12">
        <v>1107.88028416</v>
      </c>
    </row>
    <row r="45" spans="2:40" x14ac:dyDescent="0.25">
      <c r="B45" s="39" t="s">
        <v>36</v>
      </c>
      <c r="C45" s="96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0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12">
        <v>0</v>
      </c>
      <c r="R45" s="12">
        <v>0</v>
      </c>
      <c r="S45" s="12">
        <v>0</v>
      </c>
      <c r="T45" s="12">
        <v>0</v>
      </c>
      <c r="U45" s="12">
        <v>0</v>
      </c>
      <c r="V45" s="12">
        <v>0</v>
      </c>
      <c r="W45" s="12">
        <v>0</v>
      </c>
      <c r="X45" s="12">
        <v>0</v>
      </c>
      <c r="Y45" s="12">
        <v>0</v>
      </c>
      <c r="Z45" s="12">
        <v>0</v>
      </c>
      <c r="AA45" s="12">
        <v>0</v>
      </c>
      <c r="AB45" s="12">
        <v>0</v>
      </c>
      <c r="AC45" s="12">
        <v>0</v>
      </c>
      <c r="AD45" s="12">
        <v>0</v>
      </c>
      <c r="AE45" s="12">
        <v>0</v>
      </c>
      <c r="AF45" s="12">
        <v>0</v>
      </c>
      <c r="AG45" s="12">
        <v>0</v>
      </c>
      <c r="AH45" s="12">
        <v>0</v>
      </c>
      <c r="AI45" s="12">
        <v>0</v>
      </c>
      <c r="AJ45" s="12">
        <v>0</v>
      </c>
      <c r="AK45" s="12">
        <v>6762.6</v>
      </c>
      <c r="AL45" s="12">
        <v>6762.6</v>
      </c>
      <c r="AM45" s="12">
        <v>6762.6</v>
      </c>
      <c r="AN45" s="12">
        <v>6762.6</v>
      </c>
    </row>
    <row r="46" spans="2:40" x14ac:dyDescent="0.25">
      <c r="B46" s="39" t="s">
        <v>38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0</v>
      </c>
      <c r="F46" s="12">
        <v>0</v>
      </c>
      <c r="G46" s="12">
        <v>0</v>
      </c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0</v>
      </c>
      <c r="N46" s="12">
        <v>0</v>
      </c>
      <c r="O46" s="12">
        <v>0</v>
      </c>
      <c r="P46" s="12">
        <v>0</v>
      </c>
      <c r="Q46" s="12">
        <v>0</v>
      </c>
      <c r="R46" s="12">
        <v>0</v>
      </c>
      <c r="S46" s="12">
        <v>0</v>
      </c>
      <c r="T46" s="12">
        <v>0</v>
      </c>
      <c r="U46" s="12">
        <v>0</v>
      </c>
      <c r="V46" s="12">
        <v>0</v>
      </c>
      <c r="W46" s="12">
        <v>0</v>
      </c>
      <c r="X46" s="12">
        <v>0</v>
      </c>
      <c r="Y46" s="12">
        <v>0</v>
      </c>
      <c r="Z46" s="12">
        <v>0</v>
      </c>
      <c r="AA46" s="12">
        <v>0</v>
      </c>
      <c r="AB46" s="12">
        <v>0</v>
      </c>
      <c r="AC46" s="12">
        <v>0</v>
      </c>
      <c r="AD46" s="12">
        <v>0</v>
      </c>
      <c r="AE46" s="12">
        <v>0</v>
      </c>
      <c r="AF46" s="12">
        <v>0</v>
      </c>
      <c r="AG46" s="12">
        <v>0</v>
      </c>
      <c r="AH46" s="12">
        <v>0</v>
      </c>
      <c r="AI46" s="12">
        <v>0</v>
      </c>
      <c r="AJ46" s="12">
        <v>0</v>
      </c>
      <c r="AK46" s="12">
        <v>3676.7735999999991</v>
      </c>
      <c r="AL46" s="12">
        <v>5617.639799999999</v>
      </c>
      <c r="AM46" s="12">
        <v>6946.7507999999998</v>
      </c>
      <c r="AN46" s="12">
        <v>8272.2203999999983</v>
      </c>
    </row>
    <row r="47" spans="2:40" x14ac:dyDescent="0.25">
      <c r="B47" s="39" t="s">
        <v>40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  <c r="O47" s="12">
        <v>0</v>
      </c>
      <c r="P47" s="12">
        <v>0</v>
      </c>
      <c r="Q47" s="12">
        <v>0</v>
      </c>
      <c r="R47" s="12">
        <v>0</v>
      </c>
      <c r="S47" s="12">
        <v>0</v>
      </c>
      <c r="T47" s="12">
        <v>0</v>
      </c>
      <c r="U47" s="12">
        <v>0</v>
      </c>
      <c r="V47" s="12">
        <v>0</v>
      </c>
      <c r="W47" s="12">
        <v>0</v>
      </c>
      <c r="X47" s="12">
        <v>0</v>
      </c>
      <c r="Y47" s="12">
        <v>0</v>
      </c>
      <c r="Z47" s="12">
        <v>0</v>
      </c>
      <c r="AA47" s="12">
        <v>0</v>
      </c>
      <c r="AB47" s="12">
        <v>0</v>
      </c>
      <c r="AC47" s="12">
        <v>0</v>
      </c>
      <c r="AD47" s="12">
        <v>0</v>
      </c>
      <c r="AE47" s="12">
        <v>0</v>
      </c>
      <c r="AF47" s="12">
        <v>0</v>
      </c>
      <c r="AG47" s="12">
        <v>0</v>
      </c>
      <c r="AH47" s="12">
        <v>0</v>
      </c>
      <c r="AI47" s="12">
        <v>0</v>
      </c>
      <c r="AJ47" s="12">
        <v>0</v>
      </c>
      <c r="AK47" s="12">
        <v>6615</v>
      </c>
      <c r="AL47" s="12">
        <v>6615</v>
      </c>
      <c r="AM47" s="12">
        <v>6615</v>
      </c>
      <c r="AN47" s="12">
        <v>6615</v>
      </c>
    </row>
    <row r="48" spans="2:40" x14ac:dyDescent="0.25">
      <c r="B48" s="39" t="s">
        <v>41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151234.47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42</v>
      </c>
      <c r="E49" s="12">
        <f>'Corp.'!E$50*(E$37-(E31-E32-E34)*$C$35)/(SUM('MDA1:NCA9'!E$37)-SUM('MDA1:NCA9'!E$31)-SUM('MDA1:NCA9'!E$32)-SUM('MDA1:NCA9'!E$34))</f>
        <v>0</v>
      </c>
      <c r="F49" s="12">
        <f>'Corp.'!F$50*(F$37-(F31-F32-F34)*$C$35)/(SUM('MDA1:NCA9'!F$37)-SUM('MDA1:NCA9'!F$31)-SUM('MDA1:NCA9'!F$32)-SUM('MDA1:NCA9'!F$34))</f>
        <v>0</v>
      </c>
      <c r="G49" s="12">
        <f>'Corp.'!G$50*(G$37-(G31-G32-G34)*$C$35)/(SUM('MDA1:NCA9'!G$37)-SUM('MDA1:NCA9'!G$31)-SUM('MDA1:NCA9'!G$32)-SUM('MDA1:NCA9'!G$34))</f>
        <v>0</v>
      </c>
      <c r="H49" s="12">
        <f>'Corp.'!H$50*(H$37-(H31-H32-H34)*$C$35)/(SUM('MDA1:NCA9'!H$37)-SUM('MDA1:NCA9'!H$31)-SUM('MDA1:NCA9'!H$32)-SUM('MDA1:NCA9'!H$34))</f>
        <v>0</v>
      </c>
      <c r="I49" s="12">
        <f>'Corp.'!I$50*(I$37-(I31-I32-I34)*$C$35)/(SUM('MDA1:NCA9'!I$37)-SUM('MDA1:NCA9'!I$31)-SUM('MDA1:NCA9'!I$32)-SUM('MDA1:NCA9'!I$34))</f>
        <v>0</v>
      </c>
      <c r="J49" s="12">
        <f>'Corp.'!J$50*(J$37-(J31-J32-J34)*$C$35)/(SUM('MDA1:NCA9'!J$37)-SUM('MDA1:NCA9'!J$31)-SUM('MDA1:NCA9'!J$32)-SUM('MDA1:NCA9'!J$34))</f>
        <v>0</v>
      </c>
      <c r="K49" s="12">
        <f>'Corp.'!K$50*(K$37-(K31-K32-K34)*$C$35)/(SUM('MDA1:NCA9'!K$37)-SUM('MDA1:NCA9'!K$31)-SUM('MDA1:NCA9'!K$32)-SUM('MDA1:NCA9'!K$34))</f>
        <v>0</v>
      </c>
      <c r="L49" s="12">
        <f>'Corp.'!L$50*(L$37-(L31-L32-L34)*$C$35)/(SUM('MDA1:NCA9'!L$37)-SUM('MDA1:NCA9'!L$31)-SUM('MDA1:NCA9'!L$32)-SUM('MDA1:NCA9'!L$34))</f>
        <v>0</v>
      </c>
      <c r="M49" s="12">
        <f>'Corp.'!M$50*(M$37-(M31-M32-M34)*$C$35)/(SUM('MDA1:NCA9'!M$37)-SUM('MDA1:NCA9'!M$31)-SUM('MDA1:NCA9'!M$32)-SUM('MDA1:NCA9'!M$34))</f>
        <v>0</v>
      </c>
      <c r="N49" s="12">
        <f>'Corp.'!N$50*(N$37-(N31-N32-N34)*$C$35)/(SUM('MDA1:NCA9'!N$37)-SUM('MDA1:NCA9'!N$31)-SUM('MDA1:NCA9'!N$32)-SUM('MDA1:NCA9'!N$34))</f>
        <v>0</v>
      </c>
      <c r="O49" s="12">
        <f>'Corp.'!O$50*(O$37-(O31-O32-O34)*$C$35)/(SUM('MDA1:NCA9'!O$37)-SUM('MDA1:NCA9'!O$31)-SUM('MDA1:NCA9'!O$32)-SUM('MDA1:NCA9'!O$34))</f>
        <v>0</v>
      </c>
      <c r="P49" s="12">
        <f>'Corp.'!P$50*(P$37-(P31-P32-P34)*$C$35)/(SUM('MDA1:NCA9'!P$37)-SUM('MDA1:NCA9'!P$31)-SUM('MDA1:NCA9'!P$32)-SUM('MDA1:NCA9'!P$34))</f>
        <v>0</v>
      </c>
      <c r="Q49" s="12">
        <f>'Corp.'!Q$50*(Q$37-(Q31-Q32-Q34)*$C$35)/(SUM('MDA1:NCA9'!Q$37)-SUM('MDA1:NCA9'!Q$31)-SUM('MDA1:NCA9'!Q$32)-SUM('MDA1:NCA9'!Q$34))</f>
        <v>0</v>
      </c>
      <c r="R49" s="12">
        <f>'Corp.'!R$50*(R$37-(R31-R32-R34)*$C$35)/(SUM('MDA1:NCA9'!R$37)-SUM('MDA1:NCA9'!R$31)-SUM('MDA1:NCA9'!R$32)-SUM('MDA1:NCA9'!R$34))</f>
        <v>0</v>
      </c>
      <c r="S49" s="12">
        <f>'Corp.'!S$50*(S$37-(S31-S32-S34)*$C$35)/(SUM('MDA1:NCA9'!S$37)-SUM('MDA1:NCA9'!S$31)-SUM('MDA1:NCA9'!S$32)-SUM('MDA1:NCA9'!S$34))</f>
        <v>0</v>
      </c>
      <c r="T49" s="12">
        <f>'Corp.'!T$50*(T$37-(T31-T32-T34)*$C$35)/(SUM('MDA1:NCA9'!T$37)-SUM('MDA1:NCA9'!T$31)-SUM('MDA1:NCA9'!T$32)-SUM('MDA1:NCA9'!T$34))</f>
        <v>0</v>
      </c>
      <c r="U49" s="12">
        <f>'Corp.'!U$50*(U$37-(U31-U32-U34)*$C$35)/(SUM('MDA1:NCA9'!U$37)-SUM('MDA1:NCA9'!U$31)-SUM('MDA1:NCA9'!U$32)-SUM('MDA1:NCA9'!U$34))</f>
        <v>0</v>
      </c>
      <c r="V49" s="12">
        <f>'Corp.'!V$50*(V$37-(V31-V32-V34)*$C$35)/(SUM('MDA1:NCA9'!V$37)-SUM('MDA1:NCA9'!V$31)-SUM('MDA1:NCA9'!V$32)-SUM('MDA1:NCA9'!V$34))</f>
        <v>0</v>
      </c>
      <c r="W49" s="12">
        <f>'Corp.'!W$50*(W$37-(W31-W32-W34)*$C$35)/(SUM('MDA1:NCA9'!W$37)-SUM('MDA1:NCA9'!W$31)-SUM('MDA1:NCA9'!W$32)-SUM('MDA1:NCA9'!W$34))</f>
        <v>0</v>
      </c>
      <c r="X49" s="12">
        <f>'Corp.'!X$50*(X$37-(X31-X32-X34)*$C$35)/(SUM('MDA1:NCA9'!X$37)-SUM('MDA1:NCA9'!X$31)-SUM('MDA1:NCA9'!X$32)-SUM('MDA1:NCA9'!X$34))</f>
        <v>0</v>
      </c>
      <c r="Y49" s="12">
        <f>'Corp.'!Y$50*(Y$37-(Y31-Y32-Y34)*$C$35)/(SUM('MDA1:NCA9'!Y$37)-SUM('MDA1:NCA9'!Y$31)-SUM('MDA1:NCA9'!Y$32)-SUM('MDA1:NCA9'!Y$34))</f>
        <v>0</v>
      </c>
      <c r="Z49" s="12">
        <f>'Corp.'!Z$50*(Z$37-(Z31-Z32-Z34)*$C$35)/(SUM('MDA1:NCA9'!Z$37)-SUM('MDA1:NCA9'!Z$31)-SUM('MDA1:NCA9'!Z$32)-SUM('MDA1:NCA9'!Z$34))</f>
        <v>0</v>
      </c>
      <c r="AA49" s="12">
        <f>'Corp.'!AA$50*(AA$37-(AA31-AA32-AA34)*$C$35)/(SUM('MDA1:NCA9'!AA$37)-SUM('MDA1:NCA9'!AA$31)-SUM('MDA1:NCA9'!AA$32)-SUM('MDA1:NCA9'!AA$34))</f>
        <v>0</v>
      </c>
      <c r="AB49" s="12">
        <f>'Corp.'!AB$50*(AB$37-(AB31-AB32-AB34)*$C$35)/(SUM('MDA1:NCA9'!AB$37)-SUM('MDA1:NCA9'!AB$31)-SUM('MDA1:NCA9'!AB$32)-SUM('MDA1:NCA9'!AB$34))</f>
        <v>0</v>
      </c>
      <c r="AC49" s="12">
        <f>'Corp.'!AC$50*(AC$37-(AC31-AC32-AC34)*$C$35)/(SUM('MDA1:NCA9'!AC$37)-SUM('MDA1:NCA9'!AC$31)-SUM('MDA1:NCA9'!AC$32)-SUM('MDA1:NCA9'!AC$34))</f>
        <v>0</v>
      </c>
      <c r="AD49" s="12">
        <f>'Corp.'!AD$50*(AD$37-(AD31-AD32-AD34)*$C$35)/(SUM('MDA1:NCA9'!AD$37)-SUM('MDA1:NCA9'!AD$31)-SUM('MDA1:NCA9'!AD$32)-SUM('MDA1:NCA9'!AD$34))</f>
        <v>0</v>
      </c>
      <c r="AE49" s="12">
        <f>'Corp.'!AE$50*(AE$37-(AE31-AE32-AE34)*$C$35)/(SUM('MDA1:NCA9'!AE$37)-SUM('MDA1:NCA9'!AE$31)-SUM('MDA1:NCA9'!AE$32)-SUM('MDA1:NCA9'!AE$34))</f>
        <v>0</v>
      </c>
      <c r="AF49" s="12">
        <f>'Corp.'!AF$50*(AF$37-(AF31-AF32-AF34)*$C$35)/(SUM('MDA1:NCA9'!AF$37)-SUM('MDA1:NCA9'!AF$31)-SUM('MDA1:NCA9'!AF$32)-SUM('MDA1:NCA9'!AF$34))</f>
        <v>0</v>
      </c>
      <c r="AG49" s="12">
        <f>'Corp.'!AG$50*(AG$37-(AG31-AG32-AG34)*$C$35)/(SUM('MDA1:NCA9'!AG$37)-SUM('MDA1:NCA9'!AG$31)-SUM('MDA1:NCA9'!AG$32)-SUM('MDA1:NCA9'!AG$34))</f>
        <v>0</v>
      </c>
      <c r="AH49" s="12">
        <f>'Corp.'!AH$50*(AH$37-(AH31-AH32-AH34)*$C$35)/(SUM('MDA1:NCA9'!AH$37)-SUM('MDA1:NCA9'!AH$31)-SUM('MDA1:NCA9'!AH$32)-SUM('MDA1:NCA9'!AH$34))</f>
        <v>0</v>
      </c>
      <c r="AI49" s="12">
        <f>'Corp.'!AI$50*(AI$37-(AI31-AI32-AI34)*$C$35)/(SUM('MDA1:NCA9'!AI$37)-SUM('MDA1:NCA9'!AI$31)-SUM('MDA1:NCA9'!AI$32)-SUM('MDA1:NCA9'!AI$34))</f>
        <v>0</v>
      </c>
      <c r="AJ49" s="12">
        <f>'Corp.'!AJ$50*(AJ$37-(AJ31-AJ32-AJ34)*$C$35)/(SUM('MDA1:NCA9'!AJ$37)-SUM('MDA1:NCA9'!AJ$31)-SUM('MDA1:NCA9'!AJ$32)-SUM('MDA1:NCA9'!AJ$34))</f>
        <v>0</v>
      </c>
      <c r="AK49" s="12">
        <f>'Corp.'!AK$50*(AK$37-(AK31-AK32-AK34)*$C$35)/(SUM('MDA1:NCA9'!AK$37)-SUM('MDA1:NCA9'!AK$31)-SUM('MDA1:NCA9'!AK$32)-SUM('MDA1:NCA9'!AK$34))</f>
        <v>7499.7448155068096</v>
      </c>
      <c r="AL49" s="12">
        <f>'Corp.'!AL$50*(AL$37-(AL31-AL32-AL34)*$C$35)/(SUM('MDA1:NCA9'!AL$37)-SUM('MDA1:NCA9'!AL$31)-SUM('MDA1:NCA9'!AL$32)-SUM('MDA1:NCA9'!AL$34))</f>
        <v>12324.640595925051</v>
      </c>
      <c r="AM49" s="12">
        <f>'Corp.'!AM$50*(AM$37-(AM31-AM32-AM34)*$C$35)/(SUM('MDA1:NCA9'!AM$37)-SUM('MDA1:NCA9'!AM$31)-SUM('MDA1:NCA9'!AM$32)-SUM('MDA1:NCA9'!AM$34))</f>
        <v>16970.013714601759</v>
      </c>
      <c r="AN49" s="12">
        <f>'Corp.'!AN$50*(AN$37-(AN31-AN32-AN34)*$C$35)/(SUM('MDA1:NCA9'!AN$37)-SUM('MDA1:NCA9'!AN$31)-SUM('MDA1:NCA9'!AN$32)-SUM('MDA1:NCA9'!AN$34))</f>
        <v>21501.46555859458</v>
      </c>
    </row>
    <row r="50" spans="2:40" x14ac:dyDescent="0.25">
      <c r="B50" s="1" t="s">
        <v>272</v>
      </c>
      <c r="E50" s="13" cm="1">
        <f t="array" ref="E50:AN50">_xlfn.BYCOL(_xlfn.VSTACK(_xlfn.ANCHORARRAY(E40),_xlfn.ANCHORARRAY(E42),_xlfn.ANCHORARRAY(E43),_xlfn.ANCHORARRAY(E45),_xlfn.ANCHORARRAY(E46),_xlfn.ANCHORARRAY(E47),_xlfn.ANCHORARRAY(E48),_xlfn.HSTACK(E49:AN49)),_xlfn.LAMBDA(_xlpm.a,SUM(_xlpm.a)))</f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0</v>
      </c>
      <c r="Q50" s="13">
        <v>0</v>
      </c>
      <c r="R50" s="13">
        <v>0</v>
      </c>
      <c r="S50" s="13">
        <v>0</v>
      </c>
      <c r="T50" s="13">
        <v>0</v>
      </c>
      <c r="U50" s="13">
        <v>0</v>
      </c>
      <c r="V50" s="13">
        <v>0</v>
      </c>
      <c r="W50" s="13">
        <v>0</v>
      </c>
      <c r="X50" s="13">
        <v>0</v>
      </c>
      <c r="Y50" s="13">
        <v>0</v>
      </c>
      <c r="Z50" s="13">
        <v>0</v>
      </c>
      <c r="AA50" s="13">
        <v>0</v>
      </c>
      <c r="AB50" s="13">
        <v>0</v>
      </c>
      <c r="AC50" s="13">
        <v>0</v>
      </c>
      <c r="AD50" s="13">
        <v>0</v>
      </c>
      <c r="AE50" s="13">
        <v>0</v>
      </c>
      <c r="AF50" s="13">
        <v>0</v>
      </c>
      <c r="AG50" s="13">
        <v>0</v>
      </c>
      <c r="AH50" s="13">
        <v>0</v>
      </c>
      <c r="AI50" s="13">
        <v>151234.47</v>
      </c>
      <c r="AJ50" s="13">
        <v>0</v>
      </c>
      <c r="AK50" s="13">
        <v>101567.65622355082</v>
      </c>
      <c r="AL50" s="13">
        <v>145612.18049734636</v>
      </c>
      <c r="AM50" s="13">
        <v>175135.43042406705</v>
      </c>
      <c r="AN50" s="13">
        <v>204492.44082810383</v>
      </c>
    </row>
    <row r="52" spans="2:40" x14ac:dyDescent="0.25">
      <c r="B52" s="1" t="s">
        <v>48</v>
      </c>
      <c r="E52" s="74">
        <f>E37-E50</f>
        <v>0</v>
      </c>
      <c r="F52" s="74">
        <f t="shared" ref="F52:AN52" si="0">F37-F50</f>
        <v>0</v>
      </c>
      <c r="G52" s="74">
        <f t="shared" si="0"/>
        <v>0</v>
      </c>
      <c r="H52" s="74">
        <f t="shared" si="0"/>
        <v>0</v>
      </c>
      <c r="I52" s="74">
        <f t="shared" si="0"/>
        <v>0</v>
      </c>
      <c r="J52" s="74">
        <f t="shared" si="0"/>
        <v>0</v>
      </c>
      <c r="K52" s="74">
        <f t="shared" si="0"/>
        <v>0</v>
      </c>
      <c r="L52" s="74">
        <f t="shared" si="0"/>
        <v>0</v>
      </c>
      <c r="M52" s="74">
        <f t="shared" si="0"/>
        <v>0</v>
      </c>
      <c r="N52" s="74">
        <f t="shared" si="0"/>
        <v>0</v>
      </c>
      <c r="O52" s="74">
        <f t="shared" si="0"/>
        <v>0</v>
      </c>
      <c r="P52" s="74">
        <f t="shared" si="0"/>
        <v>0</v>
      </c>
      <c r="Q52" s="74">
        <f t="shared" si="0"/>
        <v>0</v>
      </c>
      <c r="R52" s="74">
        <f t="shared" si="0"/>
        <v>0</v>
      </c>
      <c r="S52" s="74">
        <f t="shared" si="0"/>
        <v>0</v>
      </c>
      <c r="T52" s="74">
        <f t="shared" si="0"/>
        <v>0</v>
      </c>
      <c r="U52" s="74">
        <f t="shared" si="0"/>
        <v>0</v>
      </c>
      <c r="V52" s="74">
        <f t="shared" si="0"/>
        <v>0</v>
      </c>
      <c r="W52" s="74">
        <f t="shared" si="0"/>
        <v>0</v>
      </c>
      <c r="X52" s="74">
        <f t="shared" si="0"/>
        <v>0</v>
      </c>
      <c r="Y52" s="74">
        <f t="shared" si="0"/>
        <v>0</v>
      </c>
      <c r="Z52" s="74">
        <f t="shared" si="0"/>
        <v>0</v>
      </c>
      <c r="AA52" s="74">
        <f t="shared" si="0"/>
        <v>0</v>
      </c>
      <c r="AB52" s="74">
        <f t="shared" si="0"/>
        <v>0</v>
      </c>
      <c r="AC52" s="74">
        <f t="shared" si="0"/>
        <v>0</v>
      </c>
      <c r="AD52" s="74">
        <f t="shared" si="0"/>
        <v>0</v>
      </c>
      <c r="AE52" s="74">
        <f t="shared" si="0"/>
        <v>0</v>
      </c>
      <c r="AF52" s="74">
        <f t="shared" si="0"/>
        <v>0</v>
      </c>
      <c r="AG52" s="74">
        <f t="shared" si="0"/>
        <v>0</v>
      </c>
      <c r="AH52" s="74">
        <f t="shared" si="0"/>
        <v>0</v>
      </c>
      <c r="AI52" s="74">
        <f t="shared" si="0"/>
        <v>-151234.47</v>
      </c>
      <c r="AJ52" s="74">
        <f t="shared" si="0"/>
        <v>0</v>
      </c>
      <c r="AK52" s="74">
        <f t="shared" si="0"/>
        <v>-30473.428618484148</v>
      </c>
      <c r="AL52" s="74">
        <f t="shared" si="0"/>
        <v>-26909.901333879679</v>
      </c>
      <c r="AM52" s="74">
        <f t="shared" si="0"/>
        <v>-8825.0997022003867</v>
      </c>
      <c r="AN52" s="74">
        <f t="shared" si="0"/>
        <v>9425.941452162835</v>
      </c>
    </row>
    <row r="53" spans="2:40" x14ac:dyDescent="0.25">
      <c r="E53" s="105" t="str">
        <f>IFERROR(E52/E37,"")</f>
        <v/>
      </c>
      <c r="F53" s="105" t="str">
        <f t="shared" ref="F53:AN53" si="1">IFERROR(F52/F37,"")</f>
        <v/>
      </c>
      <c r="G53" s="105" t="str">
        <f t="shared" si="1"/>
        <v/>
      </c>
      <c r="H53" s="105" t="str">
        <f t="shared" si="1"/>
        <v/>
      </c>
      <c r="I53" s="105" t="str">
        <f t="shared" si="1"/>
        <v/>
      </c>
      <c r="J53" s="105" t="str">
        <f t="shared" si="1"/>
        <v/>
      </c>
      <c r="K53" s="105" t="str">
        <f t="shared" si="1"/>
        <v/>
      </c>
      <c r="L53" s="105" t="str">
        <f t="shared" si="1"/>
        <v/>
      </c>
      <c r="M53" s="105" t="str">
        <f t="shared" si="1"/>
        <v/>
      </c>
      <c r="N53" s="105" t="str">
        <f t="shared" si="1"/>
        <v/>
      </c>
      <c r="O53" s="105" t="str">
        <f t="shared" si="1"/>
        <v/>
      </c>
      <c r="P53" s="105" t="str">
        <f t="shared" si="1"/>
        <v/>
      </c>
      <c r="Q53" s="105" t="str">
        <f t="shared" si="1"/>
        <v/>
      </c>
      <c r="R53" s="105" t="str">
        <f t="shared" si="1"/>
        <v/>
      </c>
      <c r="S53" s="105" t="str">
        <f t="shared" si="1"/>
        <v/>
      </c>
      <c r="T53" s="105" t="str">
        <f t="shared" si="1"/>
        <v/>
      </c>
      <c r="U53" s="105" t="str">
        <f t="shared" si="1"/>
        <v/>
      </c>
      <c r="V53" s="105" t="str">
        <f t="shared" si="1"/>
        <v/>
      </c>
      <c r="W53" s="105" t="str">
        <f t="shared" si="1"/>
        <v/>
      </c>
      <c r="X53" s="105" t="str">
        <f t="shared" si="1"/>
        <v/>
      </c>
      <c r="Y53" s="105" t="str">
        <f t="shared" si="1"/>
        <v/>
      </c>
      <c r="Z53" s="105" t="str">
        <f t="shared" si="1"/>
        <v/>
      </c>
      <c r="AA53" s="105" t="str">
        <f t="shared" si="1"/>
        <v/>
      </c>
      <c r="AB53" s="105" t="str">
        <f t="shared" si="1"/>
        <v/>
      </c>
      <c r="AC53" s="105" t="str">
        <f t="shared" si="1"/>
        <v/>
      </c>
      <c r="AD53" s="105" t="str">
        <f t="shared" si="1"/>
        <v/>
      </c>
      <c r="AE53" s="105" t="str">
        <f t="shared" si="1"/>
        <v/>
      </c>
      <c r="AF53" s="105" t="str">
        <f t="shared" si="1"/>
        <v/>
      </c>
      <c r="AG53" s="105" t="str">
        <f t="shared" si="1"/>
        <v/>
      </c>
      <c r="AH53" s="105" t="str">
        <f t="shared" si="1"/>
        <v/>
      </c>
      <c r="AI53" s="105" t="str">
        <f t="shared" si="1"/>
        <v/>
      </c>
      <c r="AJ53" s="105" t="str">
        <f t="shared" si="1"/>
        <v/>
      </c>
      <c r="AK53" s="105">
        <f t="shared" si="1"/>
        <v>-0.42863435816148315</v>
      </c>
      <c r="AL53" s="105">
        <f t="shared" si="1"/>
        <v>-0.22670079735218607</v>
      </c>
      <c r="AM53" s="105">
        <f t="shared" si="1"/>
        <v>-5.3064049983517068E-2</v>
      </c>
      <c r="AN53" s="105">
        <f t="shared" si="1"/>
        <v>4.4063260724426068E-2</v>
      </c>
    </row>
    <row r="55" spans="2:40" x14ac:dyDescent="0.25">
      <c r="B55" t="s">
        <v>57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1411000</v>
      </c>
      <c r="D55" s="12">
        <f>C55-SUM(_xlfn.ANCHORARRAY(E55))</f>
        <v>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235166.66666666666</v>
      </c>
      <c r="AJ55" s="12">
        <v>235166.66666666666</v>
      </c>
      <c r="AK55" s="12">
        <v>235166.66666666666</v>
      </c>
      <c r="AL55" s="12">
        <v>235166.66666666666</v>
      </c>
      <c r="AM55" s="12">
        <v>235166.66666666666</v>
      </c>
      <c r="AN55" s="12">
        <v>235166.66666666666</v>
      </c>
    </row>
    <row r="56" spans="2:40" x14ac:dyDescent="0.25">
      <c r="B56" t="s">
        <v>285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0</v>
      </c>
      <c r="F56" s="90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0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0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0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0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-84424.829083026663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276</v>
      </c>
      <c r="E58" s="13">
        <f>E37-E50-E55+E56</f>
        <v>0</v>
      </c>
      <c r="F58" s="13">
        <f t="shared" ref="F58:AN58" si="2">F37-F50-F55+F56</f>
        <v>0</v>
      </c>
      <c r="G58" s="13">
        <f t="shared" si="2"/>
        <v>0</v>
      </c>
      <c r="H58" s="13">
        <f t="shared" si="2"/>
        <v>0</v>
      </c>
      <c r="I58" s="13">
        <f t="shared" si="2"/>
        <v>0</v>
      </c>
      <c r="J58" s="13">
        <f t="shared" si="2"/>
        <v>0</v>
      </c>
      <c r="K58" s="13">
        <f t="shared" si="2"/>
        <v>0</v>
      </c>
      <c r="L58" s="13">
        <f t="shared" si="2"/>
        <v>0</v>
      </c>
      <c r="M58" s="13">
        <f t="shared" si="2"/>
        <v>0</v>
      </c>
      <c r="N58" s="13">
        <f t="shared" si="2"/>
        <v>0</v>
      </c>
      <c r="O58" s="13">
        <f t="shared" si="2"/>
        <v>0</v>
      </c>
      <c r="P58" s="13">
        <f t="shared" si="2"/>
        <v>0</v>
      </c>
      <c r="Q58" s="13">
        <f t="shared" si="2"/>
        <v>0</v>
      </c>
      <c r="R58" s="13">
        <f t="shared" si="2"/>
        <v>0</v>
      </c>
      <c r="S58" s="13">
        <f t="shared" si="2"/>
        <v>0</v>
      </c>
      <c r="T58" s="13">
        <f t="shared" si="2"/>
        <v>0</v>
      </c>
      <c r="U58" s="13">
        <f t="shared" si="2"/>
        <v>0</v>
      </c>
      <c r="V58" s="13">
        <f t="shared" si="2"/>
        <v>0</v>
      </c>
      <c r="W58" s="13">
        <f t="shared" si="2"/>
        <v>0</v>
      </c>
      <c r="X58" s="13">
        <f t="shared" si="2"/>
        <v>0</v>
      </c>
      <c r="Y58" s="13">
        <f t="shared" si="2"/>
        <v>0</v>
      </c>
      <c r="Z58" s="13">
        <f t="shared" si="2"/>
        <v>0</v>
      </c>
      <c r="AA58" s="13">
        <f t="shared" si="2"/>
        <v>0</v>
      </c>
      <c r="AB58" s="13">
        <f t="shared" si="2"/>
        <v>0</v>
      </c>
      <c r="AC58" s="13">
        <f t="shared" si="2"/>
        <v>0</v>
      </c>
      <c r="AD58" s="13">
        <f t="shared" si="2"/>
        <v>0</v>
      </c>
      <c r="AE58" s="13">
        <f t="shared" si="2"/>
        <v>0</v>
      </c>
      <c r="AF58" s="13">
        <f t="shared" si="2"/>
        <v>0</v>
      </c>
      <c r="AG58" s="13">
        <f t="shared" si="2"/>
        <v>0</v>
      </c>
      <c r="AH58" s="13">
        <f t="shared" si="2"/>
        <v>0</v>
      </c>
      <c r="AI58" s="13">
        <f t="shared" si="2"/>
        <v>-386401.13666666666</v>
      </c>
      <c r="AJ58" s="13">
        <f t="shared" si="2"/>
        <v>-235166.66666666666</v>
      </c>
      <c r="AK58" s="13">
        <f t="shared" si="2"/>
        <v>-265640.0952851508</v>
      </c>
      <c r="AL58" s="13">
        <f t="shared" si="2"/>
        <v>-262076.56800054634</v>
      </c>
      <c r="AM58" s="13">
        <f t="shared" si="2"/>
        <v>-243991.76636886704</v>
      </c>
      <c r="AN58" s="13">
        <f t="shared" si="2"/>
        <v>-310165.5542975305</v>
      </c>
    </row>
    <row r="59" spans="2:40" x14ac:dyDescent="0.25">
      <c r="B59" t="s">
        <v>277</v>
      </c>
      <c r="E59" s="12" cm="1">
        <f t="array" ref="E59:AN59">_xlfn.SCAN(-D55,E58:AN58,_xlfn.LAMBDA(_xlpm.capex,_xlpm.fcf,_xlpm.capex+_xlpm.fcf))</f>
        <v>0</v>
      </c>
      <c r="F59" s="12">
        <v>0</v>
      </c>
      <c r="G59" s="12">
        <v>0</v>
      </c>
      <c r="H59" s="12">
        <v>0</v>
      </c>
      <c r="I59" s="12">
        <v>0</v>
      </c>
      <c r="J59" s="12">
        <v>0</v>
      </c>
      <c r="K59" s="12">
        <v>0</v>
      </c>
      <c r="L59" s="12">
        <v>0</v>
      </c>
      <c r="M59" s="12">
        <v>0</v>
      </c>
      <c r="N59" s="12">
        <v>0</v>
      </c>
      <c r="O59" s="12">
        <v>0</v>
      </c>
      <c r="P59" s="12">
        <v>0</v>
      </c>
      <c r="Q59" s="12">
        <v>0</v>
      </c>
      <c r="R59" s="12">
        <v>0</v>
      </c>
      <c r="S59" s="12">
        <v>0</v>
      </c>
      <c r="T59" s="12">
        <v>0</v>
      </c>
      <c r="U59" s="12">
        <v>0</v>
      </c>
      <c r="V59" s="12">
        <v>0</v>
      </c>
      <c r="W59" s="12">
        <v>0</v>
      </c>
      <c r="X59" s="12">
        <v>0</v>
      </c>
      <c r="Y59" s="12">
        <v>0</v>
      </c>
      <c r="Z59" s="12">
        <v>0</v>
      </c>
      <c r="AA59" s="12">
        <v>0</v>
      </c>
      <c r="AB59" s="12">
        <v>0</v>
      </c>
      <c r="AC59" s="12">
        <v>0</v>
      </c>
      <c r="AD59" s="12">
        <v>0</v>
      </c>
      <c r="AE59" s="12">
        <v>0</v>
      </c>
      <c r="AF59" s="12">
        <v>0</v>
      </c>
      <c r="AG59" s="12">
        <v>0</v>
      </c>
      <c r="AH59" s="12">
        <v>0</v>
      </c>
      <c r="AI59" s="12">
        <v>-386401.13666666666</v>
      </c>
      <c r="AJ59" s="12">
        <v>-621567.80333333334</v>
      </c>
      <c r="AK59" s="12">
        <v>-887207.89861848415</v>
      </c>
      <c r="AL59" s="12">
        <v>-1149284.4666190306</v>
      </c>
      <c r="AM59" s="12">
        <v>-1393276.2329878977</v>
      </c>
      <c r="AN59" s="12">
        <v>-1703441.7872854283</v>
      </c>
    </row>
    <row r="61" spans="2:40" x14ac:dyDescent="0.25">
      <c r="B61" s="1" t="s">
        <v>302</v>
      </c>
    </row>
    <row r="63" spans="2:40" x14ac:dyDescent="0.25">
      <c r="B63" s="39" t="s">
        <v>103</v>
      </c>
      <c r="E63" s="12" cm="1">
        <f t="array" ref="E63:AN63">_xlfn.LET(_xlpm.site,$B$1&amp;"-"&amp;$C$1,_xlpm.locations,Base!$D$4:$BD$4,_xlpm.rates,Base!$D$36:$BD$36,_xlpm.hours,Base!$D$79:$BD$79,_xlpm.comp,_xlpm.rates*_xlpm.hours,_xlpm.Customer,_xlfn.ANCHORARRAY($E$1),
_xlpm.Customer_comp,_xlfn.XLOOKUP(_xlpm.site,_xlpm.locations,_xlpm.comp,0,0),_xlpm.ann_incr,_xlfn.XLOOKUP(YEAR(_xlfn.ANCHORARRAY($E$25)),Base!$BJ$4:$BL$4,Base!$BJ$79:$BL$79,0,0),
_xlpm.bad_debt,_xlfn.XLOOKUP(_xlpm.site,_xlpm.locations,Base!$D$28:$BD$28,0,0),_xlpm.Customer_comp*_xlpm.Customer*_xlpm.bad_debt*_xlpm.ann_incr*(52/12)*(1-$C$35))</f>
        <v>0</v>
      </c>
      <c r="F63" s="12">
        <v>0</v>
      </c>
      <c r="G63" s="12">
        <v>0</v>
      </c>
      <c r="H63" s="12">
        <v>0</v>
      </c>
      <c r="I63" s="12">
        <v>0</v>
      </c>
      <c r="J63" s="12">
        <v>0</v>
      </c>
      <c r="K63" s="12">
        <v>0</v>
      </c>
      <c r="L63" s="12">
        <v>0</v>
      </c>
      <c r="M63" s="12">
        <v>0</v>
      </c>
      <c r="N63" s="12">
        <v>0</v>
      </c>
      <c r="O63" s="12">
        <v>0</v>
      </c>
      <c r="P63" s="12">
        <v>0</v>
      </c>
      <c r="Q63" s="12">
        <v>0</v>
      </c>
      <c r="R63" s="12">
        <v>0</v>
      </c>
      <c r="S63" s="12">
        <v>0</v>
      </c>
      <c r="T63" s="12">
        <v>0</v>
      </c>
      <c r="U63" s="12">
        <v>0</v>
      </c>
      <c r="V63" s="12">
        <v>0</v>
      </c>
      <c r="W63" s="12">
        <v>0</v>
      </c>
      <c r="X63" s="12">
        <v>0</v>
      </c>
      <c r="Y63" s="12">
        <v>0</v>
      </c>
      <c r="Z63" s="12">
        <v>0</v>
      </c>
      <c r="AA63" s="12">
        <v>0</v>
      </c>
      <c r="AB63" s="12">
        <v>0</v>
      </c>
      <c r="AC63" s="12">
        <v>0</v>
      </c>
      <c r="AD63" s="12">
        <v>0</v>
      </c>
      <c r="AE63" s="12">
        <v>0</v>
      </c>
      <c r="AF63" s="12">
        <v>0</v>
      </c>
      <c r="AG63" s="12">
        <v>0</v>
      </c>
      <c r="AH63" s="12">
        <v>0</v>
      </c>
      <c r="AI63" s="12">
        <v>0</v>
      </c>
      <c r="AJ63" s="12">
        <v>0</v>
      </c>
      <c r="AK63" s="12">
        <v>2179.0924014745592</v>
      </c>
      <c r="AL63" s="12">
        <v>4358.1848029491184</v>
      </c>
      <c r="AM63" s="12">
        <v>6537.2772044236781</v>
      </c>
      <c r="AN63" s="12">
        <v>8716.3696058982368</v>
      </c>
    </row>
    <row r="64" spans="2:40" x14ac:dyDescent="0.25">
      <c r="B64" s="39" t="s">
        <v>104</v>
      </c>
      <c r="E64" s="12" cm="1">
        <f t="array" ref="E64:AN64">_xlfn.LET(_xlpm.site,$B$1&amp;"-"&amp;$C$1,_xlpm.locations,Base!$D$4:$BD$4,_xlpm.rates,Base!$D$37:$BD$37,_xlpm.hours,Base!$D$80:$BD$80,_xlpm.comp,_xlpm.rates*_xlpm.hours,_xlpm.Customer,_xlfn.ANCHORARRAY($E$1),
_xlpm.Customer_comp,_xlfn.XLOOKUP(_xlpm.site,_xlpm.locations,_xlpm.comp,0,0),_xlpm.ann_incr,_xlfn.XLOOKUP(YEAR(_xlfn.ANCHORARRAY($E$25)),Base!$BJ$4:$BL$4,Base!$BJ$80:$BL$80,0,0),
_xlpm.bad_debt,_xlfn.XLOOKUP(_xlpm.site,_xlpm.locations,Base!$D$28:$BD$28,0,0),_xlpm.Customer_comp*_xlpm.Customer*_xlpm.bad_debt*_xlpm.ann_incr*(52/12)*(1-$C$35))</f>
        <v>0</v>
      </c>
      <c r="F64" s="12">
        <v>0</v>
      </c>
      <c r="G64" s="12">
        <v>0</v>
      </c>
      <c r="H64" s="12">
        <v>0</v>
      </c>
      <c r="I64" s="12">
        <v>0</v>
      </c>
      <c r="J64" s="12">
        <v>0</v>
      </c>
      <c r="K64" s="12">
        <v>0</v>
      </c>
      <c r="L64" s="12">
        <v>0</v>
      </c>
      <c r="M64" s="12">
        <v>0</v>
      </c>
      <c r="N64" s="12">
        <v>0</v>
      </c>
      <c r="O64" s="12">
        <v>0</v>
      </c>
      <c r="P64" s="12">
        <v>0</v>
      </c>
      <c r="Q64" s="12">
        <v>0</v>
      </c>
      <c r="R64" s="12">
        <v>0</v>
      </c>
      <c r="S64" s="12">
        <v>0</v>
      </c>
      <c r="T64" s="12">
        <v>0</v>
      </c>
      <c r="U64" s="12">
        <v>0</v>
      </c>
      <c r="V64" s="12">
        <v>0</v>
      </c>
      <c r="W64" s="12">
        <v>0</v>
      </c>
      <c r="X64" s="12">
        <v>0</v>
      </c>
      <c r="Y64" s="12">
        <v>0</v>
      </c>
      <c r="Z64" s="12">
        <v>0</v>
      </c>
      <c r="AA64" s="12">
        <v>0</v>
      </c>
      <c r="AB64" s="12">
        <v>0</v>
      </c>
      <c r="AC64" s="12">
        <v>0</v>
      </c>
      <c r="AD64" s="12">
        <v>0</v>
      </c>
      <c r="AE64" s="12">
        <v>0</v>
      </c>
      <c r="AF64" s="12">
        <v>0</v>
      </c>
      <c r="AG64" s="12">
        <v>0</v>
      </c>
      <c r="AH64" s="12">
        <v>0</v>
      </c>
      <c r="AI64" s="12">
        <v>0</v>
      </c>
      <c r="AJ64" s="12">
        <v>0</v>
      </c>
      <c r="AK64" s="12">
        <v>291.17026532352008</v>
      </c>
      <c r="AL64" s="12">
        <v>582.34053064704017</v>
      </c>
      <c r="AM64" s="12">
        <v>873.51079597056014</v>
      </c>
      <c r="AN64" s="12">
        <v>1164.6810612940803</v>
      </c>
    </row>
    <row r="65" spans="2:40" x14ac:dyDescent="0.25">
      <c r="B65" s="39" t="s">
        <v>56</v>
      </c>
      <c r="E65" s="12" cm="1">
        <f t="array" ref="E65:AN65">_xlfn.LET(_xlpm.site,$B$1&amp;"-"&amp;$C$1,_xlpm.locations,Base!$D$4:$BD$4,_xlpm.rates,Base!$D$39:$BD$39,_xlpm.hours,Base!$D$82:$BD$82,_xlpm.comp,_xlpm.rates*_xlpm.hours,_xlpm.Customer,_xlfn.ANCHORARRAY($E$1),
_xlpm.Customer_comp,_xlfn.XLOOKUP(_xlpm.site,_xlpm.locations,_xlpm.comp,0,0),_xlpm.ann_incr,_xlfn.XLOOKUP(YEAR(_xlfn.ANCHORARRAY($E$25)),Base!$BJ$4:$BL$4,Base!$BJ$82:$BL$82,0,0),
_xlpm.bad_debt,_xlfn.XLOOKUP(_xlpm.site,_xlpm.locations,Base!$D$28:$BD$28,0,0),_xlpm.Customer_comp*_xlpm.Customer*_xlpm.bad_debt*_xlpm.ann_incr*(52/12)*(1-$C$35))</f>
        <v>0</v>
      </c>
      <c r="F65" s="12">
        <v>0</v>
      </c>
      <c r="G65" s="12">
        <v>0</v>
      </c>
      <c r="H65" s="12">
        <v>0</v>
      </c>
      <c r="I65" s="12">
        <v>0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  <c r="O65" s="12">
        <v>0</v>
      </c>
      <c r="P65" s="12">
        <v>0</v>
      </c>
      <c r="Q65" s="12">
        <v>0</v>
      </c>
      <c r="R65" s="12">
        <v>0</v>
      </c>
      <c r="S65" s="12">
        <v>0</v>
      </c>
      <c r="T65" s="12">
        <v>0</v>
      </c>
      <c r="U65" s="12">
        <v>0</v>
      </c>
      <c r="V65" s="12">
        <v>0</v>
      </c>
      <c r="W65" s="12">
        <v>0</v>
      </c>
      <c r="X65" s="12">
        <v>0</v>
      </c>
      <c r="Y65" s="12">
        <v>0</v>
      </c>
      <c r="Z65" s="12">
        <v>0</v>
      </c>
      <c r="AA65" s="12">
        <v>0</v>
      </c>
      <c r="AB65" s="12">
        <v>0</v>
      </c>
      <c r="AC65" s="12">
        <v>0</v>
      </c>
      <c r="AD65" s="12">
        <v>0</v>
      </c>
      <c r="AE65" s="12">
        <v>0</v>
      </c>
      <c r="AF65" s="12">
        <v>0</v>
      </c>
      <c r="AG65" s="12">
        <v>0</v>
      </c>
      <c r="AH65" s="12">
        <v>0</v>
      </c>
      <c r="AI65" s="12">
        <v>0</v>
      </c>
      <c r="AJ65" s="12">
        <v>0</v>
      </c>
      <c r="AK65" s="12">
        <v>1770.8074248550399</v>
      </c>
      <c r="AL65" s="12">
        <v>3541.6148497100799</v>
      </c>
      <c r="AM65" s="12">
        <v>5312.4222745651196</v>
      </c>
      <c r="AN65" s="12">
        <v>7083.2296994201597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303</v>
      </c>
      <c r="C67" s="12"/>
      <c r="E67" s="13" cm="1">
        <f t="array" ref="E67:AN67">_xlfn.BYCOL(_xlfn.VSTACK(_xlfn.ANCHORARRAY($E$63),_xlfn.ANCHORARRAY($E$64),_xlfn.ANCHORARRAY($E$65)),_xlfn.LAMBDA(_xlpm.a,SUM(_xlpm.a)))</f>
        <v>0</v>
      </c>
      <c r="F67" s="13">
        <v>0</v>
      </c>
      <c r="G67" s="13">
        <v>0</v>
      </c>
      <c r="H67" s="13">
        <v>0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  <c r="W67" s="13">
        <v>0</v>
      </c>
      <c r="X67" s="13">
        <v>0</v>
      </c>
      <c r="Y67" s="13">
        <v>0</v>
      </c>
      <c r="Z67" s="13">
        <v>0</v>
      </c>
      <c r="AA67" s="13">
        <v>0</v>
      </c>
      <c r="AB67" s="13">
        <v>0</v>
      </c>
      <c r="AC67" s="13">
        <v>0</v>
      </c>
      <c r="AD67" s="13">
        <v>0</v>
      </c>
      <c r="AE67" s="13">
        <v>0</v>
      </c>
      <c r="AF67" s="13">
        <v>0</v>
      </c>
      <c r="AG67" s="13">
        <v>0</v>
      </c>
      <c r="AH67" s="13">
        <v>0</v>
      </c>
      <c r="AI67" s="13">
        <v>0</v>
      </c>
      <c r="AJ67" s="13">
        <v>0</v>
      </c>
      <c r="AK67" s="13">
        <v>4241.0700916531196</v>
      </c>
      <c r="AL67" s="13">
        <v>8482.1401833062391</v>
      </c>
      <c r="AM67" s="13">
        <v>12723.210274959358</v>
      </c>
      <c r="AN67" s="13">
        <v>16964.280366612478</v>
      </c>
    </row>
    <row r="68" spans="2:40" x14ac:dyDescent="0.25">
      <c r="B68" s="39"/>
      <c r="C68" s="12"/>
    </row>
    <row r="69" spans="2:40" x14ac:dyDescent="0.25">
      <c r="B69" s="39" t="s">
        <v>304</v>
      </c>
      <c r="C69" s="12"/>
      <c r="E69" s="106" cm="1">
        <f t="array" ref="E69:AN70">_xlfn.LET(_xlpm.Customer_staff,_xlfn._xlws.FILTER(Base!$D$96:$BD$97,ISNUMBER(SEARCH($B$1&amp;"-"&amp;$C$1,Base!$D$4:$BD$4))),_xlpm.Customer,_xlfn.ANCHORARRAY($E$1),_xlpm.headcount,_xlpm.Customer/_xlpm.Customer_staff,
_xlpm.rounding,_xlfn.VSTACK(0,0),IFERROR(ROUND(_xlpm.headcount,_xlpm.rounding),0))</f>
        <v>0</v>
      </c>
      <c r="F69" s="106">
        <v>0</v>
      </c>
      <c r="G69" s="106">
        <v>0</v>
      </c>
      <c r="H69" s="106">
        <v>0</v>
      </c>
      <c r="I69" s="106">
        <v>0</v>
      </c>
      <c r="J69" s="106">
        <v>0</v>
      </c>
      <c r="K69" s="106">
        <v>0</v>
      </c>
      <c r="L69" s="106">
        <v>0</v>
      </c>
      <c r="M69" s="106">
        <v>0</v>
      </c>
      <c r="N69" s="106">
        <v>0</v>
      </c>
      <c r="O69" s="106">
        <v>0</v>
      </c>
      <c r="P69" s="106">
        <v>0</v>
      </c>
      <c r="Q69" s="106">
        <v>0</v>
      </c>
      <c r="R69" s="106">
        <v>0</v>
      </c>
      <c r="S69" s="106">
        <v>0</v>
      </c>
      <c r="T69" s="106">
        <v>0</v>
      </c>
      <c r="U69" s="106">
        <v>0</v>
      </c>
      <c r="V69" s="106">
        <v>0</v>
      </c>
      <c r="W69" s="106">
        <v>0</v>
      </c>
      <c r="X69" s="106">
        <v>0</v>
      </c>
      <c r="Y69" s="106">
        <v>0</v>
      </c>
      <c r="Z69" s="106">
        <v>0</v>
      </c>
      <c r="AA69" s="106">
        <v>0</v>
      </c>
      <c r="AB69" s="106">
        <v>0</v>
      </c>
      <c r="AC69" s="106">
        <v>0</v>
      </c>
      <c r="AD69" s="106">
        <v>0</v>
      </c>
      <c r="AE69" s="106">
        <v>0</v>
      </c>
      <c r="AF69" s="106">
        <v>0</v>
      </c>
      <c r="AG69" s="106">
        <v>0</v>
      </c>
      <c r="AH69" s="106">
        <v>0</v>
      </c>
      <c r="AI69" s="106">
        <v>0</v>
      </c>
      <c r="AJ69" s="106">
        <v>0</v>
      </c>
      <c r="AK69" s="106">
        <v>0</v>
      </c>
      <c r="AL69" s="106">
        <v>0</v>
      </c>
      <c r="AM69" s="106">
        <v>0</v>
      </c>
      <c r="AN69" s="106">
        <v>0</v>
      </c>
    </row>
    <row r="70" spans="2:40" x14ac:dyDescent="0.25">
      <c r="B70" s="39" t="s">
        <v>305</v>
      </c>
      <c r="C70" s="12"/>
      <c r="E70" s="106">
        <v>0</v>
      </c>
      <c r="F70" s="106">
        <v>0</v>
      </c>
      <c r="G70" s="106">
        <v>0</v>
      </c>
      <c r="H70" s="106">
        <v>0</v>
      </c>
      <c r="I70" s="106">
        <v>0</v>
      </c>
      <c r="J70" s="106">
        <v>0</v>
      </c>
      <c r="K70" s="106">
        <v>0</v>
      </c>
      <c r="L70" s="106">
        <v>0</v>
      </c>
      <c r="M70" s="106">
        <v>0</v>
      </c>
      <c r="N70" s="106">
        <v>0</v>
      </c>
      <c r="O70" s="106">
        <v>0</v>
      </c>
      <c r="P70" s="106">
        <v>0</v>
      </c>
      <c r="Q70" s="106">
        <v>0</v>
      </c>
      <c r="R70" s="106">
        <v>0</v>
      </c>
      <c r="S70" s="106">
        <v>0</v>
      </c>
      <c r="T70" s="106">
        <v>0</v>
      </c>
      <c r="U70" s="106">
        <v>0</v>
      </c>
      <c r="V70" s="106">
        <v>0</v>
      </c>
      <c r="W70" s="106">
        <v>0</v>
      </c>
      <c r="X70" s="106">
        <v>0</v>
      </c>
      <c r="Y70" s="106">
        <v>0</v>
      </c>
      <c r="Z70" s="106">
        <v>0</v>
      </c>
      <c r="AA70" s="106">
        <v>0</v>
      </c>
      <c r="AB70" s="106">
        <v>0</v>
      </c>
      <c r="AC70" s="106">
        <v>0</v>
      </c>
      <c r="AD70" s="106">
        <v>0</v>
      </c>
      <c r="AE70" s="106">
        <v>0</v>
      </c>
      <c r="AF70" s="106">
        <v>0</v>
      </c>
      <c r="AG70" s="106">
        <v>0</v>
      </c>
      <c r="AH70" s="106">
        <v>0</v>
      </c>
      <c r="AI70" s="106">
        <v>0</v>
      </c>
      <c r="AJ70" s="106">
        <v>0</v>
      </c>
      <c r="AK70" s="106">
        <v>0</v>
      </c>
      <c r="AL70" s="106">
        <v>0</v>
      </c>
      <c r="AM70" s="106">
        <v>0</v>
      </c>
      <c r="AN70" s="106">
        <v>0</v>
      </c>
    </row>
    <row r="71" spans="2:40" x14ac:dyDescent="0.25">
      <c r="B71" s="39"/>
      <c r="C71" s="12"/>
    </row>
    <row r="72" spans="2:40" x14ac:dyDescent="0.25">
      <c r="B72" s="39" t="s">
        <v>23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0</v>
      </c>
      <c r="F72" s="12">
        <v>0</v>
      </c>
      <c r="G72" s="12">
        <v>0</v>
      </c>
      <c r="H72" s="12">
        <v>0</v>
      </c>
      <c r="I72" s="12">
        <v>0</v>
      </c>
      <c r="J72" s="12">
        <v>0</v>
      </c>
      <c r="K72" s="12">
        <v>0</v>
      </c>
      <c r="L72" s="12">
        <v>0</v>
      </c>
      <c r="M72" s="12">
        <v>0</v>
      </c>
      <c r="N72" s="12">
        <v>0</v>
      </c>
      <c r="O72" s="12">
        <v>0</v>
      </c>
      <c r="P72" s="12">
        <v>0</v>
      </c>
      <c r="Q72" s="12">
        <v>0</v>
      </c>
      <c r="R72" s="12">
        <v>0</v>
      </c>
      <c r="S72" s="12">
        <v>0</v>
      </c>
      <c r="T72" s="12">
        <v>0</v>
      </c>
      <c r="U72" s="12">
        <v>0</v>
      </c>
      <c r="V72" s="12">
        <v>0</v>
      </c>
      <c r="W72" s="12">
        <v>0</v>
      </c>
      <c r="X72" s="12">
        <v>0</v>
      </c>
      <c r="Y72" s="12">
        <v>0</v>
      </c>
      <c r="Z72" s="12">
        <v>0</v>
      </c>
      <c r="AA72" s="12">
        <v>0</v>
      </c>
      <c r="AB72" s="12">
        <v>0</v>
      </c>
      <c r="AC72" s="12">
        <v>0</v>
      </c>
      <c r="AD72" s="12">
        <v>0</v>
      </c>
      <c r="AE72" s="12">
        <v>0</v>
      </c>
      <c r="AF72" s="12">
        <v>0</v>
      </c>
      <c r="AG72" s="12">
        <v>0</v>
      </c>
      <c r="AH72" s="12">
        <v>0</v>
      </c>
      <c r="AI72" s="12">
        <v>0</v>
      </c>
      <c r="AJ72" s="12">
        <v>0</v>
      </c>
      <c r="AK72" s="12">
        <v>761.52099071064936</v>
      </c>
      <c r="AL72" s="12">
        <v>1523.0419814212987</v>
      </c>
      <c r="AM72" s="12">
        <v>2284.5629721319478</v>
      </c>
      <c r="AN72" s="12">
        <v>3046.0839628425974</v>
      </c>
    </row>
    <row r="73" spans="2:40" x14ac:dyDescent="0.25">
      <c r="B73" s="39" t="s">
        <v>24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306</v>
      </c>
      <c r="E75" s="74" cm="1">
        <f t="array" ref="E75:AN75">_xlfn.ANCHORARRAY(E67)-_xlfn.ANCHORARRAY(E72)-_xlfn.ANCHORARRAY(E73)</f>
        <v>0</v>
      </c>
      <c r="F75" s="74">
        <v>0</v>
      </c>
      <c r="G75" s="74">
        <v>0</v>
      </c>
      <c r="H75" s="74">
        <v>0</v>
      </c>
      <c r="I75" s="74">
        <v>0</v>
      </c>
      <c r="J75" s="74">
        <v>0</v>
      </c>
      <c r="K75" s="74">
        <v>0</v>
      </c>
      <c r="L75" s="74">
        <v>0</v>
      </c>
      <c r="M75" s="74">
        <v>0</v>
      </c>
      <c r="N75" s="74">
        <v>0</v>
      </c>
      <c r="O75" s="74">
        <v>0</v>
      </c>
      <c r="P75" s="74">
        <v>0</v>
      </c>
      <c r="Q75" s="74">
        <v>0</v>
      </c>
      <c r="R75" s="74">
        <v>0</v>
      </c>
      <c r="S75" s="74">
        <v>0</v>
      </c>
      <c r="T75" s="74">
        <v>0</v>
      </c>
      <c r="U75" s="74">
        <v>0</v>
      </c>
      <c r="V75" s="74">
        <v>0</v>
      </c>
      <c r="W75" s="74">
        <v>0</v>
      </c>
      <c r="X75" s="74">
        <v>0</v>
      </c>
      <c r="Y75" s="74">
        <v>0</v>
      </c>
      <c r="Z75" s="74">
        <v>0</v>
      </c>
      <c r="AA75" s="74">
        <v>0</v>
      </c>
      <c r="AB75" s="74">
        <v>0</v>
      </c>
      <c r="AC75" s="74">
        <v>0</v>
      </c>
      <c r="AD75" s="74">
        <v>0</v>
      </c>
      <c r="AE75" s="74">
        <v>0</v>
      </c>
      <c r="AF75" s="74">
        <v>0</v>
      </c>
      <c r="AG75" s="74">
        <v>0</v>
      </c>
      <c r="AH75" s="74">
        <v>0</v>
      </c>
      <c r="AI75" s="74">
        <v>0</v>
      </c>
      <c r="AJ75" s="74">
        <v>0</v>
      </c>
      <c r="AK75" s="74">
        <v>3479.5491009424704</v>
      </c>
      <c r="AL75" s="74">
        <v>6959.0982018849409</v>
      </c>
      <c r="AM75" s="74">
        <v>10438.64730282741</v>
      </c>
      <c r="AN75" s="74">
        <v>13918.196403769882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58448-E802-4F97-88C8-A19E53E3059C}">
  <dimension ref="A1:AX75"/>
  <sheetViews>
    <sheetView workbookViewId="0">
      <pane xSplit="4" ySplit="25" topLeftCell="E26" activePane="bottomRight" state="frozen"/>
      <selection activeCell="E63" sqref="E63:E65"/>
      <selection pane="topRight" activeCell="E63" sqref="E63:E65"/>
      <selection pane="bottomLeft" activeCell="E63" sqref="E63:E65"/>
      <selection pane="bottomRight" activeCell="E63" sqref="E63:E65"/>
    </sheetView>
  </sheetViews>
  <sheetFormatPr defaultRowHeight="15" outlineLevelRow="1" x14ac:dyDescent="0.25"/>
  <cols>
    <col min="2" max="2" width="24.5703125" bestFit="1" customWidth="1"/>
    <col min="3" max="3" width="11.5703125" bestFit="1" customWidth="1"/>
    <col min="4" max="4" width="10" bestFit="1" customWidth="1"/>
    <col min="5" max="5" width="11.42578125" bestFit="1" customWidth="1"/>
    <col min="6" max="6" width="11.7109375" bestFit="1" customWidth="1"/>
    <col min="7" max="13" width="12.28515625" bestFit="1" customWidth="1"/>
    <col min="14" max="18" width="11.5703125" bestFit="1" customWidth="1"/>
    <col min="19" max="40" width="12.5703125" bestFit="1" customWidth="1"/>
  </cols>
  <sheetData>
    <row r="1" spans="1:40" x14ac:dyDescent="0.25">
      <c r="A1" s="96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>2028</v>
      </c>
      <c r="B1" s="58" t="s">
        <v>75</v>
      </c>
      <c r="C1" s="16" t="s">
        <v>61</v>
      </c>
      <c r="D1" s="3" t="s">
        <v>307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IFERROR(_xlpm.kiddos,0))</f>
        <v>0</v>
      </c>
      <c r="F1" s="69">
        <v>0</v>
      </c>
      <c r="G1" s="69">
        <v>0</v>
      </c>
      <c r="H1" s="69">
        <v>0</v>
      </c>
      <c r="I1" s="69">
        <v>0</v>
      </c>
      <c r="J1" s="69">
        <v>0</v>
      </c>
      <c r="K1" s="69">
        <v>0</v>
      </c>
      <c r="L1" s="69">
        <v>0</v>
      </c>
      <c r="M1" s="69">
        <v>0</v>
      </c>
      <c r="N1" s="69">
        <v>0</v>
      </c>
      <c r="O1" s="69">
        <v>0</v>
      </c>
      <c r="P1" s="69">
        <v>0</v>
      </c>
      <c r="Q1" s="69">
        <v>0</v>
      </c>
      <c r="R1" s="69">
        <v>0</v>
      </c>
      <c r="S1" s="69">
        <v>0</v>
      </c>
      <c r="T1" s="69">
        <v>0</v>
      </c>
      <c r="U1" s="69">
        <v>0</v>
      </c>
      <c r="V1" s="69">
        <v>0</v>
      </c>
      <c r="W1" s="69">
        <v>0</v>
      </c>
      <c r="X1" s="69">
        <v>0</v>
      </c>
      <c r="Y1" s="69">
        <v>0</v>
      </c>
      <c r="Z1" s="69">
        <v>0</v>
      </c>
      <c r="AA1" s="69">
        <v>0</v>
      </c>
      <c r="AB1" s="69">
        <v>0</v>
      </c>
      <c r="AC1" s="69">
        <v>0</v>
      </c>
      <c r="AD1" s="69">
        <v>0</v>
      </c>
      <c r="AE1" s="69">
        <v>0</v>
      </c>
      <c r="AF1" s="69">
        <v>0</v>
      </c>
      <c r="AG1" s="69">
        <v>0</v>
      </c>
      <c r="AH1" s="69">
        <v>0</v>
      </c>
      <c r="AI1" s="69">
        <v>0</v>
      </c>
      <c r="AJ1" s="69">
        <v>0</v>
      </c>
      <c r="AK1" s="69">
        <v>0</v>
      </c>
      <c r="AL1" s="69">
        <v>3</v>
      </c>
      <c r="AM1" s="69">
        <v>6</v>
      </c>
      <c r="AN1" s="69">
        <v>9</v>
      </c>
    </row>
    <row r="2" spans="1:40" x14ac:dyDescent="0.25">
      <c r="A2" s="65"/>
      <c r="B2" s="3" t="str">
        <f>_xlfn.XLOOKUP($B$1&amp;"-"&amp;$C$1,Base!$D$4:$BD$4,Base!$D$2:$BD$2,"",0)</f>
        <v>New Jersey</v>
      </c>
      <c r="C2" s="55"/>
      <c r="D2" s="55" t="s">
        <v>259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0</v>
      </c>
      <c r="F2" s="69">
        <v>0</v>
      </c>
      <c r="G2" s="69">
        <v>0</v>
      </c>
      <c r="H2" s="69">
        <v>0</v>
      </c>
      <c r="I2" s="69">
        <v>0</v>
      </c>
      <c r="J2" s="69">
        <v>0</v>
      </c>
      <c r="K2" s="69">
        <v>0</v>
      </c>
      <c r="L2" s="69">
        <v>0</v>
      </c>
      <c r="M2" s="69">
        <v>0</v>
      </c>
      <c r="N2" s="69">
        <v>0</v>
      </c>
      <c r="O2" s="69">
        <v>0</v>
      </c>
      <c r="P2" s="69">
        <v>0</v>
      </c>
      <c r="Q2" s="69">
        <v>0</v>
      </c>
      <c r="R2" s="69">
        <v>0</v>
      </c>
      <c r="S2" s="69">
        <v>0</v>
      </c>
      <c r="T2" s="69">
        <v>0</v>
      </c>
      <c r="U2" s="69">
        <v>0</v>
      </c>
      <c r="V2" s="69">
        <v>0</v>
      </c>
      <c r="W2" s="69">
        <v>0</v>
      </c>
      <c r="X2" s="69">
        <v>0</v>
      </c>
      <c r="Y2" s="69">
        <v>0</v>
      </c>
      <c r="Z2" s="69">
        <v>0</v>
      </c>
      <c r="AA2" s="69">
        <v>0</v>
      </c>
      <c r="AB2" s="69">
        <v>0</v>
      </c>
      <c r="AC2" s="69">
        <v>0</v>
      </c>
      <c r="AD2" s="69">
        <v>0</v>
      </c>
      <c r="AE2" s="69">
        <v>0</v>
      </c>
      <c r="AF2" s="69">
        <v>0</v>
      </c>
      <c r="AG2" s="69">
        <v>0</v>
      </c>
      <c r="AH2" s="69">
        <v>0</v>
      </c>
      <c r="AI2" s="69">
        <v>0</v>
      </c>
      <c r="AJ2" s="69">
        <v>0</v>
      </c>
      <c r="AK2" s="69">
        <v>0</v>
      </c>
      <c r="AL2" s="69">
        <v>0</v>
      </c>
      <c r="AM2" s="69">
        <v>3.1666666666666665</v>
      </c>
      <c r="AN2" s="69">
        <v>3.3333333333333335</v>
      </c>
    </row>
    <row r="3" spans="1:40" x14ac:dyDescent="0.25">
      <c r="A3" s="65"/>
      <c r="B3" s="55"/>
      <c r="C3" s="55"/>
      <c r="D3" s="55" t="s">
        <v>62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_xlpm.months_since,DATEDIF(_xlpm.launchdate,_xlfn.ANCHORARRAY($E$25),"m"),_xlfn.BYCOL(_xlpm.months_since,_xlfn.LAMBDA(_xlpm.a,IFERROR(MIN(_xlpm.a/6,_xlpm.max_kiddos),0))))</f>
        <v>0</v>
      </c>
      <c r="F3" s="69">
        <v>0</v>
      </c>
      <c r="G3" s="69">
        <v>0</v>
      </c>
      <c r="H3" s="69">
        <v>0</v>
      </c>
      <c r="I3" s="69">
        <v>0</v>
      </c>
      <c r="J3" s="69">
        <v>0</v>
      </c>
      <c r="K3" s="69">
        <v>0</v>
      </c>
      <c r="L3" s="69">
        <v>0</v>
      </c>
      <c r="M3" s="69">
        <v>0</v>
      </c>
      <c r="N3" s="69">
        <v>0</v>
      </c>
      <c r="O3" s="69">
        <v>0</v>
      </c>
      <c r="P3" s="69">
        <v>0</v>
      </c>
      <c r="Q3" s="69">
        <v>0</v>
      </c>
      <c r="R3" s="69">
        <v>0</v>
      </c>
      <c r="S3" s="69">
        <v>0</v>
      </c>
      <c r="T3" s="69">
        <v>0</v>
      </c>
      <c r="U3" s="69">
        <v>0</v>
      </c>
      <c r="V3" s="69">
        <v>0</v>
      </c>
      <c r="W3" s="69">
        <v>0</v>
      </c>
      <c r="X3" s="69">
        <v>0</v>
      </c>
      <c r="Y3" s="69">
        <v>0</v>
      </c>
      <c r="Z3" s="69">
        <v>0</v>
      </c>
      <c r="AA3" s="69">
        <v>0</v>
      </c>
      <c r="AB3" s="69">
        <v>0</v>
      </c>
      <c r="AC3" s="69">
        <v>0</v>
      </c>
      <c r="AD3" s="69">
        <v>0</v>
      </c>
      <c r="AE3" s="69">
        <v>0</v>
      </c>
      <c r="AF3" s="69">
        <v>0</v>
      </c>
      <c r="AG3" s="69">
        <v>0</v>
      </c>
      <c r="AH3" s="69">
        <v>0</v>
      </c>
      <c r="AI3" s="69">
        <v>0</v>
      </c>
      <c r="AJ3" s="69">
        <v>0</v>
      </c>
      <c r="AK3" s="69">
        <v>0</v>
      </c>
      <c r="AL3" s="69">
        <v>0</v>
      </c>
      <c r="AM3" s="69">
        <v>0.16666666666666666</v>
      </c>
      <c r="AN3" s="69">
        <v>0.33333333333333331</v>
      </c>
    </row>
    <row r="4" spans="1:40" x14ac:dyDescent="0.25">
      <c r="A4" s="65"/>
      <c r="B4" s="55"/>
      <c r="C4" s="55"/>
      <c r="D4" s="55" t="s">
        <v>260</v>
      </c>
      <c r="E4" s="69" cm="1">
        <f t="array" ref="E4:AN4">_xlfn.BYCOL(_xlfn.VSTACK(_xlfn.ANCHORARRAY($E$1),_xlfn.ANCHORARRAY($E$2)),_xlfn.LAMBDA(_xlpm.a,SUM(_xlpm.a)))</f>
        <v>0</v>
      </c>
      <c r="F4" s="69">
        <v>0</v>
      </c>
      <c r="G4" s="69">
        <v>0</v>
      </c>
      <c r="H4" s="69">
        <v>0</v>
      </c>
      <c r="I4" s="69">
        <v>0</v>
      </c>
      <c r="J4" s="69">
        <v>0</v>
      </c>
      <c r="K4" s="69">
        <v>0</v>
      </c>
      <c r="L4" s="69">
        <v>0</v>
      </c>
      <c r="M4" s="69">
        <v>0</v>
      </c>
      <c r="N4" s="69">
        <v>0</v>
      </c>
      <c r="O4" s="69">
        <v>0</v>
      </c>
      <c r="P4" s="69">
        <v>0</v>
      </c>
      <c r="Q4" s="69">
        <v>0</v>
      </c>
      <c r="R4" s="69">
        <v>0</v>
      </c>
      <c r="S4" s="69">
        <v>0</v>
      </c>
      <c r="T4" s="69">
        <v>0</v>
      </c>
      <c r="U4" s="69">
        <v>0</v>
      </c>
      <c r="V4" s="69">
        <v>0</v>
      </c>
      <c r="W4" s="69">
        <v>0</v>
      </c>
      <c r="X4" s="69">
        <v>0</v>
      </c>
      <c r="Y4" s="69">
        <v>0</v>
      </c>
      <c r="Z4" s="69">
        <v>0</v>
      </c>
      <c r="AA4" s="69">
        <v>0</v>
      </c>
      <c r="AB4" s="69">
        <v>0</v>
      </c>
      <c r="AC4" s="69">
        <v>0</v>
      </c>
      <c r="AD4" s="69">
        <v>0</v>
      </c>
      <c r="AE4" s="69">
        <v>0</v>
      </c>
      <c r="AF4" s="69">
        <v>0</v>
      </c>
      <c r="AG4" s="69">
        <v>0</v>
      </c>
      <c r="AH4" s="69">
        <v>0</v>
      </c>
      <c r="AI4" s="69">
        <v>0</v>
      </c>
      <c r="AJ4" s="69">
        <v>0</v>
      </c>
      <c r="AK4" s="69">
        <v>0</v>
      </c>
      <c r="AL4" s="69">
        <v>3</v>
      </c>
      <c r="AM4" s="69">
        <v>9.1666666666666661</v>
      </c>
      <c r="AN4" s="69">
        <v>12.333333333333334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107</v>
      </c>
      <c r="C6" s="3"/>
      <c r="D6" s="3"/>
      <c r="E6" s="66" cm="1">
        <f t="array" ref="E6:AN6">ROUND(_xlfn.BYCOL(_xlfn.ANCHORARRAY(E7),_xlfn.LAMBDA(_xlpm.a,SUM(_xlpm.a))),0)</f>
        <v>0</v>
      </c>
      <c r="F6" s="66">
        <v>0</v>
      </c>
      <c r="G6" s="66">
        <v>0</v>
      </c>
      <c r="H6" s="66">
        <v>0</v>
      </c>
      <c r="I6" s="66">
        <v>0</v>
      </c>
      <c r="J6" s="66">
        <v>0</v>
      </c>
      <c r="K6" s="66">
        <v>0</v>
      </c>
      <c r="L6" s="66">
        <v>0</v>
      </c>
      <c r="M6" s="66">
        <v>0</v>
      </c>
      <c r="N6" s="66">
        <v>0</v>
      </c>
      <c r="O6" s="66">
        <v>0</v>
      </c>
      <c r="P6" s="66">
        <v>0</v>
      </c>
      <c r="Q6" s="66">
        <v>0</v>
      </c>
      <c r="R6" s="66">
        <v>0</v>
      </c>
      <c r="S6" s="66">
        <v>0</v>
      </c>
      <c r="T6" s="66">
        <v>0</v>
      </c>
      <c r="U6" s="66">
        <v>0</v>
      </c>
      <c r="V6" s="66">
        <v>0</v>
      </c>
      <c r="W6" s="66">
        <v>0</v>
      </c>
      <c r="X6" s="66">
        <v>0</v>
      </c>
      <c r="Y6" s="66">
        <v>0</v>
      </c>
      <c r="Z6" s="66">
        <v>0</v>
      </c>
      <c r="AA6" s="66">
        <v>0</v>
      </c>
      <c r="AB6" s="66">
        <v>0</v>
      </c>
      <c r="AC6" s="66">
        <v>0</v>
      </c>
      <c r="AD6" s="66">
        <v>0</v>
      </c>
      <c r="AE6" s="66">
        <v>0</v>
      </c>
      <c r="AF6" s="66">
        <v>0</v>
      </c>
      <c r="AG6" s="66">
        <v>0</v>
      </c>
      <c r="AH6" s="66">
        <v>0</v>
      </c>
      <c r="AI6" s="66">
        <v>0</v>
      </c>
      <c r="AJ6" s="66">
        <v>0</v>
      </c>
      <c r="AK6" s="66">
        <v>0</v>
      </c>
      <c r="AL6" s="66">
        <v>6</v>
      </c>
      <c r="AM6" s="66">
        <v>11</v>
      </c>
      <c r="AN6" s="66">
        <v>15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1"/>
      <c r="E7" s="106" cm="1">
        <f t="array" ref="E7:AN20">_xlfn.LET(_xlpm.Customer_staff,_xlfn._xlws.FILTER(Base!$D$85:$BD$98,ISNUMBER(SEARCH($B$1&amp;"-"&amp;$C$1,Base!$D$4:$BD$4))),_xlpm.Customer,_xlfn.ANCHORARRAY($E$1),_xlpm.headcount,_xlpm.Customer/_xlpm.Customer_staff,
_xlpm.patient_staff,_xlfn.ANCHORARRAY($E$2)/_xlpm.Customer_staff,_xlpm.prim_staff_tr_rec,_xlfn.ANCHORARRAY($E$2)/_xlfn.CHOOSEROWS(_xlpm.Customer_staff,{7,8})+(_xlfn.ANCHORARRAY($E$1)*0.0055),_xlpm.rounding,_xlfn.VSTACK(2,2,0,0,2,2,2,2,2,2,2,0,0,0),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prim_staff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0</v>
      </c>
      <c r="F7" s="106">
        <v>0</v>
      </c>
      <c r="G7" s="106">
        <v>0</v>
      </c>
      <c r="H7" s="106">
        <v>0</v>
      </c>
      <c r="I7" s="106">
        <v>0</v>
      </c>
      <c r="J7" s="106">
        <v>0</v>
      </c>
      <c r="K7" s="106">
        <v>0</v>
      </c>
      <c r="L7" s="106">
        <v>0</v>
      </c>
      <c r="M7" s="106">
        <v>0</v>
      </c>
      <c r="N7" s="106">
        <v>0</v>
      </c>
      <c r="O7" s="106">
        <v>0</v>
      </c>
      <c r="P7" s="106">
        <v>0</v>
      </c>
      <c r="Q7" s="106">
        <v>0</v>
      </c>
      <c r="R7" s="106">
        <v>0</v>
      </c>
      <c r="S7" s="106">
        <v>0</v>
      </c>
      <c r="T7" s="106">
        <v>0</v>
      </c>
      <c r="U7" s="106">
        <v>0</v>
      </c>
      <c r="V7" s="106">
        <v>0</v>
      </c>
      <c r="W7" s="106">
        <v>0</v>
      </c>
      <c r="X7" s="106">
        <v>0</v>
      </c>
      <c r="Y7" s="106">
        <v>0</v>
      </c>
      <c r="Z7" s="106">
        <v>0</v>
      </c>
      <c r="AA7" s="106">
        <v>0</v>
      </c>
      <c r="AB7" s="106">
        <v>0</v>
      </c>
      <c r="AC7" s="106">
        <v>0</v>
      </c>
      <c r="AD7" s="106">
        <v>0</v>
      </c>
      <c r="AE7" s="106">
        <v>0</v>
      </c>
      <c r="AF7" s="106">
        <v>0</v>
      </c>
      <c r="AG7" s="106">
        <v>0</v>
      </c>
      <c r="AH7" s="106">
        <v>0</v>
      </c>
      <c r="AI7" s="106">
        <v>0</v>
      </c>
      <c r="AJ7" s="106">
        <v>0</v>
      </c>
      <c r="AK7" s="106">
        <v>0</v>
      </c>
      <c r="AL7" s="106">
        <v>2.8299999999999996</v>
      </c>
      <c r="AM7" s="106">
        <v>5.6499999999999995</v>
      </c>
      <c r="AN7" s="106">
        <v>8.48</v>
      </c>
    </row>
    <row r="8" spans="1:40" hidden="1" outlineLevel="1" x14ac:dyDescent="0.25">
      <c r="B8" s="39" t="str">
        <v>Secondary Direct Staff</v>
      </c>
      <c r="C8" s="3"/>
      <c r="D8" s="3"/>
      <c r="E8" s="106">
        <v>0</v>
      </c>
      <c r="F8" s="106">
        <v>0</v>
      </c>
      <c r="G8" s="106">
        <v>0</v>
      </c>
      <c r="H8" s="106">
        <v>0</v>
      </c>
      <c r="I8" s="106">
        <v>0</v>
      </c>
      <c r="J8" s="106">
        <v>0</v>
      </c>
      <c r="K8" s="106">
        <v>0</v>
      </c>
      <c r="L8" s="106">
        <v>0</v>
      </c>
      <c r="M8" s="106">
        <v>0</v>
      </c>
      <c r="N8" s="106">
        <v>0</v>
      </c>
      <c r="O8" s="106">
        <v>0</v>
      </c>
      <c r="P8" s="106">
        <v>0</v>
      </c>
      <c r="Q8" s="106">
        <v>0</v>
      </c>
      <c r="R8" s="106">
        <v>0</v>
      </c>
      <c r="S8" s="106">
        <v>0</v>
      </c>
      <c r="T8" s="106">
        <v>0</v>
      </c>
      <c r="U8" s="106">
        <v>0</v>
      </c>
      <c r="V8" s="106">
        <v>0</v>
      </c>
      <c r="W8" s="106">
        <v>0</v>
      </c>
      <c r="X8" s="106">
        <v>0</v>
      </c>
      <c r="Y8" s="106">
        <v>0</v>
      </c>
      <c r="Z8" s="106">
        <v>0</v>
      </c>
      <c r="AA8" s="106">
        <v>0</v>
      </c>
      <c r="AB8" s="106">
        <v>0</v>
      </c>
      <c r="AC8" s="106">
        <v>0</v>
      </c>
      <c r="AD8" s="106">
        <v>0</v>
      </c>
      <c r="AE8" s="106">
        <v>0</v>
      </c>
      <c r="AF8" s="106">
        <v>0</v>
      </c>
      <c r="AG8" s="106">
        <v>0</v>
      </c>
      <c r="AH8" s="106">
        <v>0</v>
      </c>
      <c r="AI8" s="106">
        <v>0</v>
      </c>
      <c r="AJ8" s="106">
        <v>0</v>
      </c>
      <c r="AK8" s="106">
        <v>0</v>
      </c>
      <c r="AL8" s="106">
        <v>0.43</v>
      </c>
      <c r="AM8" s="106">
        <v>0.86</v>
      </c>
      <c r="AN8" s="106">
        <v>1.29</v>
      </c>
    </row>
    <row r="9" spans="1:40" hidden="1" outlineLevel="1" x14ac:dyDescent="0.25">
      <c r="B9" s="39" t="str">
        <v>Center Manager</v>
      </c>
      <c r="C9" s="3"/>
      <c r="D9" s="3"/>
      <c r="E9" s="106">
        <v>0</v>
      </c>
      <c r="F9" s="106">
        <v>0</v>
      </c>
      <c r="G9" s="106">
        <v>0</v>
      </c>
      <c r="H9" s="106">
        <v>0</v>
      </c>
      <c r="I9" s="106">
        <v>0</v>
      </c>
      <c r="J9" s="106">
        <v>0</v>
      </c>
      <c r="K9" s="106">
        <v>0</v>
      </c>
      <c r="L9" s="106">
        <v>0</v>
      </c>
      <c r="M9" s="106">
        <v>0</v>
      </c>
      <c r="N9" s="106">
        <v>0</v>
      </c>
      <c r="O9" s="106">
        <v>0</v>
      </c>
      <c r="P9" s="106">
        <v>0</v>
      </c>
      <c r="Q9" s="106">
        <v>0</v>
      </c>
      <c r="R9" s="106">
        <v>0</v>
      </c>
      <c r="S9" s="106">
        <v>0</v>
      </c>
      <c r="T9" s="106">
        <v>0</v>
      </c>
      <c r="U9" s="106">
        <v>0</v>
      </c>
      <c r="V9" s="106">
        <v>0</v>
      </c>
      <c r="W9" s="106">
        <v>0</v>
      </c>
      <c r="X9" s="106">
        <v>0</v>
      </c>
      <c r="Y9" s="106">
        <v>0</v>
      </c>
      <c r="Z9" s="106">
        <v>0</v>
      </c>
      <c r="AA9" s="106">
        <v>0</v>
      </c>
      <c r="AB9" s="106">
        <v>0</v>
      </c>
      <c r="AC9" s="106">
        <v>0</v>
      </c>
      <c r="AD9" s="106">
        <v>0</v>
      </c>
      <c r="AE9" s="106">
        <v>0</v>
      </c>
      <c r="AF9" s="106">
        <v>0</v>
      </c>
      <c r="AG9" s="106">
        <v>0</v>
      </c>
      <c r="AH9" s="106">
        <v>0</v>
      </c>
      <c r="AI9" s="106">
        <v>0</v>
      </c>
      <c r="AJ9" s="106">
        <v>0</v>
      </c>
      <c r="AK9" s="106">
        <v>0</v>
      </c>
      <c r="AL9" s="106">
        <v>1</v>
      </c>
      <c r="AM9" s="106">
        <v>1</v>
      </c>
      <c r="AN9" s="106">
        <v>1</v>
      </c>
    </row>
    <row r="10" spans="1:40" hidden="1" outlineLevel="1" x14ac:dyDescent="0.25">
      <c r="B10" s="39" t="str">
        <v>Intake</v>
      </c>
      <c r="C10" s="3"/>
      <c r="D10" s="3"/>
      <c r="E10" s="106">
        <v>0</v>
      </c>
      <c r="F10" s="106">
        <v>0</v>
      </c>
      <c r="G10" s="106">
        <v>0</v>
      </c>
      <c r="H10" s="106">
        <v>0</v>
      </c>
      <c r="I10" s="106">
        <v>0</v>
      </c>
      <c r="J10" s="106">
        <v>0</v>
      </c>
      <c r="K10" s="106">
        <v>0</v>
      </c>
      <c r="L10" s="106">
        <v>0</v>
      </c>
      <c r="M10" s="106">
        <v>0</v>
      </c>
      <c r="N10" s="106">
        <v>0</v>
      </c>
      <c r="O10" s="106">
        <v>0</v>
      </c>
      <c r="P10" s="106">
        <v>0</v>
      </c>
      <c r="Q10" s="106">
        <v>0</v>
      </c>
      <c r="R10" s="106">
        <v>0</v>
      </c>
      <c r="S10" s="106">
        <v>0</v>
      </c>
      <c r="T10" s="106">
        <v>0</v>
      </c>
      <c r="U10" s="106">
        <v>0</v>
      </c>
      <c r="V10" s="106">
        <v>0</v>
      </c>
      <c r="W10" s="106">
        <v>0</v>
      </c>
      <c r="X10" s="106">
        <v>0</v>
      </c>
      <c r="Y10" s="106">
        <v>0</v>
      </c>
      <c r="Z10" s="106">
        <v>0</v>
      </c>
      <c r="AA10" s="106">
        <v>0</v>
      </c>
      <c r="AB10" s="106">
        <v>0</v>
      </c>
      <c r="AC10" s="106">
        <v>0</v>
      </c>
      <c r="AD10" s="106">
        <v>0</v>
      </c>
      <c r="AE10" s="106">
        <v>0</v>
      </c>
      <c r="AF10" s="106">
        <v>0</v>
      </c>
      <c r="AG10" s="106">
        <v>0</v>
      </c>
      <c r="AH10" s="106">
        <v>0</v>
      </c>
      <c r="AI10" s="106">
        <v>0</v>
      </c>
      <c r="AJ10" s="106">
        <v>0</v>
      </c>
      <c r="AK10" s="106">
        <v>0</v>
      </c>
      <c r="AL10" s="106">
        <v>0</v>
      </c>
      <c r="AM10" s="106">
        <v>1</v>
      </c>
      <c r="AN10" s="106">
        <v>1</v>
      </c>
    </row>
    <row r="11" spans="1:40" hidden="1" outlineLevel="1" x14ac:dyDescent="0.25">
      <c r="B11" s="39" t="str">
        <v>Scheduler</v>
      </c>
      <c r="C11" s="3"/>
      <c r="D11" s="3"/>
      <c r="E11" s="106">
        <v>0</v>
      </c>
      <c r="F11" s="106">
        <v>0</v>
      </c>
      <c r="G11" s="106">
        <v>0</v>
      </c>
      <c r="H11" s="106">
        <v>0</v>
      </c>
      <c r="I11" s="106">
        <v>0</v>
      </c>
      <c r="J11" s="106">
        <v>0</v>
      </c>
      <c r="K11" s="106">
        <v>0</v>
      </c>
      <c r="L11" s="106">
        <v>0</v>
      </c>
      <c r="M11" s="106">
        <v>0</v>
      </c>
      <c r="N11" s="106">
        <v>0</v>
      </c>
      <c r="O11" s="106">
        <v>0</v>
      </c>
      <c r="P11" s="106">
        <v>0</v>
      </c>
      <c r="Q11" s="106">
        <v>0</v>
      </c>
      <c r="R11" s="106">
        <v>0</v>
      </c>
      <c r="S11" s="106">
        <v>0</v>
      </c>
      <c r="T11" s="106">
        <v>0</v>
      </c>
      <c r="U11" s="106">
        <v>0</v>
      </c>
      <c r="V11" s="106">
        <v>0</v>
      </c>
      <c r="W11" s="106">
        <v>0</v>
      </c>
      <c r="X11" s="106">
        <v>0</v>
      </c>
      <c r="Y11" s="106">
        <v>0</v>
      </c>
      <c r="Z11" s="106">
        <v>0</v>
      </c>
      <c r="AA11" s="106">
        <v>0</v>
      </c>
      <c r="AB11" s="106">
        <v>0</v>
      </c>
      <c r="AC11" s="106">
        <v>0</v>
      </c>
      <c r="AD11" s="106">
        <v>0</v>
      </c>
      <c r="AE11" s="106">
        <v>0</v>
      </c>
      <c r="AF11" s="106">
        <v>0</v>
      </c>
      <c r="AG11" s="106">
        <v>0</v>
      </c>
      <c r="AH11" s="106">
        <v>0</v>
      </c>
      <c r="AI11" s="106">
        <v>0</v>
      </c>
      <c r="AJ11" s="106">
        <v>0</v>
      </c>
      <c r="AK11" s="106">
        <v>0</v>
      </c>
      <c r="AL11" s="106">
        <v>0</v>
      </c>
      <c r="AM11" s="106">
        <v>0</v>
      </c>
      <c r="AN11" s="106">
        <v>0</v>
      </c>
    </row>
    <row r="12" spans="1:40" hidden="1" outlineLevel="1" x14ac:dyDescent="0.25">
      <c r="B12" s="39" t="str">
        <v>Initial Consultation Expert</v>
      </c>
      <c r="C12" s="3"/>
      <c r="D12" s="3"/>
      <c r="E12" s="106">
        <v>0</v>
      </c>
      <c r="F12" s="106">
        <v>0</v>
      </c>
      <c r="G12" s="106">
        <v>0</v>
      </c>
      <c r="H12" s="106">
        <v>0</v>
      </c>
      <c r="I12" s="106">
        <v>0</v>
      </c>
      <c r="J12" s="106">
        <v>0</v>
      </c>
      <c r="K12" s="106">
        <v>0</v>
      </c>
      <c r="L12" s="106">
        <v>0</v>
      </c>
      <c r="M12" s="106">
        <v>0</v>
      </c>
      <c r="N12" s="106">
        <v>0</v>
      </c>
      <c r="O12" s="106">
        <v>0</v>
      </c>
      <c r="P12" s="106">
        <v>0</v>
      </c>
      <c r="Q12" s="106">
        <v>0</v>
      </c>
      <c r="R12" s="106">
        <v>0</v>
      </c>
      <c r="S12" s="106">
        <v>0</v>
      </c>
      <c r="T12" s="106">
        <v>0</v>
      </c>
      <c r="U12" s="106">
        <v>0</v>
      </c>
      <c r="V12" s="106">
        <v>0</v>
      </c>
      <c r="W12" s="106">
        <v>0</v>
      </c>
      <c r="X12" s="106">
        <v>0</v>
      </c>
      <c r="Y12" s="106">
        <v>0</v>
      </c>
      <c r="Z12" s="106">
        <v>0</v>
      </c>
      <c r="AA12" s="106">
        <v>0</v>
      </c>
      <c r="AB12" s="106">
        <v>0</v>
      </c>
      <c r="AC12" s="106">
        <v>0</v>
      </c>
      <c r="AD12" s="106">
        <v>0</v>
      </c>
      <c r="AE12" s="106">
        <v>0</v>
      </c>
      <c r="AF12" s="106">
        <v>0</v>
      </c>
      <c r="AG12" s="106">
        <v>0</v>
      </c>
      <c r="AH12" s="106">
        <v>0</v>
      </c>
      <c r="AI12" s="106">
        <v>0</v>
      </c>
      <c r="AJ12" s="106">
        <v>0</v>
      </c>
      <c r="AK12" s="106">
        <v>0</v>
      </c>
      <c r="AL12" s="106">
        <v>0</v>
      </c>
      <c r="AM12" s="106">
        <v>0.25</v>
      </c>
      <c r="AN12" s="106">
        <v>0.26</v>
      </c>
    </row>
    <row r="13" spans="1:40" hidden="1" outlineLevel="1" x14ac:dyDescent="0.25">
      <c r="B13" s="39" t="str">
        <v>Trainer</v>
      </c>
      <c r="C13" s="3"/>
      <c r="D13" s="3"/>
      <c r="E13" s="106">
        <v>0</v>
      </c>
      <c r="F13" s="106">
        <v>0</v>
      </c>
      <c r="G13" s="106">
        <v>0</v>
      </c>
      <c r="H13" s="106">
        <v>0</v>
      </c>
      <c r="I13" s="106">
        <v>0</v>
      </c>
      <c r="J13" s="106">
        <v>0</v>
      </c>
      <c r="K13" s="106">
        <v>0</v>
      </c>
      <c r="L13" s="106">
        <v>0</v>
      </c>
      <c r="M13" s="106">
        <v>0</v>
      </c>
      <c r="N13" s="106">
        <v>0</v>
      </c>
      <c r="O13" s="106">
        <v>0</v>
      </c>
      <c r="P13" s="106">
        <v>0</v>
      </c>
      <c r="Q13" s="106">
        <v>0</v>
      </c>
      <c r="R13" s="106">
        <v>0</v>
      </c>
      <c r="S13" s="106">
        <v>0</v>
      </c>
      <c r="T13" s="106">
        <v>0</v>
      </c>
      <c r="U13" s="106">
        <v>0</v>
      </c>
      <c r="V13" s="106">
        <v>0</v>
      </c>
      <c r="W13" s="106">
        <v>0</v>
      </c>
      <c r="X13" s="106">
        <v>0</v>
      </c>
      <c r="Y13" s="106">
        <v>0</v>
      </c>
      <c r="Z13" s="106">
        <v>0</v>
      </c>
      <c r="AA13" s="106">
        <v>0</v>
      </c>
      <c r="AB13" s="106">
        <v>0</v>
      </c>
      <c r="AC13" s="106">
        <v>0</v>
      </c>
      <c r="AD13" s="106">
        <v>0</v>
      </c>
      <c r="AE13" s="106">
        <v>0</v>
      </c>
      <c r="AF13" s="106">
        <v>0</v>
      </c>
      <c r="AG13" s="106">
        <v>0</v>
      </c>
      <c r="AH13" s="106">
        <v>0</v>
      </c>
      <c r="AI13" s="106">
        <v>0</v>
      </c>
      <c r="AJ13" s="106">
        <v>0</v>
      </c>
      <c r="AK13" s="106">
        <v>0</v>
      </c>
      <c r="AL13" s="106">
        <v>0.02</v>
      </c>
      <c r="AM13" s="106">
        <v>0.35000000000000003</v>
      </c>
      <c r="AN13" s="106">
        <v>0.39</v>
      </c>
    </row>
    <row r="14" spans="1:40" hidden="1" outlineLevel="1" x14ac:dyDescent="0.25">
      <c r="B14" s="39" t="str">
        <v>Recruiter</v>
      </c>
      <c r="C14" s="3"/>
      <c r="D14" s="3"/>
      <c r="E14" s="106">
        <v>0</v>
      </c>
      <c r="F14" s="106">
        <v>0</v>
      </c>
      <c r="G14" s="106">
        <v>0</v>
      </c>
      <c r="H14" s="106">
        <v>0</v>
      </c>
      <c r="I14" s="106">
        <v>0</v>
      </c>
      <c r="J14" s="106">
        <v>0</v>
      </c>
      <c r="K14" s="106">
        <v>0</v>
      </c>
      <c r="L14" s="106">
        <v>0</v>
      </c>
      <c r="M14" s="106">
        <v>0</v>
      </c>
      <c r="N14" s="106">
        <v>0</v>
      </c>
      <c r="O14" s="106">
        <v>0</v>
      </c>
      <c r="P14" s="106">
        <v>0</v>
      </c>
      <c r="Q14" s="106">
        <v>0</v>
      </c>
      <c r="R14" s="106">
        <v>0</v>
      </c>
      <c r="S14" s="106">
        <v>0</v>
      </c>
      <c r="T14" s="106">
        <v>0</v>
      </c>
      <c r="U14" s="106">
        <v>0</v>
      </c>
      <c r="V14" s="106">
        <v>0</v>
      </c>
      <c r="W14" s="106">
        <v>0</v>
      </c>
      <c r="X14" s="106">
        <v>0</v>
      </c>
      <c r="Y14" s="106">
        <v>0</v>
      </c>
      <c r="Z14" s="106">
        <v>0</v>
      </c>
      <c r="AA14" s="106">
        <v>0</v>
      </c>
      <c r="AB14" s="106">
        <v>0</v>
      </c>
      <c r="AC14" s="106">
        <v>0</v>
      </c>
      <c r="AD14" s="106">
        <v>0</v>
      </c>
      <c r="AE14" s="106">
        <v>0</v>
      </c>
      <c r="AF14" s="106">
        <v>0</v>
      </c>
      <c r="AG14" s="106">
        <v>0</v>
      </c>
      <c r="AH14" s="106">
        <v>0</v>
      </c>
      <c r="AI14" s="106">
        <v>0</v>
      </c>
      <c r="AJ14" s="106">
        <v>0</v>
      </c>
      <c r="AK14" s="106">
        <v>0</v>
      </c>
      <c r="AL14" s="106">
        <v>0.02</v>
      </c>
      <c r="AM14" s="106">
        <v>0.2</v>
      </c>
      <c r="AN14" s="106">
        <v>0.22</v>
      </c>
    </row>
    <row r="15" spans="1:40" hidden="1" outlineLevel="1" x14ac:dyDescent="0.25">
      <c r="B15" s="39" t="str">
        <v>Center Director / Remote Site Director</v>
      </c>
      <c r="C15" s="3"/>
      <c r="D15" s="3"/>
      <c r="E15" s="106">
        <v>0</v>
      </c>
      <c r="F15" s="106">
        <v>0</v>
      </c>
      <c r="G15" s="106">
        <v>0</v>
      </c>
      <c r="H15" s="106">
        <v>0</v>
      </c>
      <c r="I15" s="106">
        <v>0</v>
      </c>
      <c r="J15" s="106">
        <v>0</v>
      </c>
      <c r="K15" s="106">
        <v>0</v>
      </c>
      <c r="L15" s="106">
        <v>0</v>
      </c>
      <c r="M15" s="106">
        <v>0</v>
      </c>
      <c r="N15" s="106">
        <v>0</v>
      </c>
      <c r="O15" s="106">
        <v>0</v>
      </c>
      <c r="P15" s="106">
        <v>0</v>
      </c>
      <c r="Q15" s="106">
        <v>0</v>
      </c>
      <c r="R15" s="106">
        <v>0</v>
      </c>
      <c r="S15" s="106">
        <v>0</v>
      </c>
      <c r="T15" s="106">
        <v>0</v>
      </c>
      <c r="U15" s="106">
        <v>0</v>
      </c>
      <c r="V15" s="106">
        <v>0</v>
      </c>
      <c r="W15" s="106">
        <v>0</v>
      </c>
      <c r="X15" s="106">
        <v>0</v>
      </c>
      <c r="Y15" s="106">
        <v>0</v>
      </c>
      <c r="Z15" s="106">
        <v>0</v>
      </c>
      <c r="AA15" s="106">
        <v>0</v>
      </c>
      <c r="AB15" s="106">
        <v>0</v>
      </c>
      <c r="AC15" s="106">
        <v>0</v>
      </c>
      <c r="AD15" s="106">
        <v>0</v>
      </c>
      <c r="AE15" s="106">
        <v>0</v>
      </c>
      <c r="AF15" s="106">
        <v>0</v>
      </c>
      <c r="AG15" s="106">
        <v>0</v>
      </c>
      <c r="AH15" s="106">
        <v>0</v>
      </c>
      <c r="AI15" s="106">
        <v>0</v>
      </c>
      <c r="AJ15" s="106">
        <v>0</v>
      </c>
      <c r="AK15" s="106">
        <v>0</v>
      </c>
      <c r="AL15" s="106">
        <v>0.02</v>
      </c>
      <c r="AM15" s="106">
        <v>0.03</v>
      </c>
      <c r="AN15" s="106">
        <v>0.04</v>
      </c>
    </row>
    <row r="16" spans="1:40" hidden="1" outlineLevel="1" x14ac:dyDescent="0.25">
      <c r="B16" s="39" t="str">
        <v>Center Marketing Outreach</v>
      </c>
      <c r="C16" s="3"/>
      <c r="D16" s="3"/>
      <c r="E16" s="106">
        <v>0</v>
      </c>
      <c r="F16" s="106">
        <v>0</v>
      </c>
      <c r="G16" s="106">
        <v>0</v>
      </c>
      <c r="H16" s="106">
        <v>0</v>
      </c>
      <c r="I16" s="106">
        <v>0</v>
      </c>
      <c r="J16" s="106">
        <v>0</v>
      </c>
      <c r="K16" s="106">
        <v>0</v>
      </c>
      <c r="L16" s="106">
        <v>0</v>
      </c>
      <c r="M16" s="106">
        <v>0</v>
      </c>
      <c r="N16" s="106">
        <v>0</v>
      </c>
      <c r="O16" s="106">
        <v>0</v>
      </c>
      <c r="P16" s="106">
        <v>0</v>
      </c>
      <c r="Q16" s="106">
        <v>0</v>
      </c>
      <c r="R16" s="106">
        <v>0</v>
      </c>
      <c r="S16" s="106">
        <v>0</v>
      </c>
      <c r="T16" s="106">
        <v>0</v>
      </c>
      <c r="U16" s="106">
        <v>0</v>
      </c>
      <c r="V16" s="106">
        <v>0</v>
      </c>
      <c r="W16" s="106">
        <v>0</v>
      </c>
      <c r="X16" s="106">
        <v>0</v>
      </c>
      <c r="Y16" s="106">
        <v>0</v>
      </c>
      <c r="Z16" s="106">
        <v>0</v>
      </c>
      <c r="AA16" s="106">
        <v>0</v>
      </c>
      <c r="AB16" s="106">
        <v>0</v>
      </c>
      <c r="AC16" s="106">
        <v>0</v>
      </c>
      <c r="AD16" s="106">
        <v>0</v>
      </c>
      <c r="AE16" s="106">
        <v>0</v>
      </c>
      <c r="AF16" s="106">
        <v>0</v>
      </c>
      <c r="AG16" s="106">
        <v>0</v>
      </c>
      <c r="AH16" s="106">
        <v>0</v>
      </c>
      <c r="AI16" s="106">
        <v>0</v>
      </c>
      <c r="AJ16" s="106">
        <v>0</v>
      </c>
      <c r="AK16" s="106">
        <v>0</v>
      </c>
      <c r="AL16" s="106">
        <v>0.02</v>
      </c>
      <c r="AM16" s="106">
        <v>0.03</v>
      </c>
      <c r="AN16" s="106">
        <v>0.04</v>
      </c>
    </row>
    <row r="17" spans="2:50" hidden="1" outlineLevel="1" x14ac:dyDescent="0.25">
      <c r="B17" s="39" t="str">
        <v>Primary Direct Staff Lead</v>
      </c>
      <c r="C17" s="3"/>
      <c r="D17" s="3"/>
      <c r="E17" s="106">
        <v>0</v>
      </c>
      <c r="F17" s="106">
        <v>0</v>
      </c>
      <c r="G17" s="106">
        <v>0</v>
      </c>
      <c r="H17" s="106">
        <v>0</v>
      </c>
      <c r="I17" s="106">
        <v>0</v>
      </c>
      <c r="J17" s="106">
        <v>0</v>
      </c>
      <c r="K17" s="106">
        <v>0</v>
      </c>
      <c r="L17" s="106">
        <v>0</v>
      </c>
      <c r="M17" s="106">
        <v>0</v>
      </c>
      <c r="N17" s="106">
        <v>0</v>
      </c>
      <c r="O17" s="106">
        <v>0</v>
      </c>
      <c r="P17" s="106">
        <v>0</v>
      </c>
      <c r="Q17" s="106">
        <v>0</v>
      </c>
      <c r="R17" s="106">
        <v>0</v>
      </c>
      <c r="S17" s="106">
        <v>0</v>
      </c>
      <c r="T17" s="106">
        <v>0</v>
      </c>
      <c r="U17" s="106">
        <v>0</v>
      </c>
      <c r="V17" s="106">
        <v>0</v>
      </c>
      <c r="W17" s="106">
        <v>0</v>
      </c>
      <c r="X17" s="106">
        <v>0</v>
      </c>
      <c r="Y17" s="106">
        <v>0</v>
      </c>
      <c r="Z17" s="106">
        <v>0</v>
      </c>
      <c r="AA17" s="106">
        <v>0</v>
      </c>
      <c r="AB17" s="106">
        <v>0</v>
      </c>
      <c r="AC17" s="106">
        <v>0</v>
      </c>
      <c r="AD17" s="106">
        <v>0</v>
      </c>
      <c r="AE17" s="106">
        <v>0</v>
      </c>
      <c r="AF17" s="106">
        <v>0</v>
      </c>
      <c r="AG17" s="106">
        <v>0</v>
      </c>
      <c r="AH17" s="106">
        <v>0</v>
      </c>
      <c r="AI17" s="106">
        <v>0</v>
      </c>
      <c r="AJ17" s="106">
        <v>0</v>
      </c>
      <c r="AK17" s="106">
        <v>0</v>
      </c>
      <c r="AL17" s="106">
        <v>0.3</v>
      </c>
      <c r="AM17" s="106">
        <v>0.6</v>
      </c>
      <c r="AN17" s="106">
        <v>0.9</v>
      </c>
    </row>
    <row r="18" spans="2:50" hidden="1" outlineLevel="1" x14ac:dyDescent="0.25">
      <c r="B18" s="39" t="str">
        <v>Tertiary Direct Staff</v>
      </c>
      <c r="C18" s="3"/>
      <c r="D18" s="3"/>
      <c r="E18" s="106">
        <v>0</v>
      </c>
      <c r="F18" s="106">
        <v>0</v>
      </c>
      <c r="G18" s="106">
        <v>0</v>
      </c>
      <c r="H18" s="106">
        <v>0</v>
      </c>
      <c r="I18" s="106">
        <v>0</v>
      </c>
      <c r="J18" s="106">
        <v>0</v>
      </c>
      <c r="K18" s="106">
        <v>0</v>
      </c>
      <c r="L18" s="106">
        <v>0</v>
      </c>
      <c r="M18" s="106">
        <v>0</v>
      </c>
      <c r="N18" s="106">
        <v>0</v>
      </c>
      <c r="O18" s="106">
        <v>0</v>
      </c>
      <c r="P18" s="106">
        <v>0</v>
      </c>
      <c r="Q18" s="106">
        <v>0</v>
      </c>
      <c r="R18" s="106">
        <v>0</v>
      </c>
      <c r="S18" s="106">
        <v>0</v>
      </c>
      <c r="T18" s="106">
        <v>0</v>
      </c>
      <c r="U18" s="106">
        <v>0</v>
      </c>
      <c r="V18" s="106">
        <v>0</v>
      </c>
      <c r="W18" s="106">
        <v>0</v>
      </c>
      <c r="X18" s="106">
        <v>0</v>
      </c>
      <c r="Y18" s="106">
        <v>0</v>
      </c>
      <c r="Z18" s="106">
        <v>0</v>
      </c>
      <c r="AA18" s="106">
        <v>0</v>
      </c>
      <c r="AB18" s="106">
        <v>0</v>
      </c>
      <c r="AC18" s="106">
        <v>0</v>
      </c>
      <c r="AD18" s="106">
        <v>0</v>
      </c>
      <c r="AE18" s="106">
        <v>0</v>
      </c>
      <c r="AF18" s="106">
        <v>0</v>
      </c>
      <c r="AG18" s="106">
        <v>0</v>
      </c>
      <c r="AH18" s="106">
        <v>0</v>
      </c>
      <c r="AI18" s="106">
        <v>0</v>
      </c>
      <c r="AJ18" s="106">
        <v>0</v>
      </c>
      <c r="AK18" s="106">
        <v>0</v>
      </c>
      <c r="AL18" s="106">
        <v>0</v>
      </c>
      <c r="AM18" s="106">
        <v>0</v>
      </c>
      <c r="AN18" s="106">
        <v>0</v>
      </c>
    </row>
    <row r="19" spans="2:50" hidden="1" outlineLevel="1" x14ac:dyDescent="0.25">
      <c r="B19" s="39" t="str">
        <v>Quinary Direct Staff</v>
      </c>
      <c r="C19" s="3"/>
      <c r="D19" s="3"/>
      <c r="E19" s="106">
        <v>0</v>
      </c>
      <c r="F19" s="106">
        <v>0</v>
      </c>
      <c r="G19" s="106">
        <v>0</v>
      </c>
      <c r="H19" s="106">
        <v>0</v>
      </c>
      <c r="I19" s="106">
        <v>0</v>
      </c>
      <c r="J19" s="106">
        <v>0</v>
      </c>
      <c r="K19" s="106">
        <v>0</v>
      </c>
      <c r="L19" s="106">
        <v>0</v>
      </c>
      <c r="M19" s="106">
        <v>0</v>
      </c>
      <c r="N19" s="106">
        <v>0</v>
      </c>
      <c r="O19" s="106">
        <v>0</v>
      </c>
      <c r="P19" s="106">
        <v>0</v>
      </c>
      <c r="Q19" s="106">
        <v>0</v>
      </c>
      <c r="R19" s="106">
        <v>0</v>
      </c>
      <c r="S19" s="106">
        <v>0</v>
      </c>
      <c r="T19" s="106">
        <v>0</v>
      </c>
      <c r="U19" s="106">
        <v>0</v>
      </c>
      <c r="V19" s="106">
        <v>0</v>
      </c>
      <c r="W19" s="106">
        <v>0</v>
      </c>
      <c r="X19" s="106">
        <v>0</v>
      </c>
      <c r="Y19" s="106">
        <v>0</v>
      </c>
      <c r="Z19" s="106">
        <v>0</v>
      </c>
      <c r="AA19" s="106">
        <v>0</v>
      </c>
      <c r="AB19" s="106">
        <v>0</v>
      </c>
      <c r="AC19" s="106">
        <v>0</v>
      </c>
      <c r="AD19" s="106">
        <v>0</v>
      </c>
      <c r="AE19" s="106">
        <v>0</v>
      </c>
      <c r="AF19" s="106">
        <v>0</v>
      </c>
      <c r="AG19" s="106">
        <v>0</v>
      </c>
      <c r="AH19" s="106">
        <v>0</v>
      </c>
      <c r="AI19" s="106">
        <v>0</v>
      </c>
      <c r="AJ19" s="106">
        <v>0</v>
      </c>
      <c r="AK19" s="106">
        <v>0</v>
      </c>
      <c r="AL19" s="106">
        <v>0</v>
      </c>
      <c r="AM19" s="106">
        <v>0</v>
      </c>
      <c r="AN19" s="106">
        <v>0</v>
      </c>
    </row>
    <row r="20" spans="2:50" hidden="1" outlineLevel="1" x14ac:dyDescent="0.25">
      <c r="B20" s="39" t="str">
        <v>Quaternary Direct Staff</v>
      </c>
      <c r="C20" s="3"/>
      <c r="D20" s="3"/>
      <c r="E20" s="106">
        <v>0</v>
      </c>
      <c r="F20" s="106">
        <v>0</v>
      </c>
      <c r="G20" s="106">
        <v>0</v>
      </c>
      <c r="H20" s="106">
        <v>0</v>
      </c>
      <c r="I20" s="106">
        <v>0</v>
      </c>
      <c r="J20" s="106">
        <v>0</v>
      </c>
      <c r="K20" s="106">
        <v>0</v>
      </c>
      <c r="L20" s="106">
        <v>0</v>
      </c>
      <c r="M20" s="106">
        <v>0</v>
      </c>
      <c r="N20" s="106">
        <v>0</v>
      </c>
      <c r="O20" s="106">
        <v>0</v>
      </c>
      <c r="P20" s="106">
        <v>0</v>
      </c>
      <c r="Q20" s="106">
        <v>0</v>
      </c>
      <c r="R20" s="106">
        <v>0</v>
      </c>
      <c r="S20" s="106">
        <v>0</v>
      </c>
      <c r="T20" s="106">
        <v>0</v>
      </c>
      <c r="U20" s="106">
        <v>0</v>
      </c>
      <c r="V20" s="106">
        <v>0</v>
      </c>
      <c r="W20" s="106">
        <v>0</v>
      </c>
      <c r="X20" s="106">
        <v>0</v>
      </c>
      <c r="Y20" s="106">
        <v>0</v>
      </c>
      <c r="Z20" s="106">
        <v>0</v>
      </c>
      <c r="AA20" s="106">
        <v>0</v>
      </c>
      <c r="AB20" s="106">
        <v>0</v>
      </c>
      <c r="AC20" s="106">
        <v>0</v>
      </c>
      <c r="AD20" s="106">
        <v>0</v>
      </c>
      <c r="AE20" s="106">
        <v>0</v>
      </c>
      <c r="AF20" s="106">
        <v>0</v>
      </c>
      <c r="AG20" s="106">
        <v>0</v>
      </c>
      <c r="AH20" s="106">
        <v>0</v>
      </c>
      <c r="AI20" s="106">
        <v>0</v>
      </c>
      <c r="AJ20" s="106">
        <v>0</v>
      </c>
      <c r="AK20" s="106">
        <v>0</v>
      </c>
      <c r="AL20" s="106">
        <v>1</v>
      </c>
      <c r="AM20" s="106">
        <v>1</v>
      </c>
      <c r="AN20" s="106">
        <v>1</v>
      </c>
    </row>
    <row r="21" spans="2:50" collapsed="1" x14ac:dyDescent="0.25">
      <c r="B21" s="39" t="s">
        <v>389</v>
      </c>
      <c r="C21" s="3"/>
      <c r="D21" s="5"/>
      <c r="E21" s="117" cm="1">
        <f t="array" ref="E21:AN21">ROUND(_xlfn.BYCOL(_xlfn.CHOOSEROWS(_xlfn.ANCHORARRAY(E7),1,2),_xlfn.LAMBDA(_xlpm.col,SUM(_xlpm.col))),0)</f>
        <v>0</v>
      </c>
      <c r="F21" s="117">
        <v>0</v>
      </c>
      <c r="G21" s="117">
        <v>0</v>
      </c>
      <c r="H21" s="117">
        <v>0</v>
      </c>
      <c r="I21" s="117">
        <v>0</v>
      </c>
      <c r="J21" s="117">
        <v>0</v>
      </c>
      <c r="K21" s="117">
        <v>0</v>
      </c>
      <c r="L21" s="117">
        <v>0</v>
      </c>
      <c r="M21" s="117">
        <v>0</v>
      </c>
      <c r="N21" s="117">
        <v>0</v>
      </c>
      <c r="O21" s="117">
        <v>0</v>
      </c>
      <c r="P21" s="117">
        <v>0</v>
      </c>
      <c r="Q21" s="117">
        <v>0</v>
      </c>
      <c r="R21" s="117">
        <v>0</v>
      </c>
      <c r="S21" s="117">
        <v>0</v>
      </c>
      <c r="T21" s="117">
        <v>0</v>
      </c>
      <c r="U21" s="117">
        <v>0</v>
      </c>
      <c r="V21" s="117">
        <v>0</v>
      </c>
      <c r="W21" s="117">
        <v>0</v>
      </c>
      <c r="X21" s="117">
        <v>0</v>
      </c>
      <c r="Y21" s="117">
        <v>0</v>
      </c>
      <c r="Z21" s="117">
        <v>0</v>
      </c>
      <c r="AA21" s="117">
        <v>0</v>
      </c>
      <c r="AB21" s="117">
        <v>0</v>
      </c>
      <c r="AC21" s="117">
        <v>0</v>
      </c>
      <c r="AD21" s="117">
        <v>0</v>
      </c>
      <c r="AE21" s="117">
        <v>0</v>
      </c>
      <c r="AF21" s="117">
        <v>0</v>
      </c>
      <c r="AG21" s="117">
        <v>0</v>
      </c>
      <c r="AH21" s="117">
        <v>0</v>
      </c>
      <c r="AI21" s="117">
        <v>0</v>
      </c>
      <c r="AJ21" s="117">
        <v>0</v>
      </c>
      <c r="AK21" s="117">
        <v>0</v>
      </c>
      <c r="AL21" s="117">
        <v>3</v>
      </c>
      <c r="AM21" s="117">
        <v>7</v>
      </c>
      <c r="AN21" s="117">
        <v>10</v>
      </c>
    </row>
    <row r="22" spans="2:50" x14ac:dyDescent="0.25">
      <c r="B22" s="2" t="s">
        <v>394</v>
      </c>
      <c r="C22" s="3"/>
      <c r="D22" s="77">
        <f>MAX(_xlfn.ANCHORARRAY(E22))</f>
        <v>170.02883240223466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0</v>
      </c>
      <c r="F22" s="78">
        <v>0</v>
      </c>
      <c r="G22" s="78">
        <v>0</v>
      </c>
      <c r="H22" s="78">
        <v>0</v>
      </c>
      <c r="I22" s="78">
        <v>0</v>
      </c>
      <c r="J22" s="78">
        <v>0</v>
      </c>
      <c r="K22" s="78">
        <v>0</v>
      </c>
      <c r="L22" s="78">
        <v>0</v>
      </c>
      <c r="M22" s="78">
        <v>0</v>
      </c>
      <c r="N22" s="78">
        <v>0</v>
      </c>
      <c r="O22" s="78">
        <v>0</v>
      </c>
      <c r="P22" s="78">
        <v>0</v>
      </c>
      <c r="Q22" s="78">
        <v>0</v>
      </c>
      <c r="R22" s="78">
        <v>0</v>
      </c>
      <c r="S22" s="78">
        <v>0</v>
      </c>
      <c r="T22" s="78">
        <v>0</v>
      </c>
      <c r="U22" s="78">
        <v>0</v>
      </c>
      <c r="V22" s="78">
        <v>0</v>
      </c>
      <c r="W22" s="78">
        <v>0</v>
      </c>
      <c r="X22" s="78">
        <v>0</v>
      </c>
      <c r="Y22" s="78">
        <v>0</v>
      </c>
      <c r="Z22" s="78">
        <v>0</v>
      </c>
      <c r="AA22" s="78">
        <v>0</v>
      </c>
      <c r="AB22" s="78">
        <v>0</v>
      </c>
      <c r="AC22" s="78">
        <v>0</v>
      </c>
      <c r="AD22" s="78">
        <v>0</v>
      </c>
      <c r="AE22" s="78">
        <v>0</v>
      </c>
      <c r="AF22" s="78">
        <v>0</v>
      </c>
      <c r="AG22" s="78">
        <v>0</v>
      </c>
      <c r="AH22" s="78">
        <v>0</v>
      </c>
      <c r="AI22" s="78">
        <v>0</v>
      </c>
      <c r="AJ22" s="78">
        <v>0</v>
      </c>
      <c r="AK22" s="78">
        <v>0</v>
      </c>
      <c r="AL22" s="78">
        <v>170.02883240223466</v>
      </c>
      <c r="AM22" s="78">
        <v>170.02883240223466</v>
      </c>
      <c r="AN22" s="78">
        <v>170.02883240223466</v>
      </c>
    </row>
    <row r="23" spans="2:50" x14ac:dyDescent="0.25">
      <c r="B23" s="2" t="s">
        <v>53</v>
      </c>
      <c r="C23" s="3"/>
      <c r="D23" s="72"/>
      <c r="E23" s="52" cm="1">
        <f t="array" ref="E23:AN23">_xlfn.LET(_xlpm.site,$B$1&amp;"-"&amp;$C$1,_xlpm.locations,Base!$D$4:$BD$4,_xlpm.Customer,_xlfn.ANCHORARRAY(E1),_xlpm.hours,SUM(_xlfn.XLOOKUP(_xlpm.site,_xlpm.locations,Base!$D$74:$BD$78,0,0)),
_xlpm.collection,1-_xlfn.XLOOKUP(_xlpm.site,_xlpm.locations,Base!$D$26:$BD$26,0,0),
_xlpm.Customer*_xlpm.hours*_xlpm.collection*(52/12))</f>
        <v>0</v>
      </c>
      <c r="F23" s="52">
        <v>0</v>
      </c>
      <c r="G23" s="52">
        <v>0</v>
      </c>
      <c r="H23" s="52">
        <v>0</v>
      </c>
      <c r="I23" s="52">
        <v>0</v>
      </c>
      <c r="J23" s="52">
        <v>0</v>
      </c>
      <c r="K23" s="52">
        <v>0</v>
      </c>
      <c r="L23" s="52">
        <v>0</v>
      </c>
      <c r="M23" s="52">
        <v>0</v>
      </c>
      <c r="N23" s="52">
        <v>0</v>
      </c>
      <c r="O23" s="52">
        <v>0</v>
      </c>
      <c r="P23" s="52">
        <v>0</v>
      </c>
      <c r="Q23" s="52">
        <v>0</v>
      </c>
      <c r="R23" s="52">
        <v>0</v>
      </c>
      <c r="S23" s="52">
        <v>0</v>
      </c>
      <c r="T23" s="52">
        <v>0</v>
      </c>
      <c r="U23" s="52">
        <v>0</v>
      </c>
      <c r="V23" s="52">
        <v>0</v>
      </c>
      <c r="W23" s="52">
        <v>0</v>
      </c>
      <c r="X23" s="52">
        <v>0</v>
      </c>
      <c r="Y23" s="52">
        <v>0</v>
      </c>
      <c r="Z23" s="52">
        <v>0</v>
      </c>
      <c r="AA23" s="52">
        <v>0</v>
      </c>
      <c r="AB23" s="52">
        <v>0</v>
      </c>
      <c r="AC23" s="52">
        <v>0</v>
      </c>
      <c r="AD23" s="52">
        <v>0</v>
      </c>
      <c r="AE23" s="52">
        <v>0</v>
      </c>
      <c r="AF23" s="52">
        <v>0</v>
      </c>
      <c r="AG23" s="52">
        <v>0</v>
      </c>
      <c r="AH23" s="52">
        <v>0</v>
      </c>
      <c r="AI23" s="52">
        <v>0</v>
      </c>
      <c r="AJ23" s="52">
        <v>0</v>
      </c>
      <c r="AK23" s="52">
        <v>0</v>
      </c>
      <c r="AL23" s="52">
        <v>315.03999999999996</v>
      </c>
      <c r="AM23" s="52">
        <v>630.07999999999993</v>
      </c>
      <c r="AN23" s="52">
        <v>945.11999999999989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21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_xlfn.LET(_xlpm.site,$B$1&amp;"-"&amp;$C$1,_xlpm.locations,Base!$D$4:$BD$4,_xlpm.rates,Base!$D31:$BD31,_xlpm.hours,Base!$D74:$BD74,_xlpm.comp,_xlpm.rates*_xlpm.hours,_xlpm.Customer,_xlfn.ANCHORARRAY($E$1),
_xlpm.Customer_comp,_xlfn.XLOOKUP(_xlpm.site,_xlpm.locations,_xlpm.comp,0,0),_xlpm.ann_incr,_xlfn.XLOOKUP(YEAR(_xlfn.ANCHORARRAY($E$25)),Base!$BJ$4:$BL$4,Base!$BJ74:$BL74,0,0),
_xlpm.bad_debt,_xlfn.XLOOKUP(_xlpm.site,_xlpm.locations,Base!$D$28:$BD$28,0,0),_xlpm.Customer_comp*_xlpm.Customer*_xlpm.bad_debt*_xlpm.ann_incr*(52/12))</f>
        <v>0</v>
      </c>
      <c r="F26" s="12">
        <v>0</v>
      </c>
      <c r="G26" s="12">
        <v>0</v>
      </c>
      <c r="H26" s="12">
        <v>0</v>
      </c>
      <c r="I26" s="12">
        <v>0</v>
      </c>
      <c r="J26" s="12">
        <v>0</v>
      </c>
      <c r="K26" s="12">
        <v>0</v>
      </c>
      <c r="L26" s="12">
        <v>0</v>
      </c>
      <c r="M26" s="12">
        <v>0</v>
      </c>
      <c r="N26" s="12">
        <v>0</v>
      </c>
      <c r="O26" s="12">
        <v>0</v>
      </c>
      <c r="P26" s="12">
        <v>0</v>
      </c>
      <c r="Q26" s="12">
        <v>0</v>
      </c>
      <c r="R26" s="12">
        <v>0</v>
      </c>
      <c r="S26" s="12">
        <v>0</v>
      </c>
      <c r="T26" s="12">
        <v>0</v>
      </c>
      <c r="U26" s="12">
        <v>0</v>
      </c>
      <c r="V26" s="12">
        <v>0</v>
      </c>
      <c r="W26" s="12">
        <v>0</v>
      </c>
      <c r="X26" s="12">
        <v>0</v>
      </c>
      <c r="Y26" s="12">
        <v>0</v>
      </c>
      <c r="Z26" s="12">
        <v>0</v>
      </c>
      <c r="AA26" s="12">
        <v>0</v>
      </c>
      <c r="AB26" s="12">
        <v>0</v>
      </c>
      <c r="AC26" s="12">
        <v>0</v>
      </c>
      <c r="AD26" s="12">
        <v>0</v>
      </c>
      <c r="AE26" s="12">
        <v>0</v>
      </c>
      <c r="AF26" s="12">
        <v>0</v>
      </c>
      <c r="AG26" s="12">
        <v>0</v>
      </c>
      <c r="AH26" s="12">
        <v>0</v>
      </c>
      <c r="AI26" s="12">
        <v>0</v>
      </c>
      <c r="AJ26" s="12">
        <v>0</v>
      </c>
      <c r="AK26" s="12">
        <v>0</v>
      </c>
      <c r="AL26" s="12">
        <v>46796.978800000004</v>
      </c>
      <c r="AM26" s="12">
        <v>93593.957600000009</v>
      </c>
      <c r="AN26" s="12">
        <v>140390.93640000001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_xlfn.LET(_xlpm.site,$B$1&amp;"-"&amp;$C$1,_xlpm.locations,Base!$D$4:$BD$4,_xlpm.rates,Base!$D32:$BD32,_xlpm.hours,Base!$D75:$BD75,_xlpm.comp,_xlpm.rates*_xlpm.hours,_xlpm.Customer,_xlfn.ANCHORARRAY($E$1),
_xlpm.Customer_comp,_xlfn.XLOOKUP(_xlpm.site,_xlpm.locations,_xlpm.comp,0,0),_xlpm.ann_incr,_xlfn.XLOOKUP(YEAR(_xlfn.ANCHORARRAY($E$25)),Base!$BJ$4:$BL$4,Base!$BJ75:$BL75,0,0),
_xlpm.bad_debt,_xlfn.XLOOKUP(_xlpm.site,_xlpm.locations,Base!$D$28:$BD$28,0,0),_xlpm.Customer_comp*_xlpm.Customer*_xlpm.bad_debt*_xlpm.ann_incr*(52/12))</f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12">
        <v>0</v>
      </c>
      <c r="AA27" s="12">
        <v>0</v>
      </c>
      <c r="AB27" s="12">
        <v>0</v>
      </c>
      <c r="AC27" s="12">
        <v>0</v>
      </c>
      <c r="AD27" s="12">
        <v>0</v>
      </c>
      <c r="AE27" s="12">
        <v>0</v>
      </c>
      <c r="AF27" s="12">
        <v>0</v>
      </c>
      <c r="AG27" s="12">
        <v>0</v>
      </c>
      <c r="AH27" s="12">
        <v>0</v>
      </c>
      <c r="AI27" s="12">
        <v>0</v>
      </c>
      <c r="AJ27" s="12">
        <v>0</v>
      </c>
      <c r="AK27" s="12">
        <v>0</v>
      </c>
      <c r="AL27" s="12">
        <v>2743.8788</v>
      </c>
      <c r="AM27" s="12">
        <v>5487.7575999999999</v>
      </c>
      <c r="AN27" s="12">
        <v>8231.6363999999994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_xlfn.LET(_xlpm.site,$B$1&amp;"-"&amp;$C$1,_xlpm.locations,Base!$D$4:$BD$4,_xlpm.rates,Base!$D33:$BD33,_xlpm.hours,Base!$D76:$BD76,_xlpm.comp,_xlpm.rates*_xlpm.hours,_xlpm.Customer,_xlfn.ANCHORARRAY($E$1),
_xlpm.Customer_comp,_xlfn.XLOOKUP(_xlpm.site,_xlpm.locations,_xlpm.comp,0,0),_xlpm.ann_incr,_xlfn.XLOOKUP(YEAR(_xlfn.ANCHORARRAY($E$25)),Base!$BJ$4:$BL$4,Base!$BJ76:$BL76,0,0),
_xlpm.bad_debt,_xlfn.XLOOKUP(_xlpm.site,_xlpm.locations,Base!$D$28:$BD$28,0,0),_xlpm.Customer_comp*_xlpm.Customer*_xlpm.bad_debt*_xlpm.ann_incr*(52/12))</f>
        <v>0</v>
      </c>
      <c r="F28" s="12">
        <v>0</v>
      </c>
      <c r="G28" s="12">
        <v>0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0</v>
      </c>
      <c r="N28" s="12">
        <v>0</v>
      </c>
      <c r="O28" s="12">
        <v>0</v>
      </c>
      <c r="P28" s="12">
        <v>0</v>
      </c>
      <c r="Q28" s="12">
        <v>0</v>
      </c>
      <c r="R28" s="12">
        <v>0</v>
      </c>
      <c r="S28" s="12">
        <v>0</v>
      </c>
      <c r="T28" s="12">
        <v>0</v>
      </c>
      <c r="U28" s="12">
        <v>0</v>
      </c>
      <c r="V28" s="12">
        <v>0</v>
      </c>
      <c r="W28" s="12">
        <v>0</v>
      </c>
      <c r="X28" s="12">
        <v>0</v>
      </c>
      <c r="Y28" s="12">
        <v>0</v>
      </c>
      <c r="Z28" s="12">
        <v>0</v>
      </c>
      <c r="AA28" s="12">
        <v>0</v>
      </c>
      <c r="AB28" s="12">
        <v>0</v>
      </c>
      <c r="AC28" s="12">
        <v>0</v>
      </c>
      <c r="AD28" s="12">
        <v>0</v>
      </c>
      <c r="AE28" s="12">
        <v>0</v>
      </c>
      <c r="AF28" s="12">
        <v>0</v>
      </c>
      <c r="AG28" s="12">
        <v>0</v>
      </c>
      <c r="AH28" s="12">
        <v>0</v>
      </c>
      <c r="AI28" s="12">
        <v>0</v>
      </c>
      <c r="AJ28" s="12">
        <v>0</v>
      </c>
      <c r="AK28" s="12">
        <v>0</v>
      </c>
      <c r="AL28" s="12">
        <v>6521.1174599999977</v>
      </c>
      <c r="AM28" s="12">
        <v>13042.234919999995</v>
      </c>
      <c r="AN28" s="12">
        <v>19563.352379999993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_xlfn.LET(_xlpm.site,$B$1&amp;"-"&amp;$C$1,_xlpm.locations,Base!$D$4:$BD$4,_xlpm.rates,Base!$D34:$BD34,_xlpm.hours,Base!$D77:$BD77,_xlpm.comp,_xlpm.rates*_xlpm.hours,_xlpm.Customer,_xlfn.ANCHORARRAY($E$1),
_xlpm.Customer_comp,_xlfn.XLOOKUP(_xlpm.site,_xlpm.locations,_xlpm.comp,0,0),_xlpm.ann_incr,_xlfn.XLOOKUP(YEAR(_xlfn.ANCHORARRAY($E$25)),Base!$BJ$4:$BL$4,Base!$BJ77:$BL77,0,0),
_xlpm.bad_debt,_xlfn.XLOOKUP(_xlpm.site,_xlpm.locations,Base!$D$28:$BD$28,0,0),_xlpm.Customer_comp*_xlpm.Customer*_xlpm.bad_debt*_xlpm.ann_incr*(52/12))</f>
        <v>0</v>
      </c>
      <c r="F29" s="12">
        <v>0</v>
      </c>
      <c r="G29" s="12">
        <v>0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0</v>
      </c>
      <c r="N29" s="12">
        <v>0</v>
      </c>
      <c r="O29" s="12">
        <v>0</v>
      </c>
      <c r="P29" s="12">
        <v>0</v>
      </c>
      <c r="Q29" s="12">
        <v>0</v>
      </c>
      <c r="R29" s="12">
        <v>0</v>
      </c>
      <c r="S29" s="12">
        <v>0</v>
      </c>
      <c r="T29" s="12">
        <v>0</v>
      </c>
      <c r="U29" s="12">
        <v>0</v>
      </c>
      <c r="V29" s="12">
        <v>0</v>
      </c>
      <c r="W29" s="12">
        <v>0</v>
      </c>
      <c r="X29" s="12">
        <v>0</v>
      </c>
      <c r="Y29" s="12">
        <v>0</v>
      </c>
      <c r="Z29" s="12">
        <v>0</v>
      </c>
      <c r="AA29" s="12">
        <v>0</v>
      </c>
      <c r="AB29" s="12">
        <v>0</v>
      </c>
      <c r="AC29" s="12">
        <v>0</v>
      </c>
      <c r="AD29" s="12">
        <v>0</v>
      </c>
      <c r="AE29" s="12">
        <v>0</v>
      </c>
      <c r="AF29" s="12">
        <v>0</v>
      </c>
      <c r="AG29" s="12">
        <v>0</v>
      </c>
      <c r="AH29" s="12">
        <v>0</v>
      </c>
      <c r="AI29" s="12">
        <v>0</v>
      </c>
      <c r="AJ29" s="12">
        <v>0</v>
      </c>
      <c r="AK29" s="12">
        <v>0</v>
      </c>
      <c r="AL29" s="12">
        <v>501.62441999999999</v>
      </c>
      <c r="AM29" s="12">
        <v>1003.24884</v>
      </c>
      <c r="AN29" s="12">
        <v>1504.8732600000001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_xlfn.LET(_xlpm.site,$B$1&amp;"-"&amp;$C$1,_xlpm.locations,Base!$D$4:$BD$4,_xlpm.rates,Base!$D35:$BD35,_xlpm.hours,Base!$D78:$BD78,_xlpm.comp,_xlpm.rates*_xlpm.hours,_xlpm.Customer,_xlfn.ANCHORARRAY($E$1),
_xlpm.Customer_comp,_xlfn.XLOOKUP(_xlpm.site,_xlpm.locations,_xlpm.comp,0,0),_xlpm.ann_incr,_xlfn.XLOOKUP(YEAR(_xlfn.ANCHORARRAY($E$25)),Base!$BJ$4:$BL$4,Base!$BJ78:$BL78,0,0),
_xlpm.bad_debt,_xlfn.XLOOKUP(_xlpm.site,_xlpm.locations,Base!$D$28:$BD$28,0,0),_xlpm.Customer_comp*_xlpm.Customer*_xlpm.bad_debt*_xlpm.ann_incr*(52/12))</f>
        <v>0</v>
      </c>
      <c r="F30" s="12">
        <v>0</v>
      </c>
      <c r="G30" s="12">
        <v>0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0</v>
      </c>
      <c r="N30" s="12">
        <v>0</v>
      </c>
      <c r="O30" s="12">
        <v>0</v>
      </c>
      <c r="P30" s="12">
        <v>0</v>
      </c>
      <c r="Q30" s="12">
        <v>0</v>
      </c>
      <c r="R30" s="12">
        <v>0</v>
      </c>
      <c r="S30" s="12">
        <v>0</v>
      </c>
      <c r="T30" s="12">
        <v>0</v>
      </c>
      <c r="U30" s="12">
        <v>0</v>
      </c>
      <c r="V30" s="12">
        <v>0</v>
      </c>
      <c r="W30" s="12">
        <v>0</v>
      </c>
      <c r="X30" s="12">
        <v>0</v>
      </c>
      <c r="Y30" s="12">
        <v>0</v>
      </c>
      <c r="Z30" s="12">
        <v>0</v>
      </c>
      <c r="AA30" s="12">
        <v>0</v>
      </c>
      <c r="AB30" s="12">
        <v>0</v>
      </c>
      <c r="AC30" s="12">
        <v>0</v>
      </c>
      <c r="AD30" s="12">
        <v>0</v>
      </c>
      <c r="AE30" s="12">
        <v>0</v>
      </c>
      <c r="AF30" s="12">
        <v>0</v>
      </c>
      <c r="AG30" s="12">
        <v>0</v>
      </c>
      <c r="AH30" s="12">
        <v>0</v>
      </c>
      <c r="AI30" s="12">
        <v>0</v>
      </c>
      <c r="AJ30" s="12">
        <v>0</v>
      </c>
      <c r="AK30" s="12">
        <v>0</v>
      </c>
      <c r="AL30" s="12">
        <v>654.50319999999988</v>
      </c>
      <c r="AM30" s="12">
        <v>1309.0063999999998</v>
      </c>
      <c r="AN30" s="12">
        <v>1963.5095999999999</v>
      </c>
    </row>
    <row r="31" spans="2:50" x14ac:dyDescent="0.25">
      <c r="B31" s="39" t="str">
        <f>Base!B36</f>
        <v>Tertiary Direct Staff - Service A</v>
      </c>
      <c r="C31" s="4"/>
      <c r="E31" s="183" cm="1">
        <f t="array" ref="E31:AN31">_xlfn.LET(_xlpm.site,$B$1&amp;"-"&amp;$C$1,_xlpm.locations,Base!$D$4:$BD$4,_xlpm.rates,Base!$D36:$BD36,_xlpm.hours,Base!$D79:$BD79,_xlpm.comp,_xlpm.rates*_xlpm.hours,_xlpm.Customer,_xlfn.ANCHORARRAY($E$1)*0,
_xlpm.Customer_comp,_xlfn.XLOOKUP(_xlpm.site,_xlpm.locations,_xlpm.comp,0,0),_xlpm.ann_incr,_xlfn.XLOOKUP(YEAR(_xlfn.ANCHORARRAY($E$25)),Base!$BJ$4:$BL$4,Base!$BJ79:$BL79,0,0),
_xlpm.bad_debt,_xlfn.XLOOKUP(_xlpm.site,_xlpm.locations,Base!$D$28:$BD$28,0,0),_xlpm.Customer_comp*_xlpm.Customer*_xlpm.bad_debt*_xlpm.ann_incr*(52/12))</f>
        <v>0</v>
      </c>
      <c r="F31" s="183">
        <v>0</v>
      </c>
      <c r="G31" s="183">
        <v>0</v>
      </c>
      <c r="H31" s="183">
        <v>0</v>
      </c>
      <c r="I31" s="183">
        <v>0</v>
      </c>
      <c r="J31" s="183">
        <v>0</v>
      </c>
      <c r="K31" s="183">
        <v>0</v>
      </c>
      <c r="L31" s="183">
        <v>0</v>
      </c>
      <c r="M31" s="183">
        <v>0</v>
      </c>
      <c r="N31" s="183">
        <v>0</v>
      </c>
      <c r="O31" s="183">
        <v>0</v>
      </c>
      <c r="P31" s="183">
        <v>0</v>
      </c>
      <c r="Q31" s="183">
        <v>0</v>
      </c>
      <c r="R31" s="183">
        <v>0</v>
      </c>
      <c r="S31" s="183">
        <v>0</v>
      </c>
      <c r="T31" s="183">
        <v>0</v>
      </c>
      <c r="U31" s="183">
        <v>0</v>
      </c>
      <c r="V31" s="183">
        <v>0</v>
      </c>
      <c r="W31" s="183">
        <v>0</v>
      </c>
      <c r="X31" s="183">
        <v>0</v>
      </c>
      <c r="Y31" s="183">
        <v>0</v>
      </c>
      <c r="Z31" s="183">
        <v>0</v>
      </c>
      <c r="AA31" s="183">
        <v>0</v>
      </c>
      <c r="AB31" s="183">
        <v>0</v>
      </c>
      <c r="AC31" s="183">
        <v>0</v>
      </c>
      <c r="AD31" s="183">
        <v>0</v>
      </c>
      <c r="AE31" s="183">
        <v>0</v>
      </c>
      <c r="AF31" s="183">
        <v>0</v>
      </c>
      <c r="AG31" s="183">
        <v>0</v>
      </c>
      <c r="AH31" s="183">
        <v>0</v>
      </c>
      <c r="AI31" s="183">
        <v>0</v>
      </c>
      <c r="AJ31" s="183">
        <v>0</v>
      </c>
      <c r="AK31" s="183">
        <v>0</v>
      </c>
      <c r="AL31" s="183">
        <v>0</v>
      </c>
      <c r="AM31" s="183">
        <v>0</v>
      </c>
      <c r="AN31" s="183">
        <v>0</v>
      </c>
    </row>
    <row r="32" spans="2:50" x14ac:dyDescent="0.25">
      <c r="B32" s="39" t="str">
        <f>Base!B37</f>
        <v>Tertiary Direct Staff - Service B</v>
      </c>
      <c r="C32" s="4"/>
      <c r="E32" s="183" cm="1">
        <f t="array" ref="E32:AN32">_xlfn.LET(_xlpm.site,$B$1&amp;"-"&amp;$C$1,_xlpm.locations,Base!$D$4:$BD$4,_xlpm.rates,Base!$D37:$BD37,_xlpm.hours,Base!$D80:$BD80,_xlpm.comp,_xlpm.rates*_xlpm.hours,_xlpm.Customer,_xlfn.ANCHORARRAY($E$1)*0,
_xlpm.Customer_comp,_xlfn.XLOOKUP(_xlpm.site,_xlpm.locations,_xlpm.comp,0,0),_xlpm.ann_incr,_xlfn.XLOOKUP(YEAR(_xlfn.ANCHORARRAY($E$25)),Base!$BJ$4:$BL$4,Base!$BJ80:$BL80,0,0),
_xlpm.bad_debt,_xlfn.XLOOKUP(_xlpm.site,_xlpm.locations,Base!$D$28:$BD$28,0,0),_xlpm.Customer_comp*_xlpm.Customer*_xlpm.bad_debt*_xlpm.ann_incr*(52/12))</f>
        <v>0</v>
      </c>
      <c r="F32" s="183">
        <v>0</v>
      </c>
      <c r="G32" s="183">
        <v>0</v>
      </c>
      <c r="H32" s="183">
        <v>0</v>
      </c>
      <c r="I32" s="183">
        <v>0</v>
      </c>
      <c r="J32" s="183">
        <v>0</v>
      </c>
      <c r="K32" s="183">
        <v>0</v>
      </c>
      <c r="L32" s="183">
        <v>0</v>
      </c>
      <c r="M32" s="183">
        <v>0</v>
      </c>
      <c r="N32" s="183">
        <v>0</v>
      </c>
      <c r="O32" s="183">
        <v>0</v>
      </c>
      <c r="P32" s="183">
        <v>0</v>
      </c>
      <c r="Q32" s="183">
        <v>0</v>
      </c>
      <c r="R32" s="183">
        <v>0</v>
      </c>
      <c r="S32" s="183">
        <v>0</v>
      </c>
      <c r="T32" s="183">
        <v>0</v>
      </c>
      <c r="U32" s="183">
        <v>0</v>
      </c>
      <c r="V32" s="183">
        <v>0</v>
      </c>
      <c r="W32" s="183">
        <v>0</v>
      </c>
      <c r="X32" s="183">
        <v>0</v>
      </c>
      <c r="Y32" s="183">
        <v>0</v>
      </c>
      <c r="Z32" s="183">
        <v>0</v>
      </c>
      <c r="AA32" s="183">
        <v>0</v>
      </c>
      <c r="AB32" s="183">
        <v>0</v>
      </c>
      <c r="AC32" s="183">
        <v>0</v>
      </c>
      <c r="AD32" s="183">
        <v>0</v>
      </c>
      <c r="AE32" s="183">
        <v>0</v>
      </c>
      <c r="AF32" s="183">
        <v>0</v>
      </c>
      <c r="AG32" s="183">
        <v>0</v>
      </c>
      <c r="AH32" s="183">
        <v>0</v>
      </c>
      <c r="AI32" s="183">
        <v>0</v>
      </c>
      <c r="AJ32" s="183">
        <v>0</v>
      </c>
      <c r="AK32" s="183">
        <v>0</v>
      </c>
      <c r="AL32" s="183">
        <v>0</v>
      </c>
      <c r="AM32" s="183">
        <v>0</v>
      </c>
      <c r="AN32" s="183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_xlpm.Customer,_xlfn.ANCHORARRAY($E$2),_xlpm.ann_incr,_xlfn.XLOOKUP(YEAR(_xlfn.ANCHORARRAY($E$25)),Base!$BJ$4:$BL$4,Base!$BJ$81:$BL$81,0,0),
_xlpm.bad_debt,_xlfn.XLOOKUP(_xlpm.site,_xlpm.locations,Base!$D$28:$BD$28,0,0),
_xlpm.comp*_xlpm.bad_debt*_xlpm.ann_incr*(52/12))</f>
        <v>0</v>
      </c>
      <c r="F33" s="12">
        <v>0</v>
      </c>
      <c r="G33" s="12">
        <v>0</v>
      </c>
      <c r="H33" s="12">
        <v>0</v>
      </c>
      <c r="I33" s="12">
        <v>0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2">
        <v>0</v>
      </c>
      <c r="Y33" s="12">
        <v>0</v>
      </c>
      <c r="Z33" s="12">
        <v>0</v>
      </c>
      <c r="AA33" s="12">
        <v>0</v>
      </c>
      <c r="AB33" s="12">
        <v>0</v>
      </c>
      <c r="AC33" s="12">
        <v>0</v>
      </c>
      <c r="AD33" s="12">
        <v>0</v>
      </c>
      <c r="AE33" s="12">
        <v>0</v>
      </c>
      <c r="AF33" s="12">
        <v>0</v>
      </c>
      <c r="AG33" s="12">
        <v>0</v>
      </c>
      <c r="AH33" s="12">
        <v>0</v>
      </c>
      <c r="AI33" s="12">
        <v>0</v>
      </c>
      <c r="AJ33" s="12">
        <v>0</v>
      </c>
      <c r="AK33" s="12">
        <v>0</v>
      </c>
      <c r="AL33" s="12">
        <v>26688.836416666662</v>
      </c>
      <c r="AM33" s="12">
        <v>26688.836416666662</v>
      </c>
      <c r="AN33" s="12">
        <v>26688.836416666662</v>
      </c>
    </row>
    <row r="34" spans="2:40" x14ac:dyDescent="0.25">
      <c r="B34" s="39" t="str">
        <f>Base!B39</f>
        <v>Quinary Direct Staff - Service A</v>
      </c>
      <c r="C34" s="4"/>
      <c r="E34" s="183" cm="1">
        <f t="array" ref="E34:AN34">_xlfn.LET(_xlpm.site,$B$1&amp;"-"&amp;$C$1,_xlpm.locations,Base!$D$4:$BD$4,_xlpm.rates,Base!$D39:$BD39,_xlpm.hours,Base!$D82:$BD82,_xlpm.comp,_xlpm.rates*_xlpm.hours,_xlpm.Customer,_xlfn.ANCHORARRAY($E$1)*0,
_xlpm.Customer_comp,_xlfn.XLOOKUP(_xlpm.site,_xlpm.locations,_xlpm.comp,0,0),_xlpm.ann_incr,_xlfn.XLOOKUP(YEAR(_xlfn.ANCHORARRAY($E$25)),Base!$BJ$4:$BL$4,Base!$BJ82:$BL82,0,0),
_xlpm.bad_debt,_xlfn.XLOOKUP(_xlpm.site,_xlpm.locations,Base!$D$28:$BD$28,0,0),_xlpm.Customer_comp*_xlpm.Customer*_xlpm.bad_debt*_xlpm.ann_incr*(52/12))</f>
        <v>0</v>
      </c>
      <c r="F34" s="183">
        <v>0</v>
      </c>
      <c r="G34" s="183">
        <v>0</v>
      </c>
      <c r="H34" s="183">
        <v>0</v>
      </c>
      <c r="I34" s="183">
        <v>0</v>
      </c>
      <c r="J34" s="183">
        <v>0</v>
      </c>
      <c r="K34" s="183">
        <v>0</v>
      </c>
      <c r="L34" s="183">
        <v>0</v>
      </c>
      <c r="M34" s="183">
        <v>0</v>
      </c>
      <c r="N34" s="183">
        <v>0</v>
      </c>
      <c r="O34" s="183">
        <v>0</v>
      </c>
      <c r="P34" s="183">
        <v>0</v>
      </c>
      <c r="Q34" s="183">
        <v>0</v>
      </c>
      <c r="R34" s="183">
        <v>0</v>
      </c>
      <c r="S34" s="183">
        <v>0</v>
      </c>
      <c r="T34" s="183">
        <v>0</v>
      </c>
      <c r="U34" s="183">
        <v>0</v>
      </c>
      <c r="V34" s="183">
        <v>0</v>
      </c>
      <c r="W34" s="183">
        <v>0</v>
      </c>
      <c r="X34" s="183">
        <v>0</v>
      </c>
      <c r="Y34" s="183">
        <v>0</v>
      </c>
      <c r="Z34" s="183">
        <v>0</v>
      </c>
      <c r="AA34" s="183">
        <v>0</v>
      </c>
      <c r="AB34" s="183">
        <v>0</v>
      </c>
      <c r="AC34" s="183">
        <v>0</v>
      </c>
      <c r="AD34" s="183">
        <v>0</v>
      </c>
      <c r="AE34" s="183">
        <v>0</v>
      </c>
      <c r="AF34" s="183">
        <v>0</v>
      </c>
      <c r="AG34" s="183">
        <v>0</v>
      </c>
      <c r="AH34" s="183">
        <v>0</v>
      </c>
      <c r="AI34" s="183">
        <v>0</v>
      </c>
      <c r="AJ34" s="183">
        <v>0</v>
      </c>
      <c r="AK34" s="183">
        <v>0</v>
      </c>
      <c r="AL34" s="183">
        <v>0</v>
      </c>
      <c r="AM34" s="183">
        <v>0</v>
      </c>
      <c r="AN34" s="183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0</v>
      </c>
      <c r="F35" s="12">
        <v>0</v>
      </c>
      <c r="G35" s="12">
        <v>0</v>
      </c>
      <c r="H35" s="12">
        <v>0</v>
      </c>
      <c r="I35" s="12">
        <v>0</v>
      </c>
      <c r="J35" s="12">
        <v>0</v>
      </c>
      <c r="K35" s="12">
        <v>0</v>
      </c>
      <c r="L35" s="12">
        <v>0</v>
      </c>
      <c r="M35" s="12">
        <v>0</v>
      </c>
      <c r="N35" s="12">
        <v>0</v>
      </c>
      <c r="O35" s="12">
        <v>0</v>
      </c>
      <c r="P35" s="12">
        <v>0</v>
      </c>
      <c r="Q35" s="12">
        <v>0</v>
      </c>
      <c r="R35" s="12">
        <v>0</v>
      </c>
      <c r="S35" s="12">
        <v>0</v>
      </c>
      <c r="T35" s="12">
        <v>0</v>
      </c>
      <c r="U35" s="12">
        <v>0</v>
      </c>
      <c r="V35" s="12">
        <v>0</v>
      </c>
      <c r="W35" s="12">
        <v>0</v>
      </c>
      <c r="X35" s="12">
        <v>0</v>
      </c>
      <c r="Y35" s="12">
        <v>0</v>
      </c>
      <c r="Z35" s="12">
        <v>0</v>
      </c>
      <c r="AA35" s="12">
        <v>0</v>
      </c>
      <c r="AB35" s="12">
        <v>0</v>
      </c>
      <c r="AC35" s="12">
        <v>0</v>
      </c>
      <c r="AD35" s="12">
        <v>0</v>
      </c>
      <c r="AE35" s="12">
        <v>0</v>
      </c>
      <c r="AF35" s="12">
        <v>0</v>
      </c>
      <c r="AG35" s="12">
        <v>0</v>
      </c>
      <c r="AH35" s="12">
        <v>0</v>
      </c>
      <c r="AI35" s="12">
        <v>0</v>
      </c>
      <c r="AJ35" s="12">
        <v>0</v>
      </c>
      <c r="AK35" s="12">
        <v>0</v>
      </c>
      <c r="AL35" s="12">
        <v>-10068.832691599999</v>
      </c>
      <c r="AM35" s="12">
        <v>-16935.005013199996</v>
      </c>
      <c r="AN35" s="12">
        <v>-23801.177334799995</v>
      </c>
    </row>
    <row r="36" spans="2:40" x14ac:dyDescent="0.25">
      <c r="B36" s="39" t="s">
        <v>261</v>
      </c>
      <c r="C36" s="15"/>
      <c r="E36" s="183" cm="1">
        <f t="array" ref="E36:AN36">_xlfn.BYCOL(_xlfn.ANCHORARRAY($E$25),_xlfn.LAMBDA(_xlpm.a,0))</f>
        <v>0</v>
      </c>
      <c r="F36" s="183">
        <v>0</v>
      </c>
      <c r="G36" s="183">
        <v>0</v>
      </c>
      <c r="H36" s="183">
        <v>0</v>
      </c>
      <c r="I36" s="183">
        <v>0</v>
      </c>
      <c r="J36" s="183">
        <v>0</v>
      </c>
      <c r="K36" s="183">
        <v>0</v>
      </c>
      <c r="L36" s="183">
        <v>0</v>
      </c>
      <c r="M36" s="183">
        <v>0</v>
      </c>
      <c r="N36" s="183">
        <v>0</v>
      </c>
      <c r="O36" s="183">
        <v>0</v>
      </c>
      <c r="P36" s="183">
        <v>0</v>
      </c>
      <c r="Q36" s="183">
        <v>0</v>
      </c>
      <c r="R36" s="183">
        <v>0</v>
      </c>
      <c r="S36" s="183">
        <v>0</v>
      </c>
      <c r="T36" s="183">
        <v>0</v>
      </c>
      <c r="U36" s="183">
        <v>0</v>
      </c>
      <c r="V36" s="183">
        <v>0</v>
      </c>
      <c r="W36" s="183">
        <v>0</v>
      </c>
      <c r="X36" s="183">
        <v>0</v>
      </c>
      <c r="Y36" s="183">
        <v>0</v>
      </c>
      <c r="Z36" s="183">
        <v>0</v>
      </c>
      <c r="AA36" s="183">
        <v>0</v>
      </c>
      <c r="AB36" s="183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271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0</v>
      </c>
      <c r="S37" s="13">
        <v>0</v>
      </c>
      <c r="T37" s="13">
        <v>0</v>
      </c>
      <c r="U37" s="13">
        <v>0</v>
      </c>
      <c r="V37" s="13">
        <v>0</v>
      </c>
      <c r="W37" s="13">
        <v>0</v>
      </c>
      <c r="X37" s="13">
        <v>0</v>
      </c>
      <c r="Y37" s="13">
        <v>0</v>
      </c>
      <c r="Z37" s="13">
        <v>0</v>
      </c>
      <c r="AA37" s="13">
        <v>0</v>
      </c>
      <c r="AB37" s="13">
        <v>0</v>
      </c>
      <c r="AC37" s="13">
        <v>0</v>
      </c>
      <c r="AD37" s="13">
        <v>0</v>
      </c>
      <c r="AE37" s="13">
        <v>0</v>
      </c>
      <c r="AF37" s="13">
        <v>0</v>
      </c>
      <c r="AG37" s="13">
        <v>0</v>
      </c>
      <c r="AH37" s="13">
        <v>0</v>
      </c>
      <c r="AI37" s="13">
        <v>0</v>
      </c>
      <c r="AJ37" s="13">
        <v>0</v>
      </c>
      <c r="AK37" s="13">
        <v>0</v>
      </c>
      <c r="AL37" s="13">
        <v>71094.22760506667</v>
      </c>
      <c r="AM37" s="13">
        <v>118702.27916346668</v>
      </c>
      <c r="AN37" s="13">
        <v>166310.33072186666</v>
      </c>
    </row>
    <row r="38" spans="2:40" x14ac:dyDescent="0.25">
      <c r="E38" s="67"/>
      <c r="F38" s="67"/>
    </row>
    <row r="39" spans="2:40" x14ac:dyDescent="0.25">
      <c r="B39" s="1" t="s">
        <v>118</v>
      </c>
    </row>
    <row r="40" spans="2:40" x14ac:dyDescent="0.25">
      <c r="B40" s="39" t="s">
        <v>23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0</v>
      </c>
      <c r="F40" s="12">
        <v>0</v>
      </c>
      <c r="G40" s="12">
        <v>0</v>
      </c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0</v>
      </c>
      <c r="N40" s="12">
        <v>0</v>
      </c>
      <c r="O40" s="12">
        <v>0</v>
      </c>
      <c r="P40" s="12">
        <v>0</v>
      </c>
      <c r="Q40" s="12">
        <v>0</v>
      </c>
      <c r="R40" s="12">
        <v>0</v>
      </c>
      <c r="S40" s="12">
        <v>0</v>
      </c>
      <c r="T40" s="12">
        <v>0</v>
      </c>
      <c r="U40" s="12">
        <v>0</v>
      </c>
      <c r="V40" s="12">
        <v>0</v>
      </c>
      <c r="W40" s="12">
        <v>0</v>
      </c>
      <c r="X40" s="12">
        <v>0</v>
      </c>
      <c r="Y40" s="12">
        <v>0</v>
      </c>
      <c r="Z40" s="12">
        <v>0</v>
      </c>
      <c r="AA40" s="12">
        <v>0</v>
      </c>
      <c r="AB40" s="12">
        <v>0</v>
      </c>
      <c r="AC40" s="12">
        <v>0</v>
      </c>
      <c r="AD40" s="12">
        <v>0</v>
      </c>
      <c r="AE40" s="12">
        <v>0</v>
      </c>
      <c r="AF40" s="12">
        <v>0</v>
      </c>
      <c r="AG40" s="12">
        <v>0</v>
      </c>
      <c r="AH40" s="12">
        <v>0</v>
      </c>
      <c r="AI40" s="12">
        <v>0</v>
      </c>
      <c r="AJ40" s="12">
        <v>0</v>
      </c>
      <c r="AK40" s="12">
        <v>0</v>
      </c>
      <c r="AL40" s="12">
        <v>52771.717808043984</v>
      </c>
      <c r="AM40" s="12">
        <v>90050.480101421301</v>
      </c>
      <c r="AN40" s="12">
        <v>113599.24590946527</v>
      </c>
    </row>
    <row r="41" spans="2:40" x14ac:dyDescent="0.25">
      <c r="B41" s="39" t="s">
        <v>388</v>
      </c>
      <c r="C41" s="142">
        <f>_xlfn.XLOOKUP($B$1&amp;"-"&amp;$C$1,Base!$D$4:$BD$4,Base!$D$12:$BD$12,0,0)</f>
        <v>0</v>
      </c>
      <c r="E41" s="183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28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0</v>
      </c>
      <c r="AJ42" s="12">
        <v>0</v>
      </c>
      <c r="AK42" s="12">
        <v>0</v>
      </c>
      <c r="AL42" s="12">
        <v>15913.5</v>
      </c>
      <c r="AM42" s="12">
        <v>15913.5</v>
      </c>
      <c r="AN42" s="12">
        <v>15913.5</v>
      </c>
    </row>
    <row r="43" spans="2:40" x14ac:dyDescent="0.25">
      <c r="B43" s="39" t="s">
        <v>31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0</v>
      </c>
      <c r="X43" s="12">
        <v>0</v>
      </c>
      <c r="Y43" s="12">
        <v>0</v>
      </c>
      <c r="Z43" s="12">
        <v>0</v>
      </c>
      <c r="AA43" s="12">
        <v>0</v>
      </c>
      <c r="AB43" s="12">
        <v>0</v>
      </c>
      <c r="AC43" s="12">
        <v>0</v>
      </c>
      <c r="AD43" s="12">
        <v>0</v>
      </c>
      <c r="AE43" s="12">
        <v>0</v>
      </c>
      <c r="AF43" s="12">
        <v>0</v>
      </c>
      <c r="AG43" s="12">
        <v>0</v>
      </c>
      <c r="AH43" s="12">
        <v>0</v>
      </c>
      <c r="AI43" s="12">
        <v>0</v>
      </c>
      <c r="AJ43" s="12">
        <v>0</v>
      </c>
      <c r="AK43" s="12">
        <v>0</v>
      </c>
      <c r="AL43" s="12">
        <v>8328.3200000000015</v>
      </c>
      <c r="AM43" s="12">
        <v>8328.3200000000015</v>
      </c>
      <c r="AN43" s="12">
        <v>8328.3200000000015</v>
      </c>
    </row>
    <row r="44" spans="2:40" x14ac:dyDescent="0.25">
      <c r="B44" s="39" t="s">
        <v>34</v>
      </c>
      <c r="C44" s="96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  <c r="O44" s="12">
        <v>0</v>
      </c>
      <c r="P44" s="12">
        <v>0</v>
      </c>
      <c r="Q44" s="12">
        <v>0</v>
      </c>
      <c r="R44" s="12">
        <v>0</v>
      </c>
      <c r="S44" s="12">
        <v>0</v>
      </c>
      <c r="T44" s="12">
        <v>0</v>
      </c>
      <c r="U44" s="12">
        <v>0</v>
      </c>
      <c r="V44" s="12">
        <v>0</v>
      </c>
      <c r="W44" s="12">
        <v>0</v>
      </c>
      <c r="X44" s="12">
        <v>0</v>
      </c>
      <c r="Y44" s="12">
        <v>0</v>
      </c>
      <c r="Z44" s="12">
        <v>0</v>
      </c>
      <c r="AA44" s="12">
        <v>0</v>
      </c>
      <c r="AB44" s="12">
        <v>0</v>
      </c>
      <c r="AC44" s="12">
        <v>0</v>
      </c>
      <c r="AD44" s="12">
        <v>0</v>
      </c>
      <c r="AE44" s="12">
        <v>0</v>
      </c>
      <c r="AF44" s="12">
        <v>0</v>
      </c>
      <c r="AG44" s="12">
        <v>0</v>
      </c>
      <c r="AH44" s="12">
        <v>0</v>
      </c>
      <c r="AI44" s="12">
        <v>0</v>
      </c>
      <c r="AJ44" s="12">
        <v>0</v>
      </c>
      <c r="AK44" s="12">
        <v>0</v>
      </c>
      <c r="AL44" s="12">
        <v>393.58904832000007</v>
      </c>
      <c r="AM44" s="12">
        <v>1042.2821094400001</v>
      </c>
      <c r="AN44" s="12">
        <v>1075.0811968000003</v>
      </c>
    </row>
    <row r="45" spans="2:40" x14ac:dyDescent="0.25">
      <c r="B45" s="39" t="s">
        <v>36</v>
      </c>
      <c r="C45" s="96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0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12">
        <v>0</v>
      </c>
      <c r="R45" s="12">
        <v>0</v>
      </c>
      <c r="S45" s="12">
        <v>0</v>
      </c>
      <c r="T45" s="12">
        <v>0</v>
      </c>
      <c r="U45" s="12">
        <v>0</v>
      </c>
      <c r="V45" s="12">
        <v>0</v>
      </c>
      <c r="W45" s="12">
        <v>0</v>
      </c>
      <c r="X45" s="12">
        <v>0</v>
      </c>
      <c r="Y45" s="12">
        <v>0</v>
      </c>
      <c r="Z45" s="12">
        <v>0</v>
      </c>
      <c r="AA45" s="12">
        <v>0</v>
      </c>
      <c r="AB45" s="12">
        <v>0</v>
      </c>
      <c r="AC45" s="12">
        <v>0</v>
      </c>
      <c r="AD45" s="12">
        <v>0</v>
      </c>
      <c r="AE45" s="12">
        <v>0</v>
      </c>
      <c r="AF45" s="12">
        <v>0</v>
      </c>
      <c r="AG45" s="12">
        <v>0</v>
      </c>
      <c r="AH45" s="12">
        <v>0</v>
      </c>
      <c r="AI45" s="12">
        <v>0</v>
      </c>
      <c r="AJ45" s="12">
        <v>0</v>
      </c>
      <c r="AK45" s="12">
        <v>0</v>
      </c>
      <c r="AL45" s="12">
        <v>6762.6</v>
      </c>
      <c r="AM45" s="12">
        <v>6762.6</v>
      </c>
      <c r="AN45" s="12">
        <v>6762.6</v>
      </c>
    </row>
    <row r="46" spans="2:40" x14ac:dyDescent="0.25">
      <c r="B46" s="39" t="s">
        <v>38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0</v>
      </c>
      <c r="F46" s="12">
        <v>0</v>
      </c>
      <c r="G46" s="12">
        <v>0</v>
      </c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0</v>
      </c>
      <c r="N46" s="12">
        <v>0</v>
      </c>
      <c r="O46" s="12">
        <v>0</v>
      </c>
      <c r="P46" s="12">
        <v>0</v>
      </c>
      <c r="Q46" s="12">
        <v>0</v>
      </c>
      <c r="R46" s="12">
        <v>0</v>
      </c>
      <c r="S46" s="12">
        <v>0</v>
      </c>
      <c r="T46" s="12">
        <v>0</v>
      </c>
      <c r="U46" s="12">
        <v>0</v>
      </c>
      <c r="V46" s="12">
        <v>0</v>
      </c>
      <c r="W46" s="12">
        <v>0</v>
      </c>
      <c r="X46" s="12">
        <v>0</v>
      </c>
      <c r="Y46" s="12">
        <v>0</v>
      </c>
      <c r="Z46" s="12">
        <v>0</v>
      </c>
      <c r="AA46" s="12">
        <v>0</v>
      </c>
      <c r="AB46" s="12">
        <v>0</v>
      </c>
      <c r="AC46" s="12">
        <v>0</v>
      </c>
      <c r="AD46" s="12">
        <v>0</v>
      </c>
      <c r="AE46" s="12">
        <v>0</v>
      </c>
      <c r="AF46" s="12">
        <v>0</v>
      </c>
      <c r="AG46" s="12">
        <v>0</v>
      </c>
      <c r="AH46" s="12">
        <v>0</v>
      </c>
      <c r="AI46" s="12">
        <v>0</v>
      </c>
      <c r="AJ46" s="12">
        <v>0</v>
      </c>
      <c r="AK46" s="12">
        <v>0</v>
      </c>
      <c r="AL46" s="12">
        <v>3676.7735999999991</v>
      </c>
      <c r="AM46" s="12">
        <v>5617.639799999999</v>
      </c>
      <c r="AN46" s="12">
        <v>6946.7507999999998</v>
      </c>
    </row>
    <row r="47" spans="2:40" x14ac:dyDescent="0.25">
      <c r="B47" s="39" t="s">
        <v>40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  <c r="O47" s="12">
        <v>0</v>
      </c>
      <c r="P47" s="12">
        <v>0</v>
      </c>
      <c r="Q47" s="12">
        <v>0</v>
      </c>
      <c r="R47" s="12">
        <v>0</v>
      </c>
      <c r="S47" s="12">
        <v>0</v>
      </c>
      <c r="T47" s="12">
        <v>0</v>
      </c>
      <c r="U47" s="12">
        <v>0</v>
      </c>
      <c r="V47" s="12">
        <v>0</v>
      </c>
      <c r="W47" s="12">
        <v>0</v>
      </c>
      <c r="X47" s="12">
        <v>0</v>
      </c>
      <c r="Y47" s="12">
        <v>0</v>
      </c>
      <c r="Z47" s="12">
        <v>0</v>
      </c>
      <c r="AA47" s="12">
        <v>0</v>
      </c>
      <c r="AB47" s="12">
        <v>0</v>
      </c>
      <c r="AC47" s="12">
        <v>0</v>
      </c>
      <c r="AD47" s="12">
        <v>0</v>
      </c>
      <c r="AE47" s="12">
        <v>0</v>
      </c>
      <c r="AF47" s="12">
        <v>0</v>
      </c>
      <c r="AG47" s="12">
        <v>0</v>
      </c>
      <c r="AH47" s="12">
        <v>0</v>
      </c>
      <c r="AI47" s="12">
        <v>0</v>
      </c>
      <c r="AJ47" s="12">
        <v>0</v>
      </c>
      <c r="AK47" s="12">
        <v>0</v>
      </c>
      <c r="AL47" s="12">
        <v>6615</v>
      </c>
      <c r="AM47" s="12">
        <v>6615</v>
      </c>
      <c r="AN47" s="12">
        <v>6615</v>
      </c>
    </row>
    <row r="48" spans="2:40" x14ac:dyDescent="0.25">
      <c r="B48" s="39" t="s">
        <v>41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151234.47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42</v>
      </c>
      <c r="E49" s="12">
        <f>'Corp.'!E$50*(E$37-(E31-E32-E34)*$C$35)/(SUM('MDA1:NCA9'!E$37)-SUM('MDA1:NCA9'!E$31)-SUM('MDA1:NCA9'!E$32)-SUM('MDA1:NCA9'!E$34))</f>
        <v>0</v>
      </c>
      <c r="F49" s="12">
        <f>'Corp.'!F$50*(F$37-(F31-F32-F34)*$C$35)/(SUM('MDA1:NCA9'!F$37)-SUM('MDA1:NCA9'!F$31)-SUM('MDA1:NCA9'!F$32)-SUM('MDA1:NCA9'!F$34))</f>
        <v>0</v>
      </c>
      <c r="G49" s="12">
        <f>'Corp.'!G$50*(G$37-(G31-G32-G34)*$C$35)/(SUM('MDA1:NCA9'!G$37)-SUM('MDA1:NCA9'!G$31)-SUM('MDA1:NCA9'!G$32)-SUM('MDA1:NCA9'!G$34))</f>
        <v>0</v>
      </c>
      <c r="H49" s="12">
        <f>'Corp.'!H$50*(H$37-(H31-H32-H34)*$C$35)/(SUM('MDA1:NCA9'!H$37)-SUM('MDA1:NCA9'!H$31)-SUM('MDA1:NCA9'!H$32)-SUM('MDA1:NCA9'!H$34))</f>
        <v>0</v>
      </c>
      <c r="I49" s="12">
        <f>'Corp.'!I$50*(I$37-(I31-I32-I34)*$C$35)/(SUM('MDA1:NCA9'!I$37)-SUM('MDA1:NCA9'!I$31)-SUM('MDA1:NCA9'!I$32)-SUM('MDA1:NCA9'!I$34))</f>
        <v>0</v>
      </c>
      <c r="J49" s="12">
        <f>'Corp.'!J$50*(J$37-(J31-J32-J34)*$C$35)/(SUM('MDA1:NCA9'!J$37)-SUM('MDA1:NCA9'!J$31)-SUM('MDA1:NCA9'!J$32)-SUM('MDA1:NCA9'!J$34))</f>
        <v>0</v>
      </c>
      <c r="K49" s="12">
        <f>'Corp.'!K$50*(K$37-(K31-K32-K34)*$C$35)/(SUM('MDA1:NCA9'!K$37)-SUM('MDA1:NCA9'!K$31)-SUM('MDA1:NCA9'!K$32)-SUM('MDA1:NCA9'!K$34))</f>
        <v>0</v>
      </c>
      <c r="L49" s="12">
        <f>'Corp.'!L$50*(L$37-(L31-L32-L34)*$C$35)/(SUM('MDA1:NCA9'!L$37)-SUM('MDA1:NCA9'!L$31)-SUM('MDA1:NCA9'!L$32)-SUM('MDA1:NCA9'!L$34))</f>
        <v>0</v>
      </c>
      <c r="M49" s="12">
        <f>'Corp.'!M$50*(M$37-(M31-M32-M34)*$C$35)/(SUM('MDA1:NCA9'!M$37)-SUM('MDA1:NCA9'!M$31)-SUM('MDA1:NCA9'!M$32)-SUM('MDA1:NCA9'!M$34))</f>
        <v>0</v>
      </c>
      <c r="N49" s="12">
        <f>'Corp.'!N$50*(N$37-(N31-N32-N34)*$C$35)/(SUM('MDA1:NCA9'!N$37)-SUM('MDA1:NCA9'!N$31)-SUM('MDA1:NCA9'!N$32)-SUM('MDA1:NCA9'!N$34))</f>
        <v>0</v>
      </c>
      <c r="O49" s="12">
        <f>'Corp.'!O$50*(O$37-(O31-O32-O34)*$C$35)/(SUM('MDA1:NCA9'!O$37)-SUM('MDA1:NCA9'!O$31)-SUM('MDA1:NCA9'!O$32)-SUM('MDA1:NCA9'!O$34))</f>
        <v>0</v>
      </c>
      <c r="P49" s="12">
        <f>'Corp.'!P$50*(P$37-(P31-P32-P34)*$C$35)/(SUM('MDA1:NCA9'!P$37)-SUM('MDA1:NCA9'!P$31)-SUM('MDA1:NCA9'!P$32)-SUM('MDA1:NCA9'!P$34))</f>
        <v>0</v>
      </c>
      <c r="Q49" s="12">
        <f>'Corp.'!Q$50*(Q$37-(Q31-Q32-Q34)*$C$35)/(SUM('MDA1:NCA9'!Q$37)-SUM('MDA1:NCA9'!Q$31)-SUM('MDA1:NCA9'!Q$32)-SUM('MDA1:NCA9'!Q$34))</f>
        <v>0</v>
      </c>
      <c r="R49" s="12">
        <f>'Corp.'!R$50*(R$37-(R31-R32-R34)*$C$35)/(SUM('MDA1:NCA9'!R$37)-SUM('MDA1:NCA9'!R$31)-SUM('MDA1:NCA9'!R$32)-SUM('MDA1:NCA9'!R$34))</f>
        <v>0</v>
      </c>
      <c r="S49" s="12">
        <f>'Corp.'!S$50*(S$37-(S31-S32-S34)*$C$35)/(SUM('MDA1:NCA9'!S$37)-SUM('MDA1:NCA9'!S$31)-SUM('MDA1:NCA9'!S$32)-SUM('MDA1:NCA9'!S$34))</f>
        <v>0</v>
      </c>
      <c r="T49" s="12">
        <f>'Corp.'!T$50*(T$37-(T31-T32-T34)*$C$35)/(SUM('MDA1:NCA9'!T$37)-SUM('MDA1:NCA9'!T$31)-SUM('MDA1:NCA9'!T$32)-SUM('MDA1:NCA9'!T$34))</f>
        <v>0</v>
      </c>
      <c r="U49" s="12">
        <f>'Corp.'!U$50*(U$37-(U31-U32-U34)*$C$35)/(SUM('MDA1:NCA9'!U$37)-SUM('MDA1:NCA9'!U$31)-SUM('MDA1:NCA9'!U$32)-SUM('MDA1:NCA9'!U$34))</f>
        <v>0</v>
      </c>
      <c r="V49" s="12">
        <f>'Corp.'!V$50*(V$37-(V31-V32-V34)*$C$35)/(SUM('MDA1:NCA9'!V$37)-SUM('MDA1:NCA9'!V$31)-SUM('MDA1:NCA9'!V$32)-SUM('MDA1:NCA9'!V$34))</f>
        <v>0</v>
      </c>
      <c r="W49" s="12">
        <f>'Corp.'!W$50*(W$37-(W31-W32-W34)*$C$35)/(SUM('MDA1:NCA9'!W$37)-SUM('MDA1:NCA9'!W$31)-SUM('MDA1:NCA9'!W$32)-SUM('MDA1:NCA9'!W$34))</f>
        <v>0</v>
      </c>
      <c r="X49" s="12">
        <f>'Corp.'!X$50*(X$37-(X31-X32-X34)*$C$35)/(SUM('MDA1:NCA9'!X$37)-SUM('MDA1:NCA9'!X$31)-SUM('MDA1:NCA9'!X$32)-SUM('MDA1:NCA9'!X$34))</f>
        <v>0</v>
      </c>
      <c r="Y49" s="12">
        <f>'Corp.'!Y$50*(Y$37-(Y31-Y32-Y34)*$C$35)/(SUM('MDA1:NCA9'!Y$37)-SUM('MDA1:NCA9'!Y$31)-SUM('MDA1:NCA9'!Y$32)-SUM('MDA1:NCA9'!Y$34))</f>
        <v>0</v>
      </c>
      <c r="Z49" s="12">
        <f>'Corp.'!Z$50*(Z$37-(Z31-Z32-Z34)*$C$35)/(SUM('MDA1:NCA9'!Z$37)-SUM('MDA1:NCA9'!Z$31)-SUM('MDA1:NCA9'!Z$32)-SUM('MDA1:NCA9'!Z$34))</f>
        <v>0</v>
      </c>
      <c r="AA49" s="12">
        <f>'Corp.'!AA$50*(AA$37-(AA31-AA32-AA34)*$C$35)/(SUM('MDA1:NCA9'!AA$37)-SUM('MDA1:NCA9'!AA$31)-SUM('MDA1:NCA9'!AA$32)-SUM('MDA1:NCA9'!AA$34))</f>
        <v>0</v>
      </c>
      <c r="AB49" s="12">
        <f>'Corp.'!AB$50*(AB$37-(AB31-AB32-AB34)*$C$35)/(SUM('MDA1:NCA9'!AB$37)-SUM('MDA1:NCA9'!AB$31)-SUM('MDA1:NCA9'!AB$32)-SUM('MDA1:NCA9'!AB$34))</f>
        <v>0</v>
      </c>
      <c r="AC49" s="12">
        <f>'Corp.'!AC$50*(AC$37-(AC31-AC32-AC34)*$C$35)/(SUM('MDA1:NCA9'!AC$37)-SUM('MDA1:NCA9'!AC$31)-SUM('MDA1:NCA9'!AC$32)-SUM('MDA1:NCA9'!AC$34))</f>
        <v>0</v>
      </c>
      <c r="AD49" s="12">
        <f>'Corp.'!AD$50*(AD$37-(AD31-AD32-AD34)*$C$35)/(SUM('MDA1:NCA9'!AD$37)-SUM('MDA1:NCA9'!AD$31)-SUM('MDA1:NCA9'!AD$32)-SUM('MDA1:NCA9'!AD$34))</f>
        <v>0</v>
      </c>
      <c r="AE49" s="12">
        <f>'Corp.'!AE$50*(AE$37-(AE31-AE32-AE34)*$C$35)/(SUM('MDA1:NCA9'!AE$37)-SUM('MDA1:NCA9'!AE$31)-SUM('MDA1:NCA9'!AE$32)-SUM('MDA1:NCA9'!AE$34))</f>
        <v>0</v>
      </c>
      <c r="AF49" s="12">
        <f>'Corp.'!AF$50*(AF$37-(AF31-AF32-AF34)*$C$35)/(SUM('MDA1:NCA9'!AF$37)-SUM('MDA1:NCA9'!AF$31)-SUM('MDA1:NCA9'!AF$32)-SUM('MDA1:NCA9'!AF$34))</f>
        <v>0</v>
      </c>
      <c r="AG49" s="12">
        <f>'Corp.'!AG$50*(AG$37-(AG31-AG32-AG34)*$C$35)/(SUM('MDA1:NCA9'!AG$37)-SUM('MDA1:NCA9'!AG$31)-SUM('MDA1:NCA9'!AG$32)-SUM('MDA1:NCA9'!AG$34))</f>
        <v>0</v>
      </c>
      <c r="AH49" s="12">
        <f>'Corp.'!AH$50*(AH$37-(AH31-AH32-AH34)*$C$35)/(SUM('MDA1:NCA9'!AH$37)-SUM('MDA1:NCA9'!AH$31)-SUM('MDA1:NCA9'!AH$32)-SUM('MDA1:NCA9'!AH$34))</f>
        <v>0</v>
      </c>
      <c r="AI49" s="12">
        <f>'Corp.'!AI$50*(AI$37-(AI31-AI32-AI34)*$C$35)/(SUM('MDA1:NCA9'!AI$37)-SUM('MDA1:NCA9'!AI$31)-SUM('MDA1:NCA9'!AI$32)-SUM('MDA1:NCA9'!AI$34))</f>
        <v>0</v>
      </c>
      <c r="AJ49" s="12">
        <f>'Corp.'!AJ$50*(AJ$37-(AJ31-AJ32-AJ34)*$C$35)/(SUM('MDA1:NCA9'!AJ$37)-SUM('MDA1:NCA9'!AJ$31)-SUM('MDA1:NCA9'!AJ$32)-SUM('MDA1:NCA9'!AJ$34))</f>
        <v>0</v>
      </c>
      <c r="AK49" s="12">
        <f>'Corp.'!AK$50*(AK$37-(AK31-AK32-AK34)*$C$35)/(SUM('MDA1:NCA9'!AK$37)-SUM('MDA1:NCA9'!AK$31)-SUM('MDA1:NCA9'!AK$32)-SUM('MDA1:NCA9'!AK$34))</f>
        <v>0</v>
      </c>
      <c r="AL49" s="12">
        <f>'Corp.'!AL$50*(AL$37-(AL31-AL32-AL34)*$C$35)/(SUM('MDA1:NCA9'!AL$37)-SUM('MDA1:NCA9'!AL$31)-SUM('MDA1:NCA9'!AL$32)-SUM('MDA1:NCA9'!AL$34))</f>
        <v>7381.583654941428</v>
      </c>
      <c r="AM49" s="12">
        <f>'Corp.'!AM$50*(AM$37-(AM31-AM32-AM34)*$C$35)/(SUM('MDA1:NCA9'!AM$37)-SUM('MDA1:NCA9'!AM$31)-SUM('MDA1:NCA9'!AM$32)-SUM('MDA1:NCA9'!AM$34))</f>
        <v>12112.17184533963</v>
      </c>
      <c r="AN49" s="12">
        <f>'Corp.'!AN$50*(AN$37-(AN31-AN32-AN34)*$C$35)/(SUM('MDA1:NCA9'!AN$37)-SUM('MDA1:NCA9'!AN$31)-SUM('MDA1:NCA9'!AN$32)-SUM('MDA1:NCA9'!AN$34))</f>
        <v>16716.26257611503</v>
      </c>
    </row>
    <row r="50" spans="2:40" x14ac:dyDescent="0.25">
      <c r="B50" s="1" t="s">
        <v>272</v>
      </c>
      <c r="E50" s="13" cm="1">
        <f t="array" ref="E50:AN50">_xlfn.BYCOL(_xlfn.VSTACK(_xlfn.ANCHORARRAY(E40),_xlfn.ANCHORARRAY(E42),_xlfn.ANCHORARRAY(E43),_xlfn.ANCHORARRAY(E45),_xlfn.ANCHORARRAY(E46),_xlfn.ANCHORARRAY(E47),_xlfn.ANCHORARRAY(E48),_xlfn.HSTACK(E49:AN49)),_xlfn.LAMBDA(_xlpm.a,SUM(_xlpm.a)))</f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0</v>
      </c>
      <c r="Q50" s="13">
        <v>0</v>
      </c>
      <c r="R50" s="13">
        <v>0</v>
      </c>
      <c r="S50" s="13">
        <v>0</v>
      </c>
      <c r="T50" s="13">
        <v>0</v>
      </c>
      <c r="U50" s="13">
        <v>0</v>
      </c>
      <c r="V50" s="13">
        <v>0</v>
      </c>
      <c r="W50" s="13">
        <v>0</v>
      </c>
      <c r="X50" s="13">
        <v>0</v>
      </c>
      <c r="Y50" s="13">
        <v>0</v>
      </c>
      <c r="Z50" s="13">
        <v>0</v>
      </c>
      <c r="AA50" s="13">
        <v>0</v>
      </c>
      <c r="AB50" s="13">
        <v>0</v>
      </c>
      <c r="AC50" s="13">
        <v>0</v>
      </c>
      <c r="AD50" s="13">
        <v>0</v>
      </c>
      <c r="AE50" s="13">
        <v>0</v>
      </c>
      <c r="AF50" s="13">
        <v>0</v>
      </c>
      <c r="AG50" s="13">
        <v>0</v>
      </c>
      <c r="AH50" s="13">
        <v>0</v>
      </c>
      <c r="AI50" s="13">
        <v>0</v>
      </c>
      <c r="AJ50" s="13">
        <v>151234.47</v>
      </c>
      <c r="AK50" s="13">
        <v>0</v>
      </c>
      <c r="AL50" s="13">
        <v>101449.49506298543</v>
      </c>
      <c r="AM50" s="13">
        <v>145399.71174676094</v>
      </c>
      <c r="AN50" s="13">
        <v>174881.67928558032</v>
      </c>
    </row>
    <row r="52" spans="2:40" x14ac:dyDescent="0.25">
      <c r="B52" s="1" t="s">
        <v>48</v>
      </c>
      <c r="E52" s="74">
        <f>E37-E50</f>
        <v>0</v>
      </c>
      <c r="F52" s="74">
        <f t="shared" ref="F52:AN52" si="0">F37-F50</f>
        <v>0</v>
      </c>
      <c r="G52" s="74">
        <f t="shared" si="0"/>
        <v>0</v>
      </c>
      <c r="H52" s="74">
        <f t="shared" si="0"/>
        <v>0</v>
      </c>
      <c r="I52" s="74">
        <f t="shared" si="0"/>
        <v>0</v>
      </c>
      <c r="J52" s="74">
        <f t="shared" si="0"/>
        <v>0</v>
      </c>
      <c r="K52" s="74">
        <f t="shared" si="0"/>
        <v>0</v>
      </c>
      <c r="L52" s="74">
        <f t="shared" si="0"/>
        <v>0</v>
      </c>
      <c r="M52" s="74">
        <f t="shared" si="0"/>
        <v>0</v>
      </c>
      <c r="N52" s="74">
        <f t="shared" si="0"/>
        <v>0</v>
      </c>
      <c r="O52" s="74">
        <f t="shared" si="0"/>
        <v>0</v>
      </c>
      <c r="P52" s="74">
        <f t="shared" si="0"/>
        <v>0</v>
      </c>
      <c r="Q52" s="74">
        <f t="shared" si="0"/>
        <v>0</v>
      </c>
      <c r="R52" s="74">
        <f t="shared" si="0"/>
        <v>0</v>
      </c>
      <c r="S52" s="74">
        <f t="shared" si="0"/>
        <v>0</v>
      </c>
      <c r="T52" s="74">
        <f t="shared" si="0"/>
        <v>0</v>
      </c>
      <c r="U52" s="74">
        <f t="shared" si="0"/>
        <v>0</v>
      </c>
      <c r="V52" s="74">
        <f t="shared" si="0"/>
        <v>0</v>
      </c>
      <c r="W52" s="74">
        <f t="shared" si="0"/>
        <v>0</v>
      </c>
      <c r="X52" s="74">
        <f t="shared" si="0"/>
        <v>0</v>
      </c>
      <c r="Y52" s="74">
        <f t="shared" si="0"/>
        <v>0</v>
      </c>
      <c r="Z52" s="74">
        <f t="shared" si="0"/>
        <v>0</v>
      </c>
      <c r="AA52" s="74">
        <f t="shared" si="0"/>
        <v>0</v>
      </c>
      <c r="AB52" s="74">
        <f t="shared" si="0"/>
        <v>0</v>
      </c>
      <c r="AC52" s="74">
        <f t="shared" si="0"/>
        <v>0</v>
      </c>
      <c r="AD52" s="74">
        <f t="shared" si="0"/>
        <v>0</v>
      </c>
      <c r="AE52" s="74">
        <f t="shared" si="0"/>
        <v>0</v>
      </c>
      <c r="AF52" s="74">
        <f t="shared" si="0"/>
        <v>0</v>
      </c>
      <c r="AG52" s="74">
        <f t="shared" si="0"/>
        <v>0</v>
      </c>
      <c r="AH52" s="74">
        <f t="shared" si="0"/>
        <v>0</v>
      </c>
      <c r="AI52" s="74">
        <f t="shared" si="0"/>
        <v>0</v>
      </c>
      <c r="AJ52" s="74">
        <f t="shared" si="0"/>
        <v>-151234.47</v>
      </c>
      <c r="AK52" s="74">
        <f t="shared" si="0"/>
        <v>0</v>
      </c>
      <c r="AL52" s="74">
        <f t="shared" si="0"/>
        <v>-30355.267457918759</v>
      </c>
      <c r="AM52" s="74">
        <f t="shared" si="0"/>
        <v>-26697.432583294256</v>
      </c>
      <c r="AN52" s="74">
        <f t="shared" si="0"/>
        <v>-8571.3485637136619</v>
      </c>
    </row>
    <row r="53" spans="2:40" x14ac:dyDescent="0.25">
      <c r="E53" s="105" t="str">
        <f>IFERROR(E52/E37,"")</f>
        <v/>
      </c>
      <c r="F53" s="105" t="str">
        <f t="shared" ref="F53:AN53" si="1">IFERROR(F52/F37,"")</f>
        <v/>
      </c>
      <c r="G53" s="105" t="str">
        <f t="shared" si="1"/>
        <v/>
      </c>
      <c r="H53" s="105" t="str">
        <f t="shared" si="1"/>
        <v/>
      </c>
      <c r="I53" s="105" t="str">
        <f t="shared" si="1"/>
        <v/>
      </c>
      <c r="J53" s="105" t="str">
        <f t="shared" si="1"/>
        <v/>
      </c>
      <c r="K53" s="105" t="str">
        <f t="shared" si="1"/>
        <v/>
      </c>
      <c r="L53" s="105" t="str">
        <f t="shared" si="1"/>
        <v/>
      </c>
      <c r="M53" s="105" t="str">
        <f t="shared" si="1"/>
        <v/>
      </c>
      <c r="N53" s="105" t="str">
        <f t="shared" si="1"/>
        <v/>
      </c>
      <c r="O53" s="105" t="str">
        <f t="shared" si="1"/>
        <v/>
      </c>
      <c r="P53" s="105" t="str">
        <f t="shared" si="1"/>
        <v/>
      </c>
      <c r="Q53" s="105" t="str">
        <f t="shared" si="1"/>
        <v/>
      </c>
      <c r="R53" s="105" t="str">
        <f t="shared" si="1"/>
        <v/>
      </c>
      <c r="S53" s="105" t="str">
        <f t="shared" si="1"/>
        <v/>
      </c>
      <c r="T53" s="105" t="str">
        <f t="shared" si="1"/>
        <v/>
      </c>
      <c r="U53" s="105" t="str">
        <f t="shared" si="1"/>
        <v/>
      </c>
      <c r="V53" s="105" t="str">
        <f t="shared" si="1"/>
        <v/>
      </c>
      <c r="W53" s="105" t="str">
        <f t="shared" si="1"/>
        <v/>
      </c>
      <c r="X53" s="105" t="str">
        <f t="shared" si="1"/>
        <v/>
      </c>
      <c r="Y53" s="105" t="str">
        <f t="shared" si="1"/>
        <v/>
      </c>
      <c r="Z53" s="105" t="str">
        <f t="shared" si="1"/>
        <v/>
      </c>
      <c r="AA53" s="105" t="str">
        <f t="shared" si="1"/>
        <v/>
      </c>
      <c r="AB53" s="105" t="str">
        <f t="shared" si="1"/>
        <v/>
      </c>
      <c r="AC53" s="105" t="str">
        <f t="shared" si="1"/>
        <v/>
      </c>
      <c r="AD53" s="105" t="str">
        <f t="shared" si="1"/>
        <v/>
      </c>
      <c r="AE53" s="105" t="str">
        <f t="shared" si="1"/>
        <v/>
      </c>
      <c r="AF53" s="105" t="str">
        <f t="shared" si="1"/>
        <v/>
      </c>
      <c r="AG53" s="105" t="str">
        <f t="shared" si="1"/>
        <v/>
      </c>
      <c r="AH53" s="105" t="str">
        <f t="shared" si="1"/>
        <v/>
      </c>
      <c r="AI53" s="105" t="str">
        <f t="shared" si="1"/>
        <v/>
      </c>
      <c r="AJ53" s="105" t="str">
        <f t="shared" si="1"/>
        <v/>
      </c>
      <c r="AK53" s="105" t="str">
        <f t="shared" si="1"/>
        <v/>
      </c>
      <c r="AL53" s="105">
        <f t="shared" si="1"/>
        <v>-0.42697232223330928</v>
      </c>
      <c r="AM53" s="105">
        <f t="shared" si="1"/>
        <v>-0.22491086752031797</v>
      </c>
      <c r="AN53" s="105">
        <f t="shared" si="1"/>
        <v>-5.1538281034677128E-2</v>
      </c>
    </row>
    <row r="55" spans="2:40" x14ac:dyDescent="0.25">
      <c r="B55" t="s">
        <v>57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1411000</v>
      </c>
      <c r="D55" s="12">
        <f>C55-SUM(_xlfn.ANCHORARRAY(E55))</f>
        <v>235166.66666666674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235166.66666666666</v>
      </c>
      <c r="AK55" s="12">
        <v>235166.66666666666</v>
      </c>
      <c r="AL55" s="12">
        <v>235166.66666666666</v>
      </c>
      <c r="AM55" s="12">
        <v>235166.66666666666</v>
      </c>
      <c r="AN55" s="12">
        <v>235166.66666666666</v>
      </c>
    </row>
    <row r="56" spans="2:40" x14ac:dyDescent="0.25">
      <c r="B56" t="s">
        <v>285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0</v>
      </c>
      <c r="F56" s="90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0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0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0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0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0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276</v>
      </c>
      <c r="E58" s="13">
        <f>E37-E50-E55+E56</f>
        <v>0</v>
      </c>
      <c r="F58" s="13">
        <f t="shared" ref="F58:AN58" si="2">F37-F50-F55+F56</f>
        <v>0</v>
      </c>
      <c r="G58" s="13">
        <f t="shared" si="2"/>
        <v>0</v>
      </c>
      <c r="H58" s="13">
        <f t="shared" si="2"/>
        <v>0</v>
      </c>
      <c r="I58" s="13">
        <f t="shared" si="2"/>
        <v>0</v>
      </c>
      <c r="J58" s="13">
        <f t="shared" si="2"/>
        <v>0</v>
      </c>
      <c r="K58" s="13">
        <f t="shared" si="2"/>
        <v>0</v>
      </c>
      <c r="L58" s="13">
        <f t="shared" si="2"/>
        <v>0</v>
      </c>
      <c r="M58" s="13">
        <f t="shared" si="2"/>
        <v>0</v>
      </c>
      <c r="N58" s="13">
        <f t="shared" si="2"/>
        <v>0</v>
      </c>
      <c r="O58" s="13">
        <f t="shared" si="2"/>
        <v>0</v>
      </c>
      <c r="P58" s="13">
        <f t="shared" si="2"/>
        <v>0</v>
      </c>
      <c r="Q58" s="13">
        <f t="shared" si="2"/>
        <v>0</v>
      </c>
      <c r="R58" s="13">
        <f t="shared" si="2"/>
        <v>0</v>
      </c>
      <c r="S58" s="13">
        <f t="shared" si="2"/>
        <v>0</v>
      </c>
      <c r="T58" s="13">
        <f t="shared" si="2"/>
        <v>0</v>
      </c>
      <c r="U58" s="13">
        <f t="shared" si="2"/>
        <v>0</v>
      </c>
      <c r="V58" s="13">
        <f t="shared" si="2"/>
        <v>0</v>
      </c>
      <c r="W58" s="13">
        <f t="shared" si="2"/>
        <v>0</v>
      </c>
      <c r="X58" s="13">
        <f t="shared" si="2"/>
        <v>0</v>
      </c>
      <c r="Y58" s="13">
        <f t="shared" si="2"/>
        <v>0</v>
      </c>
      <c r="Z58" s="13">
        <f t="shared" si="2"/>
        <v>0</v>
      </c>
      <c r="AA58" s="13">
        <f t="shared" si="2"/>
        <v>0</v>
      </c>
      <c r="AB58" s="13">
        <f t="shared" si="2"/>
        <v>0</v>
      </c>
      <c r="AC58" s="13">
        <f t="shared" si="2"/>
        <v>0</v>
      </c>
      <c r="AD58" s="13">
        <f t="shared" si="2"/>
        <v>0</v>
      </c>
      <c r="AE58" s="13">
        <f t="shared" si="2"/>
        <v>0</v>
      </c>
      <c r="AF58" s="13">
        <f t="shared" si="2"/>
        <v>0</v>
      </c>
      <c r="AG58" s="13">
        <f t="shared" si="2"/>
        <v>0</v>
      </c>
      <c r="AH58" s="13">
        <f t="shared" si="2"/>
        <v>0</v>
      </c>
      <c r="AI58" s="13">
        <f t="shared" si="2"/>
        <v>0</v>
      </c>
      <c r="AJ58" s="13">
        <f t="shared" si="2"/>
        <v>-386401.13666666666</v>
      </c>
      <c r="AK58" s="13">
        <f t="shared" si="2"/>
        <v>-235166.66666666666</v>
      </c>
      <c r="AL58" s="13">
        <f t="shared" si="2"/>
        <v>-265521.93412458542</v>
      </c>
      <c r="AM58" s="13">
        <f t="shared" si="2"/>
        <v>-261864.09924996091</v>
      </c>
      <c r="AN58" s="13">
        <f t="shared" si="2"/>
        <v>-243738.01523038032</v>
      </c>
    </row>
    <row r="59" spans="2:40" x14ac:dyDescent="0.25">
      <c r="B59" t="s">
        <v>277</v>
      </c>
      <c r="E59" s="12" cm="1">
        <f t="array" ref="E59:AN59">_xlfn.SCAN(-D55,E58:AN58,_xlfn.LAMBDA(_xlpm.capex,_xlpm.fcf,_xlpm.capex+_xlpm.fcf))</f>
        <v>-235166.66666666674</v>
      </c>
      <c r="F59" s="12">
        <v>-235166.66666666674</v>
      </c>
      <c r="G59" s="12">
        <v>-235166.66666666674</v>
      </c>
      <c r="H59" s="12">
        <v>-235166.66666666674</v>
      </c>
      <c r="I59" s="12">
        <v>-235166.66666666674</v>
      </c>
      <c r="J59" s="12">
        <v>-235166.66666666674</v>
      </c>
      <c r="K59" s="12">
        <v>-235166.66666666674</v>
      </c>
      <c r="L59" s="12">
        <v>-235166.66666666674</v>
      </c>
      <c r="M59" s="12">
        <v>-235166.66666666674</v>
      </c>
      <c r="N59" s="12">
        <v>-235166.66666666674</v>
      </c>
      <c r="O59" s="12">
        <v>-235166.66666666674</v>
      </c>
      <c r="P59" s="12">
        <v>-235166.66666666674</v>
      </c>
      <c r="Q59" s="12">
        <v>-235166.66666666674</v>
      </c>
      <c r="R59" s="12">
        <v>-235166.66666666674</v>
      </c>
      <c r="S59" s="12">
        <v>-235166.66666666674</v>
      </c>
      <c r="T59" s="12">
        <v>-235166.66666666674</v>
      </c>
      <c r="U59" s="12">
        <v>-235166.66666666674</v>
      </c>
      <c r="V59" s="12">
        <v>-235166.66666666674</v>
      </c>
      <c r="W59" s="12">
        <v>-235166.66666666674</v>
      </c>
      <c r="X59" s="12">
        <v>-235166.66666666674</v>
      </c>
      <c r="Y59" s="12">
        <v>-235166.66666666674</v>
      </c>
      <c r="Z59" s="12">
        <v>-235166.66666666674</v>
      </c>
      <c r="AA59" s="12">
        <v>-235166.66666666674</v>
      </c>
      <c r="AB59" s="12">
        <v>-235166.66666666674</v>
      </c>
      <c r="AC59" s="12">
        <v>-235166.66666666674</v>
      </c>
      <c r="AD59" s="12">
        <v>-235166.66666666674</v>
      </c>
      <c r="AE59" s="12">
        <v>-235166.66666666674</v>
      </c>
      <c r="AF59" s="12">
        <v>-235166.66666666674</v>
      </c>
      <c r="AG59" s="12">
        <v>-235166.66666666674</v>
      </c>
      <c r="AH59" s="12">
        <v>-235166.66666666674</v>
      </c>
      <c r="AI59" s="12">
        <v>-235166.66666666674</v>
      </c>
      <c r="AJ59" s="12">
        <v>-621567.80333333346</v>
      </c>
      <c r="AK59" s="12">
        <v>-856734.47000000009</v>
      </c>
      <c r="AL59" s="12">
        <v>-1122256.4041245854</v>
      </c>
      <c r="AM59" s="12">
        <v>-1384120.5033745463</v>
      </c>
      <c r="AN59" s="12">
        <v>-1627858.5186049265</v>
      </c>
    </row>
    <row r="61" spans="2:40" x14ac:dyDescent="0.25">
      <c r="B61" s="1" t="s">
        <v>302</v>
      </c>
    </row>
    <row r="63" spans="2:40" x14ac:dyDescent="0.25">
      <c r="B63" s="39" t="s">
        <v>103</v>
      </c>
      <c r="E63" s="12" cm="1">
        <f t="array" ref="E63:AN63">_xlfn.LET(_xlpm.site,$B$1&amp;"-"&amp;$C$1,_xlpm.locations,Base!$D$4:$BD$4,_xlpm.rates,Base!$D$36:$BD$36,_xlpm.hours,Base!$D$79:$BD$79,_xlpm.comp,_xlpm.rates*_xlpm.hours,_xlpm.Customer,_xlfn.ANCHORARRAY($E$1),
_xlpm.Customer_comp,_xlfn.XLOOKUP(_xlpm.site,_xlpm.locations,_xlpm.comp,0,0),_xlpm.ann_incr,_xlfn.XLOOKUP(YEAR(_xlfn.ANCHORARRAY($E$25)),Base!$BJ$4:$BL$4,Base!$BJ$79:$BL$79,0,0),
_xlpm.bad_debt,_xlfn.XLOOKUP(_xlpm.site,_xlpm.locations,Base!$D$28:$BD$28,0,0),_xlpm.Customer_comp*_xlpm.Customer*_xlpm.bad_debt*_xlpm.ann_incr*(52/12)*(1-$C$35))</f>
        <v>0</v>
      </c>
      <c r="F63" s="12">
        <v>0</v>
      </c>
      <c r="G63" s="12">
        <v>0</v>
      </c>
      <c r="H63" s="12">
        <v>0</v>
      </c>
      <c r="I63" s="12">
        <v>0</v>
      </c>
      <c r="J63" s="12">
        <v>0</v>
      </c>
      <c r="K63" s="12">
        <v>0</v>
      </c>
      <c r="L63" s="12">
        <v>0</v>
      </c>
      <c r="M63" s="12">
        <v>0</v>
      </c>
      <c r="N63" s="12">
        <v>0</v>
      </c>
      <c r="O63" s="12">
        <v>0</v>
      </c>
      <c r="P63" s="12">
        <v>0</v>
      </c>
      <c r="Q63" s="12">
        <v>0</v>
      </c>
      <c r="R63" s="12">
        <v>0</v>
      </c>
      <c r="S63" s="12">
        <v>0</v>
      </c>
      <c r="T63" s="12">
        <v>0</v>
      </c>
      <c r="U63" s="12">
        <v>0</v>
      </c>
      <c r="V63" s="12">
        <v>0</v>
      </c>
      <c r="W63" s="12">
        <v>0</v>
      </c>
      <c r="X63" s="12">
        <v>0</v>
      </c>
      <c r="Y63" s="12">
        <v>0</v>
      </c>
      <c r="Z63" s="12">
        <v>0</v>
      </c>
      <c r="AA63" s="12">
        <v>0</v>
      </c>
      <c r="AB63" s="12">
        <v>0</v>
      </c>
      <c r="AC63" s="12">
        <v>0</v>
      </c>
      <c r="AD63" s="12">
        <v>0</v>
      </c>
      <c r="AE63" s="12">
        <v>0</v>
      </c>
      <c r="AF63" s="12">
        <v>0</v>
      </c>
      <c r="AG63" s="12">
        <v>0</v>
      </c>
      <c r="AH63" s="12">
        <v>0</v>
      </c>
      <c r="AI63" s="12">
        <v>0</v>
      </c>
      <c r="AJ63" s="12">
        <v>0</v>
      </c>
      <c r="AK63" s="12">
        <v>0</v>
      </c>
      <c r="AL63" s="12">
        <v>2179.0924014745592</v>
      </c>
      <c r="AM63" s="12">
        <v>4358.1848029491184</v>
      </c>
      <c r="AN63" s="12">
        <v>6537.2772044236781</v>
      </c>
    </row>
    <row r="64" spans="2:40" x14ac:dyDescent="0.25">
      <c r="B64" s="39" t="s">
        <v>104</v>
      </c>
      <c r="E64" s="12" cm="1">
        <f t="array" ref="E64:AN64">_xlfn.LET(_xlpm.site,$B$1&amp;"-"&amp;$C$1,_xlpm.locations,Base!$D$4:$BD$4,_xlpm.rates,Base!$D$37:$BD$37,_xlpm.hours,Base!$D$80:$BD$80,_xlpm.comp,_xlpm.rates*_xlpm.hours,_xlpm.Customer,_xlfn.ANCHORARRAY($E$1),
_xlpm.Customer_comp,_xlfn.XLOOKUP(_xlpm.site,_xlpm.locations,_xlpm.comp,0,0),_xlpm.ann_incr,_xlfn.XLOOKUP(YEAR(_xlfn.ANCHORARRAY($E$25)),Base!$BJ$4:$BL$4,Base!$BJ$80:$BL$80,0,0),
_xlpm.bad_debt,_xlfn.XLOOKUP(_xlpm.site,_xlpm.locations,Base!$D$28:$BD$28,0,0),_xlpm.Customer_comp*_xlpm.Customer*_xlpm.bad_debt*_xlpm.ann_incr*(52/12)*(1-$C$35))</f>
        <v>0</v>
      </c>
      <c r="F64" s="12">
        <v>0</v>
      </c>
      <c r="G64" s="12">
        <v>0</v>
      </c>
      <c r="H64" s="12">
        <v>0</v>
      </c>
      <c r="I64" s="12">
        <v>0</v>
      </c>
      <c r="J64" s="12">
        <v>0</v>
      </c>
      <c r="K64" s="12">
        <v>0</v>
      </c>
      <c r="L64" s="12">
        <v>0</v>
      </c>
      <c r="M64" s="12">
        <v>0</v>
      </c>
      <c r="N64" s="12">
        <v>0</v>
      </c>
      <c r="O64" s="12">
        <v>0</v>
      </c>
      <c r="P64" s="12">
        <v>0</v>
      </c>
      <c r="Q64" s="12">
        <v>0</v>
      </c>
      <c r="R64" s="12">
        <v>0</v>
      </c>
      <c r="S64" s="12">
        <v>0</v>
      </c>
      <c r="T64" s="12">
        <v>0</v>
      </c>
      <c r="U64" s="12">
        <v>0</v>
      </c>
      <c r="V64" s="12">
        <v>0</v>
      </c>
      <c r="W64" s="12">
        <v>0</v>
      </c>
      <c r="X64" s="12">
        <v>0</v>
      </c>
      <c r="Y64" s="12">
        <v>0</v>
      </c>
      <c r="Z64" s="12">
        <v>0</v>
      </c>
      <c r="AA64" s="12">
        <v>0</v>
      </c>
      <c r="AB64" s="12">
        <v>0</v>
      </c>
      <c r="AC64" s="12">
        <v>0</v>
      </c>
      <c r="AD64" s="12">
        <v>0</v>
      </c>
      <c r="AE64" s="12">
        <v>0</v>
      </c>
      <c r="AF64" s="12">
        <v>0</v>
      </c>
      <c r="AG64" s="12">
        <v>0</v>
      </c>
      <c r="AH64" s="12">
        <v>0</v>
      </c>
      <c r="AI64" s="12">
        <v>0</v>
      </c>
      <c r="AJ64" s="12">
        <v>0</v>
      </c>
      <c r="AK64" s="12">
        <v>0</v>
      </c>
      <c r="AL64" s="12">
        <v>291.17026532352008</v>
      </c>
      <c r="AM64" s="12">
        <v>582.34053064704017</v>
      </c>
      <c r="AN64" s="12">
        <v>873.51079597056014</v>
      </c>
    </row>
    <row r="65" spans="2:40" x14ac:dyDescent="0.25">
      <c r="B65" s="39" t="s">
        <v>56</v>
      </c>
      <c r="E65" s="12" cm="1">
        <f t="array" ref="E65:AN65">_xlfn.LET(_xlpm.site,$B$1&amp;"-"&amp;$C$1,_xlpm.locations,Base!$D$4:$BD$4,_xlpm.rates,Base!$D$39:$BD$39,_xlpm.hours,Base!$D$82:$BD$82,_xlpm.comp,_xlpm.rates*_xlpm.hours,_xlpm.Customer,_xlfn.ANCHORARRAY($E$1),
_xlpm.Customer_comp,_xlfn.XLOOKUP(_xlpm.site,_xlpm.locations,_xlpm.comp,0,0),_xlpm.ann_incr,_xlfn.XLOOKUP(YEAR(_xlfn.ANCHORARRAY($E$25)),Base!$BJ$4:$BL$4,Base!$BJ$82:$BL$82,0,0),
_xlpm.bad_debt,_xlfn.XLOOKUP(_xlpm.site,_xlpm.locations,Base!$D$28:$BD$28,0,0),_xlpm.Customer_comp*_xlpm.Customer*_xlpm.bad_debt*_xlpm.ann_incr*(52/12)*(1-$C$35))</f>
        <v>0</v>
      </c>
      <c r="F65" s="12">
        <v>0</v>
      </c>
      <c r="G65" s="12">
        <v>0</v>
      </c>
      <c r="H65" s="12">
        <v>0</v>
      </c>
      <c r="I65" s="12">
        <v>0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  <c r="O65" s="12">
        <v>0</v>
      </c>
      <c r="P65" s="12">
        <v>0</v>
      </c>
      <c r="Q65" s="12">
        <v>0</v>
      </c>
      <c r="R65" s="12">
        <v>0</v>
      </c>
      <c r="S65" s="12">
        <v>0</v>
      </c>
      <c r="T65" s="12">
        <v>0</v>
      </c>
      <c r="U65" s="12">
        <v>0</v>
      </c>
      <c r="V65" s="12">
        <v>0</v>
      </c>
      <c r="W65" s="12">
        <v>0</v>
      </c>
      <c r="X65" s="12">
        <v>0</v>
      </c>
      <c r="Y65" s="12">
        <v>0</v>
      </c>
      <c r="Z65" s="12">
        <v>0</v>
      </c>
      <c r="AA65" s="12">
        <v>0</v>
      </c>
      <c r="AB65" s="12">
        <v>0</v>
      </c>
      <c r="AC65" s="12">
        <v>0</v>
      </c>
      <c r="AD65" s="12">
        <v>0</v>
      </c>
      <c r="AE65" s="12">
        <v>0</v>
      </c>
      <c r="AF65" s="12">
        <v>0</v>
      </c>
      <c r="AG65" s="12">
        <v>0</v>
      </c>
      <c r="AH65" s="12">
        <v>0</v>
      </c>
      <c r="AI65" s="12">
        <v>0</v>
      </c>
      <c r="AJ65" s="12">
        <v>0</v>
      </c>
      <c r="AK65" s="12">
        <v>0</v>
      </c>
      <c r="AL65" s="12">
        <v>1770.8074248550399</v>
      </c>
      <c r="AM65" s="12">
        <v>3541.6148497100799</v>
      </c>
      <c r="AN65" s="12">
        <v>5312.4222745651196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303</v>
      </c>
      <c r="C67" s="12"/>
      <c r="E67" s="13" cm="1">
        <f t="array" ref="E67:AN67">_xlfn.BYCOL(_xlfn.VSTACK(_xlfn.ANCHORARRAY($E$63),_xlfn.ANCHORARRAY($E$64),_xlfn.ANCHORARRAY($E$65)),_xlfn.LAMBDA(_xlpm.a,SUM(_xlpm.a)))</f>
        <v>0</v>
      </c>
      <c r="F67" s="13">
        <v>0</v>
      </c>
      <c r="G67" s="13">
        <v>0</v>
      </c>
      <c r="H67" s="13">
        <v>0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  <c r="W67" s="13">
        <v>0</v>
      </c>
      <c r="X67" s="13">
        <v>0</v>
      </c>
      <c r="Y67" s="13">
        <v>0</v>
      </c>
      <c r="Z67" s="13">
        <v>0</v>
      </c>
      <c r="AA67" s="13">
        <v>0</v>
      </c>
      <c r="AB67" s="13">
        <v>0</v>
      </c>
      <c r="AC67" s="13">
        <v>0</v>
      </c>
      <c r="AD67" s="13">
        <v>0</v>
      </c>
      <c r="AE67" s="13">
        <v>0</v>
      </c>
      <c r="AF67" s="13">
        <v>0</v>
      </c>
      <c r="AG67" s="13">
        <v>0</v>
      </c>
      <c r="AH67" s="13">
        <v>0</v>
      </c>
      <c r="AI67" s="13">
        <v>0</v>
      </c>
      <c r="AJ67" s="13">
        <v>0</v>
      </c>
      <c r="AK67" s="13">
        <v>0</v>
      </c>
      <c r="AL67" s="13">
        <v>4241.0700916531196</v>
      </c>
      <c r="AM67" s="13">
        <v>8482.1401833062391</v>
      </c>
      <c r="AN67" s="13">
        <v>12723.210274959358</v>
      </c>
    </row>
    <row r="68" spans="2:40" x14ac:dyDescent="0.25">
      <c r="B68" s="39"/>
      <c r="C68" s="12"/>
    </row>
    <row r="69" spans="2:40" x14ac:dyDescent="0.25">
      <c r="B69" s="39" t="s">
        <v>304</v>
      </c>
      <c r="C69" s="12"/>
      <c r="E69" s="106" cm="1">
        <f t="array" ref="E69:AN70">_xlfn.LET(_xlpm.Customer_staff,_xlfn._xlws.FILTER(Base!$D$96:$BD$97,ISNUMBER(SEARCH($B$1&amp;"-"&amp;$C$1,Base!$D$4:$BD$4))),_xlpm.Customer,_xlfn.ANCHORARRAY($E$1),_xlpm.headcount,_xlpm.Customer/_xlpm.Customer_staff,
_xlpm.rounding,_xlfn.VSTACK(0,0),IFERROR(ROUND(_xlpm.headcount,_xlpm.rounding),0))</f>
        <v>0</v>
      </c>
      <c r="F69" s="106">
        <v>0</v>
      </c>
      <c r="G69" s="106">
        <v>0</v>
      </c>
      <c r="H69" s="106">
        <v>0</v>
      </c>
      <c r="I69" s="106">
        <v>0</v>
      </c>
      <c r="J69" s="106">
        <v>0</v>
      </c>
      <c r="K69" s="106">
        <v>0</v>
      </c>
      <c r="L69" s="106">
        <v>0</v>
      </c>
      <c r="M69" s="106">
        <v>0</v>
      </c>
      <c r="N69" s="106">
        <v>0</v>
      </c>
      <c r="O69" s="106">
        <v>0</v>
      </c>
      <c r="P69" s="106">
        <v>0</v>
      </c>
      <c r="Q69" s="106">
        <v>0</v>
      </c>
      <c r="R69" s="106">
        <v>0</v>
      </c>
      <c r="S69" s="106">
        <v>0</v>
      </c>
      <c r="T69" s="106">
        <v>0</v>
      </c>
      <c r="U69" s="106">
        <v>0</v>
      </c>
      <c r="V69" s="106">
        <v>0</v>
      </c>
      <c r="W69" s="106">
        <v>0</v>
      </c>
      <c r="X69" s="106">
        <v>0</v>
      </c>
      <c r="Y69" s="106">
        <v>0</v>
      </c>
      <c r="Z69" s="106">
        <v>0</v>
      </c>
      <c r="AA69" s="106">
        <v>0</v>
      </c>
      <c r="AB69" s="106">
        <v>0</v>
      </c>
      <c r="AC69" s="106">
        <v>0</v>
      </c>
      <c r="AD69" s="106">
        <v>0</v>
      </c>
      <c r="AE69" s="106">
        <v>0</v>
      </c>
      <c r="AF69" s="106">
        <v>0</v>
      </c>
      <c r="AG69" s="106">
        <v>0</v>
      </c>
      <c r="AH69" s="106">
        <v>0</v>
      </c>
      <c r="AI69" s="106">
        <v>0</v>
      </c>
      <c r="AJ69" s="106">
        <v>0</v>
      </c>
      <c r="AK69" s="106">
        <v>0</v>
      </c>
      <c r="AL69" s="106">
        <v>0</v>
      </c>
      <c r="AM69" s="106">
        <v>0</v>
      </c>
      <c r="AN69" s="106">
        <v>0</v>
      </c>
    </row>
    <row r="70" spans="2:40" x14ac:dyDescent="0.25">
      <c r="B70" s="39" t="s">
        <v>305</v>
      </c>
      <c r="C70" s="12"/>
      <c r="E70" s="106">
        <v>0</v>
      </c>
      <c r="F70" s="106">
        <v>0</v>
      </c>
      <c r="G70" s="106">
        <v>0</v>
      </c>
      <c r="H70" s="106">
        <v>0</v>
      </c>
      <c r="I70" s="106">
        <v>0</v>
      </c>
      <c r="J70" s="106">
        <v>0</v>
      </c>
      <c r="K70" s="106">
        <v>0</v>
      </c>
      <c r="L70" s="106">
        <v>0</v>
      </c>
      <c r="M70" s="106">
        <v>0</v>
      </c>
      <c r="N70" s="106">
        <v>0</v>
      </c>
      <c r="O70" s="106">
        <v>0</v>
      </c>
      <c r="P70" s="106">
        <v>0</v>
      </c>
      <c r="Q70" s="106">
        <v>0</v>
      </c>
      <c r="R70" s="106">
        <v>0</v>
      </c>
      <c r="S70" s="106">
        <v>0</v>
      </c>
      <c r="T70" s="106">
        <v>0</v>
      </c>
      <c r="U70" s="106">
        <v>0</v>
      </c>
      <c r="V70" s="106">
        <v>0</v>
      </c>
      <c r="W70" s="106">
        <v>0</v>
      </c>
      <c r="X70" s="106">
        <v>0</v>
      </c>
      <c r="Y70" s="106">
        <v>0</v>
      </c>
      <c r="Z70" s="106">
        <v>0</v>
      </c>
      <c r="AA70" s="106">
        <v>0</v>
      </c>
      <c r="AB70" s="106">
        <v>0</v>
      </c>
      <c r="AC70" s="106">
        <v>0</v>
      </c>
      <c r="AD70" s="106">
        <v>0</v>
      </c>
      <c r="AE70" s="106">
        <v>0</v>
      </c>
      <c r="AF70" s="106">
        <v>0</v>
      </c>
      <c r="AG70" s="106">
        <v>0</v>
      </c>
      <c r="AH70" s="106">
        <v>0</v>
      </c>
      <c r="AI70" s="106">
        <v>0</v>
      </c>
      <c r="AJ70" s="106">
        <v>0</v>
      </c>
      <c r="AK70" s="106">
        <v>0</v>
      </c>
      <c r="AL70" s="106">
        <v>0</v>
      </c>
      <c r="AM70" s="106">
        <v>0</v>
      </c>
      <c r="AN70" s="106">
        <v>0</v>
      </c>
    </row>
    <row r="71" spans="2:40" x14ac:dyDescent="0.25">
      <c r="B71" s="39"/>
      <c r="C71" s="12"/>
    </row>
    <row r="72" spans="2:40" x14ac:dyDescent="0.25">
      <c r="B72" s="39" t="s">
        <v>23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0</v>
      </c>
      <c r="F72" s="12">
        <v>0</v>
      </c>
      <c r="G72" s="12">
        <v>0</v>
      </c>
      <c r="H72" s="12">
        <v>0</v>
      </c>
      <c r="I72" s="12">
        <v>0</v>
      </c>
      <c r="J72" s="12">
        <v>0</v>
      </c>
      <c r="K72" s="12">
        <v>0</v>
      </c>
      <c r="L72" s="12">
        <v>0</v>
      </c>
      <c r="M72" s="12">
        <v>0</v>
      </c>
      <c r="N72" s="12">
        <v>0</v>
      </c>
      <c r="O72" s="12">
        <v>0</v>
      </c>
      <c r="P72" s="12">
        <v>0</v>
      </c>
      <c r="Q72" s="12">
        <v>0</v>
      </c>
      <c r="R72" s="12">
        <v>0</v>
      </c>
      <c r="S72" s="12">
        <v>0</v>
      </c>
      <c r="T72" s="12">
        <v>0</v>
      </c>
      <c r="U72" s="12">
        <v>0</v>
      </c>
      <c r="V72" s="12">
        <v>0</v>
      </c>
      <c r="W72" s="12">
        <v>0</v>
      </c>
      <c r="X72" s="12">
        <v>0</v>
      </c>
      <c r="Y72" s="12">
        <v>0</v>
      </c>
      <c r="Z72" s="12">
        <v>0</v>
      </c>
      <c r="AA72" s="12">
        <v>0</v>
      </c>
      <c r="AB72" s="12">
        <v>0</v>
      </c>
      <c r="AC72" s="12">
        <v>0</v>
      </c>
      <c r="AD72" s="12">
        <v>0</v>
      </c>
      <c r="AE72" s="12">
        <v>0</v>
      </c>
      <c r="AF72" s="12">
        <v>0</v>
      </c>
      <c r="AG72" s="12">
        <v>0</v>
      </c>
      <c r="AH72" s="12">
        <v>0</v>
      </c>
      <c r="AI72" s="12">
        <v>0</v>
      </c>
      <c r="AJ72" s="12">
        <v>0</v>
      </c>
      <c r="AK72" s="12">
        <v>0</v>
      </c>
      <c r="AL72" s="12">
        <v>761.52099071064936</v>
      </c>
      <c r="AM72" s="12">
        <v>1523.0419814212987</v>
      </c>
      <c r="AN72" s="12">
        <v>2284.5629721319478</v>
      </c>
    </row>
    <row r="73" spans="2:40" x14ac:dyDescent="0.25">
      <c r="B73" s="39" t="s">
        <v>24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306</v>
      </c>
      <c r="E75" s="74" cm="1">
        <f t="array" ref="E75:AN75">_xlfn.ANCHORARRAY(E67)-_xlfn.ANCHORARRAY(E72)-_xlfn.ANCHORARRAY(E73)</f>
        <v>0</v>
      </c>
      <c r="F75" s="74">
        <v>0</v>
      </c>
      <c r="G75" s="74">
        <v>0</v>
      </c>
      <c r="H75" s="74">
        <v>0</v>
      </c>
      <c r="I75" s="74">
        <v>0</v>
      </c>
      <c r="J75" s="74">
        <v>0</v>
      </c>
      <c r="K75" s="74">
        <v>0</v>
      </c>
      <c r="L75" s="74">
        <v>0</v>
      </c>
      <c r="M75" s="74">
        <v>0</v>
      </c>
      <c r="N75" s="74">
        <v>0</v>
      </c>
      <c r="O75" s="74">
        <v>0</v>
      </c>
      <c r="P75" s="74">
        <v>0</v>
      </c>
      <c r="Q75" s="74">
        <v>0</v>
      </c>
      <c r="R75" s="74">
        <v>0</v>
      </c>
      <c r="S75" s="74">
        <v>0</v>
      </c>
      <c r="T75" s="74">
        <v>0</v>
      </c>
      <c r="U75" s="74">
        <v>0</v>
      </c>
      <c r="V75" s="74">
        <v>0</v>
      </c>
      <c r="W75" s="74">
        <v>0</v>
      </c>
      <c r="X75" s="74">
        <v>0</v>
      </c>
      <c r="Y75" s="74">
        <v>0</v>
      </c>
      <c r="Z75" s="74">
        <v>0</v>
      </c>
      <c r="AA75" s="74">
        <v>0</v>
      </c>
      <c r="AB75" s="74">
        <v>0</v>
      </c>
      <c r="AC75" s="74">
        <v>0</v>
      </c>
      <c r="AD75" s="74">
        <v>0</v>
      </c>
      <c r="AE75" s="74">
        <v>0</v>
      </c>
      <c r="AF75" s="74">
        <v>0</v>
      </c>
      <c r="AG75" s="74">
        <v>0</v>
      </c>
      <c r="AH75" s="74">
        <v>0</v>
      </c>
      <c r="AI75" s="74">
        <v>0</v>
      </c>
      <c r="AJ75" s="74">
        <v>0</v>
      </c>
      <c r="AK75" s="74">
        <v>0</v>
      </c>
      <c r="AL75" s="74">
        <v>3479.5491009424704</v>
      </c>
      <c r="AM75" s="74">
        <v>6959.0982018849409</v>
      </c>
      <c r="AN75" s="74">
        <v>10438.64730282741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654A1B-E5AB-4AB6-9A89-942CB5B9C36D}">
  <dimension ref="A1:AX75"/>
  <sheetViews>
    <sheetView workbookViewId="0">
      <pane xSplit="4" ySplit="25" topLeftCell="E26" activePane="bottomRight" state="frozen"/>
      <selection activeCell="E63" sqref="E63:E65"/>
      <selection pane="topRight" activeCell="E63" sqref="E63:E65"/>
      <selection pane="bottomLeft" activeCell="E63" sqref="E63:E65"/>
      <selection pane="bottomRight" activeCell="E63" sqref="E63:E65"/>
    </sheetView>
  </sheetViews>
  <sheetFormatPr defaultRowHeight="15" outlineLevelRow="1" x14ac:dyDescent="0.25"/>
  <cols>
    <col min="2" max="2" width="24.5703125" bestFit="1" customWidth="1"/>
    <col min="3" max="3" width="11.5703125" bestFit="1" customWidth="1"/>
    <col min="4" max="4" width="10" bestFit="1" customWidth="1"/>
    <col min="5" max="5" width="11.42578125" bestFit="1" customWidth="1"/>
    <col min="6" max="6" width="11.7109375" bestFit="1" customWidth="1"/>
    <col min="7" max="13" width="12.28515625" bestFit="1" customWidth="1"/>
    <col min="14" max="18" width="11.5703125" bestFit="1" customWidth="1"/>
    <col min="19" max="40" width="12.5703125" bestFit="1" customWidth="1"/>
  </cols>
  <sheetData>
    <row r="1" spans="1:40" x14ac:dyDescent="0.25">
      <c r="A1" s="96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>2028</v>
      </c>
      <c r="B1" s="58" t="s">
        <v>76</v>
      </c>
      <c r="C1" s="16" t="s">
        <v>61</v>
      </c>
      <c r="D1" s="3" t="s">
        <v>307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IFERROR(_xlpm.kiddos,0))</f>
        <v>0</v>
      </c>
      <c r="F1" s="69">
        <v>0</v>
      </c>
      <c r="G1" s="69">
        <v>0</v>
      </c>
      <c r="H1" s="69">
        <v>0</v>
      </c>
      <c r="I1" s="69">
        <v>0</v>
      </c>
      <c r="J1" s="69">
        <v>0</v>
      </c>
      <c r="K1" s="69">
        <v>0</v>
      </c>
      <c r="L1" s="69">
        <v>0</v>
      </c>
      <c r="M1" s="69">
        <v>0</v>
      </c>
      <c r="N1" s="69">
        <v>0</v>
      </c>
      <c r="O1" s="69">
        <v>0</v>
      </c>
      <c r="P1" s="69">
        <v>0</v>
      </c>
      <c r="Q1" s="69">
        <v>0</v>
      </c>
      <c r="R1" s="69">
        <v>0</v>
      </c>
      <c r="S1" s="69">
        <v>0</v>
      </c>
      <c r="T1" s="69">
        <v>0</v>
      </c>
      <c r="U1" s="69">
        <v>0</v>
      </c>
      <c r="V1" s="69">
        <v>0</v>
      </c>
      <c r="W1" s="69">
        <v>0</v>
      </c>
      <c r="X1" s="69">
        <v>0</v>
      </c>
      <c r="Y1" s="69">
        <v>0</v>
      </c>
      <c r="Z1" s="69">
        <v>0</v>
      </c>
      <c r="AA1" s="69">
        <v>0</v>
      </c>
      <c r="AB1" s="69">
        <v>0</v>
      </c>
      <c r="AC1" s="69">
        <v>0</v>
      </c>
      <c r="AD1" s="69">
        <v>0</v>
      </c>
      <c r="AE1" s="69">
        <v>0</v>
      </c>
      <c r="AF1" s="69">
        <v>0</v>
      </c>
      <c r="AG1" s="69">
        <v>0</v>
      </c>
      <c r="AH1" s="69">
        <v>0</v>
      </c>
      <c r="AI1" s="69">
        <v>0</v>
      </c>
      <c r="AJ1" s="69">
        <v>0</v>
      </c>
      <c r="AK1" s="69">
        <v>0</v>
      </c>
      <c r="AL1" s="69">
        <v>0</v>
      </c>
      <c r="AM1" s="69">
        <v>3</v>
      </c>
      <c r="AN1" s="69">
        <v>6</v>
      </c>
    </row>
    <row r="2" spans="1:40" x14ac:dyDescent="0.25">
      <c r="A2" s="65"/>
      <c r="B2" s="3" t="str">
        <f>_xlfn.XLOOKUP($B$1&amp;"-"&amp;$C$1,Base!$D$4:$BD$4,Base!$D$2:$BD$2,"",0)</f>
        <v>New Jersey</v>
      </c>
      <c r="C2" s="55"/>
      <c r="D2" s="55" t="s">
        <v>259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0</v>
      </c>
      <c r="F2" s="69">
        <v>0</v>
      </c>
      <c r="G2" s="69">
        <v>0</v>
      </c>
      <c r="H2" s="69">
        <v>0</v>
      </c>
      <c r="I2" s="69">
        <v>0</v>
      </c>
      <c r="J2" s="69">
        <v>0</v>
      </c>
      <c r="K2" s="69">
        <v>0</v>
      </c>
      <c r="L2" s="69">
        <v>0</v>
      </c>
      <c r="M2" s="69">
        <v>0</v>
      </c>
      <c r="N2" s="69">
        <v>0</v>
      </c>
      <c r="O2" s="69">
        <v>0</v>
      </c>
      <c r="P2" s="69">
        <v>0</v>
      </c>
      <c r="Q2" s="69">
        <v>0</v>
      </c>
      <c r="R2" s="69">
        <v>0</v>
      </c>
      <c r="S2" s="69">
        <v>0</v>
      </c>
      <c r="T2" s="69">
        <v>0</v>
      </c>
      <c r="U2" s="69">
        <v>0</v>
      </c>
      <c r="V2" s="69">
        <v>0</v>
      </c>
      <c r="W2" s="69">
        <v>0</v>
      </c>
      <c r="X2" s="69">
        <v>0</v>
      </c>
      <c r="Y2" s="69">
        <v>0</v>
      </c>
      <c r="Z2" s="69">
        <v>0</v>
      </c>
      <c r="AA2" s="69">
        <v>0</v>
      </c>
      <c r="AB2" s="69">
        <v>0</v>
      </c>
      <c r="AC2" s="69">
        <v>0</v>
      </c>
      <c r="AD2" s="69">
        <v>0</v>
      </c>
      <c r="AE2" s="69">
        <v>0</v>
      </c>
      <c r="AF2" s="69">
        <v>0</v>
      </c>
      <c r="AG2" s="69">
        <v>0</v>
      </c>
      <c r="AH2" s="69">
        <v>0</v>
      </c>
      <c r="AI2" s="69">
        <v>0</v>
      </c>
      <c r="AJ2" s="69">
        <v>0</v>
      </c>
      <c r="AK2" s="69">
        <v>0</v>
      </c>
      <c r="AL2" s="69">
        <v>0</v>
      </c>
      <c r="AM2" s="69">
        <v>0</v>
      </c>
      <c r="AN2" s="69">
        <v>3.1666666666666665</v>
      </c>
    </row>
    <row r="3" spans="1:40" x14ac:dyDescent="0.25">
      <c r="A3" s="65"/>
      <c r="B3" s="55"/>
      <c r="C3" s="55"/>
      <c r="D3" s="55" t="s">
        <v>62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_xlpm.months_since,DATEDIF(_xlpm.launchdate,_xlfn.ANCHORARRAY($E$25),"m"),_xlfn.BYCOL(_xlpm.months_since,_xlfn.LAMBDA(_xlpm.a,IFERROR(MIN(_xlpm.a/6,_xlpm.max_kiddos),0))))</f>
        <v>0</v>
      </c>
      <c r="F3" s="69">
        <v>0</v>
      </c>
      <c r="G3" s="69">
        <v>0</v>
      </c>
      <c r="H3" s="69">
        <v>0</v>
      </c>
      <c r="I3" s="69">
        <v>0</v>
      </c>
      <c r="J3" s="69">
        <v>0</v>
      </c>
      <c r="K3" s="69">
        <v>0</v>
      </c>
      <c r="L3" s="69">
        <v>0</v>
      </c>
      <c r="M3" s="69">
        <v>0</v>
      </c>
      <c r="N3" s="69">
        <v>0</v>
      </c>
      <c r="O3" s="69">
        <v>0</v>
      </c>
      <c r="P3" s="69">
        <v>0</v>
      </c>
      <c r="Q3" s="69">
        <v>0</v>
      </c>
      <c r="R3" s="69">
        <v>0</v>
      </c>
      <c r="S3" s="69">
        <v>0</v>
      </c>
      <c r="T3" s="69">
        <v>0</v>
      </c>
      <c r="U3" s="69">
        <v>0</v>
      </c>
      <c r="V3" s="69">
        <v>0</v>
      </c>
      <c r="W3" s="69">
        <v>0</v>
      </c>
      <c r="X3" s="69">
        <v>0</v>
      </c>
      <c r="Y3" s="69">
        <v>0</v>
      </c>
      <c r="Z3" s="69">
        <v>0</v>
      </c>
      <c r="AA3" s="69">
        <v>0</v>
      </c>
      <c r="AB3" s="69">
        <v>0</v>
      </c>
      <c r="AC3" s="69">
        <v>0</v>
      </c>
      <c r="AD3" s="69">
        <v>0</v>
      </c>
      <c r="AE3" s="69">
        <v>0</v>
      </c>
      <c r="AF3" s="69">
        <v>0</v>
      </c>
      <c r="AG3" s="69">
        <v>0</v>
      </c>
      <c r="AH3" s="69">
        <v>0</v>
      </c>
      <c r="AI3" s="69">
        <v>0</v>
      </c>
      <c r="AJ3" s="69">
        <v>0</v>
      </c>
      <c r="AK3" s="69">
        <v>0</v>
      </c>
      <c r="AL3" s="69">
        <v>0</v>
      </c>
      <c r="AM3" s="69">
        <v>0</v>
      </c>
      <c r="AN3" s="69">
        <v>0.16666666666666666</v>
      </c>
    </row>
    <row r="4" spans="1:40" x14ac:dyDescent="0.25">
      <c r="A4" s="65"/>
      <c r="B4" s="55"/>
      <c r="C4" s="55"/>
      <c r="D4" s="55" t="s">
        <v>260</v>
      </c>
      <c r="E4" s="69" cm="1">
        <f t="array" ref="E4:AN4">_xlfn.BYCOL(_xlfn.VSTACK(_xlfn.ANCHORARRAY($E$1),_xlfn.ANCHORARRAY($E$2)),_xlfn.LAMBDA(_xlpm.a,SUM(_xlpm.a)))</f>
        <v>0</v>
      </c>
      <c r="F4" s="69">
        <v>0</v>
      </c>
      <c r="G4" s="69">
        <v>0</v>
      </c>
      <c r="H4" s="69">
        <v>0</v>
      </c>
      <c r="I4" s="69">
        <v>0</v>
      </c>
      <c r="J4" s="69">
        <v>0</v>
      </c>
      <c r="K4" s="69">
        <v>0</v>
      </c>
      <c r="L4" s="69">
        <v>0</v>
      </c>
      <c r="M4" s="69">
        <v>0</v>
      </c>
      <c r="N4" s="69">
        <v>0</v>
      </c>
      <c r="O4" s="69">
        <v>0</v>
      </c>
      <c r="P4" s="69">
        <v>0</v>
      </c>
      <c r="Q4" s="69">
        <v>0</v>
      </c>
      <c r="R4" s="69">
        <v>0</v>
      </c>
      <c r="S4" s="69">
        <v>0</v>
      </c>
      <c r="T4" s="69">
        <v>0</v>
      </c>
      <c r="U4" s="69">
        <v>0</v>
      </c>
      <c r="V4" s="69">
        <v>0</v>
      </c>
      <c r="W4" s="69">
        <v>0</v>
      </c>
      <c r="X4" s="69">
        <v>0</v>
      </c>
      <c r="Y4" s="69">
        <v>0</v>
      </c>
      <c r="Z4" s="69">
        <v>0</v>
      </c>
      <c r="AA4" s="69">
        <v>0</v>
      </c>
      <c r="AB4" s="69">
        <v>0</v>
      </c>
      <c r="AC4" s="69">
        <v>0</v>
      </c>
      <c r="AD4" s="69">
        <v>0</v>
      </c>
      <c r="AE4" s="69">
        <v>0</v>
      </c>
      <c r="AF4" s="69">
        <v>0</v>
      </c>
      <c r="AG4" s="69">
        <v>0</v>
      </c>
      <c r="AH4" s="69">
        <v>0</v>
      </c>
      <c r="AI4" s="69">
        <v>0</v>
      </c>
      <c r="AJ4" s="69">
        <v>0</v>
      </c>
      <c r="AK4" s="69">
        <v>0</v>
      </c>
      <c r="AL4" s="69">
        <v>0</v>
      </c>
      <c r="AM4" s="69">
        <v>3</v>
      </c>
      <c r="AN4" s="69">
        <v>9.1666666666666661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107</v>
      </c>
      <c r="C6" s="3"/>
      <c r="D6" s="3"/>
      <c r="E6" s="66" cm="1">
        <f t="array" ref="E6:AN6">ROUND(_xlfn.BYCOL(_xlfn.ANCHORARRAY(E7),_xlfn.LAMBDA(_xlpm.a,SUM(_xlpm.a))),0)</f>
        <v>0</v>
      </c>
      <c r="F6" s="66">
        <v>0</v>
      </c>
      <c r="G6" s="66">
        <v>0</v>
      </c>
      <c r="H6" s="66">
        <v>0</v>
      </c>
      <c r="I6" s="66">
        <v>0</v>
      </c>
      <c r="J6" s="66">
        <v>0</v>
      </c>
      <c r="K6" s="66">
        <v>0</v>
      </c>
      <c r="L6" s="66">
        <v>0</v>
      </c>
      <c r="M6" s="66">
        <v>0</v>
      </c>
      <c r="N6" s="66">
        <v>0</v>
      </c>
      <c r="O6" s="66">
        <v>0</v>
      </c>
      <c r="P6" s="66">
        <v>0</v>
      </c>
      <c r="Q6" s="66">
        <v>0</v>
      </c>
      <c r="R6" s="66">
        <v>0</v>
      </c>
      <c r="S6" s="66">
        <v>0</v>
      </c>
      <c r="T6" s="66">
        <v>0</v>
      </c>
      <c r="U6" s="66">
        <v>0</v>
      </c>
      <c r="V6" s="66">
        <v>0</v>
      </c>
      <c r="W6" s="66">
        <v>0</v>
      </c>
      <c r="X6" s="66">
        <v>0</v>
      </c>
      <c r="Y6" s="66">
        <v>0</v>
      </c>
      <c r="Z6" s="66">
        <v>0</v>
      </c>
      <c r="AA6" s="66">
        <v>0</v>
      </c>
      <c r="AB6" s="66">
        <v>0</v>
      </c>
      <c r="AC6" s="66">
        <v>0</v>
      </c>
      <c r="AD6" s="66">
        <v>0</v>
      </c>
      <c r="AE6" s="66">
        <v>0</v>
      </c>
      <c r="AF6" s="66">
        <v>0</v>
      </c>
      <c r="AG6" s="66">
        <v>0</v>
      </c>
      <c r="AH6" s="66">
        <v>0</v>
      </c>
      <c r="AI6" s="66">
        <v>0</v>
      </c>
      <c r="AJ6" s="66">
        <v>0</v>
      </c>
      <c r="AK6" s="66">
        <v>0</v>
      </c>
      <c r="AL6" s="66">
        <v>0</v>
      </c>
      <c r="AM6" s="66">
        <v>6</v>
      </c>
      <c r="AN6" s="66">
        <v>11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1"/>
      <c r="E7" s="106" cm="1">
        <f t="array" ref="E7:AN20">_xlfn.LET(_xlpm.Customer_staff,_xlfn._xlws.FILTER(Base!$D$85:$BD$98,ISNUMBER(SEARCH($B$1&amp;"-"&amp;$C$1,Base!$D$4:$BD$4))),_xlpm.Customer,_xlfn.ANCHORARRAY($E$1),_xlpm.headcount,_xlpm.Customer/_xlpm.Customer_staff,
_xlpm.patient_staff,_xlfn.ANCHORARRAY($E$2)/_xlpm.Customer_staff,_xlpm.prim_staff_tr_rec,_xlfn.ANCHORARRAY($E$2)/_xlfn.CHOOSEROWS(_xlpm.Customer_staff,{7,8})+(_xlfn.ANCHORARRAY($E$1)*0.0055),_xlpm.rounding,_xlfn.VSTACK(2,2,0,0,2,2,2,2,2,2,2,0,0,0),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prim_staff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0</v>
      </c>
      <c r="F7" s="106">
        <v>0</v>
      </c>
      <c r="G7" s="106">
        <v>0</v>
      </c>
      <c r="H7" s="106">
        <v>0</v>
      </c>
      <c r="I7" s="106">
        <v>0</v>
      </c>
      <c r="J7" s="106">
        <v>0</v>
      </c>
      <c r="K7" s="106">
        <v>0</v>
      </c>
      <c r="L7" s="106">
        <v>0</v>
      </c>
      <c r="M7" s="106">
        <v>0</v>
      </c>
      <c r="N7" s="106">
        <v>0</v>
      </c>
      <c r="O7" s="106">
        <v>0</v>
      </c>
      <c r="P7" s="106">
        <v>0</v>
      </c>
      <c r="Q7" s="106">
        <v>0</v>
      </c>
      <c r="R7" s="106">
        <v>0</v>
      </c>
      <c r="S7" s="106">
        <v>0</v>
      </c>
      <c r="T7" s="106">
        <v>0</v>
      </c>
      <c r="U7" s="106">
        <v>0</v>
      </c>
      <c r="V7" s="106">
        <v>0</v>
      </c>
      <c r="W7" s="106">
        <v>0</v>
      </c>
      <c r="X7" s="106">
        <v>0</v>
      </c>
      <c r="Y7" s="106">
        <v>0</v>
      </c>
      <c r="Z7" s="106">
        <v>0</v>
      </c>
      <c r="AA7" s="106">
        <v>0</v>
      </c>
      <c r="AB7" s="106">
        <v>0</v>
      </c>
      <c r="AC7" s="106">
        <v>0</v>
      </c>
      <c r="AD7" s="106">
        <v>0</v>
      </c>
      <c r="AE7" s="106">
        <v>0</v>
      </c>
      <c r="AF7" s="106">
        <v>0</v>
      </c>
      <c r="AG7" s="106">
        <v>0</v>
      </c>
      <c r="AH7" s="106">
        <v>0</v>
      </c>
      <c r="AI7" s="106">
        <v>0</v>
      </c>
      <c r="AJ7" s="106">
        <v>0</v>
      </c>
      <c r="AK7" s="106">
        <v>0</v>
      </c>
      <c r="AL7" s="106">
        <v>0</v>
      </c>
      <c r="AM7" s="106">
        <v>2.8299999999999996</v>
      </c>
      <c r="AN7" s="106">
        <v>5.6499999999999995</v>
      </c>
    </row>
    <row r="8" spans="1:40" hidden="1" outlineLevel="1" x14ac:dyDescent="0.25">
      <c r="B8" s="39" t="str">
        <v>Secondary Direct Staff</v>
      </c>
      <c r="C8" s="3"/>
      <c r="D8" s="3"/>
      <c r="E8" s="106">
        <v>0</v>
      </c>
      <c r="F8" s="106">
        <v>0</v>
      </c>
      <c r="G8" s="106">
        <v>0</v>
      </c>
      <c r="H8" s="106">
        <v>0</v>
      </c>
      <c r="I8" s="106">
        <v>0</v>
      </c>
      <c r="J8" s="106">
        <v>0</v>
      </c>
      <c r="K8" s="106">
        <v>0</v>
      </c>
      <c r="L8" s="106">
        <v>0</v>
      </c>
      <c r="M8" s="106">
        <v>0</v>
      </c>
      <c r="N8" s="106">
        <v>0</v>
      </c>
      <c r="O8" s="106">
        <v>0</v>
      </c>
      <c r="P8" s="106">
        <v>0</v>
      </c>
      <c r="Q8" s="106">
        <v>0</v>
      </c>
      <c r="R8" s="106">
        <v>0</v>
      </c>
      <c r="S8" s="106">
        <v>0</v>
      </c>
      <c r="T8" s="106">
        <v>0</v>
      </c>
      <c r="U8" s="106">
        <v>0</v>
      </c>
      <c r="V8" s="106">
        <v>0</v>
      </c>
      <c r="W8" s="106">
        <v>0</v>
      </c>
      <c r="X8" s="106">
        <v>0</v>
      </c>
      <c r="Y8" s="106">
        <v>0</v>
      </c>
      <c r="Z8" s="106">
        <v>0</v>
      </c>
      <c r="AA8" s="106">
        <v>0</v>
      </c>
      <c r="AB8" s="106">
        <v>0</v>
      </c>
      <c r="AC8" s="106">
        <v>0</v>
      </c>
      <c r="AD8" s="106">
        <v>0</v>
      </c>
      <c r="AE8" s="106">
        <v>0</v>
      </c>
      <c r="AF8" s="106">
        <v>0</v>
      </c>
      <c r="AG8" s="106">
        <v>0</v>
      </c>
      <c r="AH8" s="106">
        <v>0</v>
      </c>
      <c r="AI8" s="106">
        <v>0</v>
      </c>
      <c r="AJ8" s="106">
        <v>0</v>
      </c>
      <c r="AK8" s="106">
        <v>0</v>
      </c>
      <c r="AL8" s="106">
        <v>0</v>
      </c>
      <c r="AM8" s="106">
        <v>0.43</v>
      </c>
      <c r="AN8" s="106">
        <v>0.86</v>
      </c>
    </row>
    <row r="9" spans="1:40" hidden="1" outlineLevel="1" x14ac:dyDescent="0.25">
      <c r="B9" s="39" t="str">
        <v>Center Manager</v>
      </c>
      <c r="C9" s="3"/>
      <c r="D9" s="3"/>
      <c r="E9" s="106">
        <v>0</v>
      </c>
      <c r="F9" s="106">
        <v>0</v>
      </c>
      <c r="G9" s="106">
        <v>0</v>
      </c>
      <c r="H9" s="106">
        <v>0</v>
      </c>
      <c r="I9" s="106">
        <v>0</v>
      </c>
      <c r="J9" s="106">
        <v>0</v>
      </c>
      <c r="K9" s="106">
        <v>0</v>
      </c>
      <c r="L9" s="106">
        <v>0</v>
      </c>
      <c r="M9" s="106">
        <v>0</v>
      </c>
      <c r="N9" s="106">
        <v>0</v>
      </c>
      <c r="O9" s="106">
        <v>0</v>
      </c>
      <c r="P9" s="106">
        <v>0</v>
      </c>
      <c r="Q9" s="106">
        <v>0</v>
      </c>
      <c r="R9" s="106">
        <v>0</v>
      </c>
      <c r="S9" s="106">
        <v>0</v>
      </c>
      <c r="T9" s="106">
        <v>0</v>
      </c>
      <c r="U9" s="106">
        <v>0</v>
      </c>
      <c r="V9" s="106">
        <v>0</v>
      </c>
      <c r="W9" s="106">
        <v>0</v>
      </c>
      <c r="X9" s="106">
        <v>0</v>
      </c>
      <c r="Y9" s="106">
        <v>0</v>
      </c>
      <c r="Z9" s="106">
        <v>0</v>
      </c>
      <c r="AA9" s="106">
        <v>0</v>
      </c>
      <c r="AB9" s="106">
        <v>0</v>
      </c>
      <c r="AC9" s="106">
        <v>0</v>
      </c>
      <c r="AD9" s="106">
        <v>0</v>
      </c>
      <c r="AE9" s="106">
        <v>0</v>
      </c>
      <c r="AF9" s="106">
        <v>0</v>
      </c>
      <c r="AG9" s="106">
        <v>0</v>
      </c>
      <c r="AH9" s="106">
        <v>0</v>
      </c>
      <c r="AI9" s="106">
        <v>0</v>
      </c>
      <c r="AJ9" s="106">
        <v>0</v>
      </c>
      <c r="AK9" s="106">
        <v>0</v>
      </c>
      <c r="AL9" s="106">
        <v>0</v>
      </c>
      <c r="AM9" s="106">
        <v>1</v>
      </c>
      <c r="AN9" s="106">
        <v>1</v>
      </c>
    </row>
    <row r="10" spans="1:40" hidden="1" outlineLevel="1" x14ac:dyDescent="0.25">
      <c r="B10" s="39" t="str">
        <v>Intake</v>
      </c>
      <c r="C10" s="3"/>
      <c r="D10" s="3"/>
      <c r="E10" s="106">
        <v>0</v>
      </c>
      <c r="F10" s="106">
        <v>0</v>
      </c>
      <c r="G10" s="106">
        <v>0</v>
      </c>
      <c r="H10" s="106">
        <v>0</v>
      </c>
      <c r="I10" s="106">
        <v>0</v>
      </c>
      <c r="J10" s="106">
        <v>0</v>
      </c>
      <c r="K10" s="106">
        <v>0</v>
      </c>
      <c r="L10" s="106">
        <v>0</v>
      </c>
      <c r="M10" s="106">
        <v>0</v>
      </c>
      <c r="N10" s="106">
        <v>0</v>
      </c>
      <c r="O10" s="106">
        <v>0</v>
      </c>
      <c r="P10" s="106">
        <v>0</v>
      </c>
      <c r="Q10" s="106">
        <v>0</v>
      </c>
      <c r="R10" s="106">
        <v>0</v>
      </c>
      <c r="S10" s="106">
        <v>0</v>
      </c>
      <c r="T10" s="106">
        <v>0</v>
      </c>
      <c r="U10" s="106">
        <v>0</v>
      </c>
      <c r="V10" s="106">
        <v>0</v>
      </c>
      <c r="W10" s="106">
        <v>0</v>
      </c>
      <c r="X10" s="106">
        <v>0</v>
      </c>
      <c r="Y10" s="106">
        <v>0</v>
      </c>
      <c r="Z10" s="106">
        <v>0</v>
      </c>
      <c r="AA10" s="106">
        <v>0</v>
      </c>
      <c r="AB10" s="106">
        <v>0</v>
      </c>
      <c r="AC10" s="106">
        <v>0</v>
      </c>
      <c r="AD10" s="106">
        <v>0</v>
      </c>
      <c r="AE10" s="106">
        <v>0</v>
      </c>
      <c r="AF10" s="106">
        <v>0</v>
      </c>
      <c r="AG10" s="106">
        <v>0</v>
      </c>
      <c r="AH10" s="106">
        <v>0</v>
      </c>
      <c r="AI10" s="106">
        <v>0</v>
      </c>
      <c r="AJ10" s="106">
        <v>0</v>
      </c>
      <c r="AK10" s="106">
        <v>0</v>
      </c>
      <c r="AL10" s="106">
        <v>0</v>
      </c>
      <c r="AM10" s="106">
        <v>0</v>
      </c>
      <c r="AN10" s="106">
        <v>1</v>
      </c>
    </row>
    <row r="11" spans="1:40" hidden="1" outlineLevel="1" x14ac:dyDescent="0.25">
      <c r="B11" s="39" t="str">
        <v>Scheduler</v>
      </c>
      <c r="C11" s="3"/>
      <c r="D11" s="3"/>
      <c r="E11" s="106">
        <v>0</v>
      </c>
      <c r="F11" s="106">
        <v>0</v>
      </c>
      <c r="G11" s="106">
        <v>0</v>
      </c>
      <c r="H11" s="106">
        <v>0</v>
      </c>
      <c r="I11" s="106">
        <v>0</v>
      </c>
      <c r="J11" s="106">
        <v>0</v>
      </c>
      <c r="K11" s="106">
        <v>0</v>
      </c>
      <c r="L11" s="106">
        <v>0</v>
      </c>
      <c r="M11" s="106">
        <v>0</v>
      </c>
      <c r="N11" s="106">
        <v>0</v>
      </c>
      <c r="O11" s="106">
        <v>0</v>
      </c>
      <c r="P11" s="106">
        <v>0</v>
      </c>
      <c r="Q11" s="106">
        <v>0</v>
      </c>
      <c r="R11" s="106">
        <v>0</v>
      </c>
      <c r="S11" s="106">
        <v>0</v>
      </c>
      <c r="T11" s="106">
        <v>0</v>
      </c>
      <c r="U11" s="106">
        <v>0</v>
      </c>
      <c r="V11" s="106">
        <v>0</v>
      </c>
      <c r="W11" s="106">
        <v>0</v>
      </c>
      <c r="X11" s="106">
        <v>0</v>
      </c>
      <c r="Y11" s="106">
        <v>0</v>
      </c>
      <c r="Z11" s="106">
        <v>0</v>
      </c>
      <c r="AA11" s="106">
        <v>0</v>
      </c>
      <c r="AB11" s="106">
        <v>0</v>
      </c>
      <c r="AC11" s="106">
        <v>0</v>
      </c>
      <c r="AD11" s="106">
        <v>0</v>
      </c>
      <c r="AE11" s="106">
        <v>0</v>
      </c>
      <c r="AF11" s="106">
        <v>0</v>
      </c>
      <c r="AG11" s="106">
        <v>0</v>
      </c>
      <c r="AH11" s="106">
        <v>0</v>
      </c>
      <c r="AI11" s="106">
        <v>0</v>
      </c>
      <c r="AJ11" s="106">
        <v>0</v>
      </c>
      <c r="AK11" s="106">
        <v>0</v>
      </c>
      <c r="AL11" s="106">
        <v>0</v>
      </c>
      <c r="AM11" s="106">
        <v>0</v>
      </c>
      <c r="AN11" s="106">
        <v>0</v>
      </c>
    </row>
    <row r="12" spans="1:40" hidden="1" outlineLevel="1" x14ac:dyDescent="0.25">
      <c r="B12" s="39" t="str">
        <v>Initial Consultation Expert</v>
      </c>
      <c r="C12" s="3"/>
      <c r="D12" s="3"/>
      <c r="E12" s="106">
        <v>0</v>
      </c>
      <c r="F12" s="106">
        <v>0</v>
      </c>
      <c r="G12" s="106">
        <v>0</v>
      </c>
      <c r="H12" s="106">
        <v>0</v>
      </c>
      <c r="I12" s="106">
        <v>0</v>
      </c>
      <c r="J12" s="106">
        <v>0</v>
      </c>
      <c r="K12" s="106">
        <v>0</v>
      </c>
      <c r="L12" s="106">
        <v>0</v>
      </c>
      <c r="M12" s="106">
        <v>0</v>
      </c>
      <c r="N12" s="106">
        <v>0</v>
      </c>
      <c r="O12" s="106">
        <v>0</v>
      </c>
      <c r="P12" s="106">
        <v>0</v>
      </c>
      <c r="Q12" s="106">
        <v>0</v>
      </c>
      <c r="R12" s="106">
        <v>0</v>
      </c>
      <c r="S12" s="106">
        <v>0</v>
      </c>
      <c r="T12" s="106">
        <v>0</v>
      </c>
      <c r="U12" s="106">
        <v>0</v>
      </c>
      <c r="V12" s="106">
        <v>0</v>
      </c>
      <c r="W12" s="106">
        <v>0</v>
      </c>
      <c r="X12" s="106">
        <v>0</v>
      </c>
      <c r="Y12" s="106">
        <v>0</v>
      </c>
      <c r="Z12" s="106">
        <v>0</v>
      </c>
      <c r="AA12" s="106">
        <v>0</v>
      </c>
      <c r="AB12" s="106">
        <v>0</v>
      </c>
      <c r="AC12" s="106">
        <v>0</v>
      </c>
      <c r="AD12" s="106">
        <v>0</v>
      </c>
      <c r="AE12" s="106">
        <v>0</v>
      </c>
      <c r="AF12" s="106">
        <v>0</v>
      </c>
      <c r="AG12" s="106">
        <v>0</v>
      </c>
      <c r="AH12" s="106">
        <v>0</v>
      </c>
      <c r="AI12" s="106">
        <v>0</v>
      </c>
      <c r="AJ12" s="106">
        <v>0</v>
      </c>
      <c r="AK12" s="106">
        <v>0</v>
      </c>
      <c r="AL12" s="106">
        <v>0</v>
      </c>
      <c r="AM12" s="106">
        <v>0</v>
      </c>
      <c r="AN12" s="106">
        <v>0.25</v>
      </c>
    </row>
    <row r="13" spans="1:40" hidden="1" outlineLevel="1" x14ac:dyDescent="0.25">
      <c r="B13" s="39" t="str">
        <v>Trainer</v>
      </c>
      <c r="C13" s="3"/>
      <c r="D13" s="3"/>
      <c r="E13" s="106">
        <v>0</v>
      </c>
      <c r="F13" s="106">
        <v>0</v>
      </c>
      <c r="G13" s="106">
        <v>0</v>
      </c>
      <c r="H13" s="106">
        <v>0</v>
      </c>
      <c r="I13" s="106">
        <v>0</v>
      </c>
      <c r="J13" s="106">
        <v>0</v>
      </c>
      <c r="K13" s="106">
        <v>0</v>
      </c>
      <c r="L13" s="106">
        <v>0</v>
      </c>
      <c r="M13" s="106">
        <v>0</v>
      </c>
      <c r="N13" s="106">
        <v>0</v>
      </c>
      <c r="O13" s="106">
        <v>0</v>
      </c>
      <c r="P13" s="106">
        <v>0</v>
      </c>
      <c r="Q13" s="106">
        <v>0</v>
      </c>
      <c r="R13" s="106">
        <v>0</v>
      </c>
      <c r="S13" s="106">
        <v>0</v>
      </c>
      <c r="T13" s="106">
        <v>0</v>
      </c>
      <c r="U13" s="106">
        <v>0</v>
      </c>
      <c r="V13" s="106">
        <v>0</v>
      </c>
      <c r="W13" s="106">
        <v>0</v>
      </c>
      <c r="X13" s="106">
        <v>0</v>
      </c>
      <c r="Y13" s="106">
        <v>0</v>
      </c>
      <c r="Z13" s="106">
        <v>0</v>
      </c>
      <c r="AA13" s="106">
        <v>0</v>
      </c>
      <c r="AB13" s="106">
        <v>0</v>
      </c>
      <c r="AC13" s="106">
        <v>0</v>
      </c>
      <c r="AD13" s="106">
        <v>0</v>
      </c>
      <c r="AE13" s="106">
        <v>0</v>
      </c>
      <c r="AF13" s="106">
        <v>0</v>
      </c>
      <c r="AG13" s="106">
        <v>0</v>
      </c>
      <c r="AH13" s="106">
        <v>0</v>
      </c>
      <c r="AI13" s="106">
        <v>0</v>
      </c>
      <c r="AJ13" s="106">
        <v>0</v>
      </c>
      <c r="AK13" s="106">
        <v>0</v>
      </c>
      <c r="AL13" s="106">
        <v>0</v>
      </c>
      <c r="AM13" s="106">
        <v>0.02</v>
      </c>
      <c r="AN13" s="106">
        <v>0.35000000000000003</v>
      </c>
    </row>
    <row r="14" spans="1:40" hidden="1" outlineLevel="1" x14ac:dyDescent="0.25">
      <c r="B14" s="39" t="str">
        <v>Recruiter</v>
      </c>
      <c r="C14" s="3"/>
      <c r="D14" s="3"/>
      <c r="E14" s="106">
        <v>0</v>
      </c>
      <c r="F14" s="106">
        <v>0</v>
      </c>
      <c r="G14" s="106">
        <v>0</v>
      </c>
      <c r="H14" s="106">
        <v>0</v>
      </c>
      <c r="I14" s="106">
        <v>0</v>
      </c>
      <c r="J14" s="106">
        <v>0</v>
      </c>
      <c r="K14" s="106">
        <v>0</v>
      </c>
      <c r="L14" s="106">
        <v>0</v>
      </c>
      <c r="M14" s="106">
        <v>0</v>
      </c>
      <c r="N14" s="106">
        <v>0</v>
      </c>
      <c r="O14" s="106">
        <v>0</v>
      </c>
      <c r="P14" s="106">
        <v>0</v>
      </c>
      <c r="Q14" s="106">
        <v>0</v>
      </c>
      <c r="R14" s="106">
        <v>0</v>
      </c>
      <c r="S14" s="106">
        <v>0</v>
      </c>
      <c r="T14" s="106">
        <v>0</v>
      </c>
      <c r="U14" s="106">
        <v>0</v>
      </c>
      <c r="V14" s="106">
        <v>0</v>
      </c>
      <c r="W14" s="106">
        <v>0</v>
      </c>
      <c r="X14" s="106">
        <v>0</v>
      </c>
      <c r="Y14" s="106">
        <v>0</v>
      </c>
      <c r="Z14" s="106">
        <v>0</v>
      </c>
      <c r="AA14" s="106">
        <v>0</v>
      </c>
      <c r="AB14" s="106">
        <v>0</v>
      </c>
      <c r="AC14" s="106">
        <v>0</v>
      </c>
      <c r="AD14" s="106">
        <v>0</v>
      </c>
      <c r="AE14" s="106">
        <v>0</v>
      </c>
      <c r="AF14" s="106">
        <v>0</v>
      </c>
      <c r="AG14" s="106">
        <v>0</v>
      </c>
      <c r="AH14" s="106">
        <v>0</v>
      </c>
      <c r="AI14" s="106">
        <v>0</v>
      </c>
      <c r="AJ14" s="106">
        <v>0</v>
      </c>
      <c r="AK14" s="106">
        <v>0</v>
      </c>
      <c r="AL14" s="106">
        <v>0</v>
      </c>
      <c r="AM14" s="106">
        <v>0.02</v>
      </c>
      <c r="AN14" s="106">
        <v>0.2</v>
      </c>
    </row>
    <row r="15" spans="1:40" hidden="1" outlineLevel="1" x14ac:dyDescent="0.25">
      <c r="B15" s="39" t="str">
        <v>Center Director / Remote Site Director</v>
      </c>
      <c r="C15" s="3"/>
      <c r="D15" s="3"/>
      <c r="E15" s="106">
        <v>0</v>
      </c>
      <c r="F15" s="106">
        <v>0</v>
      </c>
      <c r="G15" s="106">
        <v>0</v>
      </c>
      <c r="H15" s="106">
        <v>0</v>
      </c>
      <c r="I15" s="106">
        <v>0</v>
      </c>
      <c r="J15" s="106">
        <v>0</v>
      </c>
      <c r="K15" s="106">
        <v>0</v>
      </c>
      <c r="L15" s="106">
        <v>0</v>
      </c>
      <c r="M15" s="106">
        <v>0</v>
      </c>
      <c r="N15" s="106">
        <v>0</v>
      </c>
      <c r="O15" s="106">
        <v>0</v>
      </c>
      <c r="P15" s="106">
        <v>0</v>
      </c>
      <c r="Q15" s="106">
        <v>0</v>
      </c>
      <c r="R15" s="106">
        <v>0</v>
      </c>
      <c r="S15" s="106">
        <v>0</v>
      </c>
      <c r="T15" s="106">
        <v>0</v>
      </c>
      <c r="U15" s="106">
        <v>0</v>
      </c>
      <c r="V15" s="106">
        <v>0</v>
      </c>
      <c r="W15" s="106">
        <v>0</v>
      </c>
      <c r="X15" s="106">
        <v>0</v>
      </c>
      <c r="Y15" s="106">
        <v>0</v>
      </c>
      <c r="Z15" s="106">
        <v>0</v>
      </c>
      <c r="AA15" s="106">
        <v>0</v>
      </c>
      <c r="AB15" s="106">
        <v>0</v>
      </c>
      <c r="AC15" s="106">
        <v>0</v>
      </c>
      <c r="AD15" s="106">
        <v>0</v>
      </c>
      <c r="AE15" s="106">
        <v>0</v>
      </c>
      <c r="AF15" s="106">
        <v>0</v>
      </c>
      <c r="AG15" s="106">
        <v>0</v>
      </c>
      <c r="AH15" s="106">
        <v>0</v>
      </c>
      <c r="AI15" s="106">
        <v>0</v>
      </c>
      <c r="AJ15" s="106">
        <v>0</v>
      </c>
      <c r="AK15" s="106">
        <v>0</v>
      </c>
      <c r="AL15" s="106">
        <v>0</v>
      </c>
      <c r="AM15" s="106">
        <v>0.02</v>
      </c>
      <c r="AN15" s="106">
        <v>0.03</v>
      </c>
    </row>
    <row r="16" spans="1:40" hidden="1" outlineLevel="1" x14ac:dyDescent="0.25">
      <c r="B16" s="39" t="str">
        <v>Center Marketing Outreach</v>
      </c>
      <c r="C16" s="3"/>
      <c r="D16" s="3"/>
      <c r="E16" s="106">
        <v>0</v>
      </c>
      <c r="F16" s="106">
        <v>0</v>
      </c>
      <c r="G16" s="106">
        <v>0</v>
      </c>
      <c r="H16" s="106">
        <v>0</v>
      </c>
      <c r="I16" s="106">
        <v>0</v>
      </c>
      <c r="J16" s="106">
        <v>0</v>
      </c>
      <c r="K16" s="106">
        <v>0</v>
      </c>
      <c r="L16" s="106">
        <v>0</v>
      </c>
      <c r="M16" s="106">
        <v>0</v>
      </c>
      <c r="N16" s="106">
        <v>0</v>
      </c>
      <c r="O16" s="106">
        <v>0</v>
      </c>
      <c r="P16" s="106">
        <v>0</v>
      </c>
      <c r="Q16" s="106">
        <v>0</v>
      </c>
      <c r="R16" s="106">
        <v>0</v>
      </c>
      <c r="S16" s="106">
        <v>0</v>
      </c>
      <c r="T16" s="106">
        <v>0</v>
      </c>
      <c r="U16" s="106">
        <v>0</v>
      </c>
      <c r="V16" s="106">
        <v>0</v>
      </c>
      <c r="W16" s="106">
        <v>0</v>
      </c>
      <c r="X16" s="106">
        <v>0</v>
      </c>
      <c r="Y16" s="106">
        <v>0</v>
      </c>
      <c r="Z16" s="106">
        <v>0</v>
      </c>
      <c r="AA16" s="106">
        <v>0</v>
      </c>
      <c r="AB16" s="106">
        <v>0</v>
      </c>
      <c r="AC16" s="106">
        <v>0</v>
      </c>
      <c r="AD16" s="106">
        <v>0</v>
      </c>
      <c r="AE16" s="106">
        <v>0</v>
      </c>
      <c r="AF16" s="106">
        <v>0</v>
      </c>
      <c r="AG16" s="106">
        <v>0</v>
      </c>
      <c r="AH16" s="106">
        <v>0</v>
      </c>
      <c r="AI16" s="106">
        <v>0</v>
      </c>
      <c r="AJ16" s="106">
        <v>0</v>
      </c>
      <c r="AK16" s="106">
        <v>0</v>
      </c>
      <c r="AL16" s="106">
        <v>0</v>
      </c>
      <c r="AM16" s="106">
        <v>0.02</v>
      </c>
      <c r="AN16" s="106">
        <v>0.03</v>
      </c>
    </row>
    <row r="17" spans="2:50" hidden="1" outlineLevel="1" x14ac:dyDescent="0.25">
      <c r="B17" s="39" t="str">
        <v>Primary Direct Staff Lead</v>
      </c>
      <c r="C17" s="3"/>
      <c r="D17" s="3"/>
      <c r="E17" s="106">
        <v>0</v>
      </c>
      <c r="F17" s="106">
        <v>0</v>
      </c>
      <c r="G17" s="106">
        <v>0</v>
      </c>
      <c r="H17" s="106">
        <v>0</v>
      </c>
      <c r="I17" s="106">
        <v>0</v>
      </c>
      <c r="J17" s="106">
        <v>0</v>
      </c>
      <c r="K17" s="106">
        <v>0</v>
      </c>
      <c r="L17" s="106">
        <v>0</v>
      </c>
      <c r="M17" s="106">
        <v>0</v>
      </c>
      <c r="N17" s="106">
        <v>0</v>
      </c>
      <c r="O17" s="106">
        <v>0</v>
      </c>
      <c r="P17" s="106">
        <v>0</v>
      </c>
      <c r="Q17" s="106">
        <v>0</v>
      </c>
      <c r="R17" s="106">
        <v>0</v>
      </c>
      <c r="S17" s="106">
        <v>0</v>
      </c>
      <c r="T17" s="106">
        <v>0</v>
      </c>
      <c r="U17" s="106">
        <v>0</v>
      </c>
      <c r="V17" s="106">
        <v>0</v>
      </c>
      <c r="W17" s="106">
        <v>0</v>
      </c>
      <c r="X17" s="106">
        <v>0</v>
      </c>
      <c r="Y17" s="106">
        <v>0</v>
      </c>
      <c r="Z17" s="106">
        <v>0</v>
      </c>
      <c r="AA17" s="106">
        <v>0</v>
      </c>
      <c r="AB17" s="106">
        <v>0</v>
      </c>
      <c r="AC17" s="106">
        <v>0</v>
      </c>
      <c r="AD17" s="106">
        <v>0</v>
      </c>
      <c r="AE17" s="106">
        <v>0</v>
      </c>
      <c r="AF17" s="106">
        <v>0</v>
      </c>
      <c r="AG17" s="106">
        <v>0</v>
      </c>
      <c r="AH17" s="106">
        <v>0</v>
      </c>
      <c r="AI17" s="106">
        <v>0</v>
      </c>
      <c r="AJ17" s="106">
        <v>0</v>
      </c>
      <c r="AK17" s="106">
        <v>0</v>
      </c>
      <c r="AL17" s="106">
        <v>0</v>
      </c>
      <c r="AM17" s="106">
        <v>0.3</v>
      </c>
      <c r="AN17" s="106">
        <v>0.6</v>
      </c>
    </row>
    <row r="18" spans="2:50" hidden="1" outlineLevel="1" x14ac:dyDescent="0.25">
      <c r="B18" s="39" t="str">
        <v>Tertiary Direct Staff</v>
      </c>
      <c r="C18" s="3"/>
      <c r="D18" s="3"/>
      <c r="E18" s="106">
        <v>0</v>
      </c>
      <c r="F18" s="106">
        <v>0</v>
      </c>
      <c r="G18" s="106">
        <v>0</v>
      </c>
      <c r="H18" s="106">
        <v>0</v>
      </c>
      <c r="I18" s="106">
        <v>0</v>
      </c>
      <c r="J18" s="106">
        <v>0</v>
      </c>
      <c r="K18" s="106">
        <v>0</v>
      </c>
      <c r="L18" s="106">
        <v>0</v>
      </c>
      <c r="M18" s="106">
        <v>0</v>
      </c>
      <c r="N18" s="106">
        <v>0</v>
      </c>
      <c r="O18" s="106">
        <v>0</v>
      </c>
      <c r="P18" s="106">
        <v>0</v>
      </c>
      <c r="Q18" s="106">
        <v>0</v>
      </c>
      <c r="R18" s="106">
        <v>0</v>
      </c>
      <c r="S18" s="106">
        <v>0</v>
      </c>
      <c r="T18" s="106">
        <v>0</v>
      </c>
      <c r="U18" s="106">
        <v>0</v>
      </c>
      <c r="V18" s="106">
        <v>0</v>
      </c>
      <c r="W18" s="106">
        <v>0</v>
      </c>
      <c r="X18" s="106">
        <v>0</v>
      </c>
      <c r="Y18" s="106">
        <v>0</v>
      </c>
      <c r="Z18" s="106">
        <v>0</v>
      </c>
      <c r="AA18" s="106">
        <v>0</v>
      </c>
      <c r="AB18" s="106">
        <v>0</v>
      </c>
      <c r="AC18" s="106">
        <v>0</v>
      </c>
      <c r="AD18" s="106">
        <v>0</v>
      </c>
      <c r="AE18" s="106">
        <v>0</v>
      </c>
      <c r="AF18" s="106">
        <v>0</v>
      </c>
      <c r="AG18" s="106">
        <v>0</v>
      </c>
      <c r="AH18" s="106">
        <v>0</v>
      </c>
      <c r="AI18" s="106">
        <v>0</v>
      </c>
      <c r="AJ18" s="106">
        <v>0</v>
      </c>
      <c r="AK18" s="106">
        <v>0</v>
      </c>
      <c r="AL18" s="106">
        <v>0</v>
      </c>
      <c r="AM18" s="106">
        <v>0</v>
      </c>
      <c r="AN18" s="106">
        <v>0</v>
      </c>
    </row>
    <row r="19" spans="2:50" hidden="1" outlineLevel="1" x14ac:dyDescent="0.25">
      <c r="B19" s="39" t="str">
        <v>Quinary Direct Staff</v>
      </c>
      <c r="C19" s="3"/>
      <c r="D19" s="3"/>
      <c r="E19" s="106">
        <v>0</v>
      </c>
      <c r="F19" s="106">
        <v>0</v>
      </c>
      <c r="G19" s="106">
        <v>0</v>
      </c>
      <c r="H19" s="106">
        <v>0</v>
      </c>
      <c r="I19" s="106">
        <v>0</v>
      </c>
      <c r="J19" s="106">
        <v>0</v>
      </c>
      <c r="K19" s="106">
        <v>0</v>
      </c>
      <c r="L19" s="106">
        <v>0</v>
      </c>
      <c r="M19" s="106">
        <v>0</v>
      </c>
      <c r="N19" s="106">
        <v>0</v>
      </c>
      <c r="O19" s="106">
        <v>0</v>
      </c>
      <c r="P19" s="106">
        <v>0</v>
      </c>
      <c r="Q19" s="106">
        <v>0</v>
      </c>
      <c r="R19" s="106">
        <v>0</v>
      </c>
      <c r="S19" s="106">
        <v>0</v>
      </c>
      <c r="T19" s="106">
        <v>0</v>
      </c>
      <c r="U19" s="106">
        <v>0</v>
      </c>
      <c r="V19" s="106">
        <v>0</v>
      </c>
      <c r="W19" s="106">
        <v>0</v>
      </c>
      <c r="X19" s="106">
        <v>0</v>
      </c>
      <c r="Y19" s="106">
        <v>0</v>
      </c>
      <c r="Z19" s="106">
        <v>0</v>
      </c>
      <c r="AA19" s="106">
        <v>0</v>
      </c>
      <c r="AB19" s="106">
        <v>0</v>
      </c>
      <c r="AC19" s="106">
        <v>0</v>
      </c>
      <c r="AD19" s="106">
        <v>0</v>
      </c>
      <c r="AE19" s="106">
        <v>0</v>
      </c>
      <c r="AF19" s="106">
        <v>0</v>
      </c>
      <c r="AG19" s="106">
        <v>0</v>
      </c>
      <c r="AH19" s="106">
        <v>0</v>
      </c>
      <c r="AI19" s="106">
        <v>0</v>
      </c>
      <c r="AJ19" s="106">
        <v>0</v>
      </c>
      <c r="AK19" s="106">
        <v>0</v>
      </c>
      <c r="AL19" s="106">
        <v>0</v>
      </c>
      <c r="AM19" s="106">
        <v>0</v>
      </c>
      <c r="AN19" s="106">
        <v>0</v>
      </c>
    </row>
    <row r="20" spans="2:50" hidden="1" outlineLevel="1" x14ac:dyDescent="0.25">
      <c r="B20" s="39" t="str">
        <v>Quaternary Direct Staff</v>
      </c>
      <c r="C20" s="3"/>
      <c r="D20" s="3"/>
      <c r="E20" s="106">
        <v>0</v>
      </c>
      <c r="F20" s="106">
        <v>0</v>
      </c>
      <c r="G20" s="106">
        <v>0</v>
      </c>
      <c r="H20" s="106">
        <v>0</v>
      </c>
      <c r="I20" s="106">
        <v>0</v>
      </c>
      <c r="J20" s="106">
        <v>0</v>
      </c>
      <c r="K20" s="106">
        <v>0</v>
      </c>
      <c r="L20" s="106">
        <v>0</v>
      </c>
      <c r="M20" s="106">
        <v>0</v>
      </c>
      <c r="N20" s="106">
        <v>0</v>
      </c>
      <c r="O20" s="106">
        <v>0</v>
      </c>
      <c r="P20" s="106">
        <v>0</v>
      </c>
      <c r="Q20" s="106">
        <v>0</v>
      </c>
      <c r="R20" s="106">
        <v>0</v>
      </c>
      <c r="S20" s="106">
        <v>0</v>
      </c>
      <c r="T20" s="106">
        <v>0</v>
      </c>
      <c r="U20" s="106">
        <v>0</v>
      </c>
      <c r="V20" s="106">
        <v>0</v>
      </c>
      <c r="W20" s="106">
        <v>0</v>
      </c>
      <c r="X20" s="106">
        <v>0</v>
      </c>
      <c r="Y20" s="106">
        <v>0</v>
      </c>
      <c r="Z20" s="106">
        <v>0</v>
      </c>
      <c r="AA20" s="106">
        <v>0</v>
      </c>
      <c r="AB20" s="106">
        <v>0</v>
      </c>
      <c r="AC20" s="106">
        <v>0</v>
      </c>
      <c r="AD20" s="106">
        <v>0</v>
      </c>
      <c r="AE20" s="106">
        <v>0</v>
      </c>
      <c r="AF20" s="106">
        <v>0</v>
      </c>
      <c r="AG20" s="106">
        <v>0</v>
      </c>
      <c r="AH20" s="106">
        <v>0</v>
      </c>
      <c r="AI20" s="106">
        <v>0</v>
      </c>
      <c r="AJ20" s="106">
        <v>0</v>
      </c>
      <c r="AK20" s="106">
        <v>0</v>
      </c>
      <c r="AL20" s="106">
        <v>0</v>
      </c>
      <c r="AM20" s="106">
        <v>1</v>
      </c>
      <c r="AN20" s="106">
        <v>1</v>
      </c>
    </row>
    <row r="21" spans="2:50" collapsed="1" x14ac:dyDescent="0.25">
      <c r="B21" s="39" t="s">
        <v>389</v>
      </c>
      <c r="C21" s="3"/>
      <c r="D21" s="5"/>
      <c r="E21" s="117" cm="1">
        <f t="array" ref="E21:AN21">ROUND(_xlfn.BYCOL(_xlfn.CHOOSEROWS(_xlfn.ANCHORARRAY(E7),1,2),_xlfn.LAMBDA(_xlpm.col,SUM(_xlpm.col))),0)</f>
        <v>0</v>
      </c>
      <c r="F21" s="117">
        <v>0</v>
      </c>
      <c r="G21" s="117">
        <v>0</v>
      </c>
      <c r="H21" s="117">
        <v>0</v>
      </c>
      <c r="I21" s="117">
        <v>0</v>
      </c>
      <c r="J21" s="117">
        <v>0</v>
      </c>
      <c r="K21" s="117">
        <v>0</v>
      </c>
      <c r="L21" s="117">
        <v>0</v>
      </c>
      <c r="M21" s="117">
        <v>0</v>
      </c>
      <c r="N21" s="117">
        <v>0</v>
      </c>
      <c r="O21" s="117">
        <v>0</v>
      </c>
      <c r="P21" s="117">
        <v>0</v>
      </c>
      <c r="Q21" s="117">
        <v>0</v>
      </c>
      <c r="R21" s="117">
        <v>0</v>
      </c>
      <c r="S21" s="117">
        <v>0</v>
      </c>
      <c r="T21" s="117">
        <v>0</v>
      </c>
      <c r="U21" s="117">
        <v>0</v>
      </c>
      <c r="V21" s="117">
        <v>0</v>
      </c>
      <c r="W21" s="117">
        <v>0</v>
      </c>
      <c r="X21" s="117">
        <v>0</v>
      </c>
      <c r="Y21" s="117">
        <v>0</v>
      </c>
      <c r="Z21" s="117">
        <v>0</v>
      </c>
      <c r="AA21" s="117">
        <v>0</v>
      </c>
      <c r="AB21" s="117">
        <v>0</v>
      </c>
      <c r="AC21" s="117">
        <v>0</v>
      </c>
      <c r="AD21" s="117">
        <v>0</v>
      </c>
      <c r="AE21" s="117">
        <v>0</v>
      </c>
      <c r="AF21" s="117">
        <v>0</v>
      </c>
      <c r="AG21" s="117">
        <v>0</v>
      </c>
      <c r="AH21" s="117">
        <v>0</v>
      </c>
      <c r="AI21" s="117">
        <v>0</v>
      </c>
      <c r="AJ21" s="117">
        <v>0</v>
      </c>
      <c r="AK21" s="117">
        <v>0</v>
      </c>
      <c r="AL21" s="117">
        <v>0</v>
      </c>
      <c r="AM21" s="117">
        <v>3</v>
      </c>
      <c r="AN21" s="117">
        <v>7</v>
      </c>
    </row>
    <row r="22" spans="2:50" x14ac:dyDescent="0.25">
      <c r="B22" s="2" t="s">
        <v>394</v>
      </c>
      <c r="C22" s="3"/>
      <c r="D22" s="77">
        <f>MAX(_xlfn.ANCHORARRAY(E22))</f>
        <v>170.02883240223466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0</v>
      </c>
      <c r="F22" s="78">
        <v>0</v>
      </c>
      <c r="G22" s="78">
        <v>0</v>
      </c>
      <c r="H22" s="78">
        <v>0</v>
      </c>
      <c r="I22" s="78">
        <v>0</v>
      </c>
      <c r="J22" s="78">
        <v>0</v>
      </c>
      <c r="K22" s="78">
        <v>0</v>
      </c>
      <c r="L22" s="78">
        <v>0</v>
      </c>
      <c r="M22" s="78">
        <v>0</v>
      </c>
      <c r="N22" s="78">
        <v>0</v>
      </c>
      <c r="O22" s="78">
        <v>0</v>
      </c>
      <c r="P22" s="78">
        <v>0</v>
      </c>
      <c r="Q22" s="78">
        <v>0</v>
      </c>
      <c r="R22" s="78">
        <v>0</v>
      </c>
      <c r="S22" s="78">
        <v>0</v>
      </c>
      <c r="T22" s="78">
        <v>0</v>
      </c>
      <c r="U22" s="78">
        <v>0</v>
      </c>
      <c r="V22" s="78">
        <v>0</v>
      </c>
      <c r="W22" s="78">
        <v>0</v>
      </c>
      <c r="X22" s="78">
        <v>0</v>
      </c>
      <c r="Y22" s="78">
        <v>0</v>
      </c>
      <c r="Z22" s="78">
        <v>0</v>
      </c>
      <c r="AA22" s="78">
        <v>0</v>
      </c>
      <c r="AB22" s="78">
        <v>0</v>
      </c>
      <c r="AC22" s="78">
        <v>0</v>
      </c>
      <c r="AD22" s="78">
        <v>0</v>
      </c>
      <c r="AE22" s="78">
        <v>0</v>
      </c>
      <c r="AF22" s="78">
        <v>0</v>
      </c>
      <c r="AG22" s="78">
        <v>0</v>
      </c>
      <c r="AH22" s="78">
        <v>0</v>
      </c>
      <c r="AI22" s="78">
        <v>0</v>
      </c>
      <c r="AJ22" s="78">
        <v>0</v>
      </c>
      <c r="AK22" s="78">
        <v>0</v>
      </c>
      <c r="AL22" s="78">
        <v>0</v>
      </c>
      <c r="AM22" s="78">
        <v>170.02883240223466</v>
      </c>
      <c r="AN22" s="78">
        <v>170.02883240223466</v>
      </c>
    </row>
    <row r="23" spans="2:50" x14ac:dyDescent="0.25">
      <c r="B23" s="2" t="s">
        <v>53</v>
      </c>
      <c r="C23" s="3"/>
      <c r="D23" s="72"/>
      <c r="E23" s="52" cm="1">
        <f t="array" ref="E23:AN23">_xlfn.LET(_xlpm.site,$B$1&amp;"-"&amp;$C$1,_xlpm.locations,Base!$D$4:$BD$4,_xlpm.Customer,_xlfn.ANCHORARRAY(E1),_xlpm.hours,SUM(_xlfn.XLOOKUP(_xlpm.site,_xlpm.locations,Base!$D$74:$BD$78,0,0)),
_xlpm.collection,1-_xlfn.XLOOKUP(_xlpm.site,_xlpm.locations,Base!$D$26:$BD$26,0,0),
_xlpm.Customer*_xlpm.hours*_xlpm.collection*(52/12))</f>
        <v>0</v>
      </c>
      <c r="F23" s="52">
        <v>0</v>
      </c>
      <c r="G23" s="52">
        <v>0</v>
      </c>
      <c r="H23" s="52">
        <v>0</v>
      </c>
      <c r="I23" s="52">
        <v>0</v>
      </c>
      <c r="J23" s="52">
        <v>0</v>
      </c>
      <c r="K23" s="52">
        <v>0</v>
      </c>
      <c r="L23" s="52">
        <v>0</v>
      </c>
      <c r="M23" s="52">
        <v>0</v>
      </c>
      <c r="N23" s="52">
        <v>0</v>
      </c>
      <c r="O23" s="52">
        <v>0</v>
      </c>
      <c r="P23" s="52">
        <v>0</v>
      </c>
      <c r="Q23" s="52">
        <v>0</v>
      </c>
      <c r="R23" s="52">
        <v>0</v>
      </c>
      <c r="S23" s="52">
        <v>0</v>
      </c>
      <c r="T23" s="52">
        <v>0</v>
      </c>
      <c r="U23" s="52">
        <v>0</v>
      </c>
      <c r="V23" s="52">
        <v>0</v>
      </c>
      <c r="W23" s="52">
        <v>0</v>
      </c>
      <c r="X23" s="52">
        <v>0</v>
      </c>
      <c r="Y23" s="52">
        <v>0</v>
      </c>
      <c r="Z23" s="52">
        <v>0</v>
      </c>
      <c r="AA23" s="52">
        <v>0</v>
      </c>
      <c r="AB23" s="52">
        <v>0</v>
      </c>
      <c r="AC23" s="52">
        <v>0</v>
      </c>
      <c r="AD23" s="52">
        <v>0</v>
      </c>
      <c r="AE23" s="52">
        <v>0</v>
      </c>
      <c r="AF23" s="52">
        <v>0</v>
      </c>
      <c r="AG23" s="52">
        <v>0</v>
      </c>
      <c r="AH23" s="52">
        <v>0</v>
      </c>
      <c r="AI23" s="52">
        <v>0</v>
      </c>
      <c r="AJ23" s="52">
        <v>0</v>
      </c>
      <c r="AK23" s="52">
        <v>0</v>
      </c>
      <c r="AL23" s="52">
        <v>0</v>
      </c>
      <c r="AM23" s="52">
        <v>315.03999999999996</v>
      </c>
      <c r="AN23" s="52">
        <v>630.07999999999993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21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_xlfn.LET(_xlpm.site,$B$1&amp;"-"&amp;$C$1,_xlpm.locations,Base!$D$4:$BD$4,_xlpm.rates,Base!$D31:$BD31,_xlpm.hours,Base!$D74:$BD74,_xlpm.comp,_xlpm.rates*_xlpm.hours,_xlpm.Customer,_xlfn.ANCHORARRAY($E$1),
_xlpm.Customer_comp,_xlfn.XLOOKUP(_xlpm.site,_xlpm.locations,_xlpm.comp,0,0),_xlpm.ann_incr,_xlfn.XLOOKUP(YEAR(_xlfn.ANCHORARRAY($E$25)),Base!$BJ$4:$BL$4,Base!$BJ74:$BL74,0,0),
_xlpm.bad_debt,_xlfn.XLOOKUP(_xlpm.site,_xlpm.locations,Base!$D$28:$BD$28,0,0),_xlpm.Customer_comp*_xlpm.Customer*_xlpm.bad_debt*_xlpm.ann_incr*(52/12))</f>
        <v>0</v>
      </c>
      <c r="F26" s="12">
        <v>0</v>
      </c>
      <c r="G26" s="12">
        <v>0</v>
      </c>
      <c r="H26" s="12">
        <v>0</v>
      </c>
      <c r="I26" s="12">
        <v>0</v>
      </c>
      <c r="J26" s="12">
        <v>0</v>
      </c>
      <c r="K26" s="12">
        <v>0</v>
      </c>
      <c r="L26" s="12">
        <v>0</v>
      </c>
      <c r="M26" s="12">
        <v>0</v>
      </c>
      <c r="N26" s="12">
        <v>0</v>
      </c>
      <c r="O26" s="12">
        <v>0</v>
      </c>
      <c r="P26" s="12">
        <v>0</v>
      </c>
      <c r="Q26" s="12">
        <v>0</v>
      </c>
      <c r="R26" s="12">
        <v>0</v>
      </c>
      <c r="S26" s="12">
        <v>0</v>
      </c>
      <c r="T26" s="12">
        <v>0</v>
      </c>
      <c r="U26" s="12">
        <v>0</v>
      </c>
      <c r="V26" s="12">
        <v>0</v>
      </c>
      <c r="W26" s="12">
        <v>0</v>
      </c>
      <c r="X26" s="12">
        <v>0</v>
      </c>
      <c r="Y26" s="12">
        <v>0</v>
      </c>
      <c r="Z26" s="12">
        <v>0</v>
      </c>
      <c r="AA26" s="12">
        <v>0</v>
      </c>
      <c r="AB26" s="12">
        <v>0</v>
      </c>
      <c r="AC26" s="12">
        <v>0</v>
      </c>
      <c r="AD26" s="12">
        <v>0</v>
      </c>
      <c r="AE26" s="12">
        <v>0</v>
      </c>
      <c r="AF26" s="12">
        <v>0</v>
      </c>
      <c r="AG26" s="12">
        <v>0</v>
      </c>
      <c r="AH26" s="12">
        <v>0</v>
      </c>
      <c r="AI26" s="12">
        <v>0</v>
      </c>
      <c r="AJ26" s="12">
        <v>0</v>
      </c>
      <c r="AK26" s="12">
        <v>0</v>
      </c>
      <c r="AL26" s="12">
        <v>0</v>
      </c>
      <c r="AM26" s="12">
        <v>46796.978800000004</v>
      </c>
      <c r="AN26" s="12">
        <v>93593.957600000009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_xlfn.LET(_xlpm.site,$B$1&amp;"-"&amp;$C$1,_xlpm.locations,Base!$D$4:$BD$4,_xlpm.rates,Base!$D32:$BD32,_xlpm.hours,Base!$D75:$BD75,_xlpm.comp,_xlpm.rates*_xlpm.hours,_xlpm.Customer,_xlfn.ANCHORARRAY($E$1),
_xlpm.Customer_comp,_xlfn.XLOOKUP(_xlpm.site,_xlpm.locations,_xlpm.comp,0,0),_xlpm.ann_incr,_xlfn.XLOOKUP(YEAR(_xlfn.ANCHORARRAY($E$25)),Base!$BJ$4:$BL$4,Base!$BJ75:$BL75,0,0),
_xlpm.bad_debt,_xlfn.XLOOKUP(_xlpm.site,_xlpm.locations,Base!$D$28:$BD$28,0,0),_xlpm.Customer_comp*_xlpm.Customer*_xlpm.bad_debt*_xlpm.ann_incr*(52/12))</f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12">
        <v>0</v>
      </c>
      <c r="AA27" s="12">
        <v>0</v>
      </c>
      <c r="AB27" s="12">
        <v>0</v>
      </c>
      <c r="AC27" s="12">
        <v>0</v>
      </c>
      <c r="AD27" s="12">
        <v>0</v>
      </c>
      <c r="AE27" s="12">
        <v>0</v>
      </c>
      <c r="AF27" s="12">
        <v>0</v>
      </c>
      <c r="AG27" s="12">
        <v>0</v>
      </c>
      <c r="AH27" s="12">
        <v>0</v>
      </c>
      <c r="AI27" s="12">
        <v>0</v>
      </c>
      <c r="AJ27" s="12">
        <v>0</v>
      </c>
      <c r="AK27" s="12">
        <v>0</v>
      </c>
      <c r="AL27" s="12">
        <v>0</v>
      </c>
      <c r="AM27" s="12">
        <v>2743.8788</v>
      </c>
      <c r="AN27" s="12">
        <v>5487.7575999999999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_xlfn.LET(_xlpm.site,$B$1&amp;"-"&amp;$C$1,_xlpm.locations,Base!$D$4:$BD$4,_xlpm.rates,Base!$D33:$BD33,_xlpm.hours,Base!$D76:$BD76,_xlpm.comp,_xlpm.rates*_xlpm.hours,_xlpm.Customer,_xlfn.ANCHORARRAY($E$1),
_xlpm.Customer_comp,_xlfn.XLOOKUP(_xlpm.site,_xlpm.locations,_xlpm.comp,0,0),_xlpm.ann_incr,_xlfn.XLOOKUP(YEAR(_xlfn.ANCHORARRAY($E$25)),Base!$BJ$4:$BL$4,Base!$BJ76:$BL76,0,0),
_xlpm.bad_debt,_xlfn.XLOOKUP(_xlpm.site,_xlpm.locations,Base!$D$28:$BD$28,0,0),_xlpm.Customer_comp*_xlpm.Customer*_xlpm.bad_debt*_xlpm.ann_incr*(52/12))</f>
        <v>0</v>
      </c>
      <c r="F28" s="12">
        <v>0</v>
      </c>
      <c r="G28" s="12">
        <v>0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0</v>
      </c>
      <c r="N28" s="12">
        <v>0</v>
      </c>
      <c r="O28" s="12">
        <v>0</v>
      </c>
      <c r="P28" s="12">
        <v>0</v>
      </c>
      <c r="Q28" s="12">
        <v>0</v>
      </c>
      <c r="R28" s="12">
        <v>0</v>
      </c>
      <c r="S28" s="12">
        <v>0</v>
      </c>
      <c r="T28" s="12">
        <v>0</v>
      </c>
      <c r="U28" s="12">
        <v>0</v>
      </c>
      <c r="V28" s="12">
        <v>0</v>
      </c>
      <c r="W28" s="12">
        <v>0</v>
      </c>
      <c r="X28" s="12">
        <v>0</v>
      </c>
      <c r="Y28" s="12">
        <v>0</v>
      </c>
      <c r="Z28" s="12">
        <v>0</v>
      </c>
      <c r="AA28" s="12">
        <v>0</v>
      </c>
      <c r="AB28" s="12">
        <v>0</v>
      </c>
      <c r="AC28" s="12">
        <v>0</v>
      </c>
      <c r="AD28" s="12">
        <v>0</v>
      </c>
      <c r="AE28" s="12">
        <v>0</v>
      </c>
      <c r="AF28" s="12">
        <v>0</v>
      </c>
      <c r="AG28" s="12">
        <v>0</v>
      </c>
      <c r="AH28" s="12">
        <v>0</v>
      </c>
      <c r="AI28" s="12">
        <v>0</v>
      </c>
      <c r="AJ28" s="12">
        <v>0</v>
      </c>
      <c r="AK28" s="12">
        <v>0</v>
      </c>
      <c r="AL28" s="12">
        <v>0</v>
      </c>
      <c r="AM28" s="12">
        <v>6521.1174599999977</v>
      </c>
      <c r="AN28" s="12">
        <v>13042.234919999995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_xlfn.LET(_xlpm.site,$B$1&amp;"-"&amp;$C$1,_xlpm.locations,Base!$D$4:$BD$4,_xlpm.rates,Base!$D34:$BD34,_xlpm.hours,Base!$D77:$BD77,_xlpm.comp,_xlpm.rates*_xlpm.hours,_xlpm.Customer,_xlfn.ANCHORARRAY($E$1),
_xlpm.Customer_comp,_xlfn.XLOOKUP(_xlpm.site,_xlpm.locations,_xlpm.comp,0,0),_xlpm.ann_incr,_xlfn.XLOOKUP(YEAR(_xlfn.ANCHORARRAY($E$25)),Base!$BJ$4:$BL$4,Base!$BJ77:$BL77,0,0),
_xlpm.bad_debt,_xlfn.XLOOKUP(_xlpm.site,_xlpm.locations,Base!$D$28:$BD$28,0,0),_xlpm.Customer_comp*_xlpm.Customer*_xlpm.bad_debt*_xlpm.ann_incr*(52/12))</f>
        <v>0</v>
      </c>
      <c r="F29" s="12">
        <v>0</v>
      </c>
      <c r="G29" s="12">
        <v>0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0</v>
      </c>
      <c r="N29" s="12">
        <v>0</v>
      </c>
      <c r="O29" s="12">
        <v>0</v>
      </c>
      <c r="P29" s="12">
        <v>0</v>
      </c>
      <c r="Q29" s="12">
        <v>0</v>
      </c>
      <c r="R29" s="12">
        <v>0</v>
      </c>
      <c r="S29" s="12">
        <v>0</v>
      </c>
      <c r="T29" s="12">
        <v>0</v>
      </c>
      <c r="U29" s="12">
        <v>0</v>
      </c>
      <c r="V29" s="12">
        <v>0</v>
      </c>
      <c r="W29" s="12">
        <v>0</v>
      </c>
      <c r="X29" s="12">
        <v>0</v>
      </c>
      <c r="Y29" s="12">
        <v>0</v>
      </c>
      <c r="Z29" s="12">
        <v>0</v>
      </c>
      <c r="AA29" s="12">
        <v>0</v>
      </c>
      <c r="AB29" s="12">
        <v>0</v>
      </c>
      <c r="AC29" s="12">
        <v>0</v>
      </c>
      <c r="AD29" s="12">
        <v>0</v>
      </c>
      <c r="AE29" s="12">
        <v>0</v>
      </c>
      <c r="AF29" s="12">
        <v>0</v>
      </c>
      <c r="AG29" s="12">
        <v>0</v>
      </c>
      <c r="AH29" s="12">
        <v>0</v>
      </c>
      <c r="AI29" s="12">
        <v>0</v>
      </c>
      <c r="AJ29" s="12">
        <v>0</v>
      </c>
      <c r="AK29" s="12">
        <v>0</v>
      </c>
      <c r="AL29" s="12">
        <v>0</v>
      </c>
      <c r="AM29" s="12">
        <v>501.62441999999999</v>
      </c>
      <c r="AN29" s="12">
        <v>1003.24884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_xlfn.LET(_xlpm.site,$B$1&amp;"-"&amp;$C$1,_xlpm.locations,Base!$D$4:$BD$4,_xlpm.rates,Base!$D35:$BD35,_xlpm.hours,Base!$D78:$BD78,_xlpm.comp,_xlpm.rates*_xlpm.hours,_xlpm.Customer,_xlfn.ANCHORARRAY($E$1),
_xlpm.Customer_comp,_xlfn.XLOOKUP(_xlpm.site,_xlpm.locations,_xlpm.comp,0,0),_xlpm.ann_incr,_xlfn.XLOOKUP(YEAR(_xlfn.ANCHORARRAY($E$25)),Base!$BJ$4:$BL$4,Base!$BJ78:$BL78,0,0),
_xlpm.bad_debt,_xlfn.XLOOKUP(_xlpm.site,_xlpm.locations,Base!$D$28:$BD$28,0,0),_xlpm.Customer_comp*_xlpm.Customer*_xlpm.bad_debt*_xlpm.ann_incr*(52/12))</f>
        <v>0</v>
      </c>
      <c r="F30" s="12">
        <v>0</v>
      </c>
      <c r="G30" s="12">
        <v>0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0</v>
      </c>
      <c r="N30" s="12">
        <v>0</v>
      </c>
      <c r="O30" s="12">
        <v>0</v>
      </c>
      <c r="P30" s="12">
        <v>0</v>
      </c>
      <c r="Q30" s="12">
        <v>0</v>
      </c>
      <c r="R30" s="12">
        <v>0</v>
      </c>
      <c r="S30" s="12">
        <v>0</v>
      </c>
      <c r="T30" s="12">
        <v>0</v>
      </c>
      <c r="U30" s="12">
        <v>0</v>
      </c>
      <c r="V30" s="12">
        <v>0</v>
      </c>
      <c r="W30" s="12">
        <v>0</v>
      </c>
      <c r="X30" s="12">
        <v>0</v>
      </c>
      <c r="Y30" s="12">
        <v>0</v>
      </c>
      <c r="Z30" s="12">
        <v>0</v>
      </c>
      <c r="AA30" s="12">
        <v>0</v>
      </c>
      <c r="AB30" s="12">
        <v>0</v>
      </c>
      <c r="AC30" s="12">
        <v>0</v>
      </c>
      <c r="AD30" s="12">
        <v>0</v>
      </c>
      <c r="AE30" s="12">
        <v>0</v>
      </c>
      <c r="AF30" s="12">
        <v>0</v>
      </c>
      <c r="AG30" s="12">
        <v>0</v>
      </c>
      <c r="AH30" s="12">
        <v>0</v>
      </c>
      <c r="AI30" s="12">
        <v>0</v>
      </c>
      <c r="AJ30" s="12">
        <v>0</v>
      </c>
      <c r="AK30" s="12">
        <v>0</v>
      </c>
      <c r="AL30" s="12">
        <v>0</v>
      </c>
      <c r="AM30" s="12">
        <v>654.50319999999988</v>
      </c>
      <c r="AN30" s="12">
        <v>1309.0063999999998</v>
      </c>
    </row>
    <row r="31" spans="2:50" x14ac:dyDescent="0.25">
      <c r="B31" s="39" t="str">
        <f>Base!B36</f>
        <v>Tertiary Direct Staff - Service A</v>
      </c>
      <c r="C31" s="4"/>
      <c r="E31" s="183" cm="1">
        <f t="array" ref="E31:AN31">_xlfn.LET(_xlpm.site,$B$1&amp;"-"&amp;$C$1,_xlpm.locations,Base!$D$4:$BD$4,_xlpm.rates,Base!$D36:$BD36,_xlpm.hours,Base!$D79:$BD79,_xlpm.comp,_xlpm.rates*_xlpm.hours,_xlpm.Customer,_xlfn.ANCHORARRAY($E$1)*0,
_xlpm.Customer_comp,_xlfn.XLOOKUP(_xlpm.site,_xlpm.locations,_xlpm.comp,0,0),_xlpm.ann_incr,_xlfn.XLOOKUP(YEAR(_xlfn.ANCHORARRAY($E$25)),Base!$BJ$4:$BL$4,Base!$BJ79:$BL79,0,0),
_xlpm.bad_debt,_xlfn.XLOOKUP(_xlpm.site,_xlpm.locations,Base!$D$28:$BD$28,0,0),_xlpm.Customer_comp*_xlpm.Customer*_xlpm.bad_debt*_xlpm.ann_incr*(52/12))</f>
        <v>0</v>
      </c>
      <c r="F31" s="183">
        <v>0</v>
      </c>
      <c r="G31" s="183">
        <v>0</v>
      </c>
      <c r="H31" s="183">
        <v>0</v>
      </c>
      <c r="I31" s="183">
        <v>0</v>
      </c>
      <c r="J31" s="183">
        <v>0</v>
      </c>
      <c r="K31" s="183">
        <v>0</v>
      </c>
      <c r="L31" s="183">
        <v>0</v>
      </c>
      <c r="M31" s="183">
        <v>0</v>
      </c>
      <c r="N31" s="183">
        <v>0</v>
      </c>
      <c r="O31" s="183">
        <v>0</v>
      </c>
      <c r="P31" s="183">
        <v>0</v>
      </c>
      <c r="Q31" s="183">
        <v>0</v>
      </c>
      <c r="R31" s="183">
        <v>0</v>
      </c>
      <c r="S31" s="183">
        <v>0</v>
      </c>
      <c r="T31" s="183">
        <v>0</v>
      </c>
      <c r="U31" s="183">
        <v>0</v>
      </c>
      <c r="V31" s="183">
        <v>0</v>
      </c>
      <c r="W31" s="183">
        <v>0</v>
      </c>
      <c r="X31" s="183">
        <v>0</v>
      </c>
      <c r="Y31" s="183">
        <v>0</v>
      </c>
      <c r="Z31" s="183">
        <v>0</v>
      </c>
      <c r="AA31" s="183">
        <v>0</v>
      </c>
      <c r="AB31" s="183">
        <v>0</v>
      </c>
      <c r="AC31" s="183">
        <v>0</v>
      </c>
      <c r="AD31" s="183">
        <v>0</v>
      </c>
      <c r="AE31" s="183">
        <v>0</v>
      </c>
      <c r="AF31" s="183">
        <v>0</v>
      </c>
      <c r="AG31" s="183">
        <v>0</v>
      </c>
      <c r="AH31" s="183">
        <v>0</v>
      </c>
      <c r="AI31" s="183">
        <v>0</v>
      </c>
      <c r="AJ31" s="183">
        <v>0</v>
      </c>
      <c r="AK31" s="183">
        <v>0</v>
      </c>
      <c r="AL31" s="183">
        <v>0</v>
      </c>
      <c r="AM31" s="183">
        <v>0</v>
      </c>
      <c r="AN31" s="183">
        <v>0</v>
      </c>
    </row>
    <row r="32" spans="2:50" x14ac:dyDescent="0.25">
      <c r="B32" s="39" t="str">
        <f>Base!B37</f>
        <v>Tertiary Direct Staff - Service B</v>
      </c>
      <c r="C32" s="4"/>
      <c r="E32" s="183" cm="1">
        <f t="array" ref="E32:AN32">_xlfn.LET(_xlpm.site,$B$1&amp;"-"&amp;$C$1,_xlpm.locations,Base!$D$4:$BD$4,_xlpm.rates,Base!$D37:$BD37,_xlpm.hours,Base!$D80:$BD80,_xlpm.comp,_xlpm.rates*_xlpm.hours,_xlpm.Customer,_xlfn.ANCHORARRAY($E$1)*0,
_xlpm.Customer_comp,_xlfn.XLOOKUP(_xlpm.site,_xlpm.locations,_xlpm.comp,0,0),_xlpm.ann_incr,_xlfn.XLOOKUP(YEAR(_xlfn.ANCHORARRAY($E$25)),Base!$BJ$4:$BL$4,Base!$BJ80:$BL80,0,0),
_xlpm.bad_debt,_xlfn.XLOOKUP(_xlpm.site,_xlpm.locations,Base!$D$28:$BD$28,0,0),_xlpm.Customer_comp*_xlpm.Customer*_xlpm.bad_debt*_xlpm.ann_incr*(52/12))</f>
        <v>0</v>
      </c>
      <c r="F32" s="183">
        <v>0</v>
      </c>
      <c r="G32" s="183">
        <v>0</v>
      </c>
      <c r="H32" s="183">
        <v>0</v>
      </c>
      <c r="I32" s="183">
        <v>0</v>
      </c>
      <c r="J32" s="183">
        <v>0</v>
      </c>
      <c r="K32" s="183">
        <v>0</v>
      </c>
      <c r="L32" s="183">
        <v>0</v>
      </c>
      <c r="M32" s="183">
        <v>0</v>
      </c>
      <c r="N32" s="183">
        <v>0</v>
      </c>
      <c r="O32" s="183">
        <v>0</v>
      </c>
      <c r="P32" s="183">
        <v>0</v>
      </c>
      <c r="Q32" s="183">
        <v>0</v>
      </c>
      <c r="R32" s="183">
        <v>0</v>
      </c>
      <c r="S32" s="183">
        <v>0</v>
      </c>
      <c r="T32" s="183">
        <v>0</v>
      </c>
      <c r="U32" s="183">
        <v>0</v>
      </c>
      <c r="V32" s="183">
        <v>0</v>
      </c>
      <c r="W32" s="183">
        <v>0</v>
      </c>
      <c r="X32" s="183">
        <v>0</v>
      </c>
      <c r="Y32" s="183">
        <v>0</v>
      </c>
      <c r="Z32" s="183">
        <v>0</v>
      </c>
      <c r="AA32" s="183">
        <v>0</v>
      </c>
      <c r="AB32" s="183">
        <v>0</v>
      </c>
      <c r="AC32" s="183">
        <v>0</v>
      </c>
      <c r="AD32" s="183">
        <v>0</v>
      </c>
      <c r="AE32" s="183">
        <v>0</v>
      </c>
      <c r="AF32" s="183">
        <v>0</v>
      </c>
      <c r="AG32" s="183">
        <v>0</v>
      </c>
      <c r="AH32" s="183">
        <v>0</v>
      </c>
      <c r="AI32" s="183">
        <v>0</v>
      </c>
      <c r="AJ32" s="183">
        <v>0</v>
      </c>
      <c r="AK32" s="183">
        <v>0</v>
      </c>
      <c r="AL32" s="183">
        <v>0</v>
      </c>
      <c r="AM32" s="183">
        <v>0</v>
      </c>
      <c r="AN32" s="183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_xlpm.Customer,_xlfn.ANCHORARRAY($E$2),_xlpm.ann_incr,_xlfn.XLOOKUP(YEAR(_xlfn.ANCHORARRAY($E$25)),Base!$BJ$4:$BL$4,Base!$BJ$81:$BL$81,0,0),
_xlpm.bad_debt,_xlfn.XLOOKUP(_xlpm.site,_xlpm.locations,Base!$D$28:$BD$28,0,0),
_xlpm.comp*_xlpm.bad_debt*_xlpm.ann_incr*(52/12))</f>
        <v>0</v>
      </c>
      <c r="F33" s="12">
        <v>0</v>
      </c>
      <c r="G33" s="12">
        <v>0</v>
      </c>
      <c r="H33" s="12">
        <v>0</v>
      </c>
      <c r="I33" s="12">
        <v>0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2">
        <v>0</v>
      </c>
      <c r="Y33" s="12">
        <v>0</v>
      </c>
      <c r="Z33" s="12">
        <v>0</v>
      </c>
      <c r="AA33" s="12">
        <v>0</v>
      </c>
      <c r="AB33" s="12">
        <v>0</v>
      </c>
      <c r="AC33" s="12">
        <v>0</v>
      </c>
      <c r="AD33" s="12">
        <v>0</v>
      </c>
      <c r="AE33" s="12">
        <v>0</v>
      </c>
      <c r="AF33" s="12">
        <v>0</v>
      </c>
      <c r="AG33" s="12">
        <v>0</v>
      </c>
      <c r="AH33" s="12">
        <v>0</v>
      </c>
      <c r="AI33" s="12">
        <v>0</v>
      </c>
      <c r="AJ33" s="12">
        <v>0</v>
      </c>
      <c r="AK33" s="12">
        <v>0</v>
      </c>
      <c r="AL33" s="12">
        <v>0</v>
      </c>
      <c r="AM33" s="12">
        <v>26688.836416666662</v>
      </c>
      <c r="AN33" s="12">
        <v>26688.836416666662</v>
      </c>
    </row>
    <row r="34" spans="2:40" x14ac:dyDescent="0.25">
      <c r="B34" s="39" t="str">
        <f>Base!B39</f>
        <v>Quinary Direct Staff - Service A</v>
      </c>
      <c r="C34" s="4"/>
      <c r="E34" s="183" cm="1">
        <f t="array" ref="E34:AN34">_xlfn.LET(_xlpm.site,$B$1&amp;"-"&amp;$C$1,_xlpm.locations,Base!$D$4:$BD$4,_xlpm.rates,Base!$D39:$BD39,_xlpm.hours,Base!$D82:$BD82,_xlpm.comp,_xlpm.rates*_xlpm.hours,_xlpm.Customer,_xlfn.ANCHORARRAY($E$1)*0,
_xlpm.Customer_comp,_xlfn.XLOOKUP(_xlpm.site,_xlpm.locations,_xlpm.comp,0,0),_xlpm.ann_incr,_xlfn.XLOOKUP(YEAR(_xlfn.ANCHORARRAY($E$25)),Base!$BJ$4:$BL$4,Base!$BJ82:$BL82,0,0),
_xlpm.bad_debt,_xlfn.XLOOKUP(_xlpm.site,_xlpm.locations,Base!$D$28:$BD$28,0,0),_xlpm.Customer_comp*_xlpm.Customer*_xlpm.bad_debt*_xlpm.ann_incr*(52/12))</f>
        <v>0</v>
      </c>
      <c r="F34" s="183">
        <v>0</v>
      </c>
      <c r="G34" s="183">
        <v>0</v>
      </c>
      <c r="H34" s="183">
        <v>0</v>
      </c>
      <c r="I34" s="183">
        <v>0</v>
      </c>
      <c r="J34" s="183">
        <v>0</v>
      </c>
      <c r="K34" s="183">
        <v>0</v>
      </c>
      <c r="L34" s="183">
        <v>0</v>
      </c>
      <c r="M34" s="183">
        <v>0</v>
      </c>
      <c r="N34" s="183">
        <v>0</v>
      </c>
      <c r="O34" s="183">
        <v>0</v>
      </c>
      <c r="P34" s="183">
        <v>0</v>
      </c>
      <c r="Q34" s="183">
        <v>0</v>
      </c>
      <c r="R34" s="183">
        <v>0</v>
      </c>
      <c r="S34" s="183">
        <v>0</v>
      </c>
      <c r="T34" s="183">
        <v>0</v>
      </c>
      <c r="U34" s="183">
        <v>0</v>
      </c>
      <c r="V34" s="183">
        <v>0</v>
      </c>
      <c r="W34" s="183">
        <v>0</v>
      </c>
      <c r="X34" s="183">
        <v>0</v>
      </c>
      <c r="Y34" s="183">
        <v>0</v>
      </c>
      <c r="Z34" s="183">
        <v>0</v>
      </c>
      <c r="AA34" s="183">
        <v>0</v>
      </c>
      <c r="AB34" s="183">
        <v>0</v>
      </c>
      <c r="AC34" s="183">
        <v>0</v>
      </c>
      <c r="AD34" s="183">
        <v>0</v>
      </c>
      <c r="AE34" s="183">
        <v>0</v>
      </c>
      <c r="AF34" s="183">
        <v>0</v>
      </c>
      <c r="AG34" s="183">
        <v>0</v>
      </c>
      <c r="AH34" s="183">
        <v>0</v>
      </c>
      <c r="AI34" s="183">
        <v>0</v>
      </c>
      <c r="AJ34" s="183">
        <v>0</v>
      </c>
      <c r="AK34" s="183">
        <v>0</v>
      </c>
      <c r="AL34" s="183">
        <v>0</v>
      </c>
      <c r="AM34" s="183">
        <v>0</v>
      </c>
      <c r="AN34" s="183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0</v>
      </c>
      <c r="F35" s="12">
        <v>0</v>
      </c>
      <c r="G35" s="12">
        <v>0</v>
      </c>
      <c r="H35" s="12">
        <v>0</v>
      </c>
      <c r="I35" s="12">
        <v>0</v>
      </c>
      <c r="J35" s="12">
        <v>0</v>
      </c>
      <c r="K35" s="12">
        <v>0</v>
      </c>
      <c r="L35" s="12">
        <v>0</v>
      </c>
      <c r="M35" s="12">
        <v>0</v>
      </c>
      <c r="N35" s="12">
        <v>0</v>
      </c>
      <c r="O35" s="12">
        <v>0</v>
      </c>
      <c r="P35" s="12">
        <v>0</v>
      </c>
      <c r="Q35" s="12">
        <v>0</v>
      </c>
      <c r="R35" s="12">
        <v>0</v>
      </c>
      <c r="S35" s="12">
        <v>0</v>
      </c>
      <c r="T35" s="12">
        <v>0</v>
      </c>
      <c r="U35" s="12">
        <v>0</v>
      </c>
      <c r="V35" s="12">
        <v>0</v>
      </c>
      <c r="W35" s="12">
        <v>0</v>
      </c>
      <c r="X35" s="12">
        <v>0</v>
      </c>
      <c r="Y35" s="12">
        <v>0</v>
      </c>
      <c r="Z35" s="12">
        <v>0</v>
      </c>
      <c r="AA35" s="12">
        <v>0</v>
      </c>
      <c r="AB35" s="12">
        <v>0</v>
      </c>
      <c r="AC35" s="12">
        <v>0</v>
      </c>
      <c r="AD35" s="12">
        <v>0</v>
      </c>
      <c r="AE35" s="12">
        <v>0</v>
      </c>
      <c r="AF35" s="12">
        <v>0</v>
      </c>
      <c r="AG35" s="12">
        <v>0</v>
      </c>
      <c r="AH35" s="12">
        <v>0</v>
      </c>
      <c r="AI35" s="12">
        <v>0</v>
      </c>
      <c r="AJ35" s="12">
        <v>0</v>
      </c>
      <c r="AK35" s="12">
        <v>0</v>
      </c>
      <c r="AL35" s="12">
        <v>0</v>
      </c>
      <c r="AM35" s="12">
        <v>-10068.832691599999</v>
      </c>
      <c r="AN35" s="12">
        <v>-16935.005013199996</v>
      </c>
    </row>
    <row r="36" spans="2:40" x14ac:dyDescent="0.25">
      <c r="B36" s="39" t="s">
        <v>261</v>
      </c>
      <c r="C36" s="15"/>
      <c r="E36" s="183" cm="1">
        <f t="array" ref="E36:AN36">_xlfn.BYCOL(_xlfn.ANCHORARRAY($E$25),_xlfn.LAMBDA(_xlpm.a,0))</f>
        <v>0</v>
      </c>
      <c r="F36" s="183">
        <v>0</v>
      </c>
      <c r="G36" s="183">
        <v>0</v>
      </c>
      <c r="H36" s="183">
        <v>0</v>
      </c>
      <c r="I36" s="183">
        <v>0</v>
      </c>
      <c r="J36" s="183">
        <v>0</v>
      </c>
      <c r="K36" s="183">
        <v>0</v>
      </c>
      <c r="L36" s="183">
        <v>0</v>
      </c>
      <c r="M36" s="183">
        <v>0</v>
      </c>
      <c r="N36" s="183">
        <v>0</v>
      </c>
      <c r="O36" s="183">
        <v>0</v>
      </c>
      <c r="P36" s="183">
        <v>0</v>
      </c>
      <c r="Q36" s="183">
        <v>0</v>
      </c>
      <c r="R36" s="183">
        <v>0</v>
      </c>
      <c r="S36" s="183">
        <v>0</v>
      </c>
      <c r="T36" s="183">
        <v>0</v>
      </c>
      <c r="U36" s="183">
        <v>0</v>
      </c>
      <c r="V36" s="183">
        <v>0</v>
      </c>
      <c r="W36" s="183">
        <v>0</v>
      </c>
      <c r="X36" s="183">
        <v>0</v>
      </c>
      <c r="Y36" s="183">
        <v>0</v>
      </c>
      <c r="Z36" s="183">
        <v>0</v>
      </c>
      <c r="AA36" s="183">
        <v>0</v>
      </c>
      <c r="AB36" s="183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271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0</v>
      </c>
      <c r="S37" s="13">
        <v>0</v>
      </c>
      <c r="T37" s="13">
        <v>0</v>
      </c>
      <c r="U37" s="13">
        <v>0</v>
      </c>
      <c r="V37" s="13">
        <v>0</v>
      </c>
      <c r="W37" s="13">
        <v>0</v>
      </c>
      <c r="X37" s="13">
        <v>0</v>
      </c>
      <c r="Y37" s="13">
        <v>0</v>
      </c>
      <c r="Z37" s="13">
        <v>0</v>
      </c>
      <c r="AA37" s="13">
        <v>0</v>
      </c>
      <c r="AB37" s="13">
        <v>0</v>
      </c>
      <c r="AC37" s="13">
        <v>0</v>
      </c>
      <c r="AD37" s="13">
        <v>0</v>
      </c>
      <c r="AE37" s="13">
        <v>0</v>
      </c>
      <c r="AF37" s="13">
        <v>0</v>
      </c>
      <c r="AG37" s="13">
        <v>0</v>
      </c>
      <c r="AH37" s="13">
        <v>0</v>
      </c>
      <c r="AI37" s="13">
        <v>0</v>
      </c>
      <c r="AJ37" s="13">
        <v>0</v>
      </c>
      <c r="AK37" s="13">
        <v>0</v>
      </c>
      <c r="AL37" s="13">
        <v>0</v>
      </c>
      <c r="AM37" s="13">
        <v>71094.22760506667</v>
      </c>
      <c r="AN37" s="13">
        <v>118702.27916346668</v>
      </c>
    </row>
    <row r="38" spans="2:40" x14ac:dyDescent="0.25">
      <c r="E38" s="67"/>
      <c r="F38" s="67"/>
    </row>
    <row r="39" spans="2:40" x14ac:dyDescent="0.25">
      <c r="B39" s="1" t="s">
        <v>118</v>
      </c>
    </row>
    <row r="40" spans="2:40" x14ac:dyDescent="0.25">
      <c r="B40" s="39" t="s">
        <v>23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0</v>
      </c>
      <c r="F40" s="12">
        <v>0</v>
      </c>
      <c r="G40" s="12">
        <v>0</v>
      </c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0</v>
      </c>
      <c r="N40" s="12">
        <v>0</v>
      </c>
      <c r="O40" s="12">
        <v>0</v>
      </c>
      <c r="P40" s="12">
        <v>0</v>
      </c>
      <c r="Q40" s="12">
        <v>0</v>
      </c>
      <c r="R40" s="12">
        <v>0</v>
      </c>
      <c r="S40" s="12">
        <v>0</v>
      </c>
      <c r="T40" s="12">
        <v>0</v>
      </c>
      <c r="U40" s="12">
        <v>0</v>
      </c>
      <c r="V40" s="12">
        <v>0</v>
      </c>
      <c r="W40" s="12">
        <v>0</v>
      </c>
      <c r="X40" s="12">
        <v>0</v>
      </c>
      <c r="Y40" s="12">
        <v>0</v>
      </c>
      <c r="Z40" s="12">
        <v>0</v>
      </c>
      <c r="AA40" s="12">
        <v>0</v>
      </c>
      <c r="AB40" s="12">
        <v>0</v>
      </c>
      <c r="AC40" s="12">
        <v>0</v>
      </c>
      <c r="AD40" s="12">
        <v>0</v>
      </c>
      <c r="AE40" s="12">
        <v>0</v>
      </c>
      <c r="AF40" s="12">
        <v>0</v>
      </c>
      <c r="AG40" s="12">
        <v>0</v>
      </c>
      <c r="AH40" s="12">
        <v>0</v>
      </c>
      <c r="AI40" s="12">
        <v>0</v>
      </c>
      <c r="AJ40" s="12">
        <v>0</v>
      </c>
      <c r="AK40" s="12">
        <v>0</v>
      </c>
      <c r="AL40" s="12">
        <v>0</v>
      </c>
      <c r="AM40" s="12">
        <v>52771.717808043984</v>
      </c>
      <c r="AN40" s="12">
        <v>90050.480101421301</v>
      </c>
    </row>
    <row r="41" spans="2:40" x14ac:dyDescent="0.25">
      <c r="B41" s="39" t="s">
        <v>388</v>
      </c>
      <c r="C41" s="142">
        <f>_xlfn.XLOOKUP($B$1&amp;"-"&amp;$C$1,Base!$D$4:$BD$4,Base!$D$12:$BD$12,0,0)</f>
        <v>0</v>
      </c>
      <c r="E41" s="183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28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0</v>
      </c>
      <c r="AJ42" s="12">
        <v>0</v>
      </c>
      <c r="AK42" s="12">
        <v>0</v>
      </c>
      <c r="AL42" s="12">
        <v>0</v>
      </c>
      <c r="AM42" s="12">
        <v>15913.5</v>
      </c>
      <c r="AN42" s="12">
        <v>15913.5</v>
      </c>
    </row>
    <row r="43" spans="2:40" x14ac:dyDescent="0.25">
      <c r="B43" s="39" t="s">
        <v>31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0</v>
      </c>
      <c r="X43" s="12">
        <v>0</v>
      </c>
      <c r="Y43" s="12">
        <v>0</v>
      </c>
      <c r="Z43" s="12">
        <v>0</v>
      </c>
      <c r="AA43" s="12">
        <v>0</v>
      </c>
      <c r="AB43" s="12">
        <v>0</v>
      </c>
      <c r="AC43" s="12">
        <v>0</v>
      </c>
      <c r="AD43" s="12">
        <v>0</v>
      </c>
      <c r="AE43" s="12">
        <v>0</v>
      </c>
      <c r="AF43" s="12">
        <v>0</v>
      </c>
      <c r="AG43" s="12">
        <v>0</v>
      </c>
      <c r="AH43" s="12">
        <v>0</v>
      </c>
      <c r="AI43" s="12">
        <v>0</v>
      </c>
      <c r="AJ43" s="12">
        <v>0</v>
      </c>
      <c r="AK43" s="12">
        <v>0</v>
      </c>
      <c r="AL43" s="12">
        <v>0</v>
      </c>
      <c r="AM43" s="12">
        <v>8328.3200000000015</v>
      </c>
      <c r="AN43" s="12">
        <v>8328.3200000000015</v>
      </c>
    </row>
    <row r="44" spans="2:40" x14ac:dyDescent="0.25">
      <c r="B44" s="39" t="s">
        <v>34</v>
      </c>
      <c r="C44" s="96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  <c r="O44" s="12">
        <v>0</v>
      </c>
      <c r="P44" s="12">
        <v>0</v>
      </c>
      <c r="Q44" s="12">
        <v>0</v>
      </c>
      <c r="R44" s="12">
        <v>0</v>
      </c>
      <c r="S44" s="12">
        <v>0</v>
      </c>
      <c r="T44" s="12">
        <v>0</v>
      </c>
      <c r="U44" s="12">
        <v>0</v>
      </c>
      <c r="V44" s="12">
        <v>0</v>
      </c>
      <c r="W44" s="12">
        <v>0</v>
      </c>
      <c r="X44" s="12">
        <v>0</v>
      </c>
      <c r="Y44" s="12">
        <v>0</v>
      </c>
      <c r="Z44" s="12">
        <v>0</v>
      </c>
      <c r="AA44" s="12">
        <v>0</v>
      </c>
      <c r="AB44" s="12">
        <v>0</v>
      </c>
      <c r="AC44" s="12">
        <v>0</v>
      </c>
      <c r="AD44" s="12">
        <v>0</v>
      </c>
      <c r="AE44" s="12">
        <v>0</v>
      </c>
      <c r="AF44" s="12">
        <v>0</v>
      </c>
      <c r="AG44" s="12">
        <v>0</v>
      </c>
      <c r="AH44" s="12">
        <v>0</v>
      </c>
      <c r="AI44" s="12">
        <v>0</v>
      </c>
      <c r="AJ44" s="12">
        <v>0</v>
      </c>
      <c r="AK44" s="12">
        <v>0</v>
      </c>
      <c r="AL44" s="12">
        <v>0</v>
      </c>
      <c r="AM44" s="12">
        <v>393.58904832000007</v>
      </c>
      <c r="AN44" s="12">
        <v>1042.2821094400001</v>
      </c>
    </row>
    <row r="45" spans="2:40" x14ac:dyDescent="0.25">
      <c r="B45" s="39" t="s">
        <v>36</v>
      </c>
      <c r="C45" s="96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0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12">
        <v>0</v>
      </c>
      <c r="R45" s="12">
        <v>0</v>
      </c>
      <c r="S45" s="12">
        <v>0</v>
      </c>
      <c r="T45" s="12">
        <v>0</v>
      </c>
      <c r="U45" s="12">
        <v>0</v>
      </c>
      <c r="V45" s="12">
        <v>0</v>
      </c>
      <c r="W45" s="12">
        <v>0</v>
      </c>
      <c r="X45" s="12">
        <v>0</v>
      </c>
      <c r="Y45" s="12">
        <v>0</v>
      </c>
      <c r="Z45" s="12">
        <v>0</v>
      </c>
      <c r="AA45" s="12">
        <v>0</v>
      </c>
      <c r="AB45" s="12">
        <v>0</v>
      </c>
      <c r="AC45" s="12">
        <v>0</v>
      </c>
      <c r="AD45" s="12">
        <v>0</v>
      </c>
      <c r="AE45" s="12">
        <v>0</v>
      </c>
      <c r="AF45" s="12">
        <v>0</v>
      </c>
      <c r="AG45" s="12">
        <v>0</v>
      </c>
      <c r="AH45" s="12">
        <v>0</v>
      </c>
      <c r="AI45" s="12">
        <v>0</v>
      </c>
      <c r="AJ45" s="12">
        <v>0</v>
      </c>
      <c r="AK45" s="12">
        <v>0</v>
      </c>
      <c r="AL45" s="12">
        <v>0</v>
      </c>
      <c r="AM45" s="12">
        <v>6762.6</v>
      </c>
      <c r="AN45" s="12">
        <v>6762.6</v>
      </c>
    </row>
    <row r="46" spans="2:40" x14ac:dyDescent="0.25">
      <c r="B46" s="39" t="s">
        <v>38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0</v>
      </c>
      <c r="F46" s="12">
        <v>0</v>
      </c>
      <c r="G46" s="12">
        <v>0</v>
      </c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0</v>
      </c>
      <c r="N46" s="12">
        <v>0</v>
      </c>
      <c r="O46" s="12">
        <v>0</v>
      </c>
      <c r="P46" s="12">
        <v>0</v>
      </c>
      <c r="Q46" s="12">
        <v>0</v>
      </c>
      <c r="R46" s="12">
        <v>0</v>
      </c>
      <c r="S46" s="12">
        <v>0</v>
      </c>
      <c r="T46" s="12">
        <v>0</v>
      </c>
      <c r="U46" s="12">
        <v>0</v>
      </c>
      <c r="V46" s="12">
        <v>0</v>
      </c>
      <c r="W46" s="12">
        <v>0</v>
      </c>
      <c r="X46" s="12">
        <v>0</v>
      </c>
      <c r="Y46" s="12">
        <v>0</v>
      </c>
      <c r="Z46" s="12">
        <v>0</v>
      </c>
      <c r="AA46" s="12">
        <v>0</v>
      </c>
      <c r="AB46" s="12">
        <v>0</v>
      </c>
      <c r="AC46" s="12">
        <v>0</v>
      </c>
      <c r="AD46" s="12">
        <v>0</v>
      </c>
      <c r="AE46" s="12">
        <v>0</v>
      </c>
      <c r="AF46" s="12">
        <v>0</v>
      </c>
      <c r="AG46" s="12">
        <v>0</v>
      </c>
      <c r="AH46" s="12">
        <v>0</v>
      </c>
      <c r="AI46" s="12">
        <v>0</v>
      </c>
      <c r="AJ46" s="12">
        <v>0</v>
      </c>
      <c r="AK46" s="12">
        <v>0</v>
      </c>
      <c r="AL46" s="12">
        <v>0</v>
      </c>
      <c r="AM46" s="12">
        <v>3676.7735999999991</v>
      </c>
      <c r="AN46" s="12">
        <v>5617.639799999999</v>
      </c>
    </row>
    <row r="47" spans="2:40" x14ac:dyDescent="0.25">
      <c r="B47" s="39" t="s">
        <v>40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  <c r="O47" s="12">
        <v>0</v>
      </c>
      <c r="P47" s="12">
        <v>0</v>
      </c>
      <c r="Q47" s="12">
        <v>0</v>
      </c>
      <c r="R47" s="12">
        <v>0</v>
      </c>
      <c r="S47" s="12">
        <v>0</v>
      </c>
      <c r="T47" s="12">
        <v>0</v>
      </c>
      <c r="U47" s="12">
        <v>0</v>
      </c>
      <c r="V47" s="12">
        <v>0</v>
      </c>
      <c r="W47" s="12">
        <v>0</v>
      </c>
      <c r="X47" s="12">
        <v>0</v>
      </c>
      <c r="Y47" s="12">
        <v>0</v>
      </c>
      <c r="Z47" s="12">
        <v>0</v>
      </c>
      <c r="AA47" s="12">
        <v>0</v>
      </c>
      <c r="AB47" s="12">
        <v>0</v>
      </c>
      <c r="AC47" s="12">
        <v>0</v>
      </c>
      <c r="AD47" s="12">
        <v>0</v>
      </c>
      <c r="AE47" s="12">
        <v>0</v>
      </c>
      <c r="AF47" s="12">
        <v>0</v>
      </c>
      <c r="AG47" s="12">
        <v>0</v>
      </c>
      <c r="AH47" s="12">
        <v>0</v>
      </c>
      <c r="AI47" s="12">
        <v>0</v>
      </c>
      <c r="AJ47" s="12">
        <v>0</v>
      </c>
      <c r="AK47" s="12">
        <v>0</v>
      </c>
      <c r="AL47" s="12">
        <v>0</v>
      </c>
      <c r="AM47" s="12">
        <v>6615</v>
      </c>
      <c r="AN47" s="12">
        <v>6615</v>
      </c>
    </row>
    <row r="48" spans="2:40" x14ac:dyDescent="0.25">
      <c r="B48" s="39" t="s">
        <v>41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151234.47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42</v>
      </c>
      <c r="E49" s="12">
        <f>'Corp.'!E$50*(E$37-(E31-E32-E34)*$C$35)/(SUM('MDA1:NCA9'!E$37)-SUM('MDA1:NCA9'!E$31)-SUM('MDA1:NCA9'!E$32)-SUM('MDA1:NCA9'!E$34))</f>
        <v>0</v>
      </c>
      <c r="F49" s="12">
        <f>'Corp.'!F$50*(F$37-(F31-F32-F34)*$C$35)/(SUM('MDA1:NCA9'!F$37)-SUM('MDA1:NCA9'!F$31)-SUM('MDA1:NCA9'!F$32)-SUM('MDA1:NCA9'!F$34))</f>
        <v>0</v>
      </c>
      <c r="G49" s="12">
        <f>'Corp.'!G$50*(G$37-(G31-G32-G34)*$C$35)/(SUM('MDA1:NCA9'!G$37)-SUM('MDA1:NCA9'!G$31)-SUM('MDA1:NCA9'!G$32)-SUM('MDA1:NCA9'!G$34))</f>
        <v>0</v>
      </c>
      <c r="H49" s="12">
        <f>'Corp.'!H$50*(H$37-(H31-H32-H34)*$C$35)/(SUM('MDA1:NCA9'!H$37)-SUM('MDA1:NCA9'!H$31)-SUM('MDA1:NCA9'!H$32)-SUM('MDA1:NCA9'!H$34))</f>
        <v>0</v>
      </c>
      <c r="I49" s="12">
        <f>'Corp.'!I$50*(I$37-(I31-I32-I34)*$C$35)/(SUM('MDA1:NCA9'!I$37)-SUM('MDA1:NCA9'!I$31)-SUM('MDA1:NCA9'!I$32)-SUM('MDA1:NCA9'!I$34))</f>
        <v>0</v>
      </c>
      <c r="J49" s="12">
        <f>'Corp.'!J$50*(J$37-(J31-J32-J34)*$C$35)/(SUM('MDA1:NCA9'!J$37)-SUM('MDA1:NCA9'!J$31)-SUM('MDA1:NCA9'!J$32)-SUM('MDA1:NCA9'!J$34))</f>
        <v>0</v>
      </c>
      <c r="K49" s="12">
        <f>'Corp.'!K$50*(K$37-(K31-K32-K34)*$C$35)/(SUM('MDA1:NCA9'!K$37)-SUM('MDA1:NCA9'!K$31)-SUM('MDA1:NCA9'!K$32)-SUM('MDA1:NCA9'!K$34))</f>
        <v>0</v>
      </c>
      <c r="L49" s="12">
        <f>'Corp.'!L$50*(L$37-(L31-L32-L34)*$C$35)/(SUM('MDA1:NCA9'!L$37)-SUM('MDA1:NCA9'!L$31)-SUM('MDA1:NCA9'!L$32)-SUM('MDA1:NCA9'!L$34))</f>
        <v>0</v>
      </c>
      <c r="M49" s="12">
        <f>'Corp.'!M$50*(M$37-(M31-M32-M34)*$C$35)/(SUM('MDA1:NCA9'!M$37)-SUM('MDA1:NCA9'!M$31)-SUM('MDA1:NCA9'!M$32)-SUM('MDA1:NCA9'!M$34))</f>
        <v>0</v>
      </c>
      <c r="N49" s="12">
        <f>'Corp.'!N$50*(N$37-(N31-N32-N34)*$C$35)/(SUM('MDA1:NCA9'!N$37)-SUM('MDA1:NCA9'!N$31)-SUM('MDA1:NCA9'!N$32)-SUM('MDA1:NCA9'!N$34))</f>
        <v>0</v>
      </c>
      <c r="O49" s="12">
        <f>'Corp.'!O$50*(O$37-(O31-O32-O34)*$C$35)/(SUM('MDA1:NCA9'!O$37)-SUM('MDA1:NCA9'!O$31)-SUM('MDA1:NCA9'!O$32)-SUM('MDA1:NCA9'!O$34))</f>
        <v>0</v>
      </c>
      <c r="P49" s="12">
        <f>'Corp.'!P$50*(P$37-(P31-P32-P34)*$C$35)/(SUM('MDA1:NCA9'!P$37)-SUM('MDA1:NCA9'!P$31)-SUM('MDA1:NCA9'!P$32)-SUM('MDA1:NCA9'!P$34))</f>
        <v>0</v>
      </c>
      <c r="Q49" s="12">
        <f>'Corp.'!Q$50*(Q$37-(Q31-Q32-Q34)*$C$35)/(SUM('MDA1:NCA9'!Q$37)-SUM('MDA1:NCA9'!Q$31)-SUM('MDA1:NCA9'!Q$32)-SUM('MDA1:NCA9'!Q$34))</f>
        <v>0</v>
      </c>
      <c r="R49" s="12">
        <f>'Corp.'!R$50*(R$37-(R31-R32-R34)*$C$35)/(SUM('MDA1:NCA9'!R$37)-SUM('MDA1:NCA9'!R$31)-SUM('MDA1:NCA9'!R$32)-SUM('MDA1:NCA9'!R$34))</f>
        <v>0</v>
      </c>
      <c r="S49" s="12">
        <f>'Corp.'!S$50*(S$37-(S31-S32-S34)*$C$35)/(SUM('MDA1:NCA9'!S$37)-SUM('MDA1:NCA9'!S$31)-SUM('MDA1:NCA9'!S$32)-SUM('MDA1:NCA9'!S$34))</f>
        <v>0</v>
      </c>
      <c r="T49" s="12">
        <f>'Corp.'!T$50*(T$37-(T31-T32-T34)*$C$35)/(SUM('MDA1:NCA9'!T$37)-SUM('MDA1:NCA9'!T$31)-SUM('MDA1:NCA9'!T$32)-SUM('MDA1:NCA9'!T$34))</f>
        <v>0</v>
      </c>
      <c r="U49" s="12">
        <f>'Corp.'!U$50*(U$37-(U31-U32-U34)*$C$35)/(SUM('MDA1:NCA9'!U$37)-SUM('MDA1:NCA9'!U$31)-SUM('MDA1:NCA9'!U$32)-SUM('MDA1:NCA9'!U$34))</f>
        <v>0</v>
      </c>
      <c r="V49" s="12">
        <f>'Corp.'!V$50*(V$37-(V31-V32-V34)*$C$35)/(SUM('MDA1:NCA9'!V$37)-SUM('MDA1:NCA9'!V$31)-SUM('MDA1:NCA9'!V$32)-SUM('MDA1:NCA9'!V$34))</f>
        <v>0</v>
      </c>
      <c r="W49" s="12">
        <f>'Corp.'!W$50*(W$37-(W31-W32-W34)*$C$35)/(SUM('MDA1:NCA9'!W$37)-SUM('MDA1:NCA9'!W$31)-SUM('MDA1:NCA9'!W$32)-SUM('MDA1:NCA9'!W$34))</f>
        <v>0</v>
      </c>
      <c r="X49" s="12">
        <f>'Corp.'!X$50*(X$37-(X31-X32-X34)*$C$35)/(SUM('MDA1:NCA9'!X$37)-SUM('MDA1:NCA9'!X$31)-SUM('MDA1:NCA9'!X$32)-SUM('MDA1:NCA9'!X$34))</f>
        <v>0</v>
      </c>
      <c r="Y49" s="12">
        <f>'Corp.'!Y$50*(Y$37-(Y31-Y32-Y34)*$C$35)/(SUM('MDA1:NCA9'!Y$37)-SUM('MDA1:NCA9'!Y$31)-SUM('MDA1:NCA9'!Y$32)-SUM('MDA1:NCA9'!Y$34))</f>
        <v>0</v>
      </c>
      <c r="Z49" s="12">
        <f>'Corp.'!Z$50*(Z$37-(Z31-Z32-Z34)*$C$35)/(SUM('MDA1:NCA9'!Z$37)-SUM('MDA1:NCA9'!Z$31)-SUM('MDA1:NCA9'!Z$32)-SUM('MDA1:NCA9'!Z$34))</f>
        <v>0</v>
      </c>
      <c r="AA49" s="12">
        <f>'Corp.'!AA$50*(AA$37-(AA31-AA32-AA34)*$C$35)/(SUM('MDA1:NCA9'!AA$37)-SUM('MDA1:NCA9'!AA$31)-SUM('MDA1:NCA9'!AA$32)-SUM('MDA1:NCA9'!AA$34))</f>
        <v>0</v>
      </c>
      <c r="AB49" s="12">
        <f>'Corp.'!AB$50*(AB$37-(AB31-AB32-AB34)*$C$35)/(SUM('MDA1:NCA9'!AB$37)-SUM('MDA1:NCA9'!AB$31)-SUM('MDA1:NCA9'!AB$32)-SUM('MDA1:NCA9'!AB$34))</f>
        <v>0</v>
      </c>
      <c r="AC49" s="12">
        <f>'Corp.'!AC$50*(AC$37-(AC31-AC32-AC34)*$C$35)/(SUM('MDA1:NCA9'!AC$37)-SUM('MDA1:NCA9'!AC$31)-SUM('MDA1:NCA9'!AC$32)-SUM('MDA1:NCA9'!AC$34))</f>
        <v>0</v>
      </c>
      <c r="AD49" s="12">
        <f>'Corp.'!AD$50*(AD$37-(AD31-AD32-AD34)*$C$35)/(SUM('MDA1:NCA9'!AD$37)-SUM('MDA1:NCA9'!AD$31)-SUM('MDA1:NCA9'!AD$32)-SUM('MDA1:NCA9'!AD$34))</f>
        <v>0</v>
      </c>
      <c r="AE49" s="12">
        <f>'Corp.'!AE$50*(AE$37-(AE31-AE32-AE34)*$C$35)/(SUM('MDA1:NCA9'!AE$37)-SUM('MDA1:NCA9'!AE$31)-SUM('MDA1:NCA9'!AE$32)-SUM('MDA1:NCA9'!AE$34))</f>
        <v>0</v>
      </c>
      <c r="AF49" s="12">
        <f>'Corp.'!AF$50*(AF$37-(AF31-AF32-AF34)*$C$35)/(SUM('MDA1:NCA9'!AF$37)-SUM('MDA1:NCA9'!AF$31)-SUM('MDA1:NCA9'!AF$32)-SUM('MDA1:NCA9'!AF$34))</f>
        <v>0</v>
      </c>
      <c r="AG49" s="12">
        <f>'Corp.'!AG$50*(AG$37-(AG31-AG32-AG34)*$C$35)/(SUM('MDA1:NCA9'!AG$37)-SUM('MDA1:NCA9'!AG$31)-SUM('MDA1:NCA9'!AG$32)-SUM('MDA1:NCA9'!AG$34))</f>
        <v>0</v>
      </c>
      <c r="AH49" s="12">
        <f>'Corp.'!AH$50*(AH$37-(AH31-AH32-AH34)*$C$35)/(SUM('MDA1:NCA9'!AH$37)-SUM('MDA1:NCA9'!AH$31)-SUM('MDA1:NCA9'!AH$32)-SUM('MDA1:NCA9'!AH$34))</f>
        <v>0</v>
      </c>
      <c r="AI49" s="12">
        <f>'Corp.'!AI$50*(AI$37-(AI31-AI32-AI34)*$C$35)/(SUM('MDA1:NCA9'!AI$37)-SUM('MDA1:NCA9'!AI$31)-SUM('MDA1:NCA9'!AI$32)-SUM('MDA1:NCA9'!AI$34))</f>
        <v>0</v>
      </c>
      <c r="AJ49" s="12">
        <f>'Corp.'!AJ$50*(AJ$37-(AJ31-AJ32-AJ34)*$C$35)/(SUM('MDA1:NCA9'!AJ$37)-SUM('MDA1:NCA9'!AJ$31)-SUM('MDA1:NCA9'!AJ$32)-SUM('MDA1:NCA9'!AJ$34))</f>
        <v>0</v>
      </c>
      <c r="AK49" s="12">
        <f>'Corp.'!AK$50*(AK$37-(AK31-AK32-AK34)*$C$35)/(SUM('MDA1:NCA9'!AK$37)-SUM('MDA1:NCA9'!AK$31)-SUM('MDA1:NCA9'!AK$32)-SUM('MDA1:NCA9'!AK$34))</f>
        <v>0</v>
      </c>
      <c r="AL49" s="12">
        <f>'Corp.'!AL$50*(AL$37-(AL31-AL32-AL34)*$C$35)/(SUM('MDA1:NCA9'!AL$37)-SUM('MDA1:NCA9'!AL$31)-SUM('MDA1:NCA9'!AL$32)-SUM('MDA1:NCA9'!AL$34))</f>
        <v>0</v>
      </c>
      <c r="AM49" s="12">
        <f>'Corp.'!AM$50*(AM$37-(AM31-AM32-AM34)*$C$35)/(SUM('MDA1:NCA9'!AM$37)-SUM('MDA1:NCA9'!AM$31)-SUM('MDA1:NCA9'!AM$32)-SUM('MDA1:NCA9'!AM$34))</f>
        <v>7254.3299760775017</v>
      </c>
      <c r="AN49" s="12">
        <f>'Corp.'!AN$50*(AN$37-(AN31-AN32-AN34)*$C$35)/(SUM('MDA1:NCA9'!AN$37)-SUM('MDA1:NCA9'!AN$31)-SUM('MDA1:NCA9'!AN$32)-SUM('MDA1:NCA9'!AN$34))</f>
        <v>11931.059593635482</v>
      </c>
    </row>
    <row r="50" spans="2:40" x14ac:dyDescent="0.25">
      <c r="B50" s="1" t="s">
        <v>272</v>
      </c>
      <c r="E50" s="13" cm="1">
        <f t="array" ref="E50:AN50">_xlfn.BYCOL(_xlfn.VSTACK(_xlfn.ANCHORARRAY(E40),_xlfn.ANCHORARRAY(E42),_xlfn.ANCHORARRAY(E43),_xlfn.ANCHORARRAY(E45),_xlfn.ANCHORARRAY(E46),_xlfn.ANCHORARRAY(E47),_xlfn.ANCHORARRAY(E48),_xlfn.HSTACK(E49:AN49)),_xlfn.LAMBDA(_xlpm.a,SUM(_xlpm.a)))</f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0</v>
      </c>
      <c r="Q50" s="13">
        <v>0</v>
      </c>
      <c r="R50" s="13">
        <v>0</v>
      </c>
      <c r="S50" s="13">
        <v>0</v>
      </c>
      <c r="T50" s="13">
        <v>0</v>
      </c>
      <c r="U50" s="13">
        <v>0</v>
      </c>
      <c r="V50" s="13">
        <v>0</v>
      </c>
      <c r="W50" s="13">
        <v>0</v>
      </c>
      <c r="X50" s="13">
        <v>0</v>
      </c>
      <c r="Y50" s="13">
        <v>0</v>
      </c>
      <c r="Z50" s="13">
        <v>0</v>
      </c>
      <c r="AA50" s="13">
        <v>0</v>
      </c>
      <c r="AB50" s="13">
        <v>0</v>
      </c>
      <c r="AC50" s="13">
        <v>0</v>
      </c>
      <c r="AD50" s="13">
        <v>0</v>
      </c>
      <c r="AE50" s="13">
        <v>0</v>
      </c>
      <c r="AF50" s="13">
        <v>0</v>
      </c>
      <c r="AG50" s="13">
        <v>0</v>
      </c>
      <c r="AH50" s="13">
        <v>0</v>
      </c>
      <c r="AI50" s="13">
        <v>0</v>
      </c>
      <c r="AJ50" s="13">
        <v>0</v>
      </c>
      <c r="AK50" s="13">
        <v>151234.47</v>
      </c>
      <c r="AL50" s="13">
        <v>0</v>
      </c>
      <c r="AM50" s="13">
        <v>101322.2413841215</v>
      </c>
      <c r="AN50" s="13">
        <v>145218.59949505681</v>
      </c>
    </row>
    <row r="52" spans="2:40" x14ac:dyDescent="0.25">
      <c r="B52" s="1" t="s">
        <v>48</v>
      </c>
      <c r="E52" s="74">
        <f>E37-E50</f>
        <v>0</v>
      </c>
      <c r="F52" s="74">
        <f t="shared" ref="F52:AN52" si="0">F37-F50</f>
        <v>0</v>
      </c>
      <c r="G52" s="74">
        <f t="shared" si="0"/>
        <v>0</v>
      </c>
      <c r="H52" s="74">
        <f t="shared" si="0"/>
        <v>0</v>
      </c>
      <c r="I52" s="74">
        <f t="shared" si="0"/>
        <v>0</v>
      </c>
      <c r="J52" s="74">
        <f t="shared" si="0"/>
        <v>0</v>
      </c>
      <c r="K52" s="74">
        <f t="shared" si="0"/>
        <v>0</v>
      </c>
      <c r="L52" s="74">
        <f t="shared" si="0"/>
        <v>0</v>
      </c>
      <c r="M52" s="74">
        <f t="shared" si="0"/>
        <v>0</v>
      </c>
      <c r="N52" s="74">
        <f t="shared" si="0"/>
        <v>0</v>
      </c>
      <c r="O52" s="74">
        <f t="shared" si="0"/>
        <v>0</v>
      </c>
      <c r="P52" s="74">
        <f t="shared" si="0"/>
        <v>0</v>
      </c>
      <c r="Q52" s="74">
        <f t="shared" si="0"/>
        <v>0</v>
      </c>
      <c r="R52" s="74">
        <f t="shared" si="0"/>
        <v>0</v>
      </c>
      <c r="S52" s="74">
        <f t="shared" si="0"/>
        <v>0</v>
      </c>
      <c r="T52" s="74">
        <f t="shared" si="0"/>
        <v>0</v>
      </c>
      <c r="U52" s="74">
        <f t="shared" si="0"/>
        <v>0</v>
      </c>
      <c r="V52" s="74">
        <f t="shared" si="0"/>
        <v>0</v>
      </c>
      <c r="W52" s="74">
        <f t="shared" si="0"/>
        <v>0</v>
      </c>
      <c r="X52" s="74">
        <f t="shared" si="0"/>
        <v>0</v>
      </c>
      <c r="Y52" s="74">
        <f t="shared" si="0"/>
        <v>0</v>
      </c>
      <c r="Z52" s="74">
        <f t="shared" si="0"/>
        <v>0</v>
      </c>
      <c r="AA52" s="74">
        <f t="shared" si="0"/>
        <v>0</v>
      </c>
      <c r="AB52" s="74">
        <f t="shared" si="0"/>
        <v>0</v>
      </c>
      <c r="AC52" s="74">
        <f t="shared" si="0"/>
        <v>0</v>
      </c>
      <c r="AD52" s="74">
        <f t="shared" si="0"/>
        <v>0</v>
      </c>
      <c r="AE52" s="74">
        <f t="shared" si="0"/>
        <v>0</v>
      </c>
      <c r="AF52" s="74">
        <f t="shared" si="0"/>
        <v>0</v>
      </c>
      <c r="AG52" s="74">
        <f t="shared" si="0"/>
        <v>0</v>
      </c>
      <c r="AH52" s="74">
        <f t="shared" si="0"/>
        <v>0</v>
      </c>
      <c r="AI52" s="74">
        <f t="shared" si="0"/>
        <v>0</v>
      </c>
      <c r="AJ52" s="74">
        <f t="shared" si="0"/>
        <v>0</v>
      </c>
      <c r="AK52" s="74">
        <f t="shared" si="0"/>
        <v>-151234.47</v>
      </c>
      <c r="AL52" s="74">
        <f t="shared" si="0"/>
        <v>0</v>
      </c>
      <c r="AM52" s="74">
        <f t="shared" si="0"/>
        <v>-30228.013779054832</v>
      </c>
      <c r="AN52" s="74">
        <f t="shared" si="0"/>
        <v>-26516.320331590134</v>
      </c>
    </row>
    <row r="53" spans="2:40" x14ac:dyDescent="0.25">
      <c r="E53" s="105" t="str">
        <f>IFERROR(E52/E37,"")</f>
        <v/>
      </c>
      <c r="F53" s="105" t="str">
        <f t="shared" ref="F53:AN53" si="1">IFERROR(F52/F37,"")</f>
        <v/>
      </c>
      <c r="G53" s="105" t="str">
        <f t="shared" si="1"/>
        <v/>
      </c>
      <c r="H53" s="105" t="str">
        <f t="shared" si="1"/>
        <v/>
      </c>
      <c r="I53" s="105" t="str">
        <f t="shared" si="1"/>
        <v/>
      </c>
      <c r="J53" s="105" t="str">
        <f t="shared" si="1"/>
        <v/>
      </c>
      <c r="K53" s="105" t="str">
        <f t="shared" si="1"/>
        <v/>
      </c>
      <c r="L53" s="105" t="str">
        <f t="shared" si="1"/>
        <v/>
      </c>
      <c r="M53" s="105" t="str">
        <f t="shared" si="1"/>
        <v/>
      </c>
      <c r="N53" s="105" t="str">
        <f t="shared" si="1"/>
        <v/>
      </c>
      <c r="O53" s="105" t="str">
        <f t="shared" si="1"/>
        <v/>
      </c>
      <c r="P53" s="105" t="str">
        <f t="shared" si="1"/>
        <v/>
      </c>
      <c r="Q53" s="105" t="str">
        <f t="shared" si="1"/>
        <v/>
      </c>
      <c r="R53" s="105" t="str">
        <f t="shared" si="1"/>
        <v/>
      </c>
      <c r="S53" s="105" t="str">
        <f t="shared" si="1"/>
        <v/>
      </c>
      <c r="T53" s="105" t="str">
        <f t="shared" si="1"/>
        <v/>
      </c>
      <c r="U53" s="105" t="str">
        <f t="shared" si="1"/>
        <v/>
      </c>
      <c r="V53" s="105" t="str">
        <f t="shared" si="1"/>
        <v/>
      </c>
      <c r="W53" s="105" t="str">
        <f t="shared" si="1"/>
        <v/>
      </c>
      <c r="X53" s="105" t="str">
        <f t="shared" si="1"/>
        <v/>
      </c>
      <c r="Y53" s="105" t="str">
        <f t="shared" si="1"/>
        <v/>
      </c>
      <c r="Z53" s="105" t="str">
        <f t="shared" si="1"/>
        <v/>
      </c>
      <c r="AA53" s="105" t="str">
        <f t="shared" si="1"/>
        <v/>
      </c>
      <c r="AB53" s="105" t="str">
        <f t="shared" si="1"/>
        <v/>
      </c>
      <c r="AC53" s="105" t="str">
        <f t="shared" si="1"/>
        <v/>
      </c>
      <c r="AD53" s="105" t="str">
        <f t="shared" si="1"/>
        <v/>
      </c>
      <c r="AE53" s="105" t="str">
        <f t="shared" si="1"/>
        <v/>
      </c>
      <c r="AF53" s="105" t="str">
        <f t="shared" si="1"/>
        <v/>
      </c>
      <c r="AG53" s="105" t="str">
        <f t="shared" si="1"/>
        <v/>
      </c>
      <c r="AH53" s="105" t="str">
        <f t="shared" si="1"/>
        <v/>
      </c>
      <c r="AI53" s="105" t="str">
        <f t="shared" si="1"/>
        <v/>
      </c>
      <c r="AJ53" s="105" t="str">
        <f t="shared" si="1"/>
        <v/>
      </c>
      <c r="AK53" s="105" t="str">
        <f t="shared" si="1"/>
        <v/>
      </c>
      <c r="AL53" s="105" t="str">
        <f t="shared" si="1"/>
        <v/>
      </c>
      <c r="AM53" s="105">
        <f t="shared" si="1"/>
        <v>-0.42518239240144123</v>
      </c>
      <c r="AN53" s="105">
        <f t="shared" si="1"/>
        <v>-0.22338509857147826</v>
      </c>
    </row>
    <row r="55" spans="2:40" x14ac:dyDescent="0.25">
      <c r="B55" t="s">
        <v>57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1411000</v>
      </c>
      <c r="D55" s="12">
        <f>C55-SUM(_xlfn.ANCHORARRAY(E55))</f>
        <v>470333.33333333337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235166.66666666666</v>
      </c>
      <c r="AL55" s="12">
        <v>235166.66666666666</v>
      </c>
      <c r="AM55" s="12">
        <v>235166.66666666666</v>
      </c>
      <c r="AN55" s="12">
        <v>235166.66666666666</v>
      </c>
    </row>
    <row r="56" spans="2:40" x14ac:dyDescent="0.25">
      <c r="B56" t="s">
        <v>285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0</v>
      </c>
      <c r="F56" s="90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0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0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0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0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0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276</v>
      </c>
      <c r="E58" s="13">
        <f>E37-E50-E55+E56</f>
        <v>0</v>
      </c>
      <c r="F58" s="13">
        <f t="shared" ref="F58:AN58" si="2">F37-F50-F55+F56</f>
        <v>0</v>
      </c>
      <c r="G58" s="13">
        <f t="shared" si="2"/>
        <v>0</v>
      </c>
      <c r="H58" s="13">
        <f t="shared" si="2"/>
        <v>0</v>
      </c>
      <c r="I58" s="13">
        <f t="shared" si="2"/>
        <v>0</v>
      </c>
      <c r="J58" s="13">
        <f t="shared" si="2"/>
        <v>0</v>
      </c>
      <c r="K58" s="13">
        <f t="shared" si="2"/>
        <v>0</v>
      </c>
      <c r="L58" s="13">
        <f t="shared" si="2"/>
        <v>0</v>
      </c>
      <c r="M58" s="13">
        <f t="shared" si="2"/>
        <v>0</v>
      </c>
      <c r="N58" s="13">
        <f t="shared" si="2"/>
        <v>0</v>
      </c>
      <c r="O58" s="13">
        <f t="shared" si="2"/>
        <v>0</v>
      </c>
      <c r="P58" s="13">
        <f t="shared" si="2"/>
        <v>0</v>
      </c>
      <c r="Q58" s="13">
        <f t="shared" si="2"/>
        <v>0</v>
      </c>
      <c r="R58" s="13">
        <f t="shared" si="2"/>
        <v>0</v>
      </c>
      <c r="S58" s="13">
        <f t="shared" si="2"/>
        <v>0</v>
      </c>
      <c r="T58" s="13">
        <f t="shared" si="2"/>
        <v>0</v>
      </c>
      <c r="U58" s="13">
        <f t="shared" si="2"/>
        <v>0</v>
      </c>
      <c r="V58" s="13">
        <f t="shared" si="2"/>
        <v>0</v>
      </c>
      <c r="W58" s="13">
        <f t="shared" si="2"/>
        <v>0</v>
      </c>
      <c r="X58" s="13">
        <f t="shared" si="2"/>
        <v>0</v>
      </c>
      <c r="Y58" s="13">
        <f t="shared" si="2"/>
        <v>0</v>
      </c>
      <c r="Z58" s="13">
        <f t="shared" si="2"/>
        <v>0</v>
      </c>
      <c r="AA58" s="13">
        <f t="shared" si="2"/>
        <v>0</v>
      </c>
      <c r="AB58" s="13">
        <f t="shared" si="2"/>
        <v>0</v>
      </c>
      <c r="AC58" s="13">
        <f t="shared" si="2"/>
        <v>0</v>
      </c>
      <c r="AD58" s="13">
        <f t="shared" si="2"/>
        <v>0</v>
      </c>
      <c r="AE58" s="13">
        <f t="shared" si="2"/>
        <v>0</v>
      </c>
      <c r="AF58" s="13">
        <f t="shared" si="2"/>
        <v>0</v>
      </c>
      <c r="AG58" s="13">
        <f t="shared" si="2"/>
        <v>0</v>
      </c>
      <c r="AH58" s="13">
        <f t="shared" si="2"/>
        <v>0</v>
      </c>
      <c r="AI58" s="13">
        <f t="shared" si="2"/>
        <v>0</v>
      </c>
      <c r="AJ58" s="13">
        <f t="shared" si="2"/>
        <v>0</v>
      </c>
      <c r="AK58" s="13">
        <f t="shared" si="2"/>
        <v>-386401.13666666666</v>
      </c>
      <c r="AL58" s="13">
        <f t="shared" si="2"/>
        <v>-235166.66666666666</v>
      </c>
      <c r="AM58" s="13">
        <f t="shared" si="2"/>
        <v>-265394.68044572149</v>
      </c>
      <c r="AN58" s="13">
        <f t="shared" si="2"/>
        <v>-261682.98699825679</v>
      </c>
    </row>
    <row r="59" spans="2:40" x14ac:dyDescent="0.25">
      <c r="B59" t="s">
        <v>277</v>
      </c>
      <c r="E59" s="12" cm="1">
        <f t="array" ref="E59:AN59">_xlfn.SCAN(-D55,E58:AN58,_xlfn.LAMBDA(_xlpm.capex,_xlpm.fcf,_xlpm.capex+_xlpm.fcf))</f>
        <v>-470333.33333333337</v>
      </c>
      <c r="F59" s="12">
        <v>-470333.33333333337</v>
      </c>
      <c r="G59" s="12">
        <v>-470333.33333333337</v>
      </c>
      <c r="H59" s="12">
        <v>-470333.33333333337</v>
      </c>
      <c r="I59" s="12">
        <v>-470333.33333333337</v>
      </c>
      <c r="J59" s="12">
        <v>-470333.33333333337</v>
      </c>
      <c r="K59" s="12">
        <v>-470333.33333333337</v>
      </c>
      <c r="L59" s="12">
        <v>-470333.33333333337</v>
      </c>
      <c r="M59" s="12">
        <v>-470333.33333333337</v>
      </c>
      <c r="N59" s="12">
        <v>-470333.33333333337</v>
      </c>
      <c r="O59" s="12">
        <v>-470333.33333333337</v>
      </c>
      <c r="P59" s="12">
        <v>-470333.33333333337</v>
      </c>
      <c r="Q59" s="12">
        <v>-470333.33333333337</v>
      </c>
      <c r="R59" s="12">
        <v>-470333.33333333337</v>
      </c>
      <c r="S59" s="12">
        <v>-470333.33333333337</v>
      </c>
      <c r="T59" s="12">
        <v>-470333.33333333337</v>
      </c>
      <c r="U59" s="12">
        <v>-470333.33333333337</v>
      </c>
      <c r="V59" s="12">
        <v>-470333.33333333337</v>
      </c>
      <c r="W59" s="12">
        <v>-470333.33333333337</v>
      </c>
      <c r="X59" s="12">
        <v>-470333.33333333337</v>
      </c>
      <c r="Y59" s="12">
        <v>-470333.33333333337</v>
      </c>
      <c r="Z59" s="12">
        <v>-470333.33333333337</v>
      </c>
      <c r="AA59" s="12">
        <v>-470333.33333333337</v>
      </c>
      <c r="AB59" s="12">
        <v>-470333.33333333337</v>
      </c>
      <c r="AC59" s="12">
        <v>-470333.33333333337</v>
      </c>
      <c r="AD59" s="12">
        <v>-470333.33333333337</v>
      </c>
      <c r="AE59" s="12">
        <v>-470333.33333333337</v>
      </c>
      <c r="AF59" s="12">
        <v>-470333.33333333337</v>
      </c>
      <c r="AG59" s="12">
        <v>-470333.33333333337</v>
      </c>
      <c r="AH59" s="12">
        <v>-470333.33333333337</v>
      </c>
      <c r="AI59" s="12">
        <v>-470333.33333333337</v>
      </c>
      <c r="AJ59" s="12">
        <v>-470333.33333333337</v>
      </c>
      <c r="AK59" s="12">
        <v>-856734.47</v>
      </c>
      <c r="AL59" s="12">
        <v>-1091901.1366666667</v>
      </c>
      <c r="AM59" s="12">
        <v>-1357295.8171123881</v>
      </c>
      <c r="AN59" s="12">
        <v>-1618978.8041106449</v>
      </c>
    </row>
    <row r="61" spans="2:40" x14ac:dyDescent="0.25">
      <c r="B61" s="1" t="s">
        <v>302</v>
      </c>
    </row>
    <row r="63" spans="2:40" x14ac:dyDescent="0.25">
      <c r="B63" s="39" t="s">
        <v>103</v>
      </c>
      <c r="E63" s="12" cm="1">
        <f t="array" ref="E63:AN63">_xlfn.LET(_xlpm.site,$B$1&amp;"-"&amp;$C$1,_xlpm.locations,Base!$D$4:$BD$4,_xlpm.rates,Base!$D$36:$BD$36,_xlpm.hours,Base!$D$79:$BD$79,_xlpm.comp,_xlpm.rates*_xlpm.hours,_xlpm.Customer,_xlfn.ANCHORARRAY($E$1),
_xlpm.Customer_comp,_xlfn.XLOOKUP(_xlpm.site,_xlpm.locations,_xlpm.comp,0,0),_xlpm.ann_incr,_xlfn.XLOOKUP(YEAR(_xlfn.ANCHORARRAY($E$25)),Base!$BJ$4:$BL$4,Base!$BJ$79:$BL$79,0,0),
_xlpm.bad_debt,_xlfn.XLOOKUP(_xlpm.site,_xlpm.locations,Base!$D$28:$BD$28,0,0),_xlpm.Customer_comp*_xlpm.Customer*_xlpm.bad_debt*_xlpm.ann_incr*(52/12)*(1-$C$35))</f>
        <v>0</v>
      </c>
      <c r="F63" s="12">
        <v>0</v>
      </c>
      <c r="G63" s="12">
        <v>0</v>
      </c>
      <c r="H63" s="12">
        <v>0</v>
      </c>
      <c r="I63" s="12">
        <v>0</v>
      </c>
      <c r="J63" s="12">
        <v>0</v>
      </c>
      <c r="K63" s="12">
        <v>0</v>
      </c>
      <c r="L63" s="12">
        <v>0</v>
      </c>
      <c r="M63" s="12">
        <v>0</v>
      </c>
      <c r="N63" s="12">
        <v>0</v>
      </c>
      <c r="O63" s="12">
        <v>0</v>
      </c>
      <c r="P63" s="12">
        <v>0</v>
      </c>
      <c r="Q63" s="12">
        <v>0</v>
      </c>
      <c r="R63" s="12">
        <v>0</v>
      </c>
      <c r="S63" s="12">
        <v>0</v>
      </c>
      <c r="T63" s="12">
        <v>0</v>
      </c>
      <c r="U63" s="12">
        <v>0</v>
      </c>
      <c r="V63" s="12">
        <v>0</v>
      </c>
      <c r="W63" s="12">
        <v>0</v>
      </c>
      <c r="X63" s="12">
        <v>0</v>
      </c>
      <c r="Y63" s="12">
        <v>0</v>
      </c>
      <c r="Z63" s="12">
        <v>0</v>
      </c>
      <c r="AA63" s="12">
        <v>0</v>
      </c>
      <c r="AB63" s="12">
        <v>0</v>
      </c>
      <c r="AC63" s="12">
        <v>0</v>
      </c>
      <c r="AD63" s="12">
        <v>0</v>
      </c>
      <c r="AE63" s="12">
        <v>0</v>
      </c>
      <c r="AF63" s="12">
        <v>0</v>
      </c>
      <c r="AG63" s="12">
        <v>0</v>
      </c>
      <c r="AH63" s="12">
        <v>0</v>
      </c>
      <c r="AI63" s="12">
        <v>0</v>
      </c>
      <c r="AJ63" s="12">
        <v>0</v>
      </c>
      <c r="AK63" s="12">
        <v>0</v>
      </c>
      <c r="AL63" s="12">
        <v>0</v>
      </c>
      <c r="AM63" s="12">
        <v>2179.0924014745592</v>
      </c>
      <c r="AN63" s="12">
        <v>4358.1848029491184</v>
      </c>
    </row>
    <row r="64" spans="2:40" x14ac:dyDescent="0.25">
      <c r="B64" s="39" t="s">
        <v>104</v>
      </c>
      <c r="E64" s="12" cm="1">
        <f t="array" ref="E64:AN64">_xlfn.LET(_xlpm.site,$B$1&amp;"-"&amp;$C$1,_xlpm.locations,Base!$D$4:$BD$4,_xlpm.rates,Base!$D$37:$BD$37,_xlpm.hours,Base!$D$80:$BD$80,_xlpm.comp,_xlpm.rates*_xlpm.hours,_xlpm.Customer,_xlfn.ANCHORARRAY($E$1),
_xlpm.Customer_comp,_xlfn.XLOOKUP(_xlpm.site,_xlpm.locations,_xlpm.comp,0,0),_xlpm.ann_incr,_xlfn.XLOOKUP(YEAR(_xlfn.ANCHORARRAY($E$25)),Base!$BJ$4:$BL$4,Base!$BJ$80:$BL$80,0,0),
_xlpm.bad_debt,_xlfn.XLOOKUP(_xlpm.site,_xlpm.locations,Base!$D$28:$BD$28,0,0),_xlpm.Customer_comp*_xlpm.Customer*_xlpm.bad_debt*_xlpm.ann_incr*(52/12)*(1-$C$35))</f>
        <v>0</v>
      </c>
      <c r="F64" s="12">
        <v>0</v>
      </c>
      <c r="G64" s="12">
        <v>0</v>
      </c>
      <c r="H64" s="12">
        <v>0</v>
      </c>
      <c r="I64" s="12">
        <v>0</v>
      </c>
      <c r="J64" s="12">
        <v>0</v>
      </c>
      <c r="K64" s="12">
        <v>0</v>
      </c>
      <c r="L64" s="12">
        <v>0</v>
      </c>
      <c r="M64" s="12">
        <v>0</v>
      </c>
      <c r="N64" s="12">
        <v>0</v>
      </c>
      <c r="O64" s="12">
        <v>0</v>
      </c>
      <c r="P64" s="12">
        <v>0</v>
      </c>
      <c r="Q64" s="12">
        <v>0</v>
      </c>
      <c r="R64" s="12">
        <v>0</v>
      </c>
      <c r="S64" s="12">
        <v>0</v>
      </c>
      <c r="T64" s="12">
        <v>0</v>
      </c>
      <c r="U64" s="12">
        <v>0</v>
      </c>
      <c r="V64" s="12">
        <v>0</v>
      </c>
      <c r="W64" s="12">
        <v>0</v>
      </c>
      <c r="X64" s="12">
        <v>0</v>
      </c>
      <c r="Y64" s="12">
        <v>0</v>
      </c>
      <c r="Z64" s="12">
        <v>0</v>
      </c>
      <c r="AA64" s="12">
        <v>0</v>
      </c>
      <c r="AB64" s="12">
        <v>0</v>
      </c>
      <c r="AC64" s="12">
        <v>0</v>
      </c>
      <c r="AD64" s="12">
        <v>0</v>
      </c>
      <c r="AE64" s="12">
        <v>0</v>
      </c>
      <c r="AF64" s="12">
        <v>0</v>
      </c>
      <c r="AG64" s="12">
        <v>0</v>
      </c>
      <c r="AH64" s="12">
        <v>0</v>
      </c>
      <c r="AI64" s="12">
        <v>0</v>
      </c>
      <c r="AJ64" s="12">
        <v>0</v>
      </c>
      <c r="AK64" s="12">
        <v>0</v>
      </c>
      <c r="AL64" s="12">
        <v>0</v>
      </c>
      <c r="AM64" s="12">
        <v>291.17026532352008</v>
      </c>
      <c r="AN64" s="12">
        <v>582.34053064704017</v>
      </c>
    </row>
    <row r="65" spans="2:40" x14ac:dyDescent="0.25">
      <c r="B65" s="39" t="s">
        <v>56</v>
      </c>
      <c r="E65" s="12" cm="1">
        <f t="array" ref="E65:AN65">_xlfn.LET(_xlpm.site,$B$1&amp;"-"&amp;$C$1,_xlpm.locations,Base!$D$4:$BD$4,_xlpm.rates,Base!$D$39:$BD$39,_xlpm.hours,Base!$D$82:$BD$82,_xlpm.comp,_xlpm.rates*_xlpm.hours,_xlpm.Customer,_xlfn.ANCHORARRAY($E$1),
_xlpm.Customer_comp,_xlfn.XLOOKUP(_xlpm.site,_xlpm.locations,_xlpm.comp,0,0),_xlpm.ann_incr,_xlfn.XLOOKUP(YEAR(_xlfn.ANCHORARRAY($E$25)),Base!$BJ$4:$BL$4,Base!$BJ$82:$BL$82,0,0),
_xlpm.bad_debt,_xlfn.XLOOKUP(_xlpm.site,_xlpm.locations,Base!$D$28:$BD$28,0,0),_xlpm.Customer_comp*_xlpm.Customer*_xlpm.bad_debt*_xlpm.ann_incr*(52/12)*(1-$C$35))</f>
        <v>0</v>
      </c>
      <c r="F65" s="12">
        <v>0</v>
      </c>
      <c r="G65" s="12">
        <v>0</v>
      </c>
      <c r="H65" s="12">
        <v>0</v>
      </c>
      <c r="I65" s="12">
        <v>0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  <c r="O65" s="12">
        <v>0</v>
      </c>
      <c r="P65" s="12">
        <v>0</v>
      </c>
      <c r="Q65" s="12">
        <v>0</v>
      </c>
      <c r="R65" s="12">
        <v>0</v>
      </c>
      <c r="S65" s="12">
        <v>0</v>
      </c>
      <c r="T65" s="12">
        <v>0</v>
      </c>
      <c r="U65" s="12">
        <v>0</v>
      </c>
      <c r="V65" s="12">
        <v>0</v>
      </c>
      <c r="W65" s="12">
        <v>0</v>
      </c>
      <c r="X65" s="12">
        <v>0</v>
      </c>
      <c r="Y65" s="12">
        <v>0</v>
      </c>
      <c r="Z65" s="12">
        <v>0</v>
      </c>
      <c r="AA65" s="12">
        <v>0</v>
      </c>
      <c r="AB65" s="12">
        <v>0</v>
      </c>
      <c r="AC65" s="12">
        <v>0</v>
      </c>
      <c r="AD65" s="12">
        <v>0</v>
      </c>
      <c r="AE65" s="12">
        <v>0</v>
      </c>
      <c r="AF65" s="12">
        <v>0</v>
      </c>
      <c r="AG65" s="12">
        <v>0</v>
      </c>
      <c r="AH65" s="12">
        <v>0</v>
      </c>
      <c r="AI65" s="12">
        <v>0</v>
      </c>
      <c r="AJ65" s="12">
        <v>0</v>
      </c>
      <c r="AK65" s="12">
        <v>0</v>
      </c>
      <c r="AL65" s="12">
        <v>0</v>
      </c>
      <c r="AM65" s="12">
        <v>1770.8074248550399</v>
      </c>
      <c r="AN65" s="12">
        <v>3541.6148497100799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303</v>
      </c>
      <c r="C67" s="12"/>
      <c r="E67" s="13" cm="1">
        <f t="array" ref="E67:AN67">_xlfn.BYCOL(_xlfn.VSTACK(_xlfn.ANCHORARRAY($E$63),_xlfn.ANCHORARRAY($E$64),_xlfn.ANCHORARRAY($E$65)),_xlfn.LAMBDA(_xlpm.a,SUM(_xlpm.a)))</f>
        <v>0</v>
      </c>
      <c r="F67" s="13">
        <v>0</v>
      </c>
      <c r="G67" s="13">
        <v>0</v>
      </c>
      <c r="H67" s="13">
        <v>0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  <c r="W67" s="13">
        <v>0</v>
      </c>
      <c r="X67" s="13">
        <v>0</v>
      </c>
      <c r="Y67" s="13">
        <v>0</v>
      </c>
      <c r="Z67" s="13">
        <v>0</v>
      </c>
      <c r="AA67" s="13">
        <v>0</v>
      </c>
      <c r="AB67" s="13">
        <v>0</v>
      </c>
      <c r="AC67" s="13">
        <v>0</v>
      </c>
      <c r="AD67" s="13">
        <v>0</v>
      </c>
      <c r="AE67" s="13">
        <v>0</v>
      </c>
      <c r="AF67" s="13">
        <v>0</v>
      </c>
      <c r="AG67" s="13">
        <v>0</v>
      </c>
      <c r="AH67" s="13">
        <v>0</v>
      </c>
      <c r="AI67" s="13">
        <v>0</v>
      </c>
      <c r="AJ67" s="13">
        <v>0</v>
      </c>
      <c r="AK67" s="13">
        <v>0</v>
      </c>
      <c r="AL67" s="13">
        <v>0</v>
      </c>
      <c r="AM67" s="13">
        <v>4241.0700916531196</v>
      </c>
      <c r="AN67" s="13">
        <v>8482.1401833062391</v>
      </c>
    </row>
    <row r="68" spans="2:40" x14ac:dyDescent="0.25">
      <c r="B68" s="39"/>
      <c r="C68" s="12"/>
    </row>
    <row r="69" spans="2:40" x14ac:dyDescent="0.25">
      <c r="B69" s="39" t="s">
        <v>304</v>
      </c>
      <c r="C69" s="12"/>
      <c r="E69" s="106" cm="1">
        <f t="array" ref="E69:AN70">_xlfn.LET(_xlpm.Customer_staff,_xlfn._xlws.FILTER(Base!$D$96:$BD$97,ISNUMBER(SEARCH($B$1&amp;"-"&amp;$C$1,Base!$D$4:$BD$4))),_xlpm.Customer,_xlfn.ANCHORARRAY($E$1),_xlpm.headcount,_xlpm.Customer/_xlpm.Customer_staff,
_xlpm.rounding,_xlfn.VSTACK(0,0),IFERROR(ROUND(_xlpm.headcount,_xlpm.rounding),0))</f>
        <v>0</v>
      </c>
      <c r="F69" s="106">
        <v>0</v>
      </c>
      <c r="G69" s="106">
        <v>0</v>
      </c>
      <c r="H69" s="106">
        <v>0</v>
      </c>
      <c r="I69" s="106">
        <v>0</v>
      </c>
      <c r="J69" s="106">
        <v>0</v>
      </c>
      <c r="K69" s="106">
        <v>0</v>
      </c>
      <c r="L69" s="106">
        <v>0</v>
      </c>
      <c r="M69" s="106">
        <v>0</v>
      </c>
      <c r="N69" s="106">
        <v>0</v>
      </c>
      <c r="O69" s="106">
        <v>0</v>
      </c>
      <c r="P69" s="106">
        <v>0</v>
      </c>
      <c r="Q69" s="106">
        <v>0</v>
      </c>
      <c r="R69" s="106">
        <v>0</v>
      </c>
      <c r="S69" s="106">
        <v>0</v>
      </c>
      <c r="T69" s="106">
        <v>0</v>
      </c>
      <c r="U69" s="106">
        <v>0</v>
      </c>
      <c r="V69" s="106">
        <v>0</v>
      </c>
      <c r="W69" s="106">
        <v>0</v>
      </c>
      <c r="X69" s="106">
        <v>0</v>
      </c>
      <c r="Y69" s="106">
        <v>0</v>
      </c>
      <c r="Z69" s="106">
        <v>0</v>
      </c>
      <c r="AA69" s="106">
        <v>0</v>
      </c>
      <c r="AB69" s="106">
        <v>0</v>
      </c>
      <c r="AC69" s="106">
        <v>0</v>
      </c>
      <c r="AD69" s="106">
        <v>0</v>
      </c>
      <c r="AE69" s="106">
        <v>0</v>
      </c>
      <c r="AF69" s="106">
        <v>0</v>
      </c>
      <c r="AG69" s="106">
        <v>0</v>
      </c>
      <c r="AH69" s="106">
        <v>0</v>
      </c>
      <c r="AI69" s="106">
        <v>0</v>
      </c>
      <c r="AJ69" s="106">
        <v>0</v>
      </c>
      <c r="AK69" s="106">
        <v>0</v>
      </c>
      <c r="AL69" s="106">
        <v>0</v>
      </c>
      <c r="AM69" s="106">
        <v>0</v>
      </c>
      <c r="AN69" s="106">
        <v>0</v>
      </c>
    </row>
    <row r="70" spans="2:40" x14ac:dyDescent="0.25">
      <c r="B70" s="39" t="s">
        <v>305</v>
      </c>
      <c r="C70" s="12"/>
      <c r="E70" s="106">
        <v>0</v>
      </c>
      <c r="F70" s="106">
        <v>0</v>
      </c>
      <c r="G70" s="106">
        <v>0</v>
      </c>
      <c r="H70" s="106">
        <v>0</v>
      </c>
      <c r="I70" s="106">
        <v>0</v>
      </c>
      <c r="J70" s="106">
        <v>0</v>
      </c>
      <c r="K70" s="106">
        <v>0</v>
      </c>
      <c r="L70" s="106">
        <v>0</v>
      </c>
      <c r="M70" s="106">
        <v>0</v>
      </c>
      <c r="N70" s="106">
        <v>0</v>
      </c>
      <c r="O70" s="106">
        <v>0</v>
      </c>
      <c r="P70" s="106">
        <v>0</v>
      </c>
      <c r="Q70" s="106">
        <v>0</v>
      </c>
      <c r="R70" s="106">
        <v>0</v>
      </c>
      <c r="S70" s="106">
        <v>0</v>
      </c>
      <c r="T70" s="106">
        <v>0</v>
      </c>
      <c r="U70" s="106">
        <v>0</v>
      </c>
      <c r="V70" s="106">
        <v>0</v>
      </c>
      <c r="W70" s="106">
        <v>0</v>
      </c>
      <c r="X70" s="106">
        <v>0</v>
      </c>
      <c r="Y70" s="106">
        <v>0</v>
      </c>
      <c r="Z70" s="106">
        <v>0</v>
      </c>
      <c r="AA70" s="106">
        <v>0</v>
      </c>
      <c r="AB70" s="106">
        <v>0</v>
      </c>
      <c r="AC70" s="106">
        <v>0</v>
      </c>
      <c r="AD70" s="106">
        <v>0</v>
      </c>
      <c r="AE70" s="106">
        <v>0</v>
      </c>
      <c r="AF70" s="106">
        <v>0</v>
      </c>
      <c r="AG70" s="106">
        <v>0</v>
      </c>
      <c r="AH70" s="106">
        <v>0</v>
      </c>
      <c r="AI70" s="106">
        <v>0</v>
      </c>
      <c r="AJ70" s="106">
        <v>0</v>
      </c>
      <c r="AK70" s="106">
        <v>0</v>
      </c>
      <c r="AL70" s="106">
        <v>0</v>
      </c>
      <c r="AM70" s="106">
        <v>0</v>
      </c>
      <c r="AN70" s="106">
        <v>0</v>
      </c>
    </row>
    <row r="71" spans="2:40" x14ac:dyDescent="0.25">
      <c r="B71" s="39"/>
      <c r="C71" s="12"/>
    </row>
    <row r="72" spans="2:40" x14ac:dyDescent="0.25">
      <c r="B72" s="39" t="s">
        <v>23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0</v>
      </c>
      <c r="F72" s="12">
        <v>0</v>
      </c>
      <c r="G72" s="12">
        <v>0</v>
      </c>
      <c r="H72" s="12">
        <v>0</v>
      </c>
      <c r="I72" s="12">
        <v>0</v>
      </c>
      <c r="J72" s="12">
        <v>0</v>
      </c>
      <c r="K72" s="12">
        <v>0</v>
      </c>
      <c r="L72" s="12">
        <v>0</v>
      </c>
      <c r="M72" s="12">
        <v>0</v>
      </c>
      <c r="N72" s="12">
        <v>0</v>
      </c>
      <c r="O72" s="12">
        <v>0</v>
      </c>
      <c r="P72" s="12">
        <v>0</v>
      </c>
      <c r="Q72" s="12">
        <v>0</v>
      </c>
      <c r="R72" s="12">
        <v>0</v>
      </c>
      <c r="S72" s="12">
        <v>0</v>
      </c>
      <c r="T72" s="12">
        <v>0</v>
      </c>
      <c r="U72" s="12">
        <v>0</v>
      </c>
      <c r="V72" s="12">
        <v>0</v>
      </c>
      <c r="W72" s="12">
        <v>0</v>
      </c>
      <c r="X72" s="12">
        <v>0</v>
      </c>
      <c r="Y72" s="12">
        <v>0</v>
      </c>
      <c r="Z72" s="12">
        <v>0</v>
      </c>
      <c r="AA72" s="12">
        <v>0</v>
      </c>
      <c r="AB72" s="12">
        <v>0</v>
      </c>
      <c r="AC72" s="12">
        <v>0</v>
      </c>
      <c r="AD72" s="12">
        <v>0</v>
      </c>
      <c r="AE72" s="12">
        <v>0</v>
      </c>
      <c r="AF72" s="12">
        <v>0</v>
      </c>
      <c r="AG72" s="12">
        <v>0</v>
      </c>
      <c r="AH72" s="12">
        <v>0</v>
      </c>
      <c r="AI72" s="12">
        <v>0</v>
      </c>
      <c r="AJ72" s="12">
        <v>0</v>
      </c>
      <c r="AK72" s="12">
        <v>0</v>
      </c>
      <c r="AL72" s="12">
        <v>0</v>
      </c>
      <c r="AM72" s="12">
        <v>761.52099071064936</v>
      </c>
      <c r="AN72" s="12">
        <v>1523.0419814212987</v>
      </c>
    </row>
    <row r="73" spans="2:40" x14ac:dyDescent="0.25">
      <c r="B73" s="39" t="s">
        <v>24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306</v>
      </c>
      <c r="E75" s="74" cm="1">
        <f t="array" ref="E75:AN75">_xlfn.ANCHORARRAY(E67)-_xlfn.ANCHORARRAY(E72)-_xlfn.ANCHORARRAY(E73)</f>
        <v>0</v>
      </c>
      <c r="F75" s="74">
        <v>0</v>
      </c>
      <c r="G75" s="74">
        <v>0</v>
      </c>
      <c r="H75" s="74">
        <v>0</v>
      </c>
      <c r="I75" s="74">
        <v>0</v>
      </c>
      <c r="J75" s="74">
        <v>0</v>
      </c>
      <c r="K75" s="74">
        <v>0</v>
      </c>
      <c r="L75" s="74">
        <v>0</v>
      </c>
      <c r="M75" s="74">
        <v>0</v>
      </c>
      <c r="N75" s="74">
        <v>0</v>
      </c>
      <c r="O75" s="74">
        <v>0</v>
      </c>
      <c r="P75" s="74">
        <v>0</v>
      </c>
      <c r="Q75" s="74">
        <v>0</v>
      </c>
      <c r="R75" s="74">
        <v>0</v>
      </c>
      <c r="S75" s="74">
        <v>0</v>
      </c>
      <c r="T75" s="74">
        <v>0</v>
      </c>
      <c r="U75" s="74">
        <v>0</v>
      </c>
      <c r="V75" s="74">
        <v>0</v>
      </c>
      <c r="W75" s="74">
        <v>0</v>
      </c>
      <c r="X75" s="74">
        <v>0</v>
      </c>
      <c r="Y75" s="74">
        <v>0</v>
      </c>
      <c r="Z75" s="74">
        <v>0</v>
      </c>
      <c r="AA75" s="74">
        <v>0</v>
      </c>
      <c r="AB75" s="74">
        <v>0</v>
      </c>
      <c r="AC75" s="74">
        <v>0</v>
      </c>
      <c r="AD75" s="74">
        <v>0</v>
      </c>
      <c r="AE75" s="74">
        <v>0</v>
      </c>
      <c r="AF75" s="74">
        <v>0</v>
      </c>
      <c r="AG75" s="74">
        <v>0</v>
      </c>
      <c r="AH75" s="74">
        <v>0</v>
      </c>
      <c r="AI75" s="74">
        <v>0</v>
      </c>
      <c r="AJ75" s="74">
        <v>0</v>
      </c>
      <c r="AK75" s="74">
        <v>0</v>
      </c>
      <c r="AL75" s="74">
        <v>0</v>
      </c>
      <c r="AM75" s="74">
        <v>3479.5491009424704</v>
      </c>
      <c r="AN75" s="74">
        <v>6959.0982018849409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B4D620-ADEB-4FFA-8CC8-3385E93A666E}">
  <dimension ref="A1:AX75"/>
  <sheetViews>
    <sheetView workbookViewId="0">
      <pane xSplit="4" ySplit="25" topLeftCell="E26" activePane="bottomRight" state="frozen"/>
      <selection activeCell="E63" sqref="E63:E65"/>
      <selection pane="topRight" activeCell="E63" sqref="E63:E65"/>
      <selection pane="bottomLeft" activeCell="E63" sqref="E63:E65"/>
      <selection pane="bottomRight" activeCell="E63" sqref="E63:E65"/>
    </sheetView>
  </sheetViews>
  <sheetFormatPr defaultRowHeight="15" outlineLevelRow="1" x14ac:dyDescent="0.25"/>
  <cols>
    <col min="2" max="2" width="24.5703125" bestFit="1" customWidth="1"/>
    <col min="3" max="3" width="10.7109375" bestFit="1" customWidth="1"/>
    <col min="4" max="4" width="10" bestFit="1" customWidth="1"/>
    <col min="5" max="5" width="11.42578125" bestFit="1" customWidth="1"/>
    <col min="6" max="6" width="11.7109375" bestFit="1" customWidth="1"/>
    <col min="7" max="13" width="12.28515625" bestFit="1" customWidth="1"/>
    <col min="14" max="18" width="11.5703125" bestFit="1" customWidth="1"/>
    <col min="19" max="40" width="12.5703125" bestFit="1" customWidth="1"/>
  </cols>
  <sheetData>
    <row r="1" spans="1:40" x14ac:dyDescent="0.25">
      <c r="A1" s="96" t="str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/>
      </c>
      <c r="B1" s="58" t="s">
        <v>77</v>
      </c>
      <c r="C1" s="16" t="s">
        <v>344</v>
      </c>
      <c r="D1" s="3" t="s">
        <v>307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IFERROR(_xlpm.kiddos,0))</f>
        <v>0</v>
      </c>
      <c r="F1" s="69">
        <v>0</v>
      </c>
      <c r="G1" s="69">
        <v>0</v>
      </c>
      <c r="H1" s="69">
        <v>0</v>
      </c>
      <c r="I1" s="69">
        <v>0</v>
      </c>
      <c r="J1" s="69">
        <v>0</v>
      </c>
      <c r="K1" s="69">
        <v>0</v>
      </c>
      <c r="L1" s="69">
        <v>0</v>
      </c>
      <c r="M1" s="69">
        <v>0</v>
      </c>
      <c r="N1" s="69">
        <v>0</v>
      </c>
      <c r="O1" s="69">
        <v>0</v>
      </c>
      <c r="P1" s="69">
        <v>0</v>
      </c>
      <c r="Q1" s="69">
        <v>0</v>
      </c>
      <c r="R1" s="69">
        <v>0</v>
      </c>
      <c r="S1" s="69">
        <v>0</v>
      </c>
      <c r="T1" s="69">
        <v>0</v>
      </c>
      <c r="U1" s="69">
        <v>0</v>
      </c>
      <c r="V1" s="69">
        <v>0</v>
      </c>
      <c r="W1" s="69">
        <v>0</v>
      </c>
      <c r="X1" s="69">
        <v>0</v>
      </c>
      <c r="Y1" s="69">
        <v>0</v>
      </c>
      <c r="Z1" s="69">
        <v>0</v>
      </c>
      <c r="AA1" s="69">
        <v>0</v>
      </c>
      <c r="AB1" s="69">
        <v>0</v>
      </c>
      <c r="AC1" s="69">
        <v>0</v>
      </c>
      <c r="AD1" s="69">
        <v>0</v>
      </c>
      <c r="AE1" s="69">
        <v>0</v>
      </c>
      <c r="AF1" s="69">
        <v>0</v>
      </c>
      <c r="AG1" s="69">
        <v>0</v>
      </c>
      <c r="AH1" s="69">
        <v>0</v>
      </c>
      <c r="AI1" s="69">
        <v>0</v>
      </c>
      <c r="AJ1" s="69">
        <v>0</v>
      </c>
      <c r="AK1" s="69">
        <v>0</v>
      </c>
      <c r="AL1" s="69">
        <v>0</v>
      </c>
      <c r="AM1" s="69">
        <v>0</v>
      </c>
      <c r="AN1" s="69">
        <v>1</v>
      </c>
    </row>
    <row r="2" spans="1:40" x14ac:dyDescent="0.25">
      <c r="A2" s="65"/>
      <c r="B2" s="3" t="str">
        <f>_xlfn.XLOOKUP($B$1&amp;"-"&amp;$C$1,Base!$D$4:$BD$4,Base!$D$2:$BD$2,"",0)</f>
        <v>New Jersey</v>
      </c>
      <c r="C2" s="55"/>
      <c r="D2" s="55" t="s">
        <v>259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0</v>
      </c>
      <c r="F2" s="69">
        <v>0</v>
      </c>
      <c r="G2" s="69">
        <v>0</v>
      </c>
      <c r="H2" s="69">
        <v>0</v>
      </c>
      <c r="I2" s="69">
        <v>0</v>
      </c>
      <c r="J2" s="69">
        <v>0</v>
      </c>
      <c r="K2" s="69">
        <v>0</v>
      </c>
      <c r="L2" s="69">
        <v>0</v>
      </c>
      <c r="M2" s="69">
        <v>0</v>
      </c>
      <c r="N2" s="69">
        <v>0</v>
      </c>
      <c r="O2" s="69">
        <v>0</v>
      </c>
      <c r="P2" s="69">
        <v>0</v>
      </c>
      <c r="Q2" s="69">
        <v>0</v>
      </c>
      <c r="R2" s="69">
        <v>0</v>
      </c>
      <c r="S2" s="69">
        <v>0</v>
      </c>
      <c r="T2" s="69">
        <v>0</v>
      </c>
      <c r="U2" s="69">
        <v>0</v>
      </c>
      <c r="V2" s="69">
        <v>0</v>
      </c>
      <c r="W2" s="69">
        <v>0</v>
      </c>
      <c r="X2" s="69">
        <v>0</v>
      </c>
      <c r="Y2" s="69">
        <v>0</v>
      </c>
      <c r="Z2" s="69">
        <v>0</v>
      </c>
      <c r="AA2" s="69">
        <v>0</v>
      </c>
      <c r="AB2" s="69">
        <v>0</v>
      </c>
      <c r="AC2" s="69">
        <v>0</v>
      </c>
      <c r="AD2" s="69">
        <v>0</v>
      </c>
      <c r="AE2" s="69">
        <v>0</v>
      </c>
      <c r="AF2" s="69">
        <v>0</v>
      </c>
      <c r="AG2" s="69">
        <v>0</v>
      </c>
      <c r="AH2" s="69">
        <v>0</v>
      </c>
      <c r="AI2" s="69">
        <v>0</v>
      </c>
      <c r="AJ2" s="69">
        <v>0</v>
      </c>
      <c r="AK2" s="69">
        <v>0</v>
      </c>
      <c r="AL2" s="69">
        <v>0</v>
      </c>
      <c r="AM2" s="69">
        <v>0</v>
      </c>
      <c r="AN2" s="69">
        <v>0</v>
      </c>
    </row>
    <row r="3" spans="1:40" x14ac:dyDescent="0.25">
      <c r="A3" s="65"/>
      <c r="B3" s="55"/>
      <c r="C3" s="55"/>
      <c r="D3" s="55" t="s">
        <v>62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_xlpm.months_since,DATEDIF(_xlpm.launchdate,_xlfn.ANCHORARRAY($E$25),"m"),_xlfn.BYCOL(_xlpm.months_since,_xlfn.LAMBDA(_xlpm.a,IFERROR(MIN(_xlpm.a/6,_xlpm.max_kiddos),0))))</f>
        <v>0</v>
      </c>
      <c r="F3" s="69">
        <v>0</v>
      </c>
      <c r="G3" s="69">
        <v>0</v>
      </c>
      <c r="H3" s="69">
        <v>0</v>
      </c>
      <c r="I3" s="69">
        <v>0</v>
      </c>
      <c r="J3" s="69">
        <v>0</v>
      </c>
      <c r="K3" s="69">
        <v>0</v>
      </c>
      <c r="L3" s="69">
        <v>0</v>
      </c>
      <c r="M3" s="69">
        <v>0</v>
      </c>
      <c r="N3" s="69">
        <v>0</v>
      </c>
      <c r="O3" s="69">
        <v>0</v>
      </c>
      <c r="P3" s="69">
        <v>0</v>
      </c>
      <c r="Q3" s="69">
        <v>0</v>
      </c>
      <c r="R3" s="69">
        <v>0</v>
      </c>
      <c r="S3" s="69">
        <v>0</v>
      </c>
      <c r="T3" s="69">
        <v>0</v>
      </c>
      <c r="U3" s="69">
        <v>0</v>
      </c>
      <c r="V3" s="69">
        <v>0</v>
      </c>
      <c r="W3" s="69">
        <v>0</v>
      </c>
      <c r="X3" s="69">
        <v>0</v>
      </c>
      <c r="Y3" s="69">
        <v>0</v>
      </c>
      <c r="Z3" s="69">
        <v>0</v>
      </c>
      <c r="AA3" s="69">
        <v>0</v>
      </c>
      <c r="AB3" s="69">
        <v>0</v>
      </c>
      <c r="AC3" s="69">
        <v>0</v>
      </c>
      <c r="AD3" s="69">
        <v>0</v>
      </c>
      <c r="AE3" s="69">
        <v>0</v>
      </c>
      <c r="AF3" s="69">
        <v>0</v>
      </c>
      <c r="AG3" s="69">
        <v>0</v>
      </c>
      <c r="AH3" s="69">
        <v>0</v>
      </c>
      <c r="AI3" s="69">
        <v>0</v>
      </c>
      <c r="AJ3" s="69">
        <v>0</v>
      </c>
      <c r="AK3" s="69">
        <v>0</v>
      </c>
      <c r="AL3" s="69">
        <v>0</v>
      </c>
      <c r="AM3" s="69">
        <v>0</v>
      </c>
      <c r="AN3" s="69">
        <v>0</v>
      </c>
    </row>
    <row r="4" spans="1:40" x14ac:dyDescent="0.25">
      <c r="A4" s="65"/>
      <c r="B4" s="55"/>
      <c r="C4" s="55"/>
      <c r="D4" s="55" t="s">
        <v>260</v>
      </c>
      <c r="E4" s="69" cm="1">
        <f t="array" ref="E4:AN4">_xlfn.BYCOL(_xlfn.VSTACK(_xlfn.ANCHORARRAY($E$1),_xlfn.ANCHORARRAY($E$2)),_xlfn.LAMBDA(_xlpm.a,SUM(_xlpm.a)))</f>
        <v>0</v>
      </c>
      <c r="F4" s="69">
        <v>0</v>
      </c>
      <c r="G4" s="69">
        <v>0</v>
      </c>
      <c r="H4" s="69">
        <v>0</v>
      </c>
      <c r="I4" s="69">
        <v>0</v>
      </c>
      <c r="J4" s="69">
        <v>0</v>
      </c>
      <c r="K4" s="69">
        <v>0</v>
      </c>
      <c r="L4" s="69">
        <v>0</v>
      </c>
      <c r="M4" s="69">
        <v>0</v>
      </c>
      <c r="N4" s="69">
        <v>0</v>
      </c>
      <c r="O4" s="69">
        <v>0</v>
      </c>
      <c r="P4" s="69">
        <v>0</v>
      </c>
      <c r="Q4" s="69">
        <v>0</v>
      </c>
      <c r="R4" s="69">
        <v>0</v>
      </c>
      <c r="S4" s="69">
        <v>0</v>
      </c>
      <c r="T4" s="69">
        <v>0</v>
      </c>
      <c r="U4" s="69">
        <v>0</v>
      </c>
      <c r="V4" s="69">
        <v>0</v>
      </c>
      <c r="W4" s="69">
        <v>0</v>
      </c>
      <c r="X4" s="69">
        <v>0</v>
      </c>
      <c r="Y4" s="69">
        <v>0</v>
      </c>
      <c r="Z4" s="69">
        <v>0</v>
      </c>
      <c r="AA4" s="69">
        <v>0</v>
      </c>
      <c r="AB4" s="69">
        <v>0</v>
      </c>
      <c r="AC4" s="69">
        <v>0</v>
      </c>
      <c r="AD4" s="69">
        <v>0</v>
      </c>
      <c r="AE4" s="69">
        <v>0</v>
      </c>
      <c r="AF4" s="69">
        <v>0</v>
      </c>
      <c r="AG4" s="69">
        <v>0</v>
      </c>
      <c r="AH4" s="69">
        <v>0</v>
      </c>
      <c r="AI4" s="69">
        <v>0</v>
      </c>
      <c r="AJ4" s="69">
        <v>0</v>
      </c>
      <c r="AK4" s="69">
        <v>0</v>
      </c>
      <c r="AL4" s="69">
        <v>0</v>
      </c>
      <c r="AM4" s="69">
        <v>0</v>
      </c>
      <c r="AN4" s="69">
        <v>1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107</v>
      </c>
      <c r="C6" s="3"/>
      <c r="D6" s="3"/>
      <c r="E6" s="66" cm="1">
        <f t="array" ref="E6:AN6">ROUND(_xlfn.BYCOL(_xlfn.ANCHORARRAY(E7),_xlfn.LAMBDA(_xlpm.a,SUM(_xlpm.a))),0)</f>
        <v>0</v>
      </c>
      <c r="F6" s="66">
        <v>0</v>
      </c>
      <c r="G6" s="66">
        <v>0</v>
      </c>
      <c r="H6" s="66">
        <v>0</v>
      </c>
      <c r="I6" s="66">
        <v>0</v>
      </c>
      <c r="J6" s="66">
        <v>0</v>
      </c>
      <c r="K6" s="66">
        <v>0</v>
      </c>
      <c r="L6" s="66">
        <v>0</v>
      </c>
      <c r="M6" s="66">
        <v>0</v>
      </c>
      <c r="N6" s="66">
        <v>0</v>
      </c>
      <c r="O6" s="66">
        <v>0</v>
      </c>
      <c r="P6" s="66">
        <v>0</v>
      </c>
      <c r="Q6" s="66">
        <v>0</v>
      </c>
      <c r="R6" s="66">
        <v>0</v>
      </c>
      <c r="S6" s="66">
        <v>0</v>
      </c>
      <c r="T6" s="66">
        <v>0</v>
      </c>
      <c r="U6" s="66">
        <v>0</v>
      </c>
      <c r="V6" s="66">
        <v>0</v>
      </c>
      <c r="W6" s="66">
        <v>0</v>
      </c>
      <c r="X6" s="66">
        <v>0</v>
      </c>
      <c r="Y6" s="66">
        <v>0</v>
      </c>
      <c r="Z6" s="66">
        <v>0</v>
      </c>
      <c r="AA6" s="66">
        <v>0</v>
      </c>
      <c r="AB6" s="66">
        <v>0</v>
      </c>
      <c r="AC6" s="66">
        <v>0</v>
      </c>
      <c r="AD6" s="66">
        <v>0</v>
      </c>
      <c r="AE6" s="66">
        <v>0</v>
      </c>
      <c r="AF6" s="66">
        <v>0</v>
      </c>
      <c r="AG6" s="66">
        <v>0</v>
      </c>
      <c r="AH6" s="66">
        <v>0</v>
      </c>
      <c r="AI6" s="66">
        <v>0</v>
      </c>
      <c r="AJ6" s="66">
        <v>0</v>
      </c>
      <c r="AK6" s="66">
        <v>0</v>
      </c>
      <c r="AL6" s="66">
        <v>0</v>
      </c>
      <c r="AM6" s="66">
        <v>0</v>
      </c>
      <c r="AN6" s="66">
        <v>2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1"/>
      <c r="E7" s="106" cm="1">
        <f t="array" ref="E7:AN20">_xlfn.LET(_xlpm.Customer_staff,_xlfn._xlws.FILTER(Base!$D$85:$BD$98,ISNUMBER(SEARCH($B$1&amp;"-"&amp;$C$1,Base!$D$4:$BD$4))),_xlpm.Customer,_xlfn.ANCHORARRAY($E$1),_xlpm.headcount,_xlpm.Customer/_xlpm.Customer_staff,
_xlpm.patient_staff,_xlfn.ANCHORARRAY($E$2)/_xlpm.Customer_staff,_xlpm.prim_staff_tr_rec,_xlfn.ANCHORARRAY($E$2)/_xlfn.CHOOSEROWS(_xlpm.Customer_staff,{7,8})+(_xlfn.ANCHORARRAY($E$1)*0.0055),_xlpm.rounding,_xlfn.VSTACK(2,2,0,0,2,2,2,2,2,2,2,0,0,0),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prim_staff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0</v>
      </c>
      <c r="F7" s="106">
        <v>0</v>
      </c>
      <c r="G7" s="106">
        <v>0</v>
      </c>
      <c r="H7" s="106">
        <v>0</v>
      </c>
      <c r="I7" s="106">
        <v>0</v>
      </c>
      <c r="J7" s="106">
        <v>0</v>
      </c>
      <c r="K7" s="106">
        <v>0</v>
      </c>
      <c r="L7" s="106">
        <v>0</v>
      </c>
      <c r="M7" s="106">
        <v>0</v>
      </c>
      <c r="N7" s="106">
        <v>0</v>
      </c>
      <c r="O7" s="106">
        <v>0</v>
      </c>
      <c r="P7" s="106">
        <v>0</v>
      </c>
      <c r="Q7" s="106">
        <v>0</v>
      </c>
      <c r="R7" s="106">
        <v>0</v>
      </c>
      <c r="S7" s="106">
        <v>0</v>
      </c>
      <c r="T7" s="106">
        <v>0</v>
      </c>
      <c r="U7" s="106">
        <v>0</v>
      </c>
      <c r="V7" s="106">
        <v>0</v>
      </c>
      <c r="W7" s="106">
        <v>0</v>
      </c>
      <c r="X7" s="106">
        <v>0</v>
      </c>
      <c r="Y7" s="106">
        <v>0</v>
      </c>
      <c r="Z7" s="106">
        <v>0</v>
      </c>
      <c r="AA7" s="106">
        <v>0</v>
      </c>
      <c r="AB7" s="106">
        <v>0</v>
      </c>
      <c r="AC7" s="106">
        <v>0</v>
      </c>
      <c r="AD7" s="106">
        <v>0</v>
      </c>
      <c r="AE7" s="106">
        <v>0</v>
      </c>
      <c r="AF7" s="106">
        <v>0</v>
      </c>
      <c r="AG7" s="106">
        <v>0</v>
      </c>
      <c r="AH7" s="106">
        <v>0</v>
      </c>
      <c r="AI7" s="106">
        <v>0</v>
      </c>
      <c r="AJ7" s="106">
        <v>0</v>
      </c>
      <c r="AK7" s="106">
        <v>0</v>
      </c>
      <c r="AL7" s="106">
        <v>0</v>
      </c>
      <c r="AM7" s="106">
        <v>0</v>
      </c>
      <c r="AN7" s="106">
        <v>0.46</v>
      </c>
    </row>
    <row r="8" spans="1:40" hidden="1" outlineLevel="1" x14ac:dyDescent="0.25">
      <c r="B8" s="39" t="str">
        <v>Secondary Direct Staff</v>
      </c>
      <c r="C8" s="3"/>
      <c r="D8" s="3"/>
      <c r="E8" s="106">
        <v>0</v>
      </c>
      <c r="F8" s="106">
        <v>0</v>
      </c>
      <c r="G8" s="106">
        <v>0</v>
      </c>
      <c r="H8" s="106">
        <v>0</v>
      </c>
      <c r="I8" s="106">
        <v>0</v>
      </c>
      <c r="J8" s="106">
        <v>0</v>
      </c>
      <c r="K8" s="106">
        <v>0</v>
      </c>
      <c r="L8" s="106">
        <v>0</v>
      </c>
      <c r="M8" s="106">
        <v>0</v>
      </c>
      <c r="N8" s="106">
        <v>0</v>
      </c>
      <c r="O8" s="106">
        <v>0</v>
      </c>
      <c r="P8" s="106">
        <v>0</v>
      </c>
      <c r="Q8" s="106">
        <v>0</v>
      </c>
      <c r="R8" s="106">
        <v>0</v>
      </c>
      <c r="S8" s="106">
        <v>0</v>
      </c>
      <c r="T8" s="106">
        <v>0</v>
      </c>
      <c r="U8" s="106">
        <v>0</v>
      </c>
      <c r="V8" s="106">
        <v>0</v>
      </c>
      <c r="W8" s="106">
        <v>0</v>
      </c>
      <c r="X8" s="106">
        <v>0</v>
      </c>
      <c r="Y8" s="106">
        <v>0</v>
      </c>
      <c r="Z8" s="106">
        <v>0</v>
      </c>
      <c r="AA8" s="106">
        <v>0</v>
      </c>
      <c r="AB8" s="106">
        <v>0</v>
      </c>
      <c r="AC8" s="106">
        <v>0</v>
      </c>
      <c r="AD8" s="106">
        <v>0</v>
      </c>
      <c r="AE8" s="106">
        <v>0</v>
      </c>
      <c r="AF8" s="106">
        <v>0</v>
      </c>
      <c r="AG8" s="106">
        <v>0</v>
      </c>
      <c r="AH8" s="106">
        <v>0</v>
      </c>
      <c r="AI8" s="106">
        <v>0</v>
      </c>
      <c r="AJ8" s="106">
        <v>0</v>
      </c>
      <c r="AK8" s="106">
        <v>0</v>
      </c>
      <c r="AL8" s="106">
        <v>0</v>
      </c>
      <c r="AM8" s="106">
        <v>0</v>
      </c>
      <c r="AN8" s="106">
        <v>9.9999999999999992E-2</v>
      </c>
    </row>
    <row r="9" spans="1:40" hidden="1" outlineLevel="1" x14ac:dyDescent="0.25">
      <c r="B9" s="39" t="str">
        <v>Center Manager</v>
      </c>
      <c r="C9" s="3"/>
      <c r="D9" s="3"/>
      <c r="E9" s="106">
        <v>0</v>
      </c>
      <c r="F9" s="106">
        <v>0</v>
      </c>
      <c r="G9" s="106">
        <v>0</v>
      </c>
      <c r="H9" s="106">
        <v>0</v>
      </c>
      <c r="I9" s="106">
        <v>0</v>
      </c>
      <c r="J9" s="106">
        <v>0</v>
      </c>
      <c r="K9" s="106">
        <v>0</v>
      </c>
      <c r="L9" s="106">
        <v>0</v>
      </c>
      <c r="M9" s="106">
        <v>0</v>
      </c>
      <c r="N9" s="106">
        <v>0</v>
      </c>
      <c r="O9" s="106">
        <v>0</v>
      </c>
      <c r="P9" s="106">
        <v>0</v>
      </c>
      <c r="Q9" s="106">
        <v>0</v>
      </c>
      <c r="R9" s="106">
        <v>0</v>
      </c>
      <c r="S9" s="106">
        <v>0</v>
      </c>
      <c r="T9" s="106">
        <v>0</v>
      </c>
      <c r="U9" s="106">
        <v>0</v>
      </c>
      <c r="V9" s="106">
        <v>0</v>
      </c>
      <c r="W9" s="106">
        <v>0</v>
      </c>
      <c r="X9" s="106">
        <v>0</v>
      </c>
      <c r="Y9" s="106">
        <v>0</v>
      </c>
      <c r="Z9" s="106">
        <v>0</v>
      </c>
      <c r="AA9" s="106">
        <v>0</v>
      </c>
      <c r="AB9" s="106">
        <v>0</v>
      </c>
      <c r="AC9" s="106">
        <v>0</v>
      </c>
      <c r="AD9" s="106">
        <v>0</v>
      </c>
      <c r="AE9" s="106">
        <v>0</v>
      </c>
      <c r="AF9" s="106">
        <v>0</v>
      </c>
      <c r="AG9" s="106">
        <v>0</v>
      </c>
      <c r="AH9" s="106">
        <v>0</v>
      </c>
      <c r="AI9" s="106">
        <v>0</v>
      </c>
      <c r="AJ9" s="106">
        <v>0</v>
      </c>
      <c r="AK9" s="106">
        <v>0</v>
      </c>
      <c r="AL9" s="106">
        <v>0</v>
      </c>
      <c r="AM9" s="106">
        <v>0</v>
      </c>
      <c r="AN9" s="106">
        <v>1</v>
      </c>
    </row>
    <row r="10" spans="1:40" hidden="1" outlineLevel="1" x14ac:dyDescent="0.25">
      <c r="B10" s="39" t="str">
        <v>Intake</v>
      </c>
      <c r="C10" s="3"/>
      <c r="D10" s="3"/>
      <c r="E10" s="106">
        <v>0</v>
      </c>
      <c r="F10" s="106">
        <v>0</v>
      </c>
      <c r="G10" s="106">
        <v>0</v>
      </c>
      <c r="H10" s="106">
        <v>0</v>
      </c>
      <c r="I10" s="106">
        <v>0</v>
      </c>
      <c r="J10" s="106">
        <v>0</v>
      </c>
      <c r="K10" s="106">
        <v>0</v>
      </c>
      <c r="L10" s="106">
        <v>0</v>
      </c>
      <c r="M10" s="106">
        <v>0</v>
      </c>
      <c r="N10" s="106">
        <v>0</v>
      </c>
      <c r="O10" s="106">
        <v>0</v>
      </c>
      <c r="P10" s="106">
        <v>0</v>
      </c>
      <c r="Q10" s="106">
        <v>0</v>
      </c>
      <c r="R10" s="106">
        <v>0</v>
      </c>
      <c r="S10" s="106">
        <v>0</v>
      </c>
      <c r="T10" s="106">
        <v>0</v>
      </c>
      <c r="U10" s="106">
        <v>0</v>
      </c>
      <c r="V10" s="106">
        <v>0</v>
      </c>
      <c r="W10" s="106">
        <v>0</v>
      </c>
      <c r="X10" s="106">
        <v>0</v>
      </c>
      <c r="Y10" s="106">
        <v>0</v>
      </c>
      <c r="Z10" s="106">
        <v>0</v>
      </c>
      <c r="AA10" s="106">
        <v>0</v>
      </c>
      <c r="AB10" s="106">
        <v>0</v>
      </c>
      <c r="AC10" s="106">
        <v>0</v>
      </c>
      <c r="AD10" s="106">
        <v>0</v>
      </c>
      <c r="AE10" s="106">
        <v>0</v>
      </c>
      <c r="AF10" s="106">
        <v>0</v>
      </c>
      <c r="AG10" s="106">
        <v>0</v>
      </c>
      <c r="AH10" s="106">
        <v>0</v>
      </c>
      <c r="AI10" s="106">
        <v>0</v>
      </c>
      <c r="AJ10" s="106">
        <v>0</v>
      </c>
      <c r="AK10" s="106">
        <v>0</v>
      </c>
      <c r="AL10" s="106">
        <v>0</v>
      </c>
      <c r="AM10" s="106">
        <v>0</v>
      </c>
      <c r="AN10" s="106">
        <v>0</v>
      </c>
    </row>
    <row r="11" spans="1:40" hidden="1" outlineLevel="1" x14ac:dyDescent="0.25">
      <c r="B11" s="39" t="str">
        <v>Scheduler</v>
      </c>
      <c r="C11" s="3"/>
      <c r="D11" s="3"/>
      <c r="E11" s="106">
        <v>0</v>
      </c>
      <c r="F11" s="106">
        <v>0</v>
      </c>
      <c r="G11" s="106">
        <v>0</v>
      </c>
      <c r="H11" s="106">
        <v>0</v>
      </c>
      <c r="I11" s="106">
        <v>0</v>
      </c>
      <c r="J11" s="106">
        <v>0</v>
      </c>
      <c r="K11" s="106">
        <v>0</v>
      </c>
      <c r="L11" s="106">
        <v>0</v>
      </c>
      <c r="M11" s="106">
        <v>0</v>
      </c>
      <c r="N11" s="106">
        <v>0</v>
      </c>
      <c r="O11" s="106">
        <v>0</v>
      </c>
      <c r="P11" s="106">
        <v>0</v>
      </c>
      <c r="Q11" s="106">
        <v>0</v>
      </c>
      <c r="R11" s="106">
        <v>0</v>
      </c>
      <c r="S11" s="106">
        <v>0</v>
      </c>
      <c r="T11" s="106">
        <v>0</v>
      </c>
      <c r="U11" s="106">
        <v>0</v>
      </c>
      <c r="V11" s="106">
        <v>0</v>
      </c>
      <c r="W11" s="106">
        <v>0</v>
      </c>
      <c r="X11" s="106">
        <v>0</v>
      </c>
      <c r="Y11" s="106">
        <v>0</v>
      </c>
      <c r="Z11" s="106">
        <v>0</v>
      </c>
      <c r="AA11" s="106">
        <v>0</v>
      </c>
      <c r="AB11" s="106">
        <v>0</v>
      </c>
      <c r="AC11" s="106">
        <v>0</v>
      </c>
      <c r="AD11" s="106">
        <v>0</v>
      </c>
      <c r="AE11" s="106">
        <v>0</v>
      </c>
      <c r="AF11" s="106">
        <v>0</v>
      </c>
      <c r="AG11" s="106">
        <v>0</v>
      </c>
      <c r="AH11" s="106">
        <v>0</v>
      </c>
      <c r="AI11" s="106">
        <v>0</v>
      </c>
      <c r="AJ11" s="106">
        <v>0</v>
      </c>
      <c r="AK11" s="106">
        <v>0</v>
      </c>
      <c r="AL11" s="106">
        <v>0</v>
      </c>
      <c r="AM11" s="106">
        <v>0</v>
      </c>
      <c r="AN11" s="106">
        <v>0</v>
      </c>
    </row>
    <row r="12" spans="1:40" hidden="1" outlineLevel="1" x14ac:dyDescent="0.25">
      <c r="B12" s="39" t="str">
        <v>Initial Consultation Expert</v>
      </c>
      <c r="C12" s="3"/>
      <c r="D12" s="3"/>
      <c r="E12" s="106">
        <v>0</v>
      </c>
      <c r="F12" s="106">
        <v>0</v>
      </c>
      <c r="G12" s="106">
        <v>0</v>
      </c>
      <c r="H12" s="106">
        <v>0</v>
      </c>
      <c r="I12" s="106">
        <v>0</v>
      </c>
      <c r="J12" s="106">
        <v>0</v>
      </c>
      <c r="K12" s="106">
        <v>0</v>
      </c>
      <c r="L12" s="106">
        <v>0</v>
      </c>
      <c r="M12" s="106">
        <v>0</v>
      </c>
      <c r="N12" s="106">
        <v>0</v>
      </c>
      <c r="O12" s="106">
        <v>0</v>
      </c>
      <c r="P12" s="106">
        <v>0</v>
      </c>
      <c r="Q12" s="106">
        <v>0</v>
      </c>
      <c r="R12" s="106">
        <v>0</v>
      </c>
      <c r="S12" s="106">
        <v>0</v>
      </c>
      <c r="T12" s="106">
        <v>0</v>
      </c>
      <c r="U12" s="106">
        <v>0</v>
      </c>
      <c r="V12" s="106">
        <v>0</v>
      </c>
      <c r="W12" s="106">
        <v>0</v>
      </c>
      <c r="X12" s="106">
        <v>0</v>
      </c>
      <c r="Y12" s="106">
        <v>0</v>
      </c>
      <c r="Z12" s="106">
        <v>0</v>
      </c>
      <c r="AA12" s="106">
        <v>0</v>
      </c>
      <c r="AB12" s="106">
        <v>0</v>
      </c>
      <c r="AC12" s="106">
        <v>0</v>
      </c>
      <c r="AD12" s="106">
        <v>0</v>
      </c>
      <c r="AE12" s="106">
        <v>0</v>
      </c>
      <c r="AF12" s="106">
        <v>0</v>
      </c>
      <c r="AG12" s="106">
        <v>0</v>
      </c>
      <c r="AH12" s="106">
        <v>0</v>
      </c>
      <c r="AI12" s="106">
        <v>0</v>
      </c>
      <c r="AJ12" s="106">
        <v>0</v>
      </c>
      <c r="AK12" s="106">
        <v>0</v>
      </c>
      <c r="AL12" s="106">
        <v>0</v>
      </c>
      <c r="AM12" s="106">
        <v>0</v>
      </c>
      <c r="AN12" s="106">
        <v>0</v>
      </c>
    </row>
    <row r="13" spans="1:40" hidden="1" outlineLevel="1" x14ac:dyDescent="0.25">
      <c r="B13" s="39" t="str">
        <v>Trainer</v>
      </c>
      <c r="C13" s="3"/>
      <c r="D13" s="3"/>
      <c r="E13" s="106">
        <v>0</v>
      </c>
      <c r="F13" s="106">
        <v>0</v>
      </c>
      <c r="G13" s="106">
        <v>0</v>
      </c>
      <c r="H13" s="106">
        <v>0</v>
      </c>
      <c r="I13" s="106">
        <v>0</v>
      </c>
      <c r="J13" s="106">
        <v>0</v>
      </c>
      <c r="K13" s="106">
        <v>0</v>
      </c>
      <c r="L13" s="106">
        <v>0</v>
      </c>
      <c r="M13" s="106">
        <v>0</v>
      </c>
      <c r="N13" s="106">
        <v>0</v>
      </c>
      <c r="O13" s="106">
        <v>0</v>
      </c>
      <c r="P13" s="106">
        <v>0</v>
      </c>
      <c r="Q13" s="106">
        <v>0</v>
      </c>
      <c r="R13" s="106">
        <v>0</v>
      </c>
      <c r="S13" s="106">
        <v>0</v>
      </c>
      <c r="T13" s="106">
        <v>0</v>
      </c>
      <c r="U13" s="106">
        <v>0</v>
      </c>
      <c r="V13" s="106">
        <v>0</v>
      </c>
      <c r="W13" s="106">
        <v>0</v>
      </c>
      <c r="X13" s="106">
        <v>0</v>
      </c>
      <c r="Y13" s="106">
        <v>0</v>
      </c>
      <c r="Z13" s="106">
        <v>0</v>
      </c>
      <c r="AA13" s="106">
        <v>0</v>
      </c>
      <c r="AB13" s="106">
        <v>0</v>
      </c>
      <c r="AC13" s="106">
        <v>0</v>
      </c>
      <c r="AD13" s="106">
        <v>0</v>
      </c>
      <c r="AE13" s="106">
        <v>0</v>
      </c>
      <c r="AF13" s="106">
        <v>0</v>
      </c>
      <c r="AG13" s="106">
        <v>0</v>
      </c>
      <c r="AH13" s="106">
        <v>0</v>
      </c>
      <c r="AI13" s="106">
        <v>0</v>
      </c>
      <c r="AJ13" s="106">
        <v>0</v>
      </c>
      <c r="AK13" s="106">
        <v>0</v>
      </c>
      <c r="AL13" s="106">
        <v>0</v>
      </c>
      <c r="AM13" s="106">
        <v>0</v>
      </c>
      <c r="AN13" s="106">
        <v>0.01</v>
      </c>
    </row>
    <row r="14" spans="1:40" hidden="1" outlineLevel="1" x14ac:dyDescent="0.25">
      <c r="B14" s="39" t="str">
        <v>Recruiter</v>
      </c>
      <c r="C14" s="3"/>
      <c r="D14" s="3"/>
      <c r="E14" s="106">
        <v>0</v>
      </c>
      <c r="F14" s="106">
        <v>0</v>
      </c>
      <c r="G14" s="106">
        <v>0</v>
      </c>
      <c r="H14" s="106">
        <v>0</v>
      </c>
      <c r="I14" s="106">
        <v>0</v>
      </c>
      <c r="J14" s="106">
        <v>0</v>
      </c>
      <c r="K14" s="106">
        <v>0</v>
      </c>
      <c r="L14" s="106">
        <v>0</v>
      </c>
      <c r="M14" s="106">
        <v>0</v>
      </c>
      <c r="N14" s="106">
        <v>0</v>
      </c>
      <c r="O14" s="106">
        <v>0</v>
      </c>
      <c r="P14" s="106">
        <v>0</v>
      </c>
      <c r="Q14" s="106">
        <v>0</v>
      </c>
      <c r="R14" s="106">
        <v>0</v>
      </c>
      <c r="S14" s="106">
        <v>0</v>
      </c>
      <c r="T14" s="106">
        <v>0</v>
      </c>
      <c r="U14" s="106">
        <v>0</v>
      </c>
      <c r="V14" s="106">
        <v>0</v>
      </c>
      <c r="W14" s="106">
        <v>0</v>
      </c>
      <c r="X14" s="106">
        <v>0</v>
      </c>
      <c r="Y14" s="106">
        <v>0</v>
      </c>
      <c r="Z14" s="106">
        <v>0</v>
      </c>
      <c r="AA14" s="106">
        <v>0</v>
      </c>
      <c r="AB14" s="106">
        <v>0</v>
      </c>
      <c r="AC14" s="106">
        <v>0</v>
      </c>
      <c r="AD14" s="106">
        <v>0</v>
      </c>
      <c r="AE14" s="106">
        <v>0</v>
      </c>
      <c r="AF14" s="106">
        <v>0</v>
      </c>
      <c r="AG14" s="106">
        <v>0</v>
      </c>
      <c r="AH14" s="106">
        <v>0</v>
      </c>
      <c r="AI14" s="106">
        <v>0</v>
      </c>
      <c r="AJ14" s="106">
        <v>0</v>
      </c>
      <c r="AK14" s="106">
        <v>0</v>
      </c>
      <c r="AL14" s="106">
        <v>0</v>
      </c>
      <c r="AM14" s="106">
        <v>0</v>
      </c>
      <c r="AN14" s="106">
        <v>0.01</v>
      </c>
    </row>
    <row r="15" spans="1:40" hidden="1" outlineLevel="1" x14ac:dyDescent="0.25">
      <c r="B15" s="39" t="str">
        <v>Center Director / Remote Site Director</v>
      </c>
      <c r="C15" s="3"/>
      <c r="D15" s="3"/>
      <c r="E15" s="106">
        <v>0</v>
      </c>
      <c r="F15" s="106">
        <v>0</v>
      </c>
      <c r="G15" s="106">
        <v>0</v>
      </c>
      <c r="H15" s="106">
        <v>0</v>
      </c>
      <c r="I15" s="106">
        <v>0</v>
      </c>
      <c r="J15" s="106">
        <v>0</v>
      </c>
      <c r="K15" s="106">
        <v>0</v>
      </c>
      <c r="L15" s="106">
        <v>0</v>
      </c>
      <c r="M15" s="106">
        <v>0</v>
      </c>
      <c r="N15" s="106">
        <v>0</v>
      </c>
      <c r="O15" s="106">
        <v>0</v>
      </c>
      <c r="P15" s="106">
        <v>0</v>
      </c>
      <c r="Q15" s="106">
        <v>0</v>
      </c>
      <c r="R15" s="106">
        <v>0</v>
      </c>
      <c r="S15" s="106">
        <v>0</v>
      </c>
      <c r="T15" s="106">
        <v>0</v>
      </c>
      <c r="U15" s="106">
        <v>0</v>
      </c>
      <c r="V15" s="106">
        <v>0</v>
      </c>
      <c r="W15" s="106">
        <v>0</v>
      </c>
      <c r="X15" s="106">
        <v>0</v>
      </c>
      <c r="Y15" s="106">
        <v>0</v>
      </c>
      <c r="Z15" s="106">
        <v>0</v>
      </c>
      <c r="AA15" s="106">
        <v>0</v>
      </c>
      <c r="AB15" s="106">
        <v>0</v>
      </c>
      <c r="AC15" s="106">
        <v>0</v>
      </c>
      <c r="AD15" s="106">
        <v>0</v>
      </c>
      <c r="AE15" s="106">
        <v>0</v>
      </c>
      <c r="AF15" s="106">
        <v>0</v>
      </c>
      <c r="AG15" s="106">
        <v>0</v>
      </c>
      <c r="AH15" s="106">
        <v>0</v>
      </c>
      <c r="AI15" s="106">
        <v>0</v>
      </c>
      <c r="AJ15" s="106">
        <v>0</v>
      </c>
      <c r="AK15" s="106">
        <v>0</v>
      </c>
      <c r="AL15" s="106">
        <v>0</v>
      </c>
      <c r="AM15" s="106">
        <v>0</v>
      </c>
      <c r="AN15" s="106">
        <v>0.01</v>
      </c>
    </row>
    <row r="16" spans="1:40" hidden="1" outlineLevel="1" x14ac:dyDescent="0.25">
      <c r="B16" s="39" t="str">
        <v>Center Marketing Outreach</v>
      </c>
      <c r="C16" s="3"/>
      <c r="D16" s="3"/>
      <c r="E16" s="106">
        <v>0</v>
      </c>
      <c r="F16" s="106">
        <v>0</v>
      </c>
      <c r="G16" s="106">
        <v>0</v>
      </c>
      <c r="H16" s="106">
        <v>0</v>
      </c>
      <c r="I16" s="106">
        <v>0</v>
      </c>
      <c r="J16" s="106">
        <v>0</v>
      </c>
      <c r="K16" s="106">
        <v>0</v>
      </c>
      <c r="L16" s="106">
        <v>0</v>
      </c>
      <c r="M16" s="106">
        <v>0</v>
      </c>
      <c r="N16" s="106">
        <v>0</v>
      </c>
      <c r="O16" s="106">
        <v>0</v>
      </c>
      <c r="P16" s="106">
        <v>0</v>
      </c>
      <c r="Q16" s="106">
        <v>0</v>
      </c>
      <c r="R16" s="106">
        <v>0</v>
      </c>
      <c r="S16" s="106">
        <v>0</v>
      </c>
      <c r="T16" s="106">
        <v>0</v>
      </c>
      <c r="U16" s="106">
        <v>0</v>
      </c>
      <c r="V16" s="106">
        <v>0</v>
      </c>
      <c r="W16" s="106">
        <v>0</v>
      </c>
      <c r="X16" s="106">
        <v>0</v>
      </c>
      <c r="Y16" s="106">
        <v>0</v>
      </c>
      <c r="Z16" s="106">
        <v>0</v>
      </c>
      <c r="AA16" s="106">
        <v>0</v>
      </c>
      <c r="AB16" s="106">
        <v>0</v>
      </c>
      <c r="AC16" s="106">
        <v>0</v>
      </c>
      <c r="AD16" s="106">
        <v>0</v>
      </c>
      <c r="AE16" s="106">
        <v>0</v>
      </c>
      <c r="AF16" s="106">
        <v>0</v>
      </c>
      <c r="AG16" s="106">
        <v>0</v>
      </c>
      <c r="AH16" s="106">
        <v>0</v>
      </c>
      <c r="AI16" s="106">
        <v>0</v>
      </c>
      <c r="AJ16" s="106">
        <v>0</v>
      </c>
      <c r="AK16" s="106">
        <v>0</v>
      </c>
      <c r="AL16" s="106">
        <v>0</v>
      </c>
      <c r="AM16" s="106">
        <v>0</v>
      </c>
      <c r="AN16" s="106">
        <v>0.01</v>
      </c>
    </row>
    <row r="17" spans="2:50" hidden="1" outlineLevel="1" x14ac:dyDescent="0.25">
      <c r="B17" s="39" t="str">
        <v>Primary Direct Staff Lead</v>
      </c>
      <c r="C17" s="3"/>
      <c r="D17" s="3"/>
      <c r="E17" s="106">
        <v>0</v>
      </c>
      <c r="F17" s="106">
        <v>0</v>
      </c>
      <c r="G17" s="106">
        <v>0</v>
      </c>
      <c r="H17" s="106">
        <v>0</v>
      </c>
      <c r="I17" s="106">
        <v>0</v>
      </c>
      <c r="J17" s="106">
        <v>0</v>
      </c>
      <c r="K17" s="106">
        <v>0</v>
      </c>
      <c r="L17" s="106">
        <v>0</v>
      </c>
      <c r="M17" s="106">
        <v>0</v>
      </c>
      <c r="N17" s="106">
        <v>0</v>
      </c>
      <c r="O17" s="106">
        <v>0</v>
      </c>
      <c r="P17" s="106">
        <v>0</v>
      </c>
      <c r="Q17" s="106">
        <v>0</v>
      </c>
      <c r="R17" s="106">
        <v>0</v>
      </c>
      <c r="S17" s="106">
        <v>0</v>
      </c>
      <c r="T17" s="106">
        <v>0</v>
      </c>
      <c r="U17" s="106">
        <v>0</v>
      </c>
      <c r="V17" s="106">
        <v>0</v>
      </c>
      <c r="W17" s="106">
        <v>0</v>
      </c>
      <c r="X17" s="106">
        <v>0</v>
      </c>
      <c r="Y17" s="106">
        <v>0</v>
      </c>
      <c r="Z17" s="106">
        <v>0</v>
      </c>
      <c r="AA17" s="106">
        <v>0</v>
      </c>
      <c r="AB17" s="106">
        <v>0</v>
      </c>
      <c r="AC17" s="106">
        <v>0</v>
      </c>
      <c r="AD17" s="106">
        <v>0</v>
      </c>
      <c r="AE17" s="106">
        <v>0</v>
      </c>
      <c r="AF17" s="106">
        <v>0</v>
      </c>
      <c r="AG17" s="106">
        <v>0</v>
      </c>
      <c r="AH17" s="106">
        <v>0</v>
      </c>
      <c r="AI17" s="106">
        <v>0</v>
      </c>
      <c r="AJ17" s="106">
        <v>0</v>
      </c>
      <c r="AK17" s="106">
        <v>0</v>
      </c>
      <c r="AL17" s="106">
        <v>0</v>
      </c>
      <c r="AM17" s="106">
        <v>0</v>
      </c>
      <c r="AN17" s="106">
        <v>0</v>
      </c>
    </row>
    <row r="18" spans="2:50" hidden="1" outlineLevel="1" x14ac:dyDescent="0.25">
      <c r="B18" s="39" t="str">
        <v>Tertiary Direct Staff</v>
      </c>
      <c r="C18" s="3"/>
      <c r="D18" s="3"/>
      <c r="E18" s="106">
        <v>0</v>
      </c>
      <c r="F18" s="106">
        <v>0</v>
      </c>
      <c r="G18" s="106">
        <v>0</v>
      </c>
      <c r="H18" s="106">
        <v>0</v>
      </c>
      <c r="I18" s="106">
        <v>0</v>
      </c>
      <c r="J18" s="106">
        <v>0</v>
      </c>
      <c r="K18" s="106">
        <v>0</v>
      </c>
      <c r="L18" s="106">
        <v>0</v>
      </c>
      <c r="M18" s="106">
        <v>0</v>
      </c>
      <c r="N18" s="106">
        <v>0</v>
      </c>
      <c r="O18" s="106">
        <v>0</v>
      </c>
      <c r="P18" s="106">
        <v>0</v>
      </c>
      <c r="Q18" s="106">
        <v>0</v>
      </c>
      <c r="R18" s="106">
        <v>0</v>
      </c>
      <c r="S18" s="106">
        <v>0</v>
      </c>
      <c r="T18" s="106">
        <v>0</v>
      </c>
      <c r="U18" s="106">
        <v>0</v>
      </c>
      <c r="V18" s="106">
        <v>0</v>
      </c>
      <c r="W18" s="106">
        <v>0</v>
      </c>
      <c r="X18" s="106">
        <v>0</v>
      </c>
      <c r="Y18" s="106">
        <v>0</v>
      </c>
      <c r="Z18" s="106">
        <v>0</v>
      </c>
      <c r="AA18" s="106">
        <v>0</v>
      </c>
      <c r="AB18" s="106">
        <v>0</v>
      </c>
      <c r="AC18" s="106">
        <v>0</v>
      </c>
      <c r="AD18" s="106">
        <v>0</v>
      </c>
      <c r="AE18" s="106">
        <v>0</v>
      </c>
      <c r="AF18" s="106">
        <v>0</v>
      </c>
      <c r="AG18" s="106">
        <v>0</v>
      </c>
      <c r="AH18" s="106">
        <v>0</v>
      </c>
      <c r="AI18" s="106">
        <v>0</v>
      </c>
      <c r="AJ18" s="106">
        <v>0</v>
      </c>
      <c r="AK18" s="106">
        <v>0</v>
      </c>
      <c r="AL18" s="106">
        <v>0</v>
      </c>
      <c r="AM18" s="106">
        <v>0</v>
      </c>
      <c r="AN18" s="106">
        <v>0</v>
      </c>
    </row>
    <row r="19" spans="2:50" hidden="1" outlineLevel="1" x14ac:dyDescent="0.25">
      <c r="B19" s="39" t="str">
        <v>Quinary Direct Staff</v>
      </c>
      <c r="C19" s="3"/>
      <c r="D19" s="3"/>
      <c r="E19" s="106">
        <v>0</v>
      </c>
      <c r="F19" s="106">
        <v>0</v>
      </c>
      <c r="G19" s="106">
        <v>0</v>
      </c>
      <c r="H19" s="106">
        <v>0</v>
      </c>
      <c r="I19" s="106">
        <v>0</v>
      </c>
      <c r="J19" s="106">
        <v>0</v>
      </c>
      <c r="K19" s="106">
        <v>0</v>
      </c>
      <c r="L19" s="106">
        <v>0</v>
      </c>
      <c r="M19" s="106">
        <v>0</v>
      </c>
      <c r="N19" s="106">
        <v>0</v>
      </c>
      <c r="O19" s="106">
        <v>0</v>
      </c>
      <c r="P19" s="106">
        <v>0</v>
      </c>
      <c r="Q19" s="106">
        <v>0</v>
      </c>
      <c r="R19" s="106">
        <v>0</v>
      </c>
      <c r="S19" s="106">
        <v>0</v>
      </c>
      <c r="T19" s="106">
        <v>0</v>
      </c>
      <c r="U19" s="106">
        <v>0</v>
      </c>
      <c r="V19" s="106">
        <v>0</v>
      </c>
      <c r="W19" s="106">
        <v>0</v>
      </c>
      <c r="X19" s="106">
        <v>0</v>
      </c>
      <c r="Y19" s="106">
        <v>0</v>
      </c>
      <c r="Z19" s="106">
        <v>0</v>
      </c>
      <c r="AA19" s="106">
        <v>0</v>
      </c>
      <c r="AB19" s="106">
        <v>0</v>
      </c>
      <c r="AC19" s="106">
        <v>0</v>
      </c>
      <c r="AD19" s="106">
        <v>0</v>
      </c>
      <c r="AE19" s="106">
        <v>0</v>
      </c>
      <c r="AF19" s="106">
        <v>0</v>
      </c>
      <c r="AG19" s="106">
        <v>0</v>
      </c>
      <c r="AH19" s="106">
        <v>0</v>
      </c>
      <c r="AI19" s="106">
        <v>0</v>
      </c>
      <c r="AJ19" s="106">
        <v>0</v>
      </c>
      <c r="AK19" s="106">
        <v>0</v>
      </c>
      <c r="AL19" s="106">
        <v>0</v>
      </c>
      <c r="AM19" s="106">
        <v>0</v>
      </c>
      <c r="AN19" s="106">
        <v>0</v>
      </c>
    </row>
    <row r="20" spans="2:50" hidden="1" outlineLevel="1" x14ac:dyDescent="0.25">
      <c r="B20" s="39" t="str">
        <v>Quaternary Direct Staff</v>
      </c>
      <c r="C20" s="3"/>
      <c r="D20" s="3"/>
      <c r="E20" s="106">
        <v>0</v>
      </c>
      <c r="F20" s="106">
        <v>0</v>
      </c>
      <c r="G20" s="106">
        <v>0</v>
      </c>
      <c r="H20" s="106">
        <v>0</v>
      </c>
      <c r="I20" s="106">
        <v>0</v>
      </c>
      <c r="J20" s="106">
        <v>0</v>
      </c>
      <c r="K20" s="106">
        <v>0</v>
      </c>
      <c r="L20" s="106">
        <v>0</v>
      </c>
      <c r="M20" s="106">
        <v>0</v>
      </c>
      <c r="N20" s="106">
        <v>0</v>
      </c>
      <c r="O20" s="106">
        <v>0</v>
      </c>
      <c r="P20" s="106">
        <v>0</v>
      </c>
      <c r="Q20" s="106">
        <v>0</v>
      </c>
      <c r="R20" s="106">
        <v>0</v>
      </c>
      <c r="S20" s="106">
        <v>0</v>
      </c>
      <c r="T20" s="106">
        <v>0</v>
      </c>
      <c r="U20" s="106">
        <v>0</v>
      </c>
      <c r="V20" s="106">
        <v>0</v>
      </c>
      <c r="W20" s="106">
        <v>0</v>
      </c>
      <c r="X20" s="106">
        <v>0</v>
      </c>
      <c r="Y20" s="106">
        <v>0</v>
      </c>
      <c r="Z20" s="106">
        <v>0</v>
      </c>
      <c r="AA20" s="106">
        <v>0</v>
      </c>
      <c r="AB20" s="106">
        <v>0</v>
      </c>
      <c r="AC20" s="106">
        <v>0</v>
      </c>
      <c r="AD20" s="106">
        <v>0</v>
      </c>
      <c r="AE20" s="106">
        <v>0</v>
      </c>
      <c r="AF20" s="106">
        <v>0</v>
      </c>
      <c r="AG20" s="106">
        <v>0</v>
      </c>
      <c r="AH20" s="106">
        <v>0</v>
      </c>
      <c r="AI20" s="106">
        <v>0</v>
      </c>
      <c r="AJ20" s="106">
        <v>0</v>
      </c>
      <c r="AK20" s="106">
        <v>0</v>
      </c>
      <c r="AL20" s="106">
        <v>0</v>
      </c>
      <c r="AM20" s="106">
        <v>0</v>
      </c>
      <c r="AN20" s="106">
        <v>0</v>
      </c>
    </row>
    <row r="21" spans="2:50" collapsed="1" x14ac:dyDescent="0.25">
      <c r="B21" s="39" t="s">
        <v>389</v>
      </c>
      <c r="C21" s="3"/>
      <c r="D21" s="5"/>
      <c r="E21" s="117" cm="1">
        <f t="array" ref="E21:AN21">ROUND(_xlfn.BYCOL(_xlfn.CHOOSEROWS(_xlfn.ANCHORARRAY(E7),1,2),_xlfn.LAMBDA(_xlpm.col,SUM(_xlpm.col))),0)</f>
        <v>0</v>
      </c>
      <c r="F21" s="117">
        <v>0</v>
      </c>
      <c r="G21" s="117">
        <v>0</v>
      </c>
      <c r="H21" s="117">
        <v>0</v>
      </c>
      <c r="I21" s="117">
        <v>0</v>
      </c>
      <c r="J21" s="117">
        <v>0</v>
      </c>
      <c r="K21" s="117">
        <v>0</v>
      </c>
      <c r="L21" s="117">
        <v>0</v>
      </c>
      <c r="M21" s="117">
        <v>0</v>
      </c>
      <c r="N21" s="117">
        <v>0</v>
      </c>
      <c r="O21" s="117">
        <v>0</v>
      </c>
      <c r="P21" s="117">
        <v>0</v>
      </c>
      <c r="Q21" s="117">
        <v>0</v>
      </c>
      <c r="R21" s="117">
        <v>0</v>
      </c>
      <c r="S21" s="117">
        <v>0</v>
      </c>
      <c r="T21" s="117">
        <v>0</v>
      </c>
      <c r="U21" s="117">
        <v>0</v>
      </c>
      <c r="V21" s="117">
        <v>0</v>
      </c>
      <c r="W21" s="117">
        <v>0</v>
      </c>
      <c r="X21" s="117">
        <v>0</v>
      </c>
      <c r="Y21" s="117">
        <v>0</v>
      </c>
      <c r="Z21" s="117">
        <v>0</v>
      </c>
      <c r="AA21" s="117">
        <v>0</v>
      </c>
      <c r="AB21" s="117">
        <v>0</v>
      </c>
      <c r="AC21" s="117">
        <v>0</v>
      </c>
      <c r="AD21" s="117">
        <v>0</v>
      </c>
      <c r="AE21" s="117">
        <v>0</v>
      </c>
      <c r="AF21" s="117">
        <v>0</v>
      </c>
      <c r="AG21" s="117">
        <v>0</v>
      </c>
      <c r="AH21" s="117">
        <v>0</v>
      </c>
      <c r="AI21" s="117">
        <v>0</v>
      </c>
      <c r="AJ21" s="117">
        <v>0</v>
      </c>
      <c r="AK21" s="117">
        <v>0</v>
      </c>
      <c r="AL21" s="117">
        <v>0</v>
      </c>
      <c r="AM21" s="117">
        <v>0</v>
      </c>
      <c r="AN21" s="117">
        <v>1</v>
      </c>
    </row>
    <row r="22" spans="2:50" x14ac:dyDescent="0.25">
      <c r="B22" s="2" t="s">
        <v>394</v>
      </c>
      <c r="C22" s="3"/>
      <c r="D22" s="77">
        <f>MAX(_xlfn.ANCHORARRAY(E22))</f>
        <v>174.55720170454555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0</v>
      </c>
      <c r="F22" s="78">
        <v>0</v>
      </c>
      <c r="G22" s="78">
        <v>0</v>
      </c>
      <c r="H22" s="78">
        <v>0</v>
      </c>
      <c r="I22" s="78">
        <v>0</v>
      </c>
      <c r="J22" s="78">
        <v>0</v>
      </c>
      <c r="K22" s="78">
        <v>0</v>
      </c>
      <c r="L22" s="78">
        <v>0</v>
      </c>
      <c r="M22" s="78">
        <v>0</v>
      </c>
      <c r="N22" s="78">
        <v>0</v>
      </c>
      <c r="O22" s="78">
        <v>0</v>
      </c>
      <c r="P22" s="78">
        <v>0</v>
      </c>
      <c r="Q22" s="78">
        <v>0</v>
      </c>
      <c r="R22" s="78">
        <v>0</v>
      </c>
      <c r="S22" s="78">
        <v>0</v>
      </c>
      <c r="T22" s="78">
        <v>0</v>
      </c>
      <c r="U22" s="78">
        <v>0</v>
      </c>
      <c r="V22" s="78">
        <v>0</v>
      </c>
      <c r="W22" s="78">
        <v>0</v>
      </c>
      <c r="X22" s="78">
        <v>0</v>
      </c>
      <c r="Y22" s="78">
        <v>0</v>
      </c>
      <c r="Z22" s="78">
        <v>0</v>
      </c>
      <c r="AA22" s="78">
        <v>0</v>
      </c>
      <c r="AB22" s="78">
        <v>0</v>
      </c>
      <c r="AC22" s="78">
        <v>0</v>
      </c>
      <c r="AD22" s="78">
        <v>0</v>
      </c>
      <c r="AE22" s="78">
        <v>0</v>
      </c>
      <c r="AF22" s="78">
        <v>0</v>
      </c>
      <c r="AG22" s="78">
        <v>0</v>
      </c>
      <c r="AH22" s="78">
        <v>0</v>
      </c>
      <c r="AI22" s="78">
        <v>0</v>
      </c>
      <c r="AJ22" s="78">
        <v>0</v>
      </c>
      <c r="AK22" s="78">
        <v>0</v>
      </c>
      <c r="AL22" s="78">
        <v>0</v>
      </c>
      <c r="AM22" s="78">
        <v>0</v>
      </c>
      <c r="AN22" s="78">
        <v>174.55720170454555</v>
      </c>
    </row>
    <row r="23" spans="2:50" x14ac:dyDescent="0.25">
      <c r="B23" s="2" t="s">
        <v>53</v>
      </c>
      <c r="C23" s="3"/>
      <c r="D23" s="72"/>
      <c r="E23" s="52" cm="1">
        <f t="array" ref="E23:AN23">_xlfn.LET(_xlpm.site,$B$1&amp;"-"&amp;$C$1,_xlpm.locations,Base!$D$4:$BD$4,_xlpm.Customer,_xlfn.ANCHORARRAY(E1),_xlpm.hours,SUM(_xlfn.XLOOKUP(_xlpm.site,_xlpm.locations,Base!$D$74:$BD$78,0,0)),
_xlpm.collection,1-_xlfn.XLOOKUP(_xlpm.site,_xlpm.locations,Base!$D$26:$BD$26,0,0),
_xlpm.Customer*_xlpm.hours*_xlpm.collection*(52/12))</f>
        <v>0</v>
      </c>
      <c r="F23" s="52">
        <v>0</v>
      </c>
      <c r="G23" s="52">
        <v>0</v>
      </c>
      <c r="H23" s="52">
        <v>0</v>
      </c>
      <c r="I23" s="52">
        <v>0</v>
      </c>
      <c r="J23" s="52">
        <v>0</v>
      </c>
      <c r="K23" s="52">
        <v>0</v>
      </c>
      <c r="L23" s="52">
        <v>0</v>
      </c>
      <c r="M23" s="52">
        <v>0</v>
      </c>
      <c r="N23" s="52">
        <v>0</v>
      </c>
      <c r="O23" s="52">
        <v>0</v>
      </c>
      <c r="P23" s="52">
        <v>0</v>
      </c>
      <c r="Q23" s="52">
        <v>0</v>
      </c>
      <c r="R23" s="52">
        <v>0</v>
      </c>
      <c r="S23" s="52">
        <v>0</v>
      </c>
      <c r="T23" s="52">
        <v>0</v>
      </c>
      <c r="U23" s="52">
        <v>0</v>
      </c>
      <c r="V23" s="52">
        <v>0</v>
      </c>
      <c r="W23" s="52">
        <v>0</v>
      </c>
      <c r="X23" s="52">
        <v>0</v>
      </c>
      <c r="Y23" s="52">
        <v>0</v>
      </c>
      <c r="Z23" s="52">
        <v>0</v>
      </c>
      <c r="AA23" s="52">
        <v>0</v>
      </c>
      <c r="AB23" s="52">
        <v>0</v>
      </c>
      <c r="AC23" s="52">
        <v>0</v>
      </c>
      <c r="AD23" s="52">
        <v>0</v>
      </c>
      <c r="AE23" s="52">
        <v>0</v>
      </c>
      <c r="AF23" s="52">
        <v>0</v>
      </c>
      <c r="AG23" s="52">
        <v>0</v>
      </c>
      <c r="AH23" s="52">
        <v>0</v>
      </c>
      <c r="AI23" s="52">
        <v>0</v>
      </c>
      <c r="AJ23" s="52">
        <v>0</v>
      </c>
      <c r="AK23" s="52">
        <v>0</v>
      </c>
      <c r="AL23" s="52">
        <v>0</v>
      </c>
      <c r="AM23" s="52">
        <v>0</v>
      </c>
      <c r="AN23" s="52">
        <v>51.626666666666658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21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_xlfn.LET(_xlpm.site,$B$1&amp;"-"&amp;$C$1,_xlpm.locations,Base!$D$4:$BD$4,_xlpm.rates,Base!$D31:$BD31,_xlpm.hours,Base!$D74:$BD74,_xlpm.comp,_xlpm.rates*_xlpm.hours,_xlpm.Customer,_xlfn.ANCHORARRAY($E$1),
_xlpm.Customer_comp,_xlfn.XLOOKUP(_xlpm.site,_xlpm.locations,_xlpm.comp,0,0),_xlpm.ann_incr,_xlfn.XLOOKUP(YEAR(_xlfn.ANCHORARRAY($E$25)),Base!$BJ$4:$BL$4,Base!$BJ74:$BL74,0,0),
_xlpm.bad_debt,_xlfn.XLOOKUP(_xlpm.site,_xlpm.locations,Base!$D$28:$BD$28,0,0),_xlpm.Customer_comp*_xlpm.Customer*_xlpm.bad_debt*_xlpm.ann_incr*(52/12))</f>
        <v>0</v>
      </c>
      <c r="F26" s="12">
        <v>0</v>
      </c>
      <c r="G26" s="12">
        <v>0</v>
      </c>
      <c r="H26" s="12">
        <v>0</v>
      </c>
      <c r="I26" s="12">
        <v>0</v>
      </c>
      <c r="J26" s="12">
        <v>0</v>
      </c>
      <c r="K26" s="12">
        <v>0</v>
      </c>
      <c r="L26" s="12">
        <v>0</v>
      </c>
      <c r="M26" s="12">
        <v>0</v>
      </c>
      <c r="N26" s="12">
        <v>0</v>
      </c>
      <c r="O26" s="12">
        <v>0</v>
      </c>
      <c r="P26" s="12">
        <v>0</v>
      </c>
      <c r="Q26" s="12">
        <v>0</v>
      </c>
      <c r="R26" s="12">
        <v>0</v>
      </c>
      <c r="S26" s="12">
        <v>0</v>
      </c>
      <c r="T26" s="12">
        <v>0</v>
      </c>
      <c r="U26" s="12">
        <v>0</v>
      </c>
      <c r="V26" s="12">
        <v>0</v>
      </c>
      <c r="W26" s="12">
        <v>0</v>
      </c>
      <c r="X26" s="12">
        <v>0</v>
      </c>
      <c r="Y26" s="12">
        <v>0</v>
      </c>
      <c r="Z26" s="12">
        <v>0</v>
      </c>
      <c r="AA26" s="12">
        <v>0</v>
      </c>
      <c r="AB26" s="12">
        <v>0</v>
      </c>
      <c r="AC26" s="12">
        <v>0</v>
      </c>
      <c r="AD26" s="12">
        <v>0</v>
      </c>
      <c r="AE26" s="12">
        <v>0</v>
      </c>
      <c r="AF26" s="12">
        <v>0</v>
      </c>
      <c r="AG26" s="12">
        <v>0</v>
      </c>
      <c r="AH26" s="12">
        <v>0</v>
      </c>
      <c r="AI26" s="12">
        <v>0</v>
      </c>
      <c r="AJ26" s="12">
        <v>0</v>
      </c>
      <c r="AK26" s="12">
        <v>0</v>
      </c>
      <c r="AL26" s="12">
        <v>0</v>
      </c>
      <c r="AM26" s="12">
        <v>0</v>
      </c>
      <c r="AN26" s="12">
        <v>8154.019033333333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_xlfn.LET(_xlpm.site,$B$1&amp;"-"&amp;$C$1,_xlpm.locations,Base!$D$4:$BD$4,_xlpm.rates,Base!$D32:$BD32,_xlpm.hours,Base!$D75:$BD75,_xlpm.comp,_xlpm.rates*_xlpm.hours,_xlpm.Customer,_xlfn.ANCHORARRAY($E$1),
_xlpm.Customer_comp,_xlfn.XLOOKUP(_xlpm.site,_xlpm.locations,_xlpm.comp,0,0),_xlpm.ann_incr,_xlfn.XLOOKUP(YEAR(_xlfn.ANCHORARRAY($E$25)),Base!$BJ$4:$BL$4,Base!$BJ75:$BL75,0,0),
_xlpm.bad_debt,_xlfn.XLOOKUP(_xlpm.site,_xlpm.locations,Base!$D$28:$BD$28,0,0),_xlpm.Customer_comp*_xlpm.Customer*_xlpm.bad_debt*_xlpm.ann_incr*(52/12))</f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12">
        <v>0</v>
      </c>
      <c r="AA27" s="12">
        <v>0</v>
      </c>
      <c r="AB27" s="12">
        <v>0</v>
      </c>
      <c r="AC27" s="12">
        <v>0</v>
      </c>
      <c r="AD27" s="12">
        <v>0</v>
      </c>
      <c r="AE27" s="12">
        <v>0</v>
      </c>
      <c r="AF27" s="12">
        <v>0</v>
      </c>
      <c r="AG27" s="12">
        <v>0</v>
      </c>
      <c r="AH27" s="12">
        <v>0</v>
      </c>
      <c r="AI27" s="12">
        <v>0</v>
      </c>
      <c r="AJ27" s="12">
        <v>0</v>
      </c>
      <c r="AK27" s="12">
        <v>0</v>
      </c>
      <c r="AL27" s="12">
        <v>0</v>
      </c>
      <c r="AM27" s="12">
        <v>0</v>
      </c>
      <c r="AN27" s="12">
        <v>0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_xlfn.LET(_xlpm.site,$B$1&amp;"-"&amp;$C$1,_xlpm.locations,Base!$D$4:$BD$4,_xlpm.rates,Base!$D33:$BD33,_xlpm.hours,Base!$D76:$BD76,_xlpm.comp,_xlpm.rates*_xlpm.hours,_xlpm.Customer,_xlfn.ANCHORARRAY($E$1),
_xlpm.Customer_comp,_xlfn.XLOOKUP(_xlpm.site,_xlpm.locations,_xlpm.comp,0,0),_xlpm.ann_incr,_xlfn.XLOOKUP(YEAR(_xlfn.ANCHORARRAY($E$25)),Base!$BJ$4:$BL$4,Base!$BJ76:$BL76,0,0),
_xlpm.bad_debt,_xlfn.XLOOKUP(_xlpm.site,_xlpm.locations,Base!$D$28:$BD$28,0,0),_xlpm.Customer_comp*_xlpm.Customer*_xlpm.bad_debt*_xlpm.ann_incr*(52/12))</f>
        <v>0</v>
      </c>
      <c r="F28" s="12">
        <v>0</v>
      </c>
      <c r="G28" s="12">
        <v>0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0</v>
      </c>
      <c r="N28" s="12">
        <v>0</v>
      </c>
      <c r="O28" s="12">
        <v>0</v>
      </c>
      <c r="P28" s="12">
        <v>0</v>
      </c>
      <c r="Q28" s="12">
        <v>0</v>
      </c>
      <c r="R28" s="12">
        <v>0</v>
      </c>
      <c r="S28" s="12">
        <v>0</v>
      </c>
      <c r="T28" s="12">
        <v>0</v>
      </c>
      <c r="U28" s="12">
        <v>0</v>
      </c>
      <c r="V28" s="12">
        <v>0</v>
      </c>
      <c r="W28" s="12">
        <v>0</v>
      </c>
      <c r="X28" s="12">
        <v>0</v>
      </c>
      <c r="Y28" s="12">
        <v>0</v>
      </c>
      <c r="Z28" s="12">
        <v>0</v>
      </c>
      <c r="AA28" s="12">
        <v>0</v>
      </c>
      <c r="AB28" s="12">
        <v>0</v>
      </c>
      <c r="AC28" s="12">
        <v>0</v>
      </c>
      <c r="AD28" s="12">
        <v>0</v>
      </c>
      <c r="AE28" s="12">
        <v>0</v>
      </c>
      <c r="AF28" s="12">
        <v>0</v>
      </c>
      <c r="AG28" s="12">
        <v>0</v>
      </c>
      <c r="AH28" s="12">
        <v>0</v>
      </c>
      <c r="AI28" s="12">
        <v>0</v>
      </c>
      <c r="AJ28" s="12">
        <v>0</v>
      </c>
      <c r="AK28" s="12">
        <v>0</v>
      </c>
      <c r="AL28" s="12">
        <v>0</v>
      </c>
      <c r="AM28" s="12">
        <v>0</v>
      </c>
      <c r="AN28" s="12">
        <v>1086.8529099999998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_xlfn.LET(_xlpm.site,$B$1&amp;"-"&amp;$C$1,_xlpm.locations,Base!$D$4:$BD$4,_xlpm.rates,Base!$D34:$BD34,_xlpm.hours,Base!$D77:$BD77,_xlpm.comp,_xlpm.rates*_xlpm.hours,_xlpm.Customer,_xlfn.ANCHORARRAY($E$1),
_xlpm.Customer_comp,_xlfn.XLOOKUP(_xlpm.site,_xlpm.locations,_xlpm.comp,0,0),_xlpm.ann_incr,_xlfn.XLOOKUP(YEAR(_xlfn.ANCHORARRAY($E$25)),Base!$BJ$4:$BL$4,Base!$BJ77:$BL77,0,0),
_xlpm.bad_debt,_xlfn.XLOOKUP(_xlpm.site,_xlpm.locations,Base!$D$28:$BD$28,0,0),_xlpm.Customer_comp*_xlpm.Customer*_xlpm.bad_debt*_xlpm.ann_incr*(52/12))</f>
        <v>0</v>
      </c>
      <c r="F29" s="12">
        <v>0</v>
      </c>
      <c r="G29" s="12">
        <v>0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0</v>
      </c>
      <c r="N29" s="12">
        <v>0</v>
      </c>
      <c r="O29" s="12">
        <v>0</v>
      </c>
      <c r="P29" s="12">
        <v>0</v>
      </c>
      <c r="Q29" s="12">
        <v>0</v>
      </c>
      <c r="R29" s="12">
        <v>0</v>
      </c>
      <c r="S29" s="12">
        <v>0</v>
      </c>
      <c r="T29" s="12">
        <v>0</v>
      </c>
      <c r="U29" s="12">
        <v>0</v>
      </c>
      <c r="V29" s="12">
        <v>0</v>
      </c>
      <c r="W29" s="12">
        <v>0</v>
      </c>
      <c r="X29" s="12">
        <v>0</v>
      </c>
      <c r="Y29" s="12">
        <v>0</v>
      </c>
      <c r="Z29" s="12">
        <v>0</v>
      </c>
      <c r="AA29" s="12">
        <v>0</v>
      </c>
      <c r="AB29" s="12">
        <v>0</v>
      </c>
      <c r="AC29" s="12">
        <v>0</v>
      </c>
      <c r="AD29" s="12">
        <v>0</v>
      </c>
      <c r="AE29" s="12">
        <v>0</v>
      </c>
      <c r="AF29" s="12">
        <v>0</v>
      </c>
      <c r="AG29" s="12">
        <v>0</v>
      </c>
      <c r="AH29" s="12">
        <v>0</v>
      </c>
      <c r="AI29" s="12">
        <v>0</v>
      </c>
      <c r="AJ29" s="12">
        <v>0</v>
      </c>
      <c r="AK29" s="12">
        <v>0</v>
      </c>
      <c r="AL29" s="12">
        <v>0</v>
      </c>
      <c r="AM29" s="12">
        <v>0</v>
      </c>
      <c r="AN29" s="12">
        <v>167.20813999999999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_xlfn.LET(_xlpm.site,$B$1&amp;"-"&amp;$C$1,_xlpm.locations,Base!$D$4:$BD$4,_xlpm.rates,Base!$D35:$BD35,_xlpm.hours,Base!$D78:$BD78,_xlpm.comp,_xlpm.rates*_xlpm.hours,_xlpm.Customer,_xlfn.ANCHORARRAY($E$1),
_xlpm.Customer_comp,_xlfn.XLOOKUP(_xlpm.site,_xlpm.locations,_xlpm.comp,0,0),_xlpm.ann_incr,_xlfn.XLOOKUP(YEAR(_xlfn.ANCHORARRAY($E$25)),Base!$BJ$4:$BL$4,Base!$BJ78:$BL78,0,0),
_xlpm.bad_debt,_xlfn.XLOOKUP(_xlpm.site,_xlpm.locations,Base!$D$28:$BD$28,0,0),_xlpm.Customer_comp*_xlpm.Customer*_xlpm.bad_debt*_xlpm.ann_incr*(52/12))</f>
        <v>0</v>
      </c>
      <c r="F30" s="12">
        <v>0</v>
      </c>
      <c r="G30" s="12">
        <v>0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0</v>
      </c>
      <c r="N30" s="12">
        <v>0</v>
      </c>
      <c r="O30" s="12">
        <v>0</v>
      </c>
      <c r="P30" s="12">
        <v>0</v>
      </c>
      <c r="Q30" s="12">
        <v>0</v>
      </c>
      <c r="R30" s="12">
        <v>0</v>
      </c>
      <c r="S30" s="12">
        <v>0</v>
      </c>
      <c r="T30" s="12">
        <v>0</v>
      </c>
      <c r="U30" s="12">
        <v>0</v>
      </c>
      <c r="V30" s="12">
        <v>0</v>
      </c>
      <c r="W30" s="12">
        <v>0</v>
      </c>
      <c r="X30" s="12">
        <v>0</v>
      </c>
      <c r="Y30" s="12">
        <v>0</v>
      </c>
      <c r="Z30" s="12">
        <v>0</v>
      </c>
      <c r="AA30" s="12">
        <v>0</v>
      </c>
      <c r="AB30" s="12">
        <v>0</v>
      </c>
      <c r="AC30" s="12">
        <v>0</v>
      </c>
      <c r="AD30" s="12">
        <v>0</v>
      </c>
      <c r="AE30" s="12">
        <v>0</v>
      </c>
      <c r="AF30" s="12">
        <v>0</v>
      </c>
      <c r="AG30" s="12">
        <v>0</v>
      </c>
      <c r="AH30" s="12">
        <v>0</v>
      </c>
      <c r="AI30" s="12">
        <v>0</v>
      </c>
      <c r="AJ30" s="12">
        <v>0</v>
      </c>
      <c r="AK30" s="12">
        <v>0</v>
      </c>
      <c r="AL30" s="12">
        <v>0</v>
      </c>
      <c r="AM30" s="12">
        <v>0</v>
      </c>
      <c r="AN30" s="12">
        <v>218.1677333333333</v>
      </c>
    </row>
    <row r="31" spans="2:50" x14ac:dyDescent="0.25">
      <c r="B31" s="39" t="str">
        <f>Base!B36</f>
        <v>Tertiary Direct Staff - Service A</v>
      </c>
      <c r="C31" s="4"/>
      <c r="E31" s="183" cm="1">
        <f t="array" ref="E31:AN31">_xlfn.LET(_xlpm.site,$B$1&amp;"-"&amp;$C$1,_xlpm.locations,Base!$D$4:$BD$4,_xlpm.rates,Base!$D36:$BD36,_xlpm.hours,Base!$D79:$BD79,_xlpm.comp,_xlpm.rates*_xlpm.hours,_xlpm.Customer,_xlfn.ANCHORARRAY($E$1)*0,
_xlpm.Customer_comp,_xlfn.XLOOKUP(_xlpm.site,_xlpm.locations,_xlpm.comp,0,0),_xlpm.ann_incr,_xlfn.XLOOKUP(YEAR(_xlfn.ANCHORARRAY($E$25)),Base!$BJ$4:$BL$4,Base!$BJ79:$BL79,0,0),
_xlpm.bad_debt,_xlfn.XLOOKUP(_xlpm.site,_xlpm.locations,Base!$D$28:$BD$28,0,0),_xlpm.Customer_comp*_xlpm.Customer*_xlpm.bad_debt*_xlpm.ann_incr*(52/12))</f>
        <v>0</v>
      </c>
      <c r="F31" s="183">
        <v>0</v>
      </c>
      <c r="G31" s="183">
        <v>0</v>
      </c>
      <c r="H31" s="183">
        <v>0</v>
      </c>
      <c r="I31" s="183">
        <v>0</v>
      </c>
      <c r="J31" s="183">
        <v>0</v>
      </c>
      <c r="K31" s="183">
        <v>0</v>
      </c>
      <c r="L31" s="183">
        <v>0</v>
      </c>
      <c r="M31" s="183">
        <v>0</v>
      </c>
      <c r="N31" s="183">
        <v>0</v>
      </c>
      <c r="O31" s="183">
        <v>0</v>
      </c>
      <c r="P31" s="183">
        <v>0</v>
      </c>
      <c r="Q31" s="183">
        <v>0</v>
      </c>
      <c r="R31" s="183">
        <v>0</v>
      </c>
      <c r="S31" s="183">
        <v>0</v>
      </c>
      <c r="T31" s="183">
        <v>0</v>
      </c>
      <c r="U31" s="183">
        <v>0</v>
      </c>
      <c r="V31" s="183">
        <v>0</v>
      </c>
      <c r="W31" s="183">
        <v>0</v>
      </c>
      <c r="X31" s="183">
        <v>0</v>
      </c>
      <c r="Y31" s="183">
        <v>0</v>
      </c>
      <c r="Z31" s="183">
        <v>0</v>
      </c>
      <c r="AA31" s="183">
        <v>0</v>
      </c>
      <c r="AB31" s="183">
        <v>0</v>
      </c>
      <c r="AC31" s="183">
        <v>0</v>
      </c>
      <c r="AD31" s="183">
        <v>0</v>
      </c>
      <c r="AE31" s="183">
        <v>0</v>
      </c>
      <c r="AF31" s="183">
        <v>0</v>
      </c>
      <c r="AG31" s="183">
        <v>0</v>
      </c>
      <c r="AH31" s="183">
        <v>0</v>
      </c>
      <c r="AI31" s="183">
        <v>0</v>
      </c>
      <c r="AJ31" s="183">
        <v>0</v>
      </c>
      <c r="AK31" s="183">
        <v>0</v>
      </c>
      <c r="AL31" s="183">
        <v>0</v>
      </c>
      <c r="AM31" s="183">
        <v>0</v>
      </c>
      <c r="AN31" s="183">
        <v>0</v>
      </c>
    </row>
    <row r="32" spans="2:50" x14ac:dyDescent="0.25">
      <c r="B32" s="39" t="str">
        <f>Base!B37</f>
        <v>Tertiary Direct Staff - Service B</v>
      </c>
      <c r="C32" s="4"/>
      <c r="E32" s="183" cm="1">
        <f t="array" ref="E32:AN32">_xlfn.LET(_xlpm.site,$B$1&amp;"-"&amp;$C$1,_xlpm.locations,Base!$D$4:$BD$4,_xlpm.rates,Base!$D37:$BD37,_xlpm.hours,Base!$D80:$BD80,_xlpm.comp,_xlpm.rates*_xlpm.hours,_xlpm.Customer,_xlfn.ANCHORARRAY($E$1)*0,
_xlpm.Customer_comp,_xlfn.XLOOKUP(_xlpm.site,_xlpm.locations,_xlpm.comp,0,0),_xlpm.ann_incr,_xlfn.XLOOKUP(YEAR(_xlfn.ANCHORARRAY($E$25)),Base!$BJ$4:$BL$4,Base!$BJ80:$BL80,0,0),
_xlpm.bad_debt,_xlfn.XLOOKUP(_xlpm.site,_xlpm.locations,Base!$D$28:$BD$28,0,0),_xlpm.Customer_comp*_xlpm.Customer*_xlpm.bad_debt*_xlpm.ann_incr*(52/12))</f>
        <v>0</v>
      </c>
      <c r="F32" s="183">
        <v>0</v>
      </c>
      <c r="G32" s="183">
        <v>0</v>
      </c>
      <c r="H32" s="183">
        <v>0</v>
      </c>
      <c r="I32" s="183">
        <v>0</v>
      </c>
      <c r="J32" s="183">
        <v>0</v>
      </c>
      <c r="K32" s="183">
        <v>0</v>
      </c>
      <c r="L32" s="183">
        <v>0</v>
      </c>
      <c r="M32" s="183">
        <v>0</v>
      </c>
      <c r="N32" s="183">
        <v>0</v>
      </c>
      <c r="O32" s="183">
        <v>0</v>
      </c>
      <c r="P32" s="183">
        <v>0</v>
      </c>
      <c r="Q32" s="183">
        <v>0</v>
      </c>
      <c r="R32" s="183">
        <v>0</v>
      </c>
      <c r="S32" s="183">
        <v>0</v>
      </c>
      <c r="T32" s="183">
        <v>0</v>
      </c>
      <c r="U32" s="183">
        <v>0</v>
      </c>
      <c r="V32" s="183">
        <v>0</v>
      </c>
      <c r="W32" s="183">
        <v>0</v>
      </c>
      <c r="X32" s="183">
        <v>0</v>
      </c>
      <c r="Y32" s="183">
        <v>0</v>
      </c>
      <c r="Z32" s="183">
        <v>0</v>
      </c>
      <c r="AA32" s="183">
        <v>0</v>
      </c>
      <c r="AB32" s="183">
        <v>0</v>
      </c>
      <c r="AC32" s="183">
        <v>0</v>
      </c>
      <c r="AD32" s="183">
        <v>0</v>
      </c>
      <c r="AE32" s="183">
        <v>0</v>
      </c>
      <c r="AF32" s="183">
        <v>0</v>
      </c>
      <c r="AG32" s="183">
        <v>0</v>
      </c>
      <c r="AH32" s="183">
        <v>0</v>
      </c>
      <c r="AI32" s="183">
        <v>0</v>
      </c>
      <c r="AJ32" s="183">
        <v>0</v>
      </c>
      <c r="AK32" s="183">
        <v>0</v>
      </c>
      <c r="AL32" s="183">
        <v>0</v>
      </c>
      <c r="AM32" s="183">
        <v>0</v>
      </c>
      <c r="AN32" s="183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_xlpm.Customer,_xlfn.ANCHORARRAY($E$2),_xlpm.ann_incr,_xlfn.XLOOKUP(YEAR(_xlfn.ANCHORARRAY($E$25)),Base!$BJ$4:$BL$4,Base!$BJ$81:$BL$81,0,0),
_xlpm.bad_debt,_xlfn.XLOOKUP(_xlpm.site,_xlpm.locations,Base!$D$28:$BD$28,0,0),
_xlpm.comp*_xlpm.bad_debt*_xlpm.ann_incr*(52/12))</f>
        <v>0</v>
      </c>
      <c r="F33" s="12">
        <v>0</v>
      </c>
      <c r="G33" s="12">
        <v>0</v>
      </c>
      <c r="H33" s="12">
        <v>0</v>
      </c>
      <c r="I33" s="12">
        <v>0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2">
        <v>0</v>
      </c>
      <c r="Y33" s="12">
        <v>0</v>
      </c>
      <c r="Z33" s="12">
        <v>0</v>
      </c>
      <c r="AA33" s="12">
        <v>0</v>
      </c>
      <c r="AB33" s="12">
        <v>0</v>
      </c>
      <c r="AC33" s="12">
        <v>0</v>
      </c>
      <c r="AD33" s="12">
        <v>0</v>
      </c>
      <c r="AE33" s="12">
        <v>0</v>
      </c>
      <c r="AF33" s="12">
        <v>0</v>
      </c>
      <c r="AG33" s="12">
        <v>0</v>
      </c>
      <c r="AH33" s="12">
        <v>0</v>
      </c>
      <c r="AI33" s="12">
        <v>0</v>
      </c>
      <c r="AJ33" s="12">
        <v>0</v>
      </c>
      <c r="AK33" s="12">
        <v>0</v>
      </c>
      <c r="AL33" s="12">
        <v>0</v>
      </c>
      <c r="AM33" s="12">
        <v>0</v>
      </c>
      <c r="AN33" s="12">
        <v>0</v>
      </c>
    </row>
    <row r="34" spans="2:40" x14ac:dyDescent="0.25">
      <c r="B34" s="39" t="str">
        <f>Base!B39</f>
        <v>Quinary Direct Staff - Service A</v>
      </c>
      <c r="C34" s="4"/>
      <c r="E34" s="183" cm="1">
        <f t="array" ref="E34:AN34">_xlfn.LET(_xlpm.site,$B$1&amp;"-"&amp;$C$1,_xlpm.locations,Base!$D$4:$BD$4,_xlpm.rates,Base!$D39:$BD39,_xlpm.hours,Base!$D82:$BD82,_xlpm.comp,_xlpm.rates*_xlpm.hours,_xlpm.Customer,_xlfn.ANCHORARRAY($E$1)*0,
_xlpm.Customer_comp,_xlfn.XLOOKUP(_xlpm.site,_xlpm.locations,_xlpm.comp,0,0),_xlpm.ann_incr,_xlfn.XLOOKUP(YEAR(_xlfn.ANCHORARRAY($E$25)),Base!$BJ$4:$BL$4,Base!$BJ82:$BL82,0,0),
_xlpm.bad_debt,_xlfn.XLOOKUP(_xlpm.site,_xlpm.locations,Base!$D$28:$BD$28,0,0),_xlpm.Customer_comp*_xlpm.Customer*_xlpm.bad_debt*_xlpm.ann_incr*(52/12))</f>
        <v>0</v>
      </c>
      <c r="F34" s="183">
        <v>0</v>
      </c>
      <c r="G34" s="183">
        <v>0</v>
      </c>
      <c r="H34" s="183">
        <v>0</v>
      </c>
      <c r="I34" s="183">
        <v>0</v>
      </c>
      <c r="J34" s="183">
        <v>0</v>
      </c>
      <c r="K34" s="183">
        <v>0</v>
      </c>
      <c r="L34" s="183">
        <v>0</v>
      </c>
      <c r="M34" s="183">
        <v>0</v>
      </c>
      <c r="N34" s="183">
        <v>0</v>
      </c>
      <c r="O34" s="183">
        <v>0</v>
      </c>
      <c r="P34" s="183">
        <v>0</v>
      </c>
      <c r="Q34" s="183">
        <v>0</v>
      </c>
      <c r="R34" s="183">
        <v>0</v>
      </c>
      <c r="S34" s="183">
        <v>0</v>
      </c>
      <c r="T34" s="183">
        <v>0</v>
      </c>
      <c r="U34" s="183">
        <v>0</v>
      </c>
      <c r="V34" s="183">
        <v>0</v>
      </c>
      <c r="W34" s="183">
        <v>0</v>
      </c>
      <c r="X34" s="183">
        <v>0</v>
      </c>
      <c r="Y34" s="183">
        <v>0</v>
      </c>
      <c r="Z34" s="183">
        <v>0</v>
      </c>
      <c r="AA34" s="183">
        <v>0</v>
      </c>
      <c r="AB34" s="183">
        <v>0</v>
      </c>
      <c r="AC34" s="183">
        <v>0</v>
      </c>
      <c r="AD34" s="183">
        <v>0</v>
      </c>
      <c r="AE34" s="183">
        <v>0</v>
      </c>
      <c r="AF34" s="183">
        <v>0</v>
      </c>
      <c r="AG34" s="183">
        <v>0</v>
      </c>
      <c r="AH34" s="183">
        <v>0</v>
      </c>
      <c r="AI34" s="183">
        <v>0</v>
      </c>
      <c r="AJ34" s="183">
        <v>0</v>
      </c>
      <c r="AK34" s="183">
        <v>0</v>
      </c>
      <c r="AL34" s="183">
        <v>0</v>
      </c>
      <c r="AM34" s="183">
        <v>0</v>
      </c>
      <c r="AN34" s="183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0</v>
      </c>
      <c r="F35" s="12">
        <v>0</v>
      </c>
      <c r="G35" s="12">
        <v>0</v>
      </c>
      <c r="H35" s="12">
        <v>0</v>
      </c>
      <c r="I35" s="12">
        <v>0</v>
      </c>
      <c r="J35" s="12">
        <v>0</v>
      </c>
      <c r="K35" s="12">
        <v>0</v>
      </c>
      <c r="L35" s="12">
        <v>0</v>
      </c>
      <c r="M35" s="12">
        <v>0</v>
      </c>
      <c r="N35" s="12">
        <v>0</v>
      </c>
      <c r="O35" s="12">
        <v>0</v>
      </c>
      <c r="P35" s="12">
        <v>0</v>
      </c>
      <c r="Q35" s="12">
        <v>0</v>
      </c>
      <c r="R35" s="12">
        <v>0</v>
      </c>
      <c r="S35" s="12">
        <v>0</v>
      </c>
      <c r="T35" s="12">
        <v>0</v>
      </c>
      <c r="U35" s="12">
        <v>0</v>
      </c>
      <c r="V35" s="12">
        <v>0</v>
      </c>
      <c r="W35" s="12">
        <v>0</v>
      </c>
      <c r="X35" s="12">
        <v>0</v>
      </c>
      <c r="Y35" s="12">
        <v>0</v>
      </c>
      <c r="Z35" s="12">
        <v>0</v>
      </c>
      <c r="AA35" s="12">
        <v>0</v>
      </c>
      <c r="AB35" s="12">
        <v>0</v>
      </c>
      <c r="AC35" s="12">
        <v>0</v>
      </c>
      <c r="AD35" s="12">
        <v>0</v>
      </c>
      <c r="AE35" s="12">
        <v>0</v>
      </c>
      <c r="AF35" s="12">
        <v>0</v>
      </c>
      <c r="AG35" s="12">
        <v>0</v>
      </c>
      <c r="AH35" s="12">
        <v>0</v>
      </c>
      <c r="AI35" s="12">
        <v>0</v>
      </c>
      <c r="AJ35" s="12">
        <v>0</v>
      </c>
      <c r="AK35" s="12">
        <v>0</v>
      </c>
      <c r="AL35" s="12">
        <v>0</v>
      </c>
      <c r="AM35" s="12">
        <v>0</v>
      </c>
      <c r="AN35" s="12">
        <v>-1155.1497380000001</v>
      </c>
    </row>
    <row r="36" spans="2:40" x14ac:dyDescent="0.25">
      <c r="B36" s="39" t="s">
        <v>261</v>
      </c>
      <c r="C36" s="15"/>
      <c r="E36" s="183" cm="1">
        <f t="array" ref="E36:AN36">_xlfn.BYCOL(_xlfn.ANCHORARRAY($E$25),_xlfn.LAMBDA(_xlpm.a,0))</f>
        <v>0</v>
      </c>
      <c r="F36" s="183">
        <v>0</v>
      </c>
      <c r="G36" s="183">
        <v>0</v>
      </c>
      <c r="H36" s="183">
        <v>0</v>
      </c>
      <c r="I36" s="183">
        <v>0</v>
      </c>
      <c r="J36" s="183">
        <v>0</v>
      </c>
      <c r="K36" s="183">
        <v>0</v>
      </c>
      <c r="L36" s="183">
        <v>0</v>
      </c>
      <c r="M36" s="183">
        <v>0</v>
      </c>
      <c r="N36" s="183">
        <v>0</v>
      </c>
      <c r="O36" s="183">
        <v>0</v>
      </c>
      <c r="P36" s="183">
        <v>0</v>
      </c>
      <c r="Q36" s="183">
        <v>0</v>
      </c>
      <c r="R36" s="183">
        <v>0</v>
      </c>
      <c r="S36" s="183">
        <v>0</v>
      </c>
      <c r="T36" s="183">
        <v>0</v>
      </c>
      <c r="U36" s="183">
        <v>0</v>
      </c>
      <c r="V36" s="183">
        <v>0</v>
      </c>
      <c r="W36" s="183">
        <v>0</v>
      </c>
      <c r="X36" s="183">
        <v>0</v>
      </c>
      <c r="Y36" s="183">
        <v>0</v>
      </c>
      <c r="Z36" s="183">
        <v>0</v>
      </c>
      <c r="AA36" s="183">
        <v>0</v>
      </c>
      <c r="AB36" s="183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271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0</v>
      </c>
      <c r="S37" s="13">
        <v>0</v>
      </c>
      <c r="T37" s="13">
        <v>0</v>
      </c>
      <c r="U37" s="13">
        <v>0</v>
      </c>
      <c r="V37" s="13">
        <v>0</v>
      </c>
      <c r="W37" s="13">
        <v>0</v>
      </c>
      <c r="X37" s="13">
        <v>0</v>
      </c>
      <c r="Y37" s="13">
        <v>0</v>
      </c>
      <c r="Z37" s="13">
        <v>0</v>
      </c>
      <c r="AA37" s="13">
        <v>0</v>
      </c>
      <c r="AB37" s="13">
        <v>0</v>
      </c>
      <c r="AC37" s="13">
        <v>0</v>
      </c>
      <c r="AD37" s="13">
        <v>0</v>
      </c>
      <c r="AE37" s="13">
        <v>0</v>
      </c>
      <c r="AF37" s="13">
        <v>0</v>
      </c>
      <c r="AG37" s="13">
        <v>0</v>
      </c>
      <c r="AH37" s="13">
        <v>0</v>
      </c>
      <c r="AI37" s="13">
        <v>0</v>
      </c>
      <c r="AJ37" s="13">
        <v>0</v>
      </c>
      <c r="AK37" s="13">
        <v>0</v>
      </c>
      <c r="AL37" s="13">
        <v>0</v>
      </c>
      <c r="AM37" s="13">
        <v>0</v>
      </c>
      <c r="AN37" s="13">
        <v>8471.0980786666678</v>
      </c>
    </row>
    <row r="38" spans="2:40" x14ac:dyDescent="0.25">
      <c r="E38" s="67"/>
      <c r="F38" s="67"/>
    </row>
    <row r="39" spans="2:40" x14ac:dyDescent="0.25">
      <c r="B39" s="1" t="s">
        <v>118</v>
      </c>
    </row>
    <row r="40" spans="2:40" x14ac:dyDescent="0.25">
      <c r="B40" s="39" t="s">
        <v>23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0</v>
      </c>
      <c r="F40" s="12">
        <v>0</v>
      </c>
      <c r="G40" s="12">
        <v>0</v>
      </c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0</v>
      </c>
      <c r="N40" s="12">
        <v>0</v>
      </c>
      <c r="O40" s="12">
        <v>0</v>
      </c>
      <c r="P40" s="12">
        <v>0</v>
      </c>
      <c r="Q40" s="12">
        <v>0</v>
      </c>
      <c r="R40" s="12">
        <v>0</v>
      </c>
      <c r="S40" s="12">
        <v>0</v>
      </c>
      <c r="T40" s="12">
        <v>0</v>
      </c>
      <c r="U40" s="12">
        <v>0</v>
      </c>
      <c r="V40" s="12">
        <v>0</v>
      </c>
      <c r="W40" s="12">
        <v>0</v>
      </c>
      <c r="X40" s="12">
        <v>0</v>
      </c>
      <c r="Y40" s="12">
        <v>0</v>
      </c>
      <c r="Z40" s="12">
        <v>0</v>
      </c>
      <c r="AA40" s="12">
        <v>0</v>
      </c>
      <c r="AB40" s="12">
        <v>0</v>
      </c>
      <c r="AC40" s="12">
        <v>0</v>
      </c>
      <c r="AD40" s="12">
        <v>0</v>
      </c>
      <c r="AE40" s="12">
        <v>0</v>
      </c>
      <c r="AF40" s="12">
        <v>0</v>
      </c>
      <c r="AG40" s="12">
        <v>0</v>
      </c>
      <c r="AH40" s="12">
        <v>0</v>
      </c>
      <c r="AI40" s="12">
        <v>0</v>
      </c>
      <c r="AJ40" s="12">
        <v>0</v>
      </c>
      <c r="AK40" s="12">
        <v>0</v>
      </c>
      <c r="AL40" s="12">
        <v>0</v>
      </c>
      <c r="AM40" s="12">
        <v>0</v>
      </c>
      <c r="AN40" s="12">
        <v>14500.139038435716</v>
      </c>
    </row>
    <row r="41" spans="2:40" x14ac:dyDescent="0.25">
      <c r="B41" s="39" t="s">
        <v>388</v>
      </c>
      <c r="C41" s="142">
        <f>_xlfn.XLOOKUP($B$1&amp;"-"&amp;$C$1,Base!$D$4:$BD$4,Base!$D$12:$BD$12,0,0)</f>
        <v>0</v>
      </c>
      <c r="E41" s="183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28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0</v>
      </c>
      <c r="AJ42" s="12">
        <v>0</v>
      </c>
      <c r="AK42" s="12">
        <v>0</v>
      </c>
      <c r="AL42" s="12">
        <v>0</v>
      </c>
      <c r="AM42" s="12">
        <v>0</v>
      </c>
      <c r="AN42" s="12">
        <v>0</v>
      </c>
    </row>
    <row r="43" spans="2:40" x14ac:dyDescent="0.25">
      <c r="B43" s="39" t="s">
        <v>31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0</v>
      </c>
      <c r="X43" s="12">
        <v>0</v>
      </c>
      <c r="Y43" s="12">
        <v>0</v>
      </c>
      <c r="Z43" s="12">
        <v>0</v>
      </c>
      <c r="AA43" s="12">
        <v>0</v>
      </c>
      <c r="AB43" s="12">
        <v>0</v>
      </c>
      <c r="AC43" s="12">
        <v>0</v>
      </c>
      <c r="AD43" s="12">
        <v>0</v>
      </c>
      <c r="AE43" s="12">
        <v>0</v>
      </c>
      <c r="AF43" s="12">
        <v>0</v>
      </c>
      <c r="AG43" s="12">
        <v>0</v>
      </c>
      <c r="AH43" s="12">
        <v>0</v>
      </c>
      <c r="AI43" s="12">
        <v>0</v>
      </c>
      <c r="AJ43" s="12">
        <v>0</v>
      </c>
      <c r="AK43" s="12">
        <v>0</v>
      </c>
      <c r="AL43" s="12">
        <v>0</v>
      </c>
      <c r="AM43" s="12">
        <v>0</v>
      </c>
      <c r="AN43" s="12">
        <v>0</v>
      </c>
    </row>
    <row r="44" spans="2:40" x14ac:dyDescent="0.25">
      <c r="B44" s="39" t="s">
        <v>34</v>
      </c>
      <c r="C44" s="96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  <c r="O44" s="12">
        <v>0</v>
      </c>
      <c r="P44" s="12">
        <v>0</v>
      </c>
      <c r="Q44" s="12">
        <v>0</v>
      </c>
      <c r="R44" s="12">
        <v>0</v>
      </c>
      <c r="S44" s="12">
        <v>0</v>
      </c>
      <c r="T44" s="12">
        <v>0</v>
      </c>
      <c r="U44" s="12">
        <v>0</v>
      </c>
      <c r="V44" s="12">
        <v>0</v>
      </c>
      <c r="W44" s="12">
        <v>0</v>
      </c>
      <c r="X44" s="12">
        <v>0</v>
      </c>
      <c r="Y44" s="12">
        <v>0</v>
      </c>
      <c r="Z44" s="12">
        <v>0</v>
      </c>
      <c r="AA44" s="12">
        <v>0</v>
      </c>
      <c r="AB44" s="12">
        <v>0</v>
      </c>
      <c r="AC44" s="12">
        <v>0</v>
      </c>
      <c r="AD44" s="12">
        <v>0</v>
      </c>
      <c r="AE44" s="12">
        <v>0</v>
      </c>
      <c r="AF44" s="12">
        <v>0</v>
      </c>
      <c r="AG44" s="12">
        <v>0</v>
      </c>
      <c r="AH44" s="12">
        <v>0</v>
      </c>
      <c r="AI44" s="12">
        <v>0</v>
      </c>
      <c r="AJ44" s="12">
        <v>0</v>
      </c>
      <c r="AK44" s="12">
        <v>0</v>
      </c>
      <c r="AL44" s="12">
        <v>0</v>
      </c>
      <c r="AM44" s="12">
        <v>0</v>
      </c>
      <c r="AN44" s="12">
        <v>379.01167616000009</v>
      </c>
    </row>
    <row r="45" spans="2:40" x14ac:dyDescent="0.25">
      <c r="B45" s="39" t="s">
        <v>36</v>
      </c>
      <c r="C45" s="96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0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12">
        <v>0</v>
      </c>
      <c r="R45" s="12">
        <v>0</v>
      </c>
      <c r="S45" s="12">
        <v>0</v>
      </c>
      <c r="T45" s="12">
        <v>0</v>
      </c>
      <c r="U45" s="12">
        <v>0</v>
      </c>
      <c r="V45" s="12">
        <v>0</v>
      </c>
      <c r="W45" s="12">
        <v>0</v>
      </c>
      <c r="X45" s="12">
        <v>0</v>
      </c>
      <c r="Y45" s="12">
        <v>0</v>
      </c>
      <c r="Z45" s="12">
        <v>0</v>
      </c>
      <c r="AA45" s="12">
        <v>0</v>
      </c>
      <c r="AB45" s="12">
        <v>0</v>
      </c>
      <c r="AC45" s="12">
        <v>0</v>
      </c>
      <c r="AD45" s="12">
        <v>0</v>
      </c>
      <c r="AE45" s="12">
        <v>0</v>
      </c>
      <c r="AF45" s="12">
        <v>0</v>
      </c>
      <c r="AG45" s="12">
        <v>0</v>
      </c>
      <c r="AH45" s="12">
        <v>0</v>
      </c>
      <c r="AI45" s="12">
        <v>0</v>
      </c>
      <c r="AJ45" s="12">
        <v>0</v>
      </c>
      <c r="AK45" s="12">
        <v>0</v>
      </c>
      <c r="AL45" s="12">
        <v>0</v>
      </c>
      <c r="AM45" s="12">
        <v>0</v>
      </c>
      <c r="AN45" s="12">
        <v>0</v>
      </c>
    </row>
    <row r="46" spans="2:40" x14ac:dyDescent="0.25">
      <c r="B46" s="39" t="s">
        <v>38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0</v>
      </c>
      <c r="F46" s="12">
        <v>0</v>
      </c>
      <c r="G46" s="12">
        <v>0</v>
      </c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0</v>
      </c>
      <c r="N46" s="12">
        <v>0</v>
      </c>
      <c r="O46" s="12">
        <v>0</v>
      </c>
      <c r="P46" s="12">
        <v>0</v>
      </c>
      <c r="Q46" s="12">
        <v>0</v>
      </c>
      <c r="R46" s="12">
        <v>0</v>
      </c>
      <c r="S46" s="12">
        <v>0</v>
      </c>
      <c r="T46" s="12">
        <v>0</v>
      </c>
      <c r="U46" s="12">
        <v>0</v>
      </c>
      <c r="V46" s="12">
        <v>0</v>
      </c>
      <c r="W46" s="12">
        <v>0</v>
      </c>
      <c r="X46" s="12">
        <v>0</v>
      </c>
      <c r="Y46" s="12">
        <v>0</v>
      </c>
      <c r="Z46" s="12">
        <v>0</v>
      </c>
      <c r="AA46" s="12">
        <v>0</v>
      </c>
      <c r="AB46" s="12">
        <v>0</v>
      </c>
      <c r="AC46" s="12">
        <v>0</v>
      </c>
      <c r="AD46" s="12">
        <v>0</v>
      </c>
      <c r="AE46" s="12">
        <v>0</v>
      </c>
      <c r="AF46" s="12">
        <v>0</v>
      </c>
      <c r="AG46" s="12">
        <v>0</v>
      </c>
      <c r="AH46" s="12">
        <v>0</v>
      </c>
      <c r="AI46" s="12">
        <v>0</v>
      </c>
      <c r="AJ46" s="12">
        <v>0</v>
      </c>
      <c r="AK46" s="12">
        <v>0</v>
      </c>
      <c r="AL46" s="12">
        <v>0</v>
      </c>
      <c r="AM46" s="12">
        <v>0</v>
      </c>
      <c r="AN46" s="12">
        <v>2247.2640000000001</v>
      </c>
    </row>
    <row r="47" spans="2:40" x14ac:dyDescent="0.25">
      <c r="B47" s="39" t="s">
        <v>40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  <c r="O47" s="12">
        <v>0</v>
      </c>
      <c r="P47" s="12">
        <v>0</v>
      </c>
      <c r="Q47" s="12">
        <v>0</v>
      </c>
      <c r="R47" s="12">
        <v>0</v>
      </c>
      <c r="S47" s="12">
        <v>0</v>
      </c>
      <c r="T47" s="12">
        <v>0</v>
      </c>
      <c r="U47" s="12">
        <v>0</v>
      </c>
      <c r="V47" s="12">
        <v>0</v>
      </c>
      <c r="W47" s="12">
        <v>0</v>
      </c>
      <c r="X47" s="12">
        <v>0</v>
      </c>
      <c r="Y47" s="12">
        <v>0</v>
      </c>
      <c r="Z47" s="12">
        <v>0</v>
      </c>
      <c r="AA47" s="12">
        <v>0</v>
      </c>
      <c r="AB47" s="12">
        <v>0</v>
      </c>
      <c r="AC47" s="12">
        <v>0</v>
      </c>
      <c r="AD47" s="12">
        <v>0</v>
      </c>
      <c r="AE47" s="12">
        <v>0</v>
      </c>
      <c r="AF47" s="12">
        <v>0</v>
      </c>
      <c r="AG47" s="12">
        <v>0</v>
      </c>
      <c r="AH47" s="12">
        <v>0</v>
      </c>
      <c r="AI47" s="12">
        <v>0</v>
      </c>
      <c r="AJ47" s="12">
        <v>0</v>
      </c>
      <c r="AK47" s="12">
        <v>0</v>
      </c>
      <c r="AL47" s="12">
        <v>0</v>
      </c>
      <c r="AM47" s="12">
        <v>0</v>
      </c>
      <c r="AN47" s="12">
        <v>0</v>
      </c>
    </row>
    <row r="48" spans="2:40" x14ac:dyDescent="0.25">
      <c r="B48" s="39" t="s">
        <v>41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42</v>
      </c>
      <c r="E49" s="12">
        <f>'Corp.'!E$50*(E$37-(E31-E32-E34)*$C$35)/(SUM('MDA1:NCA9'!E$37)-SUM('MDA1:NCA9'!E$31)-SUM('MDA1:NCA9'!E$32)-SUM('MDA1:NCA9'!E$34))</f>
        <v>0</v>
      </c>
      <c r="F49" s="12">
        <f>'Corp.'!F$50*(F$37-(F31-F32-F34)*$C$35)/(SUM('MDA1:NCA9'!F$37)-SUM('MDA1:NCA9'!F$31)-SUM('MDA1:NCA9'!F$32)-SUM('MDA1:NCA9'!F$34))</f>
        <v>0</v>
      </c>
      <c r="G49" s="12">
        <f>'Corp.'!G$50*(G$37-(G31-G32-G34)*$C$35)/(SUM('MDA1:NCA9'!G$37)-SUM('MDA1:NCA9'!G$31)-SUM('MDA1:NCA9'!G$32)-SUM('MDA1:NCA9'!G$34))</f>
        <v>0</v>
      </c>
      <c r="H49" s="12">
        <f>'Corp.'!H$50*(H$37-(H31-H32-H34)*$C$35)/(SUM('MDA1:NCA9'!H$37)-SUM('MDA1:NCA9'!H$31)-SUM('MDA1:NCA9'!H$32)-SUM('MDA1:NCA9'!H$34))</f>
        <v>0</v>
      </c>
      <c r="I49" s="12">
        <f>'Corp.'!I$50*(I$37-(I31-I32-I34)*$C$35)/(SUM('MDA1:NCA9'!I$37)-SUM('MDA1:NCA9'!I$31)-SUM('MDA1:NCA9'!I$32)-SUM('MDA1:NCA9'!I$34))</f>
        <v>0</v>
      </c>
      <c r="J49" s="12">
        <f>'Corp.'!J$50*(J$37-(J31-J32-J34)*$C$35)/(SUM('MDA1:NCA9'!J$37)-SUM('MDA1:NCA9'!J$31)-SUM('MDA1:NCA9'!J$32)-SUM('MDA1:NCA9'!J$34))</f>
        <v>0</v>
      </c>
      <c r="K49" s="12">
        <f>'Corp.'!K$50*(K$37-(K31-K32-K34)*$C$35)/(SUM('MDA1:NCA9'!K$37)-SUM('MDA1:NCA9'!K$31)-SUM('MDA1:NCA9'!K$32)-SUM('MDA1:NCA9'!K$34))</f>
        <v>0</v>
      </c>
      <c r="L49" s="12">
        <f>'Corp.'!L$50*(L$37-(L31-L32-L34)*$C$35)/(SUM('MDA1:NCA9'!L$37)-SUM('MDA1:NCA9'!L$31)-SUM('MDA1:NCA9'!L$32)-SUM('MDA1:NCA9'!L$34))</f>
        <v>0</v>
      </c>
      <c r="M49" s="12">
        <f>'Corp.'!M$50*(M$37-(M31-M32-M34)*$C$35)/(SUM('MDA1:NCA9'!M$37)-SUM('MDA1:NCA9'!M$31)-SUM('MDA1:NCA9'!M$32)-SUM('MDA1:NCA9'!M$34))</f>
        <v>0</v>
      </c>
      <c r="N49" s="12">
        <f>'Corp.'!N$50*(N$37-(N31-N32-N34)*$C$35)/(SUM('MDA1:NCA9'!N$37)-SUM('MDA1:NCA9'!N$31)-SUM('MDA1:NCA9'!N$32)-SUM('MDA1:NCA9'!N$34))</f>
        <v>0</v>
      </c>
      <c r="O49" s="12">
        <f>'Corp.'!O$50*(O$37-(O31-O32-O34)*$C$35)/(SUM('MDA1:NCA9'!O$37)-SUM('MDA1:NCA9'!O$31)-SUM('MDA1:NCA9'!O$32)-SUM('MDA1:NCA9'!O$34))</f>
        <v>0</v>
      </c>
      <c r="P49" s="12">
        <f>'Corp.'!P$50*(P$37-(P31-P32-P34)*$C$35)/(SUM('MDA1:NCA9'!P$37)-SUM('MDA1:NCA9'!P$31)-SUM('MDA1:NCA9'!P$32)-SUM('MDA1:NCA9'!P$34))</f>
        <v>0</v>
      </c>
      <c r="Q49" s="12">
        <f>'Corp.'!Q$50*(Q$37-(Q31-Q32-Q34)*$C$35)/(SUM('MDA1:NCA9'!Q$37)-SUM('MDA1:NCA9'!Q$31)-SUM('MDA1:NCA9'!Q$32)-SUM('MDA1:NCA9'!Q$34))</f>
        <v>0</v>
      </c>
      <c r="R49" s="12">
        <f>'Corp.'!R$50*(R$37-(R31-R32-R34)*$C$35)/(SUM('MDA1:NCA9'!R$37)-SUM('MDA1:NCA9'!R$31)-SUM('MDA1:NCA9'!R$32)-SUM('MDA1:NCA9'!R$34))</f>
        <v>0</v>
      </c>
      <c r="S49" s="12">
        <f>'Corp.'!S$50*(S$37-(S31-S32-S34)*$C$35)/(SUM('MDA1:NCA9'!S$37)-SUM('MDA1:NCA9'!S$31)-SUM('MDA1:NCA9'!S$32)-SUM('MDA1:NCA9'!S$34))</f>
        <v>0</v>
      </c>
      <c r="T49" s="12">
        <f>'Corp.'!T$50*(T$37-(T31-T32-T34)*$C$35)/(SUM('MDA1:NCA9'!T$37)-SUM('MDA1:NCA9'!T$31)-SUM('MDA1:NCA9'!T$32)-SUM('MDA1:NCA9'!T$34))</f>
        <v>0</v>
      </c>
      <c r="U49" s="12">
        <f>'Corp.'!U$50*(U$37-(U31-U32-U34)*$C$35)/(SUM('MDA1:NCA9'!U$37)-SUM('MDA1:NCA9'!U$31)-SUM('MDA1:NCA9'!U$32)-SUM('MDA1:NCA9'!U$34))</f>
        <v>0</v>
      </c>
      <c r="V49" s="12">
        <f>'Corp.'!V$50*(V$37-(V31-V32-V34)*$C$35)/(SUM('MDA1:NCA9'!V$37)-SUM('MDA1:NCA9'!V$31)-SUM('MDA1:NCA9'!V$32)-SUM('MDA1:NCA9'!V$34))</f>
        <v>0</v>
      </c>
      <c r="W49" s="12">
        <f>'Corp.'!W$50*(W$37-(W31-W32-W34)*$C$35)/(SUM('MDA1:NCA9'!W$37)-SUM('MDA1:NCA9'!W$31)-SUM('MDA1:NCA9'!W$32)-SUM('MDA1:NCA9'!W$34))</f>
        <v>0</v>
      </c>
      <c r="X49" s="12">
        <f>'Corp.'!X$50*(X$37-(X31-X32-X34)*$C$35)/(SUM('MDA1:NCA9'!X$37)-SUM('MDA1:NCA9'!X$31)-SUM('MDA1:NCA9'!X$32)-SUM('MDA1:NCA9'!X$34))</f>
        <v>0</v>
      </c>
      <c r="Y49" s="12">
        <f>'Corp.'!Y$50*(Y$37-(Y31-Y32-Y34)*$C$35)/(SUM('MDA1:NCA9'!Y$37)-SUM('MDA1:NCA9'!Y$31)-SUM('MDA1:NCA9'!Y$32)-SUM('MDA1:NCA9'!Y$34))</f>
        <v>0</v>
      </c>
      <c r="Z49" s="12">
        <f>'Corp.'!Z$50*(Z$37-(Z31-Z32-Z34)*$C$35)/(SUM('MDA1:NCA9'!Z$37)-SUM('MDA1:NCA9'!Z$31)-SUM('MDA1:NCA9'!Z$32)-SUM('MDA1:NCA9'!Z$34))</f>
        <v>0</v>
      </c>
      <c r="AA49" s="12">
        <f>'Corp.'!AA$50*(AA$37-(AA31-AA32-AA34)*$C$35)/(SUM('MDA1:NCA9'!AA$37)-SUM('MDA1:NCA9'!AA$31)-SUM('MDA1:NCA9'!AA$32)-SUM('MDA1:NCA9'!AA$34))</f>
        <v>0</v>
      </c>
      <c r="AB49" s="12">
        <f>'Corp.'!AB$50*(AB$37-(AB31-AB32-AB34)*$C$35)/(SUM('MDA1:NCA9'!AB$37)-SUM('MDA1:NCA9'!AB$31)-SUM('MDA1:NCA9'!AB$32)-SUM('MDA1:NCA9'!AB$34))</f>
        <v>0</v>
      </c>
      <c r="AC49" s="12">
        <f>'Corp.'!AC$50*(AC$37-(AC31-AC32-AC34)*$C$35)/(SUM('MDA1:NCA9'!AC$37)-SUM('MDA1:NCA9'!AC$31)-SUM('MDA1:NCA9'!AC$32)-SUM('MDA1:NCA9'!AC$34))</f>
        <v>0</v>
      </c>
      <c r="AD49" s="12">
        <f>'Corp.'!AD$50*(AD$37-(AD31-AD32-AD34)*$C$35)/(SUM('MDA1:NCA9'!AD$37)-SUM('MDA1:NCA9'!AD$31)-SUM('MDA1:NCA9'!AD$32)-SUM('MDA1:NCA9'!AD$34))</f>
        <v>0</v>
      </c>
      <c r="AE49" s="12">
        <f>'Corp.'!AE$50*(AE$37-(AE31-AE32-AE34)*$C$35)/(SUM('MDA1:NCA9'!AE$37)-SUM('MDA1:NCA9'!AE$31)-SUM('MDA1:NCA9'!AE$32)-SUM('MDA1:NCA9'!AE$34))</f>
        <v>0</v>
      </c>
      <c r="AF49" s="12">
        <f>'Corp.'!AF$50*(AF$37-(AF31-AF32-AF34)*$C$35)/(SUM('MDA1:NCA9'!AF$37)-SUM('MDA1:NCA9'!AF$31)-SUM('MDA1:NCA9'!AF$32)-SUM('MDA1:NCA9'!AF$34))</f>
        <v>0</v>
      </c>
      <c r="AG49" s="12">
        <f>'Corp.'!AG$50*(AG$37-(AG31-AG32-AG34)*$C$35)/(SUM('MDA1:NCA9'!AG$37)-SUM('MDA1:NCA9'!AG$31)-SUM('MDA1:NCA9'!AG$32)-SUM('MDA1:NCA9'!AG$34))</f>
        <v>0</v>
      </c>
      <c r="AH49" s="12">
        <f>'Corp.'!AH$50*(AH$37-(AH31-AH32-AH34)*$C$35)/(SUM('MDA1:NCA9'!AH$37)-SUM('MDA1:NCA9'!AH$31)-SUM('MDA1:NCA9'!AH$32)-SUM('MDA1:NCA9'!AH$34))</f>
        <v>0</v>
      </c>
      <c r="AI49" s="12">
        <f>'Corp.'!AI$50*(AI$37-(AI31-AI32-AI34)*$C$35)/(SUM('MDA1:NCA9'!AI$37)-SUM('MDA1:NCA9'!AI$31)-SUM('MDA1:NCA9'!AI$32)-SUM('MDA1:NCA9'!AI$34))</f>
        <v>0</v>
      </c>
      <c r="AJ49" s="12">
        <f>'Corp.'!AJ$50*(AJ$37-(AJ31-AJ32-AJ34)*$C$35)/(SUM('MDA1:NCA9'!AJ$37)-SUM('MDA1:NCA9'!AJ$31)-SUM('MDA1:NCA9'!AJ$32)-SUM('MDA1:NCA9'!AJ$34))</f>
        <v>0</v>
      </c>
      <c r="AK49" s="12">
        <f>'Corp.'!AK$50*(AK$37-(AK31-AK32-AK34)*$C$35)/(SUM('MDA1:NCA9'!AK$37)-SUM('MDA1:NCA9'!AK$31)-SUM('MDA1:NCA9'!AK$32)-SUM('MDA1:NCA9'!AK$34))</f>
        <v>0</v>
      </c>
      <c r="AL49" s="12">
        <f>'Corp.'!AL$50*(AL$37-(AL31-AL32-AL34)*$C$35)/(SUM('MDA1:NCA9'!AL$37)-SUM('MDA1:NCA9'!AL$31)-SUM('MDA1:NCA9'!AL$32)-SUM('MDA1:NCA9'!AL$34))</f>
        <v>0</v>
      </c>
      <c r="AM49" s="12">
        <f>'Corp.'!AM$50*(AM$37-(AM31-AM32-AM34)*$C$35)/(SUM('MDA1:NCA9'!AM$37)-SUM('MDA1:NCA9'!AM$31)-SUM('MDA1:NCA9'!AM$32)-SUM('MDA1:NCA9'!AM$34))</f>
        <v>0</v>
      </c>
      <c r="AN49" s="12">
        <f>'Corp.'!AN$50*(AN$37-(AN31-AN32-AN34)*$C$35)/(SUM('MDA1:NCA9'!AN$37)-SUM('MDA1:NCA9'!AN$31)-SUM('MDA1:NCA9'!AN$32)-SUM('MDA1:NCA9'!AN$34))</f>
        <v>851.45101435600213</v>
      </c>
    </row>
    <row r="50" spans="2:40" x14ac:dyDescent="0.25">
      <c r="B50" s="1" t="s">
        <v>272</v>
      </c>
      <c r="E50" s="13" cm="1">
        <f t="array" ref="E50:AN50">_xlfn.BYCOL(_xlfn.VSTACK(_xlfn.ANCHORARRAY(E40),_xlfn.ANCHORARRAY(E42),_xlfn.ANCHORARRAY(E43),_xlfn.ANCHORARRAY(E45),_xlfn.ANCHORARRAY(E46),_xlfn.ANCHORARRAY(E47),_xlfn.ANCHORARRAY(E48),_xlfn.HSTACK(E49:AN49)),_xlfn.LAMBDA(_xlpm.a,SUM(_xlpm.a)))</f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0</v>
      </c>
      <c r="Q50" s="13">
        <v>0</v>
      </c>
      <c r="R50" s="13">
        <v>0</v>
      </c>
      <c r="S50" s="13">
        <v>0</v>
      </c>
      <c r="T50" s="13">
        <v>0</v>
      </c>
      <c r="U50" s="13">
        <v>0</v>
      </c>
      <c r="V50" s="13">
        <v>0</v>
      </c>
      <c r="W50" s="13">
        <v>0</v>
      </c>
      <c r="X50" s="13">
        <v>0</v>
      </c>
      <c r="Y50" s="13">
        <v>0</v>
      </c>
      <c r="Z50" s="13">
        <v>0</v>
      </c>
      <c r="AA50" s="13">
        <v>0</v>
      </c>
      <c r="AB50" s="13">
        <v>0</v>
      </c>
      <c r="AC50" s="13">
        <v>0</v>
      </c>
      <c r="AD50" s="13">
        <v>0</v>
      </c>
      <c r="AE50" s="13">
        <v>0</v>
      </c>
      <c r="AF50" s="13">
        <v>0</v>
      </c>
      <c r="AG50" s="13">
        <v>0</v>
      </c>
      <c r="AH50" s="13">
        <v>0</v>
      </c>
      <c r="AI50" s="13">
        <v>0</v>
      </c>
      <c r="AJ50" s="13">
        <v>0</v>
      </c>
      <c r="AK50" s="13">
        <v>0</v>
      </c>
      <c r="AL50" s="13">
        <v>0</v>
      </c>
      <c r="AM50" s="13">
        <v>0</v>
      </c>
      <c r="AN50" s="13">
        <v>17598.854052791721</v>
      </c>
    </row>
    <row r="52" spans="2:40" x14ac:dyDescent="0.25">
      <c r="B52" s="1" t="s">
        <v>48</v>
      </c>
      <c r="E52" s="74">
        <f>E37-E50</f>
        <v>0</v>
      </c>
      <c r="F52" s="74">
        <f t="shared" ref="F52:AN52" si="0">F37-F50</f>
        <v>0</v>
      </c>
      <c r="G52" s="74">
        <f t="shared" si="0"/>
        <v>0</v>
      </c>
      <c r="H52" s="74">
        <f t="shared" si="0"/>
        <v>0</v>
      </c>
      <c r="I52" s="74">
        <f t="shared" si="0"/>
        <v>0</v>
      </c>
      <c r="J52" s="74">
        <f t="shared" si="0"/>
        <v>0</v>
      </c>
      <c r="K52" s="74">
        <f t="shared" si="0"/>
        <v>0</v>
      </c>
      <c r="L52" s="74">
        <f t="shared" si="0"/>
        <v>0</v>
      </c>
      <c r="M52" s="74">
        <f t="shared" si="0"/>
        <v>0</v>
      </c>
      <c r="N52" s="74">
        <f t="shared" si="0"/>
        <v>0</v>
      </c>
      <c r="O52" s="74">
        <f t="shared" si="0"/>
        <v>0</v>
      </c>
      <c r="P52" s="74">
        <f t="shared" si="0"/>
        <v>0</v>
      </c>
      <c r="Q52" s="74">
        <f t="shared" si="0"/>
        <v>0</v>
      </c>
      <c r="R52" s="74">
        <f t="shared" si="0"/>
        <v>0</v>
      </c>
      <c r="S52" s="74">
        <f t="shared" si="0"/>
        <v>0</v>
      </c>
      <c r="T52" s="74">
        <f t="shared" si="0"/>
        <v>0</v>
      </c>
      <c r="U52" s="74">
        <f t="shared" si="0"/>
        <v>0</v>
      </c>
      <c r="V52" s="74">
        <f t="shared" si="0"/>
        <v>0</v>
      </c>
      <c r="W52" s="74">
        <f t="shared" si="0"/>
        <v>0</v>
      </c>
      <c r="X52" s="74">
        <f t="shared" si="0"/>
        <v>0</v>
      </c>
      <c r="Y52" s="74">
        <f t="shared" si="0"/>
        <v>0</v>
      </c>
      <c r="Z52" s="74">
        <f t="shared" si="0"/>
        <v>0</v>
      </c>
      <c r="AA52" s="74">
        <f t="shared" si="0"/>
        <v>0</v>
      </c>
      <c r="AB52" s="74">
        <f t="shared" si="0"/>
        <v>0</v>
      </c>
      <c r="AC52" s="74">
        <f t="shared" si="0"/>
        <v>0</v>
      </c>
      <c r="AD52" s="74">
        <f t="shared" si="0"/>
        <v>0</v>
      </c>
      <c r="AE52" s="74">
        <f t="shared" si="0"/>
        <v>0</v>
      </c>
      <c r="AF52" s="74">
        <f t="shared" si="0"/>
        <v>0</v>
      </c>
      <c r="AG52" s="74">
        <f t="shared" si="0"/>
        <v>0</v>
      </c>
      <c r="AH52" s="74">
        <f t="shared" si="0"/>
        <v>0</v>
      </c>
      <c r="AI52" s="74">
        <f t="shared" si="0"/>
        <v>0</v>
      </c>
      <c r="AJ52" s="74">
        <f t="shared" si="0"/>
        <v>0</v>
      </c>
      <c r="AK52" s="74">
        <f t="shared" si="0"/>
        <v>0</v>
      </c>
      <c r="AL52" s="74">
        <f t="shared" si="0"/>
        <v>0</v>
      </c>
      <c r="AM52" s="74">
        <f t="shared" si="0"/>
        <v>0</v>
      </c>
      <c r="AN52" s="74">
        <f t="shared" si="0"/>
        <v>-9127.7559741250534</v>
      </c>
    </row>
    <row r="53" spans="2:40" x14ac:dyDescent="0.25">
      <c r="E53" s="105" t="str">
        <f>IFERROR(E52/E37,"")</f>
        <v/>
      </c>
      <c r="F53" s="105" t="str">
        <f t="shared" ref="F53:AN53" si="1">IFERROR(F52/F37,"")</f>
        <v/>
      </c>
      <c r="G53" s="105" t="str">
        <f t="shared" si="1"/>
        <v/>
      </c>
      <c r="H53" s="105" t="str">
        <f t="shared" si="1"/>
        <v/>
      </c>
      <c r="I53" s="105" t="str">
        <f t="shared" si="1"/>
        <v/>
      </c>
      <c r="J53" s="105" t="str">
        <f t="shared" si="1"/>
        <v/>
      </c>
      <c r="K53" s="105" t="str">
        <f t="shared" si="1"/>
        <v/>
      </c>
      <c r="L53" s="105" t="str">
        <f t="shared" si="1"/>
        <v/>
      </c>
      <c r="M53" s="105" t="str">
        <f t="shared" si="1"/>
        <v/>
      </c>
      <c r="N53" s="105" t="str">
        <f t="shared" si="1"/>
        <v/>
      </c>
      <c r="O53" s="105" t="str">
        <f t="shared" si="1"/>
        <v/>
      </c>
      <c r="P53" s="105" t="str">
        <f t="shared" si="1"/>
        <v/>
      </c>
      <c r="Q53" s="105" t="str">
        <f t="shared" si="1"/>
        <v/>
      </c>
      <c r="R53" s="105" t="str">
        <f t="shared" si="1"/>
        <v/>
      </c>
      <c r="S53" s="105" t="str">
        <f t="shared" si="1"/>
        <v/>
      </c>
      <c r="T53" s="105" t="str">
        <f t="shared" si="1"/>
        <v/>
      </c>
      <c r="U53" s="105" t="str">
        <f t="shared" si="1"/>
        <v/>
      </c>
      <c r="V53" s="105" t="str">
        <f t="shared" si="1"/>
        <v/>
      </c>
      <c r="W53" s="105" t="str">
        <f t="shared" si="1"/>
        <v/>
      </c>
      <c r="X53" s="105" t="str">
        <f t="shared" si="1"/>
        <v/>
      </c>
      <c r="Y53" s="105" t="str">
        <f t="shared" si="1"/>
        <v/>
      </c>
      <c r="Z53" s="105" t="str">
        <f t="shared" si="1"/>
        <v/>
      </c>
      <c r="AA53" s="105" t="str">
        <f t="shared" si="1"/>
        <v/>
      </c>
      <c r="AB53" s="105" t="str">
        <f t="shared" si="1"/>
        <v/>
      </c>
      <c r="AC53" s="105" t="str">
        <f t="shared" si="1"/>
        <v/>
      </c>
      <c r="AD53" s="105" t="str">
        <f t="shared" si="1"/>
        <v/>
      </c>
      <c r="AE53" s="105" t="str">
        <f t="shared" si="1"/>
        <v/>
      </c>
      <c r="AF53" s="105" t="str">
        <f t="shared" si="1"/>
        <v/>
      </c>
      <c r="AG53" s="105" t="str">
        <f t="shared" si="1"/>
        <v/>
      </c>
      <c r="AH53" s="105" t="str">
        <f t="shared" si="1"/>
        <v/>
      </c>
      <c r="AI53" s="105" t="str">
        <f t="shared" si="1"/>
        <v/>
      </c>
      <c r="AJ53" s="105" t="str">
        <f t="shared" si="1"/>
        <v/>
      </c>
      <c r="AK53" s="105" t="str">
        <f t="shared" si="1"/>
        <v/>
      </c>
      <c r="AL53" s="105" t="str">
        <f t="shared" si="1"/>
        <v/>
      </c>
      <c r="AM53" s="105" t="str">
        <f t="shared" si="1"/>
        <v/>
      </c>
      <c r="AN53" s="105">
        <f t="shared" si="1"/>
        <v>-1.0775174468953548</v>
      </c>
    </row>
    <row r="55" spans="2:40" x14ac:dyDescent="0.25">
      <c r="B55" t="s">
        <v>57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0</v>
      </c>
      <c r="D55" s="12">
        <f>C55-SUM(_xlfn.ANCHORARRAY(E55))</f>
        <v>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</row>
    <row r="56" spans="2:40" x14ac:dyDescent="0.25">
      <c r="B56" t="s">
        <v>285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0</v>
      </c>
      <c r="F56" s="90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0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0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0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0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0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276</v>
      </c>
      <c r="E58" s="13">
        <f>E37-E50-E55+E56</f>
        <v>0</v>
      </c>
      <c r="F58" s="13">
        <f t="shared" ref="F58:AN58" si="2">F37-F50-F55+F56</f>
        <v>0</v>
      </c>
      <c r="G58" s="13">
        <f t="shared" si="2"/>
        <v>0</v>
      </c>
      <c r="H58" s="13">
        <f t="shared" si="2"/>
        <v>0</v>
      </c>
      <c r="I58" s="13">
        <f t="shared" si="2"/>
        <v>0</v>
      </c>
      <c r="J58" s="13">
        <f t="shared" si="2"/>
        <v>0</v>
      </c>
      <c r="K58" s="13">
        <f t="shared" si="2"/>
        <v>0</v>
      </c>
      <c r="L58" s="13">
        <f t="shared" si="2"/>
        <v>0</v>
      </c>
      <c r="M58" s="13">
        <f t="shared" si="2"/>
        <v>0</v>
      </c>
      <c r="N58" s="13">
        <f t="shared" si="2"/>
        <v>0</v>
      </c>
      <c r="O58" s="13">
        <f t="shared" si="2"/>
        <v>0</v>
      </c>
      <c r="P58" s="13">
        <f t="shared" si="2"/>
        <v>0</v>
      </c>
      <c r="Q58" s="13">
        <f t="shared" si="2"/>
        <v>0</v>
      </c>
      <c r="R58" s="13">
        <f t="shared" si="2"/>
        <v>0</v>
      </c>
      <c r="S58" s="13">
        <f t="shared" si="2"/>
        <v>0</v>
      </c>
      <c r="T58" s="13">
        <f t="shared" si="2"/>
        <v>0</v>
      </c>
      <c r="U58" s="13">
        <f t="shared" si="2"/>
        <v>0</v>
      </c>
      <c r="V58" s="13">
        <f t="shared" si="2"/>
        <v>0</v>
      </c>
      <c r="W58" s="13">
        <f t="shared" si="2"/>
        <v>0</v>
      </c>
      <c r="X58" s="13">
        <f t="shared" si="2"/>
        <v>0</v>
      </c>
      <c r="Y58" s="13">
        <f t="shared" si="2"/>
        <v>0</v>
      </c>
      <c r="Z58" s="13">
        <f t="shared" si="2"/>
        <v>0</v>
      </c>
      <c r="AA58" s="13">
        <f t="shared" si="2"/>
        <v>0</v>
      </c>
      <c r="AB58" s="13">
        <f t="shared" si="2"/>
        <v>0</v>
      </c>
      <c r="AC58" s="13">
        <f t="shared" si="2"/>
        <v>0</v>
      </c>
      <c r="AD58" s="13">
        <f t="shared" si="2"/>
        <v>0</v>
      </c>
      <c r="AE58" s="13">
        <f t="shared" si="2"/>
        <v>0</v>
      </c>
      <c r="AF58" s="13">
        <f t="shared" si="2"/>
        <v>0</v>
      </c>
      <c r="AG58" s="13">
        <f t="shared" si="2"/>
        <v>0</v>
      </c>
      <c r="AH58" s="13">
        <f t="shared" si="2"/>
        <v>0</v>
      </c>
      <c r="AI58" s="13">
        <f t="shared" si="2"/>
        <v>0</v>
      </c>
      <c r="AJ58" s="13">
        <f t="shared" si="2"/>
        <v>0</v>
      </c>
      <c r="AK58" s="13">
        <f t="shared" si="2"/>
        <v>0</v>
      </c>
      <c r="AL58" s="13">
        <f t="shared" si="2"/>
        <v>0</v>
      </c>
      <c r="AM58" s="13">
        <f t="shared" si="2"/>
        <v>0</v>
      </c>
      <c r="AN58" s="13">
        <f t="shared" si="2"/>
        <v>-9127.7559741250534</v>
      </c>
    </row>
    <row r="59" spans="2:40" x14ac:dyDescent="0.25">
      <c r="B59" t="s">
        <v>277</v>
      </c>
      <c r="E59" s="12" cm="1">
        <f t="array" ref="E59:AN59">_xlfn.SCAN(-D55,E58:AN58,_xlfn.LAMBDA(_xlpm.capex,_xlpm.fcf,_xlpm.capex+_xlpm.fcf))</f>
        <v>0</v>
      </c>
      <c r="F59" s="12">
        <v>0</v>
      </c>
      <c r="G59" s="12">
        <v>0</v>
      </c>
      <c r="H59" s="12">
        <v>0</v>
      </c>
      <c r="I59" s="12">
        <v>0</v>
      </c>
      <c r="J59" s="12">
        <v>0</v>
      </c>
      <c r="K59" s="12">
        <v>0</v>
      </c>
      <c r="L59" s="12">
        <v>0</v>
      </c>
      <c r="M59" s="12">
        <v>0</v>
      </c>
      <c r="N59" s="12">
        <v>0</v>
      </c>
      <c r="O59" s="12">
        <v>0</v>
      </c>
      <c r="P59" s="12">
        <v>0</v>
      </c>
      <c r="Q59" s="12">
        <v>0</v>
      </c>
      <c r="R59" s="12">
        <v>0</v>
      </c>
      <c r="S59" s="12">
        <v>0</v>
      </c>
      <c r="T59" s="12">
        <v>0</v>
      </c>
      <c r="U59" s="12">
        <v>0</v>
      </c>
      <c r="V59" s="12">
        <v>0</v>
      </c>
      <c r="W59" s="12">
        <v>0</v>
      </c>
      <c r="X59" s="12">
        <v>0</v>
      </c>
      <c r="Y59" s="12">
        <v>0</v>
      </c>
      <c r="Z59" s="12">
        <v>0</v>
      </c>
      <c r="AA59" s="12">
        <v>0</v>
      </c>
      <c r="AB59" s="12">
        <v>0</v>
      </c>
      <c r="AC59" s="12">
        <v>0</v>
      </c>
      <c r="AD59" s="12">
        <v>0</v>
      </c>
      <c r="AE59" s="12">
        <v>0</v>
      </c>
      <c r="AF59" s="12">
        <v>0</v>
      </c>
      <c r="AG59" s="12">
        <v>0</v>
      </c>
      <c r="AH59" s="12">
        <v>0</v>
      </c>
      <c r="AI59" s="12">
        <v>0</v>
      </c>
      <c r="AJ59" s="12">
        <v>0</v>
      </c>
      <c r="AK59" s="12">
        <v>0</v>
      </c>
      <c r="AL59" s="12">
        <v>0</v>
      </c>
      <c r="AM59" s="12">
        <v>0</v>
      </c>
      <c r="AN59" s="12">
        <v>-9127.7559741250534</v>
      </c>
    </row>
    <row r="61" spans="2:40" x14ac:dyDescent="0.25">
      <c r="B61" s="1" t="s">
        <v>302</v>
      </c>
    </row>
    <row r="63" spans="2:40" x14ac:dyDescent="0.25">
      <c r="B63" s="39" t="s">
        <v>103</v>
      </c>
      <c r="E63" s="12" cm="1">
        <f t="array" ref="E63:AN63">_xlfn.LET(_xlpm.site,$B$1&amp;"-"&amp;$C$1,_xlpm.locations,Base!$D$4:$BD$4,_xlpm.rates,Base!$D$36:$BD$36,_xlpm.hours,Base!$D$79:$BD$79,_xlpm.comp,_xlpm.rates*_xlpm.hours,_xlpm.Customer,_xlfn.ANCHORARRAY($E$1),
_xlpm.Customer_comp,_xlfn.XLOOKUP(_xlpm.site,_xlpm.locations,_xlpm.comp,0,0),_xlpm.ann_incr,_xlfn.XLOOKUP(YEAR(_xlfn.ANCHORARRAY($E$25)),Base!$BJ$4:$BL$4,Base!$BJ$79:$BL$79,0,0),
_xlpm.bad_debt,_xlfn.XLOOKUP(_xlpm.site,_xlpm.locations,Base!$D$28:$BD$28,0,0),_xlpm.Customer_comp*_xlpm.Customer*_xlpm.bad_debt*_xlpm.ann_incr*(52/12)*(1-$C$35))</f>
        <v>0</v>
      </c>
      <c r="F63" s="12">
        <v>0</v>
      </c>
      <c r="G63" s="12">
        <v>0</v>
      </c>
      <c r="H63" s="12">
        <v>0</v>
      </c>
      <c r="I63" s="12">
        <v>0</v>
      </c>
      <c r="J63" s="12">
        <v>0</v>
      </c>
      <c r="K63" s="12">
        <v>0</v>
      </c>
      <c r="L63" s="12">
        <v>0</v>
      </c>
      <c r="M63" s="12">
        <v>0</v>
      </c>
      <c r="N63" s="12">
        <v>0</v>
      </c>
      <c r="O63" s="12">
        <v>0</v>
      </c>
      <c r="P63" s="12">
        <v>0</v>
      </c>
      <c r="Q63" s="12">
        <v>0</v>
      </c>
      <c r="R63" s="12">
        <v>0</v>
      </c>
      <c r="S63" s="12">
        <v>0</v>
      </c>
      <c r="T63" s="12">
        <v>0</v>
      </c>
      <c r="U63" s="12">
        <v>0</v>
      </c>
      <c r="V63" s="12">
        <v>0</v>
      </c>
      <c r="W63" s="12">
        <v>0</v>
      </c>
      <c r="X63" s="12">
        <v>0</v>
      </c>
      <c r="Y63" s="12">
        <v>0</v>
      </c>
      <c r="Z63" s="12">
        <v>0</v>
      </c>
      <c r="AA63" s="12">
        <v>0</v>
      </c>
      <c r="AB63" s="12">
        <v>0</v>
      </c>
      <c r="AC63" s="12">
        <v>0</v>
      </c>
      <c r="AD63" s="12">
        <v>0</v>
      </c>
      <c r="AE63" s="12">
        <v>0</v>
      </c>
      <c r="AF63" s="12">
        <v>0</v>
      </c>
      <c r="AG63" s="12">
        <v>0</v>
      </c>
      <c r="AH63" s="12">
        <v>0</v>
      </c>
      <c r="AI63" s="12">
        <v>0</v>
      </c>
      <c r="AJ63" s="12">
        <v>0</v>
      </c>
      <c r="AK63" s="12">
        <v>0</v>
      </c>
      <c r="AL63" s="12">
        <v>0</v>
      </c>
      <c r="AM63" s="12">
        <v>0</v>
      </c>
      <c r="AN63" s="12">
        <v>0</v>
      </c>
    </row>
    <row r="64" spans="2:40" x14ac:dyDescent="0.25">
      <c r="B64" s="39" t="s">
        <v>104</v>
      </c>
      <c r="E64" s="12" cm="1">
        <f t="array" ref="E64:AN64">_xlfn.LET(_xlpm.site,$B$1&amp;"-"&amp;$C$1,_xlpm.locations,Base!$D$4:$BD$4,_xlpm.rates,Base!$D$37:$BD$37,_xlpm.hours,Base!$D$80:$BD$80,_xlpm.comp,_xlpm.rates*_xlpm.hours,_xlpm.Customer,_xlfn.ANCHORARRAY($E$1),
_xlpm.Customer_comp,_xlfn.XLOOKUP(_xlpm.site,_xlpm.locations,_xlpm.comp,0,0),_xlpm.ann_incr,_xlfn.XLOOKUP(YEAR(_xlfn.ANCHORARRAY($E$25)),Base!$BJ$4:$BL$4,Base!$BJ$80:$BL$80,0,0),
_xlpm.bad_debt,_xlfn.XLOOKUP(_xlpm.site,_xlpm.locations,Base!$D$28:$BD$28,0,0),_xlpm.Customer_comp*_xlpm.Customer*_xlpm.bad_debt*_xlpm.ann_incr*(52/12)*(1-$C$35))</f>
        <v>0</v>
      </c>
      <c r="F64" s="12">
        <v>0</v>
      </c>
      <c r="G64" s="12">
        <v>0</v>
      </c>
      <c r="H64" s="12">
        <v>0</v>
      </c>
      <c r="I64" s="12">
        <v>0</v>
      </c>
      <c r="J64" s="12">
        <v>0</v>
      </c>
      <c r="K64" s="12">
        <v>0</v>
      </c>
      <c r="L64" s="12">
        <v>0</v>
      </c>
      <c r="M64" s="12">
        <v>0</v>
      </c>
      <c r="N64" s="12">
        <v>0</v>
      </c>
      <c r="O64" s="12">
        <v>0</v>
      </c>
      <c r="P64" s="12">
        <v>0</v>
      </c>
      <c r="Q64" s="12">
        <v>0</v>
      </c>
      <c r="R64" s="12">
        <v>0</v>
      </c>
      <c r="S64" s="12">
        <v>0</v>
      </c>
      <c r="T64" s="12">
        <v>0</v>
      </c>
      <c r="U64" s="12">
        <v>0</v>
      </c>
      <c r="V64" s="12">
        <v>0</v>
      </c>
      <c r="W64" s="12">
        <v>0</v>
      </c>
      <c r="X64" s="12">
        <v>0</v>
      </c>
      <c r="Y64" s="12">
        <v>0</v>
      </c>
      <c r="Z64" s="12">
        <v>0</v>
      </c>
      <c r="AA64" s="12">
        <v>0</v>
      </c>
      <c r="AB64" s="12">
        <v>0</v>
      </c>
      <c r="AC64" s="12">
        <v>0</v>
      </c>
      <c r="AD64" s="12">
        <v>0</v>
      </c>
      <c r="AE64" s="12">
        <v>0</v>
      </c>
      <c r="AF64" s="12">
        <v>0</v>
      </c>
      <c r="AG64" s="12">
        <v>0</v>
      </c>
      <c r="AH64" s="12">
        <v>0</v>
      </c>
      <c r="AI64" s="12">
        <v>0</v>
      </c>
      <c r="AJ64" s="12">
        <v>0</v>
      </c>
      <c r="AK64" s="12">
        <v>0</v>
      </c>
      <c r="AL64" s="12">
        <v>0</v>
      </c>
      <c r="AM64" s="12">
        <v>0</v>
      </c>
      <c r="AN64" s="12">
        <v>0</v>
      </c>
    </row>
    <row r="65" spans="2:40" x14ac:dyDescent="0.25">
      <c r="B65" s="39" t="s">
        <v>56</v>
      </c>
      <c r="E65" s="12" cm="1">
        <f t="array" ref="E65:AN65">_xlfn.LET(_xlpm.site,$B$1&amp;"-"&amp;$C$1,_xlpm.locations,Base!$D$4:$BD$4,_xlpm.rates,Base!$D$39:$BD$39,_xlpm.hours,Base!$D$82:$BD$82,_xlpm.comp,_xlpm.rates*_xlpm.hours,_xlpm.Customer,_xlfn.ANCHORARRAY($E$1),
_xlpm.Customer_comp,_xlfn.XLOOKUP(_xlpm.site,_xlpm.locations,_xlpm.comp,0,0),_xlpm.ann_incr,_xlfn.XLOOKUP(YEAR(_xlfn.ANCHORARRAY($E$25)),Base!$BJ$4:$BL$4,Base!$BJ$82:$BL$82,0,0),
_xlpm.bad_debt,_xlfn.XLOOKUP(_xlpm.site,_xlpm.locations,Base!$D$28:$BD$28,0,0),_xlpm.Customer_comp*_xlpm.Customer*_xlpm.bad_debt*_xlpm.ann_incr*(52/12)*(1-$C$35))</f>
        <v>0</v>
      </c>
      <c r="F65" s="12">
        <v>0</v>
      </c>
      <c r="G65" s="12">
        <v>0</v>
      </c>
      <c r="H65" s="12">
        <v>0</v>
      </c>
      <c r="I65" s="12">
        <v>0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  <c r="O65" s="12">
        <v>0</v>
      </c>
      <c r="P65" s="12">
        <v>0</v>
      </c>
      <c r="Q65" s="12">
        <v>0</v>
      </c>
      <c r="R65" s="12">
        <v>0</v>
      </c>
      <c r="S65" s="12">
        <v>0</v>
      </c>
      <c r="T65" s="12">
        <v>0</v>
      </c>
      <c r="U65" s="12">
        <v>0</v>
      </c>
      <c r="V65" s="12">
        <v>0</v>
      </c>
      <c r="W65" s="12">
        <v>0</v>
      </c>
      <c r="X65" s="12">
        <v>0</v>
      </c>
      <c r="Y65" s="12">
        <v>0</v>
      </c>
      <c r="Z65" s="12">
        <v>0</v>
      </c>
      <c r="AA65" s="12">
        <v>0</v>
      </c>
      <c r="AB65" s="12">
        <v>0</v>
      </c>
      <c r="AC65" s="12">
        <v>0</v>
      </c>
      <c r="AD65" s="12">
        <v>0</v>
      </c>
      <c r="AE65" s="12">
        <v>0</v>
      </c>
      <c r="AF65" s="12">
        <v>0</v>
      </c>
      <c r="AG65" s="12">
        <v>0</v>
      </c>
      <c r="AH65" s="12">
        <v>0</v>
      </c>
      <c r="AI65" s="12">
        <v>0</v>
      </c>
      <c r="AJ65" s="12">
        <v>0</v>
      </c>
      <c r="AK65" s="12">
        <v>0</v>
      </c>
      <c r="AL65" s="12">
        <v>0</v>
      </c>
      <c r="AM65" s="12">
        <v>0</v>
      </c>
      <c r="AN65" s="12">
        <v>0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303</v>
      </c>
      <c r="C67" s="12"/>
      <c r="E67" s="13" cm="1">
        <f t="array" ref="E67:AN67">_xlfn.BYCOL(_xlfn.VSTACK(_xlfn.ANCHORARRAY($E$63),_xlfn.ANCHORARRAY($E$64),_xlfn.ANCHORARRAY($E$65)),_xlfn.LAMBDA(_xlpm.a,SUM(_xlpm.a)))</f>
        <v>0</v>
      </c>
      <c r="F67" s="13">
        <v>0</v>
      </c>
      <c r="G67" s="13">
        <v>0</v>
      </c>
      <c r="H67" s="13">
        <v>0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  <c r="W67" s="13">
        <v>0</v>
      </c>
      <c r="X67" s="13">
        <v>0</v>
      </c>
      <c r="Y67" s="13">
        <v>0</v>
      </c>
      <c r="Z67" s="13">
        <v>0</v>
      </c>
      <c r="AA67" s="13">
        <v>0</v>
      </c>
      <c r="AB67" s="13">
        <v>0</v>
      </c>
      <c r="AC67" s="13">
        <v>0</v>
      </c>
      <c r="AD67" s="13">
        <v>0</v>
      </c>
      <c r="AE67" s="13">
        <v>0</v>
      </c>
      <c r="AF67" s="13">
        <v>0</v>
      </c>
      <c r="AG67" s="13">
        <v>0</v>
      </c>
      <c r="AH67" s="13">
        <v>0</v>
      </c>
      <c r="AI67" s="13">
        <v>0</v>
      </c>
      <c r="AJ67" s="13">
        <v>0</v>
      </c>
      <c r="AK67" s="13">
        <v>0</v>
      </c>
      <c r="AL67" s="13">
        <v>0</v>
      </c>
      <c r="AM67" s="13">
        <v>0</v>
      </c>
      <c r="AN67" s="13">
        <v>0</v>
      </c>
    </row>
    <row r="68" spans="2:40" x14ac:dyDescent="0.25">
      <c r="B68" s="39"/>
      <c r="C68" s="12"/>
    </row>
    <row r="69" spans="2:40" x14ac:dyDescent="0.25">
      <c r="B69" s="39" t="s">
        <v>304</v>
      </c>
      <c r="C69" s="12"/>
      <c r="E69" s="106" cm="1">
        <f t="array" ref="E69:AN70">_xlfn.LET(_xlpm.Customer_staff,_xlfn._xlws.FILTER(Base!$D$96:$BD$97,ISNUMBER(SEARCH($B$1&amp;"-"&amp;$C$1,Base!$D$4:$BD$4))),_xlpm.Customer,_xlfn.ANCHORARRAY($E$1),_xlpm.headcount,_xlpm.Customer/_xlpm.Customer_staff,
_xlpm.rounding,_xlfn.VSTACK(0,0),IFERROR(ROUND(_xlpm.headcount,_xlpm.rounding),0))</f>
        <v>0</v>
      </c>
      <c r="F69" s="106">
        <v>0</v>
      </c>
      <c r="G69" s="106">
        <v>0</v>
      </c>
      <c r="H69" s="106">
        <v>0</v>
      </c>
      <c r="I69" s="106">
        <v>0</v>
      </c>
      <c r="J69" s="106">
        <v>0</v>
      </c>
      <c r="K69" s="106">
        <v>0</v>
      </c>
      <c r="L69" s="106">
        <v>0</v>
      </c>
      <c r="M69" s="106">
        <v>0</v>
      </c>
      <c r="N69" s="106">
        <v>0</v>
      </c>
      <c r="O69" s="106">
        <v>0</v>
      </c>
      <c r="P69" s="106">
        <v>0</v>
      </c>
      <c r="Q69" s="106">
        <v>0</v>
      </c>
      <c r="R69" s="106">
        <v>0</v>
      </c>
      <c r="S69" s="106">
        <v>0</v>
      </c>
      <c r="T69" s="106">
        <v>0</v>
      </c>
      <c r="U69" s="106">
        <v>0</v>
      </c>
      <c r="V69" s="106">
        <v>0</v>
      </c>
      <c r="W69" s="106">
        <v>0</v>
      </c>
      <c r="X69" s="106">
        <v>0</v>
      </c>
      <c r="Y69" s="106">
        <v>0</v>
      </c>
      <c r="Z69" s="106">
        <v>0</v>
      </c>
      <c r="AA69" s="106">
        <v>0</v>
      </c>
      <c r="AB69" s="106">
        <v>0</v>
      </c>
      <c r="AC69" s="106">
        <v>0</v>
      </c>
      <c r="AD69" s="106">
        <v>0</v>
      </c>
      <c r="AE69" s="106">
        <v>0</v>
      </c>
      <c r="AF69" s="106">
        <v>0</v>
      </c>
      <c r="AG69" s="106">
        <v>0</v>
      </c>
      <c r="AH69" s="106">
        <v>0</v>
      </c>
      <c r="AI69" s="106">
        <v>0</v>
      </c>
      <c r="AJ69" s="106">
        <v>0</v>
      </c>
      <c r="AK69" s="106">
        <v>0</v>
      </c>
      <c r="AL69" s="106">
        <v>0</v>
      </c>
      <c r="AM69" s="106">
        <v>0</v>
      </c>
      <c r="AN69" s="106">
        <v>0</v>
      </c>
    </row>
    <row r="70" spans="2:40" x14ac:dyDescent="0.25">
      <c r="B70" s="39" t="s">
        <v>305</v>
      </c>
      <c r="C70" s="12"/>
      <c r="E70" s="106">
        <v>0</v>
      </c>
      <c r="F70" s="106">
        <v>0</v>
      </c>
      <c r="G70" s="106">
        <v>0</v>
      </c>
      <c r="H70" s="106">
        <v>0</v>
      </c>
      <c r="I70" s="106">
        <v>0</v>
      </c>
      <c r="J70" s="106">
        <v>0</v>
      </c>
      <c r="K70" s="106">
        <v>0</v>
      </c>
      <c r="L70" s="106">
        <v>0</v>
      </c>
      <c r="M70" s="106">
        <v>0</v>
      </c>
      <c r="N70" s="106">
        <v>0</v>
      </c>
      <c r="O70" s="106">
        <v>0</v>
      </c>
      <c r="P70" s="106">
        <v>0</v>
      </c>
      <c r="Q70" s="106">
        <v>0</v>
      </c>
      <c r="R70" s="106">
        <v>0</v>
      </c>
      <c r="S70" s="106">
        <v>0</v>
      </c>
      <c r="T70" s="106">
        <v>0</v>
      </c>
      <c r="U70" s="106">
        <v>0</v>
      </c>
      <c r="V70" s="106">
        <v>0</v>
      </c>
      <c r="W70" s="106">
        <v>0</v>
      </c>
      <c r="X70" s="106">
        <v>0</v>
      </c>
      <c r="Y70" s="106">
        <v>0</v>
      </c>
      <c r="Z70" s="106">
        <v>0</v>
      </c>
      <c r="AA70" s="106">
        <v>0</v>
      </c>
      <c r="AB70" s="106">
        <v>0</v>
      </c>
      <c r="AC70" s="106">
        <v>0</v>
      </c>
      <c r="AD70" s="106">
        <v>0</v>
      </c>
      <c r="AE70" s="106">
        <v>0</v>
      </c>
      <c r="AF70" s="106">
        <v>0</v>
      </c>
      <c r="AG70" s="106">
        <v>0</v>
      </c>
      <c r="AH70" s="106">
        <v>0</v>
      </c>
      <c r="AI70" s="106">
        <v>0</v>
      </c>
      <c r="AJ70" s="106">
        <v>0</v>
      </c>
      <c r="AK70" s="106">
        <v>0</v>
      </c>
      <c r="AL70" s="106">
        <v>0</v>
      </c>
      <c r="AM70" s="106">
        <v>0</v>
      </c>
      <c r="AN70" s="106">
        <v>0</v>
      </c>
    </row>
    <row r="71" spans="2:40" x14ac:dyDescent="0.25">
      <c r="B71" s="39"/>
      <c r="C71" s="12"/>
    </row>
    <row r="72" spans="2:40" x14ac:dyDescent="0.25">
      <c r="B72" s="39" t="s">
        <v>23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0</v>
      </c>
      <c r="F72" s="12">
        <v>0</v>
      </c>
      <c r="G72" s="12">
        <v>0</v>
      </c>
      <c r="H72" s="12">
        <v>0</v>
      </c>
      <c r="I72" s="12">
        <v>0</v>
      </c>
      <c r="J72" s="12">
        <v>0</v>
      </c>
      <c r="K72" s="12">
        <v>0</v>
      </c>
      <c r="L72" s="12">
        <v>0</v>
      </c>
      <c r="M72" s="12">
        <v>0</v>
      </c>
      <c r="N72" s="12">
        <v>0</v>
      </c>
      <c r="O72" s="12">
        <v>0</v>
      </c>
      <c r="P72" s="12">
        <v>0</v>
      </c>
      <c r="Q72" s="12">
        <v>0</v>
      </c>
      <c r="R72" s="12">
        <v>0</v>
      </c>
      <c r="S72" s="12">
        <v>0</v>
      </c>
      <c r="T72" s="12">
        <v>0</v>
      </c>
      <c r="U72" s="12">
        <v>0</v>
      </c>
      <c r="V72" s="12">
        <v>0</v>
      </c>
      <c r="W72" s="12">
        <v>0</v>
      </c>
      <c r="X72" s="12">
        <v>0</v>
      </c>
      <c r="Y72" s="12">
        <v>0</v>
      </c>
      <c r="Z72" s="12">
        <v>0</v>
      </c>
      <c r="AA72" s="12">
        <v>0</v>
      </c>
      <c r="AB72" s="12">
        <v>0</v>
      </c>
      <c r="AC72" s="12">
        <v>0</v>
      </c>
      <c r="AD72" s="12">
        <v>0</v>
      </c>
      <c r="AE72" s="12">
        <v>0</v>
      </c>
      <c r="AF72" s="12">
        <v>0</v>
      </c>
      <c r="AG72" s="12">
        <v>0</v>
      </c>
      <c r="AH72" s="12">
        <v>0</v>
      </c>
      <c r="AI72" s="12">
        <v>0</v>
      </c>
      <c r="AJ72" s="12">
        <v>0</v>
      </c>
      <c r="AK72" s="12">
        <v>0</v>
      </c>
      <c r="AL72" s="12">
        <v>0</v>
      </c>
      <c r="AM72" s="12">
        <v>0</v>
      </c>
      <c r="AN72" s="12">
        <v>1.2691023820243568E-3</v>
      </c>
    </row>
    <row r="73" spans="2:40" x14ac:dyDescent="0.25">
      <c r="B73" s="39" t="s">
        <v>24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306</v>
      </c>
      <c r="E75" s="74" cm="1">
        <f t="array" ref="E75:AN75">_xlfn.ANCHORARRAY(E67)-_xlfn.ANCHORARRAY(E72)-_xlfn.ANCHORARRAY(E73)</f>
        <v>0</v>
      </c>
      <c r="F75" s="74">
        <v>0</v>
      </c>
      <c r="G75" s="74">
        <v>0</v>
      </c>
      <c r="H75" s="74">
        <v>0</v>
      </c>
      <c r="I75" s="74">
        <v>0</v>
      </c>
      <c r="J75" s="74">
        <v>0</v>
      </c>
      <c r="K75" s="74">
        <v>0</v>
      </c>
      <c r="L75" s="74">
        <v>0</v>
      </c>
      <c r="M75" s="74">
        <v>0</v>
      </c>
      <c r="N75" s="74">
        <v>0</v>
      </c>
      <c r="O75" s="74">
        <v>0</v>
      </c>
      <c r="P75" s="74">
        <v>0</v>
      </c>
      <c r="Q75" s="74">
        <v>0</v>
      </c>
      <c r="R75" s="74">
        <v>0</v>
      </c>
      <c r="S75" s="74">
        <v>0</v>
      </c>
      <c r="T75" s="74">
        <v>0</v>
      </c>
      <c r="U75" s="74">
        <v>0</v>
      </c>
      <c r="V75" s="74">
        <v>0</v>
      </c>
      <c r="W75" s="74">
        <v>0</v>
      </c>
      <c r="X75" s="74">
        <v>0</v>
      </c>
      <c r="Y75" s="74">
        <v>0</v>
      </c>
      <c r="Z75" s="74">
        <v>0</v>
      </c>
      <c r="AA75" s="74">
        <v>0</v>
      </c>
      <c r="AB75" s="74">
        <v>0</v>
      </c>
      <c r="AC75" s="74">
        <v>0</v>
      </c>
      <c r="AD75" s="74">
        <v>0</v>
      </c>
      <c r="AE75" s="74">
        <v>0</v>
      </c>
      <c r="AF75" s="74">
        <v>0</v>
      </c>
      <c r="AG75" s="74">
        <v>0</v>
      </c>
      <c r="AH75" s="74">
        <v>0</v>
      </c>
      <c r="AI75" s="74">
        <v>0</v>
      </c>
      <c r="AJ75" s="74">
        <v>0</v>
      </c>
      <c r="AK75" s="74">
        <v>0</v>
      </c>
      <c r="AL75" s="74">
        <v>0</v>
      </c>
      <c r="AM75" s="74">
        <v>0</v>
      </c>
      <c r="AN75" s="74">
        <v>-1.2691023820243568E-3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F11837-6159-4724-BB12-54AAAFA50E93}">
  <dimension ref="A1:AX75"/>
  <sheetViews>
    <sheetView workbookViewId="0">
      <pane xSplit="4" ySplit="25" topLeftCell="E41" activePane="bottomRight" state="frozen"/>
      <selection activeCell="E63" sqref="E63:E65"/>
      <selection pane="topRight" activeCell="E63" sqref="E63:E65"/>
      <selection pane="bottomLeft" activeCell="E63" sqref="E63:E65"/>
      <selection pane="bottomRight" activeCell="E63" sqref="E63:E65"/>
    </sheetView>
  </sheetViews>
  <sheetFormatPr defaultRowHeight="15" outlineLevelRow="1" x14ac:dyDescent="0.25"/>
  <cols>
    <col min="2" max="2" width="24.5703125" bestFit="1" customWidth="1"/>
    <col min="3" max="3" width="10.7109375" bestFit="1" customWidth="1"/>
    <col min="4" max="4" width="10" bestFit="1" customWidth="1"/>
    <col min="5" max="5" width="11.42578125" bestFit="1" customWidth="1"/>
    <col min="6" max="6" width="11.7109375" bestFit="1" customWidth="1"/>
    <col min="7" max="13" width="12.28515625" bestFit="1" customWidth="1"/>
    <col min="14" max="18" width="11.5703125" bestFit="1" customWidth="1"/>
    <col min="19" max="40" width="12.5703125" bestFit="1" customWidth="1"/>
  </cols>
  <sheetData>
    <row r="1" spans="1:40" x14ac:dyDescent="0.25">
      <c r="A1" s="96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>2026</v>
      </c>
      <c r="B1" s="58" t="s">
        <v>78</v>
      </c>
      <c r="C1" s="16" t="s">
        <v>61</v>
      </c>
      <c r="D1" s="3" t="s">
        <v>307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IFERROR(_xlfn.BYCOL(_xlpm.kiddos,_xlfn.LAMBDA(_xlpm.a,MAX(_xlpm.a,9))),0))</f>
        <v>0</v>
      </c>
      <c r="F1" s="69">
        <v>0</v>
      </c>
      <c r="G1" s="69">
        <v>0</v>
      </c>
      <c r="H1" s="69">
        <v>0</v>
      </c>
      <c r="I1" s="69">
        <v>0</v>
      </c>
      <c r="J1" s="69">
        <v>0</v>
      </c>
      <c r="K1" s="69">
        <v>9</v>
      </c>
      <c r="L1" s="69">
        <v>9</v>
      </c>
      <c r="M1" s="69">
        <v>9</v>
      </c>
      <c r="N1" s="69">
        <v>11</v>
      </c>
      <c r="O1" s="69">
        <v>14</v>
      </c>
      <c r="P1" s="69">
        <v>17</v>
      </c>
      <c r="Q1" s="69">
        <v>20</v>
      </c>
      <c r="R1" s="69">
        <v>22</v>
      </c>
      <c r="S1" s="69">
        <v>25</v>
      </c>
      <c r="T1" s="69">
        <v>28</v>
      </c>
      <c r="U1" s="69">
        <v>31</v>
      </c>
      <c r="V1" s="69">
        <v>34</v>
      </c>
      <c r="W1" s="69">
        <v>37</v>
      </c>
      <c r="X1" s="69">
        <v>40</v>
      </c>
      <c r="Y1" s="69">
        <v>40</v>
      </c>
      <c r="Z1" s="69">
        <v>40</v>
      </c>
      <c r="AA1" s="69">
        <v>40</v>
      </c>
      <c r="AB1" s="69">
        <v>40</v>
      </c>
      <c r="AC1" s="69">
        <v>40</v>
      </c>
      <c r="AD1" s="69">
        <v>40</v>
      </c>
      <c r="AE1" s="69">
        <v>40</v>
      </c>
      <c r="AF1" s="69">
        <v>40</v>
      </c>
      <c r="AG1" s="69">
        <v>40</v>
      </c>
      <c r="AH1" s="69">
        <v>40</v>
      </c>
      <c r="AI1" s="69">
        <v>40</v>
      </c>
      <c r="AJ1" s="69">
        <v>40</v>
      </c>
      <c r="AK1" s="69">
        <v>40</v>
      </c>
      <c r="AL1" s="69">
        <v>40</v>
      </c>
      <c r="AM1" s="69">
        <v>40</v>
      </c>
      <c r="AN1" s="69">
        <v>40</v>
      </c>
    </row>
    <row r="2" spans="1:40" x14ac:dyDescent="0.25">
      <c r="A2" s="65"/>
      <c r="B2" s="3" t="str">
        <f>_xlfn.XLOOKUP($B$1&amp;"-"&amp;$C$1,Base!$D$4:$BD$4,Base!$D$2:$BD$2,"",0)</f>
        <v>Maryland</v>
      </c>
      <c r="C2" s="55"/>
      <c r="D2" s="55" t="s">
        <v>259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0</v>
      </c>
      <c r="F2" s="69">
        <v>0</v>
      </c>
      <c r="G2" s="69">
        <v>0</v>
      </c>
      <c r="H2" s="69">
        <v>0</v>
      </c>
      <c r="I2" s="69">
        <v>0</v>
      </c>
      <c r="J2" s="69">
        <v>0</v>
      </c>
      <c r="K2" s="69">
        <v>3</v>
      </c>
      <c r="L2" s="69">
        <v>6.0238095238095237</v>
      </c>
      <c r="M2" s="69">
        <v>6.1904761904761907</v>
      </c>
      <c r="N2" s="69">
        <v>6.3571428571428577</v>
      </c>
      <c r="O2" s="69">
        <v>6.5238095238095237</v>
      </c>
      <c r="P2" s="69">
        <v>6.6904761904761907</v>
      </c>
      <c r="Q2" s="69">
        <v>6.8571428571428577</v>
      </c>
      <c r="R2" s="69">
        <v>6.8571428571428577</v>
      </c>
      <c r="S2" s="69">
        <v>6.8571428571428577</v>
      </c>
      <c r="T2" s="69">
        <v>6.8571428571428577</v>
      </c>
      <c r="U2" s="69">
        <v>6.8571428571428577</v>
      </c>
      <c r="V2" s="69">
        <v>6.8571428571428577</v>
      </c>
      <c r="W2" s="69">
        <v>6.8571428571428577</v>
      </c>
      <c r="X2" s="69">
        <v>4</v>
      </c>
      <c r="Y2" s="69">
        <v>4</v>
      </c>
      <c r="Z2" s="69">
        <v>4</v>
      </c>
      <c r="AA2" s="69">
        <v>4</v>
      </c>
      <c r="AB2" s="69">
        <v>4</v>
      </c>
      <c r="AC2" s="69">
        <v>4</v>
      </c>
      <c r="AD2" s="69">
        <v>4</v>
      </c>
      <c r="AE2" s="69">
        <v>4</v>
      </c>
      <c r="AF2" s="69">
        <v>4</v>
      </c>
      <c r="AG2" s="69">
        <v>4</v>
      </c>
      <c r="AH2" s="69">
        <v>4</v>
      </c>
      <c r="AI2" s="69">
        <v>4</v>
      </c>
      <c r="AJ2" s="69">
        <v>4</v>
      </c>
      <c r="AK2" s="69">
        <v>4</v>
      </c>
      <c r="AL2" s="69">
        <v>4</v>
      </c>
      <c r="AM2" s="69">
        <v>4</v>
      </c>
      <c r="AN2" s="69">
        <v>4</v>
      </c>
    </row>
    <row r="3" spans="1:40" x14ac:dyDescent="0.25">
      <c r="A3" s="65"/>
      <c r="B3" s="55"/>
      <c r="C3" s="55"/>
      <c r="D3" s="55" t="s">
        <v>62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_xlpm.months_since,DATEDIF(_xlpm.launchdate,_xlfn.ANCHORARRAY($E$25),"m"),_xlfn.BYCOL(_xlpm.months_since,_xlfn.LAMBDA(_xlpm.a,IFERROR(MIN((_xlpm.a+18)/6,_xlpm.max_kiddos),0))))</f>
        <v>0</v>
      </c>
      <c r="F3" s="69">
        <v>0</v>
      </c>
      <c r="G3" s="69">
        <v>0</v>
      </c>
      <c r="H3" s="69">
        <v>0</v>
      </c>
      <c r="I3" s="69">
        <v>0</v>
      </c>
      <c r="J3" s="69">
        <v>0</v>
      </c>
      <c r="K3" s="69">
        <v>3</v>
      </c>
      <c r="L3" s="69">
        <v>3.1666666666666665</v>
      </c>
      <c r="M3" s="69">
        <v>3.3333333333333335</v>
      </c>
      <c r="N3" s="69">
        <v>3.5</v>
      </c>
      <c r="O3" s="69">
        <v>3.6666666666666665</v>
      </c>
      <c r="P3" s="69">
        <v>3.8333333333333335</v>
      </c>
      <c r="Q3" s="69">
        <v>4</v>
      </c>
      <c r="R3" s="69">
        <v>4</v>
      </c>
      <c r="S3" s="69">
        <v>4</v>
      </c>
      <c r="T3" s="69">
        <v>4</v>
      </c>
      <c r="U3" s="69">
        <v>4</v>
      </c>
      <c r="V3" s="69">
        <v>4</v>
      </c>
      <c r="W3" s="69">
        <v>4</v>
      </c>
      <c r="X3" s="69">
        <v>4</v>
      </c>
      <c r="Y3" s="69">
        <v>4</v>
      </c>
      <c r="Z3" s="69">
        <v>4</v>
      </c>
      <c r="AA3" s="69">
        <v>4</v>
      </c>
      <c r="AB3" s="69">
        <v>4</v>
      </c>
      <c r="AC3" s="69">
        <v>4</v>
      </c>
      <c r="AD3" s="69">
        <v>4</v>
      </c>
      <c r="AE3" s="69">
        <v>4</v>
      </c>
      <c r="AF3" s="69">
        <v>4</v>
      </c>
      <c r="AG3" s="69">
        <v>4</v>
      </c>
      <c r="AH3" s="69">
        <v>4</v>
      </c>
      <c r="AI3" s="69">
        <v>4</v>
      </c>
      <c r="AJ3" s="69">
        <v>4</v>
      </c>
      <c r="AK3" s="69">
        <v>4</v>
      </c>
      <c r="AL3" s="69">
        <v>4</v>
      </c>
      <c r="AM3" s="69">
        <v>4</v>
      </c>
      <c r="AN3" s="69">
        <v>4</v>
      </c>
    </row>
    <row r="4" spans="1:40" x14ac:dyDescent="0.25">
      <c r="A4" s="65"/>
      <c r="B4" s="55"/>
      <c r="C4" s="55"/>
      <c r="D4" s="55" t="s">
        <v>260</v>
      </c>
      <c r="E4" s="69" cm="1">
        <f t="array" ref="E4:AN4">_xlfn.BYCOL(_xlfn.VSTACK(_xlfn.ANCHORARRAY($E$1),_xlfn.ANCHORARRAY($E$2)),_xlfn.LAMBDA(_xlpm.a,SUM(_xlpm.a)))</f>
        <v>0</v>
      </c>
      <c r="F4" s="69">
        <v>0</v>
      </c>
      <c r="G4" s="69">
        <v>0</v>
      </c>
      <c r="H4" s="69">
        <v>0</v>
      </c>
      <c r="I4" s="69">
        <v>0</v>
      </c>
      <c r="J4" s="69">
        <v>0</v>
      </c>
      <c r="K4" s="69">
        <v>12</v>
      </c>
      <c r="L4" s="69">
        <v>15.023809523809524</v>
      </c>
      <c r="M4" s="69">
        <v>15.19047619047619</v>
      </c>
      <c r="N4" s="69">
        <v>17.357142857142858</v>
      </c>
      <c r="O4" s="69">
        <v>20.523809523809526</v>
      </c>
      <c r="P4" s="69">
        <v>23.69047619047619</v>
      </c>
      <c r="Q4" s="69">
        <v>26.857142857142858</v>
      </c>
      <c r="R4" s="69">
        <v>28.857142857142858</v>
      </c>
      <c r="S4" s="69">
        <v>31.857142857142858</v>
      </c>
      <c r="T4" s="69">
        <v>34.857142857142861</v>
      </c>
      <c r="U4" s="69">
        <v>37.857142857142861</v>
      </c>
      <c r="V4" s="69">
        <v>40.857142857142861</v>
      </c>
      <c r="W4" s="69">
        <v>43.857142857142861</v>
      </c>
      <c r="X4" s="69">
        <v>44</v>
      </c>
      <c r="Y4" s="69">
        <v>44</v>
      </c>
      <c r="Z4" s="69">
        <v>44</v>
      </c>
      <c r="AA4" s="69">
        <v>44</v>
      </c>
      <c r="AB4" s="69">
        <v>44</v>
      </c>
      <c r="AC4" s="69">
        <v>44</v>
      </c>
      <c r="AD4" s="69">
        <v>44</v>
      </c>
      <c r="AE4" s="69">
        <v>44</v>
      </c>
      <c r="AF4" s="69">
        <v>44</v>
      </c>
      <c r="AG4" s="69">
        <v>44</v>
      </c>
      <c r="AH4" s="69">
        <v>44</v>
      </c>
      <c r="AI4" s="69">
        <v>44</v>
      </c>
      <c r="AJ4" s="69">
        <v>44</v>
      </c>
      <c r="AK4" s="69">
        <v>44</v>
      </c>
      <c r="AL4" s="69">
        <v>44</v>
      </c>
      <c r="AM4" s="69">
        <v>44</v>
      </c>
      <c r="AN4" s="69">
        <v>44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107</v>
      </c>
      <c r="C6" s="3"/>
      <c r="D6" s="3"/>
      <c r="E6" s="66" cm="1">
        <f t="array" ref="E6:AN6">ROUND(_xlfn.BYCOL(_xlfn.ANCHORARRAY(E7),_xlfn.LAMBDA(_xlpm.a,SUM(_xlpm.a))),0)</f>
        <v>0</v>
      </c>
      <c r="F6" s="66">
        <v>0</v>
      </c>
      <c r="G6" s="66">
        <v>0</v>
      </c>
      <c r="H6" s="66">
        <v>0</v>
      </c>
      <c r="I6" s="66">
        <v>0</v>
      </c>
      <c r="J6" s="66">
        <v>0</v>
      </c>
      <c r="K6" s="66">
        <v>15</v>
      </c>
      <c r="L6" s="66">
        <v>15</v>
      </c>
      <c r="M6" s="66">
        <v>15</v>
      </c>
      <c r="N6" s="66">
        <v>18</v>
      </c>
      <c r="O6" s="66">
        <v>21</v>
      </c>
      <c r="P6" s="66">
        <v>25</v>
      </c>
      <c r="Q6" s="66">
        <v>29</v>
      </c>
      <c r="R6" s="66">
        <v>31</v>
      </c>
      <c r="S6" s="66">
        <v>35</v>
      </c>
      <c r="T6" s="66">
        <v>38</v>
      </c>
      <c r="U6" s="66">
        <v>42</v>
      </c>
      <c r="V6" s="66">
        <v>45</v>
      </c>
      <c r="W6" s="66">
        <v>49</v>
      </c>
      <c r="X6" s="66">
        <v>52</v>
      </c>
      <c r="Y6" s="66">
        <v>52</v>
      </c>
      <c r="Z6" s="66">
        <v>52</v>
      </c>
      <c r="AA6" s="66">
        <v>52</v>
      </c>
      <c r="AB6" s="66">
        <v>52</v>
      </c>
      <c r="AC6" s="66">
        <v>52</v>
      </c>
      <c r="AD6" s="66">
        <v>52</v>
      </c>
      <c r="AE6" s="66">
        <v>52</v>
      </c>
      <c r="AF6" s="66">
        <v>52</v>
      </c>
      <c r="AG6" s="66">
        <v>52</v>
      </c>
      <c r="AH6" s="66">
        <v>52</v>
      </c>
      <c r="AI6" s="66">
        <v>52</v>
      </c>
      <c r="AJ6" s="66">
        <v>52</v>
      </c>
      <c r="AK6" s="66">
        <v>52</v>
      </c>
      <c r="AL6" s="66">
        <v>52</v>
      </c>
      <c r="AM6" s="66">
        <v>52</v>
      </c>
      <c r="AN6" s="66">
        <v>52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1"/>
      <c r="E7" s="106" cm="1">
        <f t="array" ref="E7:AN20">_xlfn.LET(_xlpm.Customer_staff,_xlfn._xlws.FILTER(Base!$D$85:$BD$98,ISNUMBER(SEARCH($B$1&amp;"-"&amp;$C$1,Base!$D$4:$BD$4))),_xlpm.Customer,_xlfn.ANCHORARRAY($E$1),_xlpm.headcount,_xlpm.Customer/_xlpm.Customer_staff,
_xlpm.patient_staff,_xlfn.ANCHORARRAY($E$2)/_xlpm.Customer_staff,_xlpm.prim_staff_tr_rec,_xlfn.ANCHORARRAY($E$2)/_xlfn.CHOOSEROWS(_xlpm.Customer_staff,{7,8})+(_xlfn.ANCHORARRAY($E$1)*0.0055),_xlpm.rounding,_xlfn.VSTACK(2,2,0,0,2,2,2,2,2,2,2,0,0,0),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prim_staff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0</v>
      </c>
      <c r="F7" s="106">
        <v>0</v>
      </c>
      <c r="G7" s="106">
        <v>0</v>
      </c>
      <c r="H7" s="106">
        <v>0</v>
      </c>
      <c r="I7" s="106">
        <v>0</v>
      </c>
      <c r="J7" s="106">
        <v>0</v>
      </c>
      <c r="K7" s="106">
        <v>8.48</v>
      </c>
      <c r="L7" s="106">
        <v>8.48</v>
      </c>
      <c r="M7" s="106">
        <v>8.48</v>
      </c>
      <c r="N7" s="106">
        <v>10.36</v>
      </c>
      <c r="O7" s="106">
        <v>13.18</v>
      </c>
      <c r="P7" s="106">
        <v>16</v>
      </c>
      <c r="Q7" s="106">
        <v>18.830000000000002</v>
      </c>
      <c r="R7" s="106">
        <v>20.71</v>
      </c>
      <c r="S7" s="106">
        <v>23.53</v>
      </c>
      <c r="T7" s="106">
        <v>26.360000000000003</v>
      </c>
      <c r="U7" s="106">
        <v>29.180000000000003</v>
      </c>
      <c r="V7" s="106">
        <v>32</v>
      </c>
      <c r="W7" s="106">
        <v>34.83</v>
      </c>
      <c r="X7" s="106">
        <v>37.65</v>
      </c>
      <c r="Y7" s="106">
        <v>37.65</v>
      </c>
      <c r="Z7" s="106">
        <v>37.65</v>
      </c>
      <c r="AA7" s="106">
        <v>37.65</v>
      </c>
      <c r="AB7" s="106">
        <v>37.65</v>
      </c>
      <c r="AC7" s="106">
        <v>37.65</v>
      </c>
      <c r="AD7" s="106">
        <v>37.65</v>
      </c>
      <c r="AE7" s="106">
        <v>37.65</v>
      </c>
      <c r="AF7" s="106">
        <v>37.65</v>
      </c>
      <c r="AG7" s="106">
        <v>37.65</v>
      </c>
      <c r="AH7" s="106">
        <v>37.65</v>
      </c>
      <c r="AI7" s="106">
        <v>37.65</v>
      </c>
      <c r="AJ7" s="106">
        <v>37.65</v>
      </c>
      <c r="AK7" s="106">
        <v>37.65</v>
      </c>
      <c r="AL7" s="106">
        <v>37.65</v>
      </c>
      <c r="AM7" s="106">
        <v>37.65</v>
      </c>
      <c r="AN7" s="106">
        <v>37.65</v>
      </c>
    </row>
    <row r="8" spans="1:40" hidden="1" outlineLevel="1" x14ac:dyDescent="0.25">
      <c r="B8" s="39" t="str">
        <v>Secondary Direct Staff</v>
      </c>
      <c r="C8" s="3"/>
      <c r="D8" s="3"/>
      <c r="E8" s="106">
        <v>0</v>
      </c>
      <c r="F8" s="106">
        <v>0</v>
      </c>
      <c r="G8" s="106">
        <v>0</v>
      </c>
      <c r="H8" s="106">
        <v>0</v>
      </c>
      <c r="I8" s="106">
        <v>0</v>
      </c>
      <c r="J8" s="106">
        <v>0</v>
      </c>
      <c r="K8" s="106">
        <v>1.29</v>
      </c>
      <c r="L8" s="106">
        <v>1.29</v>
      </c>
      <c r="M8" s="106">
        <v>1.29</v>
      </c>
      <c r="N8" s="106">
        <v>1.58</v>
      </c>
      <c r="O8" s="106">
        <v>2</v>
      </c>
      <c r="P8" s="106">
        <v>2.4299999999999997</v>
      </c>
      <c r="Q8" s="106">
        <v>2.86</v>
      </c>
      <c r="R8" s="106">
        <v>3.15</v>
      </c>
      <c r="S8" s="106">
        <v>3.5799999999999996</v>
      </c>
      <c r="T8" s="106">
        <v>4</v>
      </c>
      <c r="U8" s="106">
        <v>4.43</v>
      </c>
      <c r="V8" s="106">
        <v>4.8599999999999994</v>
      </c>
      <c r="W8" s="106">
        <v>5.29</v>
      </c>
      <c r="X8" s="106">
        <v>5.72</v>
      </c>
      <c r="Y8" s="106">
        <v>5.72</v>
      </c>
      <c r="Z8" s="106">
        <v>5.72</v>
      </c>
      <c r="AA8" s="106">
        <v>5.72</v>
      </c>
      <c r="AB8" s="106">
        <v>5.72</v>
      </c>
      <c r="AC8" s="106">
        <v>5.72</v>
      </c>
      <c r="AD8" s="106">
        <v>5.72</v>
      </c>
      <c r="AE8" s="106">
        <v>5.72</v>
      </c>
      <c r="AF8" s="106">
        <v>5.72</v>
      </c>
      <c r="AG8" s="106">
        <v>5.72</v>
      </c>
      <c r="AH8" s="106">
        <v>5.72</v>
      </c>
      <c r="AI8" s="106">
        <v>5.72</v>
      </c>
      <c r="AJ8" s="106">
        <v>5.72</v>
      </c>
      <c r="AK8" s="106">
        <v>5.72</v>
      </c>
      <c r="AL8" s="106">
        <v>5.72</v>
      </c>
      <c r="AM8" s="106">
        <v>5.72</v>
      </c>
      <c r="AN8" s="106">
        <v>5.72</v>
      </c>
    </row>
    <row r="9" spans="1:40" hidden="1" outlineLevel="1" x14ac:dyDescent="0.25">
      <c r="B9" s="39" t="str">
        <v>Center Manager</v>
      </c>
      <c r="C9" s="3"/>
      <c r="D9" s="3"/>
      <c r="E9" s="106">
        <v>0</v>
      </c>
      <c r="F9" s="106">
        <v>0</v>
      </c>
      <c r="G9" s="106">
        <v>0</v>
      </c>
      <c r="H9" s="106">
        <v>0</v>
      </c>
      <c r="I9" s="106">
        <v>0</v>
      </c>
      <c r="J9" s="106">
        <v>0</v>
      </c>
      <c r="K9" s="106">
        <v>1</v>
      </c>
      <c r="L9" s="106">
        <v>1</v>
      </c>
      <c r="M9" s="106">
        <v>1</v>
      </c>
      <c r="N9" s="106">
        <v>1</v>
      </c>
      <c r="O9" s="106">
        <v>1</v>
      </c>
      <c r="P9" s="106">
        <v>1</v>
      </c>
      <c r="Q9" s="106">
        <v>1</v>
      </c>
      <c r="R9" s="106">
        <v>1</v>
      </c>
      <c r="S9" s="106">
        <v>1</v>
      </c>
      <c r="T9" s="106">
        <v>1</v>
      </c>
      <c r="U9" s="106">
        <v>1</v>
      </c>
      <c r="V9" s="106">
        <v>1</v>
      </c>
      <c r="W9" s="106">
        <v>1</v>
      </c>
      <c r="X9" s="106">
        <v>1</v>
      </c>
      <c r="Y9" s="106">
        <v>1</v>
      </c>
      <c r="Z9" s="106">
        <v>1</v>
      </c>
      <c r="AA9" s="106">
        <v>1</v>
      </c>
      <c r="AB9" s="106">
        <v>1</v>
      </c>
      <c r="AC9" s="106">
        <v>1</v>
      </c>
      <c r="AD9" s="106">
        <v>1</v>
      </c>
      <c r="AE9" s="106">
        <v>1</v>
      </c>
      <c r="AF9" s="106">
        <v>1</v>
      </c>
      <c r="AG9" s="106">
        <v>1</v>
      </c>
      <c r="AH9" s="106">
        <v>1</v>
      </c>
      <c r="AI9" s="106">
        <v>1</v>
      </c>
      <c r="AJ9" s="106">
        <v>1</v>
      </c>
      <c r="AK9" s="106">
        <v>1</v>
      </c>
      <c r="AL9" s="106">
        <v>1</v>
      </c>
      <c r="AM9" s="106">
        <v>1</v>
      </c>
      <c r="AN9" s="106">
        <v>1</v>
      </c>
    </row>
    <row r="10" spans="1:40" hidden="1" outlineLevel="1" x14ac:dyDescent="0.25">
      <c r="B10" s="39" t="str">
        <v>Intake</v>
      </c>
      <c r="C10" s="3"/>
      <c r="D10" s="3"/>
      <c r="E10" s="106">
        <v>0</v>
      </c>
      <c r="F10" s="106">
        <v>0</v>
      </c>
      <c r="G10" s="106">
        <v>0</v>
      </c>
      <c r="H10" s="106">
        <v>0</v>
      </c>
      <c r="I10" s="106">
        <v>0</v>
      </c>
      <c r="J10" s="106">
        <v>0</v>
      </c>
      <c r="K10" s="106">
        <v>1</v>
      </c>
      <c r="L10" s="106">
        <v>1</v>
      </c>
      <c r="M10" s="106">
        <v>1</v>
      </c>
      <c r="N10" s="106">
        <v>1</v>
      </c>
      <c r="O10" s="106">
        <v>1</v>
      </c>
      <c r="P10" s="106">
        <v>1</v>
      </c>
      <c r="Q10" s="106">
        <v>1</v>
      </c>
      <c r="R10" s="106">
        <v>1</v>
      </c>
      <c r="S10" s="106">
        <v>1</v>
      </c>
      <c r="T10" s="106">
        <v>1</v>
      </c>
      <c r="U10" s="106">
        <v>1</v>
      </c>
      <c r="V10" s="106">
        <v>1</v>
      </c>
      <c r="W10" s="106">
        <v>1</v>
      </c>
      <c r="X10" s="106">
        <v>1</v>
      </c>
      <c r="Y10" s="106">
        <v>1</v>
      </c>
      <c r="Z10" s="106">
        <v>1</v>
      </c>
      <c r="AA10" s="106">
        <v>1</v>
      </c>
      <c r="AB10" s="106">
        <v>1</v>
      </c>
      <c r="AC10" s="106">
        <v>1</v>
      </c>
      <c r="AD10" s="106">
        <v>1</v>
      </c>
      <c r="AE10" s="106">
        <v>1</v>
      </c>
      <c r="AF10" s="106">
        <v>1</v>
      </c>
      <c r="AG10" s="106">
        <v>1</v>
      </c>
      <c r="AH10" s="106">
        <v>1</v>
      </c>
      <c r="AI10" s="106">
        <v>1</v>
      </c>
      <c r="AJ10" s="106">
        <v>1</v>
      </c>
      <c r="AK10" s="106">
        <v>1</v>
      </c>
      <c r="AL10" s="106">
        <v>1</v>
      </c>
      <c r="AM10" s="106">
        <v>1</v>
      </c>
      <c r="AN10" s="106">
        <v>1</v>
      </c>
    </row>
    <row r="11" spans="1:40" hidden="1" outlineLevel="1" x14ac:dyDescent="0.25">
      <c r="B11" s="39" t="str">
        <v>Scheduler</v>
      </c>
      <c r="C11" s="3"/>
      <c r="D11" s="3"/>
      <c r="E11" s="106">
        <v>0</v>
      </c>
      <c r="F11" s="106">
        <v>0</v>
      </c>
      <c r="G11" s="106">
        <v>0</v>
      </c>
      <c r="H11" s="106">
        <v>0</v>
      </c>
      <c r="I11" s="106">
        <v>0</v>
      </c>
      <c r="J11" s="106">
        <v>0</v>
      </c>
      <c r="K11" s="106">
        <v>0</v>
      </c>
      <c r="L11" s="106">
        <v>0</v>
      </c>
      <c r="M11" s="106">
        <v>0</v>
      </c>
      <c r="N11" s="106">
        <v>0</v>
      </c>
      <c r="O11" s="106">
        <v>0</v>
      </c>
      <c r="P11" s="106">
        <v>0</v>
      </c>
      <c r="Q11" s="106">
        <v>0</v>
      </c>
      <c r="R11" s="106">
        <v>0</v>
      </c>
      <c r="S11" s="106">
        <v>0</v>
      </c>
      <c r="T11" s="106">
        <v>0</v>
      </c>
      <c r="U11" s="106">
        <v>0</v>
      </c>
      <c r="V11" s="106">
        <v>0</v>
      </c>
      <c r="W11" s="106">
        <v>0</v>
      </c>
      <c r="X11" s="106">
        <v>0</v>
      </c>
      <c r="Y11" s="106">
        <v>0</v>
      </c>
      <c r="Z11" s="106">
        <v>0</v>
      </c>
      <c r="AA11" s="106">
        <v>0</v>
      </c>
      <c r="AB11" s="106">
        <v>0</v>
      </c>
      <c r="AC11" s="106">
        <v>0</v>
      </c>
      <c r="AD11" s="106">
        <v>0</v>
      </c>
      <c r="AE11" s="106">
        <v>0</v>
      </c>
      <c r="AF11" s="106">
        <v>0</v>
      </c>
      <c r="AG11" s="106">
        <v>0</v>
      </c>
      <c r="AH11" s="106">
        <v>0</v>
      </c>
      <c r="AI11" s="106">
        <v>0</v>
      </c>
      <c r="AJ11" s="106">
        <v>0</v>
      </c>
      <c r="AK11" s="106">
        <v>0</v>
      </c>
      <c r="AL11" s="106">
        <v>0</v>
      </c>
      <c r="AM11" s="106">
        <v>0</v>
      </c>
      <c r="AN11" s="106">
        <v>0</v>
      </c>
    </row>
    <row r="12" spans="1:40" hidden="1" outlineLevel="1" x14ac:dyDescent="0.25">
      <c r="B12" s="39" t="str">
        <v>Initial Consultation Expert</v>
      </c>
      <c r="C12" s="3"/>
      <c r="D12" s="3"/>
      <c r="E12" s="106">
        <v>0</v>
      </c>
      <c r="F12" s="106">
        <v>0</v>
      </c>
      <c r="G12" s="106">
        <v>0</v>
      </c>
      <c r="H12" s="106">
        <v>0</v>
      </c>
      <c r="I12" s="106">
        <v>0</v>
      </c>
      <c r="J12" s="106">
        <v>0</v>
      </c>
      <c r="K12" s="106">
        <v>0.24000000000000002</v>
      </c>
      <c r="L12" s="106">
        <v>0.47000000000000003</v>
      </c>
      <c r="M12" s="106">
        <v>0.48</v>
      </c>
      <c r="N12" s="106">
        <v>0.49</v>
      </c>
      <c r="O12" s="106">
        <v>0.51</v>
      </c>
      <c r="P12" s="106">
        <v>0.52</v>
      </c>
      <c r="Q12" s="106">
        <v>0.53</v>
      </c>
      <c r="R12" s="106">
        <v>0.53</v>
      </c>
      <c r="S12" s="106">
        <v>0.53</v>
      </c>
      <c r="T12" s="106">
        <v>0.53</v>
      </c>
      <c r="U12" s="106">
        <v>0.53</v>
      </c>
      <c r="V12" s="106">
        <v>0.53</v>
      </c>
      <c r="W12" s="106">
        <v>0.53</v>
      </c>
      <c r="X12" s="106">
        <v>0.31</v>
      </c>
      <c r="Y12" s="106">
        <v>0.31</v>
      </c>
      <c r="Z12" s="106">
        <v>0.31</v>
      </c>
      <c r="AA12" s="106">
        <v>0.31</v>
      </c>
      <c r="AB12" s="106">
        <v>0.31</v>
      </c>
      <c r="AC12" s="106">
        <v>0.31</v>
      </c>
      <c r="AD12" s="106">
        <v>0.31</v>
      </c>
      <c r="AE12" s="106">
        <v>0.31</v>
      </c>
      <c r="AF12" s="106">
        <v>0.31</v>
      </c>
      <c r="AG12" s="106">
        <v>0.31</v>
      </c>
      <c r="AH12" s="106">
        <v>0.31</v>
      </c>
      <c r="AI12" s="106">
        <v>0.31</v>
      </c>
      <c r="AJ12" s="106">
        <v>0.31</v>
      </c>
      <c r="AK12" s="106">
        <v>0.31</v>
      </c>
      <c r="AL12" s="106">
        <v>0.31</v>
      </c>
      <c r="AM12" s="106">
        <v>0.31</v>
      </c>
      <c r="AN12" s="106">
        <v>0.31</v>
      </c>
    </row>
    <row r="13" spans="1:40" hidden="1" outlineLevel="1" x14ac:dyDescent="0.25">
      <c r="B13" s="39" t="str">
        <v>Trainer</v>
      </c>
      <c r="C13" s="3"/>
      <c r="D13" s="3"/>
      <c r="E13" s="106">
        <v>0</v>
      </c>
      <c r="F13" s="106">
        <v>0</v>
      </c>
      <c r="G13" s="106">
        <v>0</v>
      </c>
      <c r="H13" s="106">
        <v>0</v>
      </c>
      <c r="I13" s="106">
        <v>0</v>
      </c>
      <c r="J13" s="106">
        <v>0</v>
      </c>
      <c r="K13" s="106">
        <v>0.35000000000000003</v>
      </c>
      <c r="L13" s="106">
        <v>0.66</v>
      </c>
      <c r="M13" s="106">
        <v>0.67</v>
      </c>
      <c r="N13" s="106">
        <v>0.7</v>
      </c>
      <c r="O13" s="106">
        <v>0.73</v>
      </c>
      <c r="P13" s="106">
        <v>0.77</v>
      </c>
      <c r="Q13" s="106">
        <v>0.8</v>
      </c>
      <c r="R13" s="106">
        <v>0.81</v>
      </c>
      <c r="S13" s="106">
        <v>0.83</v>
      </c>
      <c r="T13" s="106">
        <v>0.84</v>
      </c>
      <c r="U13" s="106">
        <v>0.86</v>
      </c>
      <c r="V13" s="106">
        <v>0.88</v>
      </c>
      <c r="W13" s="106">
        <v>0.89</v>
      </c>
      <c r="X13" s="106">
        <v>0.62</v>
      </c>
      <c r="Y13" s="106">
        <v>0.62</v>
      </c>
      <c r="Z13" s="106">
        <v>0.62</v>
      </c>
      <c r="AA13" s="106">
        <v>0.62</v>
      </c>
      <c r="AB13" s="106">
        <v>0.62</v>
      </c>
      <c r="AC13" s="106">
        <v>0.62</v>
      </c>
      <c r="AD13" s="106">
        <v>0.62</v>
      </c>
      <c r="AE13" s="106">
        <v>0.62</v>
      </c>
      <c r="AF13" s="106">
        <v>0.62</v>
      </c>
      <c r="AG13" s="106">
        <v>0.62</v>
      </c>
      <c r="AH13" s="106">
        <v>0.62</v>
      </c>
      <c r="AI13" s="106">
        <v>0.62</v>
      </c>
      <c r="AJ13" s="106">
        <v>0.62</v>
      </c>
      <c r="AK13" s="106">
        <v>0.62</v>
      </c>
      <c r="AL13" s="106">
        <v>0.62</v>
      </c>
      <c r="AM13" s="106">
        <v>0.62</v>
      </c>
      <c r="AN13" s="106">
        <v>0.62</v>
      </c>
    </row>
    <row r="14" spans="1:40" hidden="1" outlineLevel="1" x14ac:dyDescent="0.25">
      <c r="B14" s="39" t="str">
        <v>Recruiter</v>
      </c>
      <c r="C14" s="3"/>
      <c r="D14" s="3"/>
      <c r="E14" s="106">
        <v>0</v>
      </c>
      <c r="F14" s="106">
        <v>0</v>
      </c>
      <c r="G14" s="106">
        <v>0</v>
      </c>
      <c r="H14" s="106">
        <v>0</v>
      </c>
      <c r="I14" s="106">
        <v>0</v>
      </c>
      <c r="J14" s="106">
        <v>0</v>
      </c>
      <c r="K14" s="106">
        <v>0.2</v>
      </c>
      <c r="L14" s="106">
        <v>0.36</v>
      </c>
      <c r="M14" s="106">
        <v>0.36</v>
      </c>
      <c r="N14" s="106">
        <v>0.38</v>
      </c>
      <c r="O14" s="106">
        <v>0.41000000000000003</v>
      </c>
      <c r="P14" s="106">
        <v>0.43</v>
      </c>
      <c r="Q14" s="106">
        <v>0.46</v>
      </c>
      <c r="R14" s="106">
        <v>0.47000000000000003</v>
      </c>
      <c r="S14" s="106">
        <v>0.49</v>
      </c>
      <c r="T14" s="106">
        <v>0.5</v>
      </c>
      <c r="U14" s="106">
        <v>0.52</v>
      </c>
      <c r="V14" s="106">
        <v>0.53</v>
      </c>
      <c r="W14" s="106">
        <v>0.55000000000000004</v>
      </c>
      <c r="X14" s="106">
        <v>0.42</v>
      </c>
      <c r="Y14" s="106">
        <v>0.42</v>
      </c>
      <c r="Z14" s="106">
        <v>0.42</v>
      </c>
      <c r="AA14" s="106">
        <v>0.42</v>
      </c>
      <c r="AB14" s="106">
        <v>0.42</v>
      </c>
      <c r="AC14" s="106">
        <v>0.42</v>
      </c>
      <c r="AD14" s="106">
        <v>0.42</v>
      </c>
      <c r="AE14" s="106">
        <v>0.42</v>
      </c>
      <c r="AF14" s="106">
        <v>0.42</v>
      </c>
      <c r="AG14" s="106">
        <v>0.42</v>
      </c>
      <c r="AH14" s="106">
        <v>0.42</v>
      </c>
      <c r="AI14" s="106">
        <v>0.42</v>
      </c>
      <c r="AJ14" s="106">
        <v>0.42</v>
      </c>
      <c r="AK14" s="106">
        <v>0.42</v>
      </c>
      <c r="AL14" s="106">
        <v>0.42</v>
      </c>
      <c r="AM14" s="106">
        <v>0.42</v>
      </c>
      <c r="AN14" s="106">
        <v>0.42</v>
      </c>
    </row>
    <row r="15" spans="1:40" hidden="1" outlineLevel="1" x14ac:dyDescent="0.25">
      <c r="B15" s="39" t="str">
        <v>Center Director / Remote Site Director</v>
      </c>
      <c r="C15" s="3"/>
      <c r="D15" s="3"/>
      <c r="E15" s="106">
        <v>0</v>
      </c>
      <c r="F15" s="106">
        <v>0</v>
      </c>
      <c r="G15" s="106">
        <v>0</v>
      </c>
      <c r="H15" s="106">
        <v>0</v>
      </c>
      <c r="I15" s="106">
        <v>0</v>
      </c>
      <c r="J15" s="106">
        <v>0</v>
      </c>
      <c r="K15" s="106">
        <v>0.04</v>
      </c>
      <c r="L15" s="106">
        <v>0.04</v>
      </c>
      <c r="M15" s="106">
        <v>0.04</v>
      </c>
      <c r="N15" s="106">
        <v>0.05</v>
      </c>
      <c r="O15" s="106">
        <v>6.0000000000000005E-2</v>
      </c>
      <c r="P15" s="106">
        <v>6.9999999999999993E-2</v>
      </c>
      <c r="Q15" s="106">
        <v>0.08</v>
      </c>
      <c r="R15" s="106">
        <v>0.09</v>
      </c>
      <c r="S15" s="106">
        <v>0.1</v>
      </c>
      <c r="T15" s="106">
        <v>0.12</v>
      </c>
      <c r="U15" s="106">
        <v>0.13</v>
      </c>
      <c r="V15" s="106">
        <v>0.14000000000000001</v>
      </c>
      <c r="W15" s="106">
        <v>0.15000000000000002</v>
      </c>
      <c r="X15" s="106">
        <v>0.16</v>
      </c>
      <c r="Y15" s="106">
        <v>0.16</v>
      </c>
      <c r="Z15" s="106">
        <v>0.16</v>
      </c>
      <c r="AA15" s="106">
        <v>0.16</v>
      </c>
      <c r="AB15" s="106">
        <v>0.16</v>
      </c>
      <c r="AC15" s="106">
        <v>0.16</v>
      </c>
      <c r="AD15" s="106">
        <v>0.16</v>
      </c>
      <c r="AE15" s="106">
        <v>0.16</v>
      </c>
      <c r="AF15" s="106">
        <v>0.16</v>
      </c>
      <c r="AG15" s="106">
        <v>0.16</v>
      </c>
      <c r="AH15" s="106">
        <v>0.16</v>
      </c>
      <c r="AI15" s="106">
        <v>0.16</v>
      </c>
      <c r="AJ15" s="106">
        <v>0.16</v>
      </c>
      <c r="AK15" s="106">
        <v>0.16</v>
      </c>
      <c r="AL15" s="106">
        <v>0.16</v>
      </c>
      <c r="AM15" s="106">
        <v>0.16</v>
      </c>
      <c r="AN15" s="106">
        <v>0.16</v>
      </c>
    </row>
    <row r="16" spans="1:40" hidden="1" outlineLevel="1" x14ac:dyDescent="0.25">
      <c r="B16" s="39" t="str">
        <v>Center Marketing Outreach</v>
      </c>
      <c r="C16" s="3"/>
      <c r="D16" s="3"/>
      <c r="E16" s="106">
        <v>0</v>
      </c>
      <c r="F16" s="106">
        <v>0</v>
      </c>
      <c r="G16" s="106">
        <v>0</v>
      </c>
      <c r="H16" s="106">
        <v>0</v>
      </c>
      <c r="I16" s="106">
        <v>0</v>
      </c>
      <c r="J16" s="106">
        <v>0</v>
      </c>
      <c r="K16" s="106">
        <v>0.04</v>
      </c>
      <c r="L16" s="106">
        <v>0.04</v>
      </c>
      <c r="M16" s="106">
        <v>0.04</v>
      </c>
      <c r="N16" s="106">
        <v>0.05</v>
      </c>
      <c r="O16" s="106">
        <v>6.0000000000000005E-2</v>
      </c>
      <c r="P16" s="106">
        <v>6.9999999999999993E-2</v>
      </c>
      <c r="Q16" s="106">
        <v>0.08</v>
      </c>
      <c r="R16" s="106">
        <v>0.09</v>
      </c>
      <c r="S16" s="106">
        <v>0.1</v>
      </c>
      <c r="T16" s="106">
        <v>0.12</v>
      </c>
      <c r="U16" s="106">
        <v>0.13</v>
      </c>
      <c r="V16" s="106">
        <v>0.14000000000000001</v>
      </c>
      <c r="W16" s="106">
        <v>0.15000000000000002</v>
      </c>
      <c r="X16" s="106">
        <v>0.16</v>
      </c>
      <c r="Y16" s="106">
        <v>0.16</v>
      </c>
      <c r="Z16" s="106">
        <v>0.16</v>
      </c>
      <c r="AA16" s="106">
        <v>0.16</v>
      </c>
      <c r="AB16" s="106">
        <v>0.16</v>
      </c>
      <c r="AC16" s="106">
        <v>0.16</v>
      </c>
      <c r="AD16" s="106">
        <v>0.16</v>
      </c>
      <c r="AE16" s="106">
        <v>0.16</v>
      </c>
      <c r="AF16" s="106">
        <v>0.16</v>
      </c>
      <c r="AG16" s="106">
        <v>0.16</v>
      </c>
      <c r="AH16" s="106">
        <v>0.16</v>
      </c>
      <c r="AI16" s="106">
        <v>0.16</v>
      </c>
      <c r="AJ16" s="106">
        <v>0.16</v>
      </c>
      <c r="AK16" s="106">
        <v>0.16</v>
      </c>
      <c r="AL16" s="106">
        <v>0.16</v>
      </c>
      <c r="AM16" s="106">
        <v>0.16</v>
      </c>
      <c r="AN16" s="106">
        <v>0.16</v>
      </c>
    </row>
    <row r="17" spans="2:50" hidden="1" outlineLevel="1" x14ac:dyDescent="0.25">
      <c r="B17" s="39" t="str">
        <v>Primary Direct Staff Lead</v>
      </c>
      <c r="C17" s="3"/>
      <c r="D17" s="3"/>
      <c r="E17" s="106">
        <v>0</v>
      </c>
      <c r="F17" s="106">
        <v>0</v>
      </c>
      <c r="G17" s="106">
        <v>0</v>
      </c>
      <c r="H17" s="106">
        <v>0</v>
      </c>
      <c r="I17" s="106">
        <v>0</v>
      </c>
      <c r="J17" s="106">
        <v>0</v>
      </c>
      <c r="K17" s="106">
        <v>0.9</v>
      </c>
      <c r="L17" s="106">
        <v>0.9</v>
      </c>
      <c r="M17" s="106">
        <v>0.9</v>
      </c>
      <c r="N17" s="106">
        <v>1.1000000000000001</v>
      </c>
      <c r="O17" s="106">
        <v>1.4</v>
      </c>
      <c r="P17" s="106">
        <v>1.7</v>
      </c>
      <c r="Q17" s="106">
        <v>2</v>
      </c>
      <c r="R17" s="106">
        <v>2.2000000000000002</v>
      </c>
      <c r="S17" s="106">
        <v>2.5</v>
      </c>
      <c r="T17" s="106">
        <v>2.8</v>
      </c>
      <c r="U17" s="106">
        <v>3.1</v>
      </c>
      <c r="V17" s="106">
        <v>3.4</v>
      </c>
      <c r="W17" s="106">
        <v>3.7</v>
      </c>
      <c r="X17" s="106">
        <v>4</v>
      </c>
      <c r="Y17" s="106">
        <v>4</v>
      </c>
      <c r="Z17" s="106">
        <v>4</v>
      </c>
      <c r="AA17" s="106">
        <v>4</v>
      </c>
      <c r="AB17" s="106">
        <v>4</v>
      </c>
      <c r="AC17" s="106">
        <v>4</v>
      </c>
      <c r="AD17" s="106">
        <v>4</v>
      </c>
      <c r="AE17" s="106">
        <v>4</v>
      </c>
      <c r="AF17" s="106">
        <v>4</v>
      </c>
      <c r="AG17" s="106">
        <v>4</v>
      </c>
      <c r="AH17" s="106">
        <v>4</v>
      </c>
      <c r="AI17" s="106">
        <v>4</v>
      </c>
      <c r="AJ17" s="106">
        <v>4</v>
      </c>
      <c r="AK17" s="106">
        <v>4</v>
      </c>
      <c r="AL17" s="106">
        <v>4</v>
      </c>
      <c r="AM17" s="106">
        <v>4</v>
      </c>
      <c r="AN17" s="106">
        <v>4</v>
      </c>
    </row>
    <row r="18" spans="2:50" hidden="1" outlineLevel="1" x14ac:dyDescent="0.25">
      <c r="B18" s="39" t="str">
        <v>Tertiary Direct Staff</v>
      </c>
      <c r="C18" s="3"/>
      <c r="D18" s="3"/>
      <c r="E18" s="106">
        <v>0</v>
      </c>
      <c r="F18" s="106">
        <v>0</v>
      </c>
      <c r="G18" s="106">
        <v>0</v>
      </c>
      <c r="H18" s="106">
        <v>0</v>
      </c>
      <c r="I18" s="106">
        <v>0</v>
      </c>
      <c r="J18" s="106">
        <v>0</v>
      </c>
      <c r="K18" s="106">
        <v>0</v>
      </c>
      <c r="L18" s="106">
        <v>0</v>
      </c>
      <c r="M18" s="106">
        <v>0</v>
      </c>
      <c r="N18" s="106">
        <v>0</v>
      </c>
      <c r="O18" s="106">
        <v>0</v>
      </c>
      <c r="P18" s="106">
        <v>0</v>
      </c>
      <c r="Q18" s="106">
        <v>0</v>
      </c>
      <c r="R18" s="106">
        <v>0</v>
      </c>
      <c r="S18" s="106">
        <v>0</v>
      </c>
      <c r="T18" s="106">
        <v>0</v>
      </c>
      <c r="U18" s="106">
        <v>0</v>
      </c>
      <c r="V18" s="106">
        <v>0</v>
      </c>
      <c r="W18" s="106">
        <v>0</v>
      </c>
      <c r="X18" s="106">
        <v>0</v>
      </c>
      <c r="Y18" s="106">
        <v>0</v>
      </c>
      <c r="Z18" s="106">
        <v>0</v>
      </c>
      <c r="AA18" s="106">
        <v>0</v>
      </c>
      <c r="AB18" s="106">
        <v>0</v>
      </c>
      <c r="AC18" s="106">
        <v>0</v>
      </c>
      <c r="AD18" s="106">
        <v>0</v>
      </c>
      <c r="AE18" s="106">
        <v>0</v>
      </c>
      <c r="AF18" s="106">
        <v>0</v>
      </c>
      <c r="AG18" s="106">
        <v>0</v>
      </c>
      <c r="AH18" s="106">
        <v>0</v>
      </c>
      <c r="AI18" s="106">
        <v>0</v>
      </c>
      <c r="AJ18" s="106">
        <v>0</v>
      </c>
      <c r="AK18" s="106">
        <v>0</v>
      </c>
      <c r="AL18" s="106">
        <v>0</v>
      </c>
      <c r="AM18" s="106">
        <v>0</v>
      </c>
      <c r="AN18" s="106">
        <v>0</v>
      </c>
    </row>
    <row r="19" spans="2:50" hidden="1" outlineLevel="1" x14ac:dyDescent="0.25">
      <c r="B19" s="39" t="str">
        <v>Quinary Direct Staff</v>
      </c>
      <c r="C19" s="3"/>
      <c r="D19" s="3"/>
      <c r="E19" s="106">
        <v>0</v>
      </c>
      <c r="F19" s="106">
        <v>0</v>
      </c>
      <c r="G19" s="106">
        <v>0</v>
      </c>
      <c r="H19" s="106">
        <v>0</v>
      </c>
      <c r="I19" s="106">
        <v>0</v>
      </c>
      <c r="J19" s="106">
        <v>0</v>
      </c>
      <c r="K19" s="106">
        <v>0</v>
      </c>
      <c r="L19" s="106">
        <v>0</v>
      </c>
      <c r="M19" s="106">
        <v>0</v>
      </c>
      <c r="N19" s="106">
        <v>0</v>
      </c>
      <c r="O19" s="106">
        <v>0</v>
      </c>
      <c r="P19" s="106">
        <v>0</v>
      </c>
      <c r="Q19" s="106">
        <v>0</v>
      </c>
      <c r="R19" s="106">
        <v>0</v>
      </c>
      <c r="S19" s="106">
        <v>0</v>
      </c>
      <c r="T19" s="106">
        <v>0</v>
      </c>
      <c r="U19" s="106">
        <v>0</v>
      </c>
      <c r="V19" s="106">
        <v>0</v>
      </c>
      <c r="W19" s="106">
        <v>0</v>
      </c>
      <c r="X19" s="106">
        <v>0</v>
      </c>
      <c r="Y19" s="106">
        <v>0</v>
      </c>
      <c r="Z19" s="106">
        <v>0</v>
      </c>
      <c r="AA19" s="106">
        <v>0</v>
      </c>
      <c r="AB19" s="106">
        <v>0</v>
      </c>
      <c r="AC19" s="106">
        <v>0</v>
      </c>
      <c r="AD19" s="106">
        <v>0</v>
      </c>
      <c r="AE19" s="106">
        <v>0</v>
      </c>
      <c r="AF19" s="106">
        <v>0</v>
      </c>
      <c r="AG19" s="106">
        <v>0</v>
      </c>
      <c r="AH19" s="106">
        <v>0</v>
      </c>
      <c r="AI19" s="106">
        <v>0</v>
      </c>
      <c r="AJ19" s="106">
        <v>0</v>
      </c>
      <c r="AK19" s="106">
        <v>0</v>
      </c>
      <c r="AL19" s="106">
        <v>0</v>
      </c>
      <c r="AM19" s="106">
        <v>0</v>
      </c>
      <c r="AN19" s="106">
        <v>0</v>
      </c>
    </row>
    <row r="20" spans="2:50" hidden="1" outlineLevel="1" x14ac:dyDescent="0.25">
      <c r="B20" s="39" t="str">
        <v>Quaternary Direct Staff</v>
      </c>
      <c r="C20" s="3"/>
      <c r="D20" s="3"/>
      <c r="E20" s="106">
        <v>0</v>
      </c>
      <c r="F20" s="106">
        <v>0</v>
      </c>
      <c r="G20" s="106">
        <v>0</v>
      </c>
      <c r="H20" s="106">
        <v>0</v>
      </c>
      <c r="I20" s="106">
        <v>0</v>
      </c>
      <c r="J20" s="106">
        <v>0</v>
      </c>
      <c r="K20" s="106">
        <v>1</v>
      </c>
      <c r="L20" s="106">
        <v>1</v>
      </c>
      <c r="M20" s="106">
        <v>1</v>
      </c>
      <c r="N20" s="106">
        <v>1</v>
      </c>
      <c r="O20" s="106">
        <v>1</v>
      </c>
      <c r="P20" s="106">
        <v>1</v>
      </c>
      <c r="Q20" s="106">
        <v>1</v>
      </c>
      <c r="R20" s="106">
        <v>1</v>
      </c>
      <c r="S20" s="106">
        <v>1</v>
      </c>
      <c r="T20" s="106">
        <v>1</v>
      </c>
      <c r="U20" s="106">
        <v>1</v>
      </c>
      <c r="V20" s="106">
        <v>1</v>
      </c>
      <c r="W20" s="106">
        <v>1</v>
      </c>
      <c r="X20" s="106">
        <v>1</v>
      </c>
      <c r="Y20" s="106">
        <v>1</v>
      </c>
      <c r="Z20" s="106">
        <v>1</v>
      </c>
      <c r="AA20" s="106">
        <v>1</v>
      </c>
      <c r="AB20" s="106">
        <v>1</v>
      </c>
      <c r="AC20" s="106">
        <v>1</v>
      </c>
      <c r="AD20" s="106">
        <v>1</v>
      </c>
      <c r="AE20" s="106">
        <v>1</v>
      </c>
      <c r="AF20" s="106">
        <v>1</v>
      </c>
      <c r="AG20" s="106">
        <v>1</v>
      </c>
      <c r="AH20" s="106">
        <v>1</v>
      </c>
      <c r="AI20" s="106">
        <v>1</v>
      </c>
      <c r="AJ20" s="106">
        <v>1</v>
      </c>
      <c r="AK20" s="106">
        <v>1</v>
      </c>
      <c r="AL20" s="106">
        <v>1</v>
      </c>
      <c r="AM20" s="106">
        <v>1</v>
      </c>
      <c r="AN20" s="106">
        <v>1</v>
      </c>
    </row>
    <row r="21" spans="2:50" collapsed="1" x14ac:dyDescent="0.25">
      <c r="B21" s="39" t="s">
        <v>389</v>
      </c>
      <c r="C21" s="3"/>
      <c r="D21" s="5"/>
      <c r="E21" s="117" cm="1">
        <f t="array" ref="E21:AN21">ROUND(_xlfn.BYCOL(_xlfn.CHOOSEROWS(_xlfn.ANCHORARRAY(E7),1,2),_xlfn.LAMBDA(_xlpm.col,SUM(_xlpm.col))),0)</f>
        <v>0</v>
      </c>
      <c r="F21" s="117">
        <v>0</v>
      </c>
      <c r="G21" s="117">
        <v>0</v>
      </c>
      <c r="H21" s="117">
        <v>0</v>
      </c>
      <c r="I21" s="117">
        <v>0</v>
      </c>
      <c r="J21" s="117">
        <v>0</v>
      </c>
      <c r="K21" s="117">
        <v>10</v>
      </c>
      <c r="L21" s="117">
        <v>10</v>
      </c>
      <c r="M21" s="117">
        <v>10</v>
      </c>
      <c r="N21" s="117">
        <v>12</v>
      </c>
      <c r="O21" s="117">
        <v>15</v>
      </c>
      <c r="P21" s="117">
        <v>18</v>
      </c>
      <c r="Q21" s="117">
        <v>22</v>
      </c>
      <c r="R21" s="117">
        <v>24</v>
      </c>
      <c r="S21" s="117">
        <v>27</v>
      </c>
      <c r="T21" s="117">
        <v>30</v>
      </c>
      <c r="U21" s="117">
        <v>34</v>
      </c>
      <c r="V21" s="117">
        <v>37</v>
      </c>
      <c r="W21" s="117">
        <v>40</v>
      </c>
      <c r="X21" s="117">
        <v>43</v>
      </c>
      <c r="Y21" s="117">
        <v>43</v>
      </c>
      <c r="Z21" s="117">
        <v>43</v>
      </c>
      <c r="AA21" s="117">
        <v>43</v>
      </c>
      <c r="AB21" s="117">
        <v>43</v>
      </c>
      <c r="AC21" s="117">
        <v>43</v>
      </c>
      <c r="AD21" s="117">
        <v>43</v>
      </c>
      <c r="AE21" s="117">
        <v>43</v>
      </c>
      <c r="AF21" s="117">
        <v>43</v>
      </c>
      <c r="AG21" s="117">
        <v>43</v>
      </c>
      <c r="AH21" s="117">
        <v>43</v>
      </c>
      <c r="AI21" s="117">
        <v>43</v>
      </c>
      <c r="AJ21" s="117">
        <v>43</v>
      </c>
      <c r="AK21" s="117">
        <v>43</v>
      </c>
      <c r="AL21" s="117">
        <v>43</v>
      </c>
      <c r="AM21" s="117">
        <v>43</v>
      </c>
      <c r="AN21" s="117">
        <v>43</v>
      </c>
    </row>
    <row r="22" spans="2:50" x14ac:dyDescent="0.25">
      <c r="B22" s="2" t="s">
        <v>394</v>
      </c>
      <c r="C22" s="3"/>
      <c r="D22" s="77">
        <f>MAX(_xlfn.ANCHORARRAY(E22))</f>
        <v>96.086438027932985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0</v>
      </c>
      <c r="F22" s="78">
        <v>0</v>
      </c>
      <c r="G22" s="78">
        <v>0</v>
      </c>
      <c r="H22" s="78">
        <v>0</v>
      </c>
      <c r="I22" s="78">
        <v>0</v>
      </c>
      <c r="J22" s="78">
        <v>0</v>
      </c>
      <c r="K22" s="78">
        <v>93.287803910614542</v>
      </c>
      <c r="L22" s="78">
        <v>93.287803910614542</v>
      </c>
      <c r="M22" s="78">
        <v>93.287803910614542</v>
      </c>
      <c r="N22" s="78">
        <v>93.287803910614556</v>
      </c>
      <c r="O22" s="78">
        <v>93.287803910614571</v>
      </c>
      <c r="P22" s="78">
        <v>93.287803910614556</v>
      </c>
      <c r="Q22" s="78">
        <v>96.086438027932985</v>
      </c>
      <c r="R22" s="78">
        <v>96.086438027932985</v>
      </c>
      <c r="S22" s="78">
        <v>96.086438027932985</v>
      </c>
      <c r="T22" s="78">
        <v>96.086438027932985</v>
      </c>
      <c r="U22" s="78">
        <v>96.086438027932985</v>
      </c>
      <c r="V22" s="78">
        <v>96.086438027932985</v>
      </c>
      <c r="W22" s="78">
        <v>96.086438027932985</v>
      </c>
      <c r="X22" s="78">
        <v>96.086438027932985</v>
      </c>
      <c r="Y22" s="78">
        <v>96.086438027932985</v>
      </c>
      <c r="Z22" s="78">
        <v>96.086438027932985</v>
      </c>
      <c r="AA22" s="78">
        <v>96.086438027932985</v>
      </c>
      <c r="AB22" s="78">
        <v>96.086438027932985</v>
      </c>
      <c r="AC22" s="78">
        <v>96.086438027932985</v>
      </c>
      <c r="AD22" s="78">
        <v>96.086438027932985</v>
      </c>
      <c r="AE22" s="78">
        <v>96.086438027932985</v>
      </c>
      <c r="AF22" s="78">
        <v>96.086438027932985</v>
      </c>
      <c r="AG22" s="78">
        <v>96.086438027932985</v>
      </c>
      <c r="AH22" s="78">
        <v>96.086438027932985</v>
      </c>
      <c r="AI22" s="78">
        <v>96.086438027932985</v>
      </c>
      <c r="AJ22" s="78">
        <v>96.086438027932985</v>
      </c>
      <c r="AK22" s="78">
        <v>96.086438027932985</v>
      </c>
      <c r="AL22" s="78">
        <v>96.086438027932985</v>
      </c>
      <c r="AM22" s="78">
        <v>96.086438027932985</v>
      </c>
      <c r="AN22" s="78">
        <v>96.086438027932985</v>
      </c>
    </row>
    <row r="23" spans="2:50" x14ac:dyDescent="0.25">
      <c r="B23" s="2" t="s">
        <v>53</v>
      </c>
      <c r="C23" s="3"/>
      <c r="D23" s="72"/>
      <c r="E23" s="52" cm="1">
        <f t="array" ref="E23:AN23">_xlfn.LET(_xlpm.site,$B$1&amp;"-"&amp;$C$1,_xlpm.locations,Base!$D$4:$BD$4,_xlpm.Customer,_xlfn.ANCHORARRAY(E1),_xlpm.hours,SUM(_xlfn.XLOOKUP(_xlpm.site,_xlpm.locations,Base!$D$74:$BD$78,0,0)),
_xlpm.collection,1-_xlfn.XLOOKUP(_xlpm.site,_xlpm.locations,Base!$D$26:$BD$26,0,0),
_xlpm.Customer*_xlpm.hours*_xlpm.collection*(52/12))</f>
        <v>0</v>
      </c>
      <c r="F23" s="52">
        <v>0</v>
      </c>
      <c r="G23" s="52">
        <v>0</v>
      </c>
      <c r="H23" s="52">
        <v>0</v>
      </c>
      <c r="I23" s="52">
        <v>0</v>
      </c>
      <c r="J23" s="52">
        <v>0</v>
      </c>
      <c r="K23" s="52">
        <v>945.11999999999989</v>
      </c>
      <c r="L23" s="52">
        <v>945.11999999999989</v>
      </c>
      <c r="M23" s="52">
        <v>945.11999999999989</v>
      </c>
      <c r="N23" s="52">
        <v>1155.1466666666665</v>
      </c>
      <c r="O23" s="52">
        <v>1470.1866666666665</v>
      </c>
      <c r="P23" s="52">
        <v>1785.2266666666665</v>
      </c>
      <c r="Q23" s="52">
        <v>2100.2666666666664</v>
      </c>
      <c r="R23" s="52">
        <v>2310.2933333333331</v>
      </c>
      <c r="S23" s="52">
        <v>2625.333333333333</v>
      </c>
      <c r="T23" s="52">
        <v>2940.373333333333</v>
      </c>
      <c r="U23" s="52">
        <v>3255.413333333333</v>
      </c>
      <c r="V23" s="52">
        <v>3570.4533333333329</v>
      </c>
      <c r="W23" s="52">
        <v>3885.4933333333329</v>
      </c>
      <c r="X23" s="52">
        <v>4200.5333333333328</v>
      </c>
      <c r="Y23" s="52">
        <v>4200.5333333333328</v>
      </c>
      <c r="Z23" s="52">
        <v>4200.5333333333328</v>
      </c>
      <c r="AA23" s="52">
        <v>4200.5333333333328</v>
      </c>
      <c r="AB23" s="52">
        <v>4200.5333333333328</v>
      </c>
      <c r="AC23" s="52">
        <v>4200.5333333333328</v>
      </c>
      <c r="AD23" s="52">
        <v>4200.5333333333328</v>
      </c>
      <c r="AE23" s="52">
        <v>4200.5333333333328</v>
      </c>
      <c r="AF23" s="52">
        <v>4200.5333333333328</v>
      </c>
      <c r="AG23" s="52">
        <v>4200.5333333333328</v>
      </c>
      <c r="AH23" s="52">
        <v>4200.5333333333328</v>
      </c>
      <c r="AI23" s="52">
        <v>4200.5333333333328</v>
      </c>
      <c r="AJ23" s="52">
        <v>4200.5333333333328</v>
      </c>
      <c r="AK23" s="52">
        <v>4200.5333333333328</v>
      </c>
      <c r="AL23" s="52">
        <v>4200.5333333333328</v>
      </c>
      <c r="AM23" s="52">
        <v>4200.5333333333328</v>
      </c>
      <c r="AN23" s="52">
        <v>4200.5333333333328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21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_xlfn.LET(_xlpm.site,$B$1&amp;"-"&amp;$C$1,_xlpm.locations,Base!$D$4:$BD$4,_xlpm.rates,Base!$D31:$BD31,_xlpm.hours,Base!$D74:$BD74,_xlpm.comp,_xlpm.rates*_xlpm.hours,_xlpm.Customer,_xlfn.ANCHORARRAY($E$1),
_xlpm.Customer_comp,_xlfn.XLOOKUP(_xlpm.site,_xlpm.locations,_xlpm.comp,0,0),_xlpm.ann_incr,_xlfn.XLOOKUP(YEAR(_xlfn.ANCHORARRAY($E$25)),Base!$BJ$4:$BL$4,Base!$BJ74:$BL74,0,0),
_xlpm.bad_debt,_xlfn.XLOOKUP(_xlpm.site,_xlpm.locations,Base!$D$28:$BD$28,0,0),_xlpm.Customer_comp*_xlpm.Customer*_xlpm.bad_debt*_xlpm.ann_incr*(52/12))</f>
        <v>0</v>
      </c>
      <c r="F26" s="12">
        <v>0</v>
      </c>
      <c r="G26" s="12">
        <v>0</v>
      </c>
      <c r="H26" s="12">
        <v>0</v>
      </c>
      <c r="I26" s="12">
        <v>0</v>
      </c>
      <c r="J26" s="12">
        <v>0</v>
      </c>
      <c r="K26" s="12">
        <v>68337.568727999998</v>
      </c>
      <c r="L26" s="12">
        <v>68337.568727999998</v>
      </c>
      <c r="M26" s="12">
        <v>68337.568727999998</v>
      </c>
      <c r="N26" s="12">
        <v>83523.695112000001</v>
      </c>
      <c r="O26" s="12">
        <v>106302.88468800001</v>
      </c>
      <c r="P26" s="12">
        <v>129082.07426400001</v>
      </c>
      <c r="Q26" s="12">
        <v>156417.10175520001</v>
      </c>
      <c r="R26" s="12">
        <v>172058.81193072</v>
      </c>
      <c r="S26" s="12">
        <v>195521.377194</v>
      </c>
      <c r="T26" s="12">
        <v>218983.94245728001</v>
      </c>
      <c r="U26" s="12">
        <v>242446.50772056004</v>
      </c>
      <c r="V26" s="12">
        <v>265909.07298384001</v>
      </c>
      <c r="W26" s="12">
        <v>289371.63824712002</v>
      </c>
      <c r="X26" s="12">
        <v>312834.20351040002</v>
      </c>
      <c r="Y26" s="12">
        <v>312834.20351040002</v>
      </c>
      <c r="Z26" s="12">
        <v>312834.20351040002</v>
      </c>
      <c r="AA26" s="12">
        <v>312834.20351040002</v>
      </c>
      <c r="AB26" s="12">
        <v>312834.20351040002</v>
      </c>
      <c r="AC26" s="12">
        <v>312834.20351040002</v>
      </c>
      <c r="AD26" s="12">
        <v>312834.20351040002</v>
      </c>
      <c r="AE26" s="12">
        <v>312834.20351040002</v>
      </c>
      <c r="AF26" s="12">
        <v>312834.20351040002</v>
      </c>
      <c r="AG26" s="12">
        <v>312834.20351040002</v>
      </c>
      <c r="AH26" s="12">
        <v>312834.20351040002</v>
      </c>
      <c r="AI26" s="12">
        <v>312834.20351040002</v>
      </c>
      <c r="AJ26" s="12">
        <v>312834.20351040002</v>
      </c>
      <c r="AK26" s="12">
        <v>312834.20351040002</v>
      </c>
      <c r="AL26" s="12">
        <v>312834.20351040002</v>
      </c>
      <c r="AM26" s="12">
        <v>312834.20351040002</v>
      </c>
      <c r="AN26" s="12">
        <v>312834.20351040002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_xlfn.LET(_xlpm.site,$B$1&amp;"-"&amp;$C$1,_xlpm.locations,Base!$D$4:$BD$4,_xlpm.rates,Base!$D32:$BD32,_xlpm.hours,Base!$D75:$BD75,_xlpm.comp,_xlpm.rates*_xlpm.hours,_xlpm.Customer,_xlfn.ANCHORARRAY($E$1),
_xlpm.Customer_comp,_xlfn.XLOOKUP(_xlpm.site,_xlpm.locations,_xlpm.comp,0,0),_xlpm.ann_incr,_xlfn.XLOOKUP(YEAR(_xlfn.ANCHORARRAY($E$25)),Base!$BJ$4:$BL$4,Base!$BJ75:$BL75,0,0),
_xlpm.bad_debt,_xlfn.XLOOKUP(_xlpm.site,_xlpm.locations,Base!$D$28:$BD$28,0,0),_xlpm.Customer_comp*_xlpm.Customer*_xlpm.bad_debt*_xlpm.ann_incr*(52/12))</f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4511.1156479999991</v>
      </c>
      <c r="L27" s="12">
        <v>4511.1156479999991</v>
      </c>
      <c r="M27" s="12">
        <v>4511.1156479999991</v>
      </c>
      <c r="N27" s="12">
        <v>5513.5857919999989</v>
      </c>
      <c r="O27" s="12">
        <v>7017.2910079999992</v>
      </c>
      <c r="P27" s="12">
        <v>8520.9962239999986</v>
      </c>
      <c r="Q27" s="12">
        <v>10325.442483199997</v>
      </c>
      <c r="R27" s="12">
        <v>11357.986731519999</v>
      </c>
      <c r="S27" s="12">
        <v>12906.803103999997</v>
      </c>
      <c r="T27" s="12">
        <v>14455.619476479998</v>
      </c>
      <c r="U27" s="12">
        <v>16004.435848959998</v>
      </c>
      <c r="V27" s="12">
        <v>17553.252221439998</v>
      </c>
      <c r="W27" s="12">
        <v>19102.068593919998</v>
      </c>
      <c r="X27" s="12">
        <v>20650.884966399994</v>
      </c>
      <c r="Y27" s="12">
        <v>20650.884966399994</v>
      </c>
      <c r="Z27" s="12">
        <v>20650.884966399994</v>
      </c>
      <c r="AA27" s="12">
        <v>20650.884966399994</v>
      </c>
      <c r="AB27" s="12">
        <v>20650.884966399994</v>
      </c>
      <c r="AC27" s="12">
        <v>20650.884966399994</v>
      </c>
      <c r="AD27" s="12">
        <v>20650.884966399994</v>
      </c>
      <c r="AE27" s="12">
        <v>20650.884966399994</v>
      </c>
      <c r="AF27" s="12">
        <v>20650.884966399994</v>
      </c>
      <c r="AG27" s="12">
        <v>20650.884966399994</v>
      </c>
      <c r="AH27" s="12">
        <v>20650.884966399994</v>
      </c>
      <c r="AI27" s="12">
        <v>20650.884966399994</v>
      </c>
      <c r="AJ27" s="12">
        <v>20650.884966399994</v>
      </c>
      <c r="AK27" s="12">
        <v>20650.884966399994</v>
      </c>
      <c r="AL27" s="12">
        <v>20650.884966399994</v>
      </c>
      <c r="AM27" s="12">
        <v>20650.884966399994</v>
      </c>
      <c r="AN27" s="12">
        <v>20650.884966399994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_xlfn.LET(_xlpm.site,$B$1&amp;"-"&amp;$C$1,_xlpm.locations,Base!$D$4:$BD$4,_xlpm.rates,Base!$D33:$BD33,_xlpm.hours,Base!$D76:$BD76,_xlpm.comp,_xlpm.rates*_xlpm.hours,_xlpm.Customer,_xlfn.ANCHORARRAY($E$1),
_xlpm.Customer_comp,_xlfn.XLOOKUP(_xlpm.site,_xlpm.locations,_xlpm.comp,0,0),_xlpm.ann_incr,_xlfn.XLOOKUP(YEAR(_xlfn.ANCHORARRAY($E$25)),Base!$BJ$4:$BL$4,Base!$BJ76:$BL76,0,0),
_xlpm.bad_debt,_xlfn.XLOOKUP(_xlpm.site,_xlpm.locations,Base!$D$28:$BD$28,0,0),_xlpm.Customer_comp*_xlpm.Customer*_xlpm.bad_debt*_xlpm.ann_incr*(52/12))</f>
        <v>0</v>
      </c>
      <c r="F28" s="12">
        <v>0</v>
      </c>
      <c r="G28" s="12">
        <v>0</v>
      </c>
      <c r="H28" s="12">
        <v>0</v>
      </c>
      <c r="I28" s="12">
        <v>0</v>
      </c>
      <c r="J28" s="12">
        <v>0</v>
      </c>
      <c r="K28" s="12">
        <v>18637.518743999997</v>
      </c>
      <c r="L28" s="12">
        <v>18637.518743999997</v>
      </c>
      <c r="M28" s="12">
        <v>18637.518743999997</v>
      </c>
      <c r="N28" s="12">
        <v>22779.189576000001</v>
      </c>
      <c r="O28" s="12">
        <v>28991.695824000002</v>
      </c>
      <c r="P28" s="12">
        <v>35204.202072</v>
      </c>
      <c r="Q28" s="12">
        <v>42659.209569599996</v>
      </c>
      <c r="R28" s="12">
        <v>46925.130526560009</v>
      </c>
      <c r="S28" s="12">
        <v>53324.011961999997</v>
      </c>
      <c r="T28" s="12">
        <v>59722.893397439999</v>
      </c>
      <c r="U28" s="12">
        <v>66121.774832879993</v>
      </c>
      <c r="V28" s="12">
        <v>72520.656268319988</v>
      </c>
      <c r="W28" s="12">
        <v>78919.537703759997</v>
      </c>
      <c r="X28" s="12">
        <v>85318.419139199992</v>
      </c>
      <c r="Y28" s="12">
        <v>85318.419139199992</v>
      </c>
      <c r="Z28" s="12">
        <v>85318.419139199992</v>
      </c>
      <c r="AA28" s="12">
        <v>85318.419139199992</v>
      </c>
      <c r="AB28" s="12">
        <v>85318.419139199992</v>
      </c>
      <c r="AC28" s="12">
        <v>85318.419139199992</v>
      </c>
      <c r="AD28" s="12">
        <v>85318.419139199992</v>
      </c>
      <c r="AE28" s="12">
        <v>85318.419139199992</v>
      </c>
      <c r="AF28" s="12">
        <v>85318.419139199992</v>
      </c>
      <c r="AG28" s="12">
        <v>85318.419139199992</v>
      </c>
      <c r="AH28" s="12">
        <v>85318.419139199992</v>
      </c>
      <c r="AI28" s="12">
        <v>85318.419139199992</v>
      </c>
      <c r="AJ28" s="12">
        <v>85318.419139199992</v>
      </c>
      <c r="AK28" s="12">
        <v>85318.419139199992</v>
      </c>
      <c r="AL28" s="12">
        <v>85318.419139199992</v>
      </c>
      <c r="AM28" s="12">
        <v>85318.419139199992</v>
      </c>
      <c r="AN28" s="12">
        <v>85318.419139199992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_xlfn.LET(_xlpm.site,$B$1&amp;"-"&amp;$C$1,_xlpm.locations,Base!$D$4:$BD$4,_xlpm.rates,Base!$D34:$BD34,_xlpm.hours,Base!$D77:$BD77,_xlpm.comp,_xlpm.rates*_xlpm.hours,_xlpm.Customer,_xlfn.ANCHORARRAY($E$1),
_xlpm.Customer_comp,_xlfn.XLOOKUP(_xlpm.site,_xlpm.locations,_xlpm.comp,0,0),_xlpm.ann_incr,_xlfn.XLOOKUP(YEAR(_xlfn.ANCHORARRAY($E$25)),Base!$BJ$4:$BL$4,Base!$BJ77:$BL77,0,0),
_xlpm.bad_debt,_xlfn.XLOOKUP(_xlpm.site,_xlpm.locations,Base!$D$28:$BD$28,0,0),_xlpm.Customer_comp*_xlpm.Customer*_xlpm.bad_debt*_xlpm.ann_incr*(52/12))</f>
        <v>0</v>
      </c>
      <c r="F29" s="12">
        <v>0</v>
      </c>
      <c r="G29" s="12">
        <v>0</v>
      </c>
      <c r="H29" s="12">
        <v>0</v>
      </c>
      <c r="I29" s="12">
        <v>0</v>
      </c>
      <c r="J29" s="12">
        <v>0</v>
      </c>
      <c r="K29" s="12">
        <v>781.89181199999996</v>
      </c>
      <c r="L29" s="12">
        <v>781.89181199999996</v>
      </c>
      <c r="M29" s="12">
        <v>781.89181199999996</v>
      </c>
      <c r="N29" s="12">
        <v>955.64554799999996</v>
      </c>
      <c r="O29" s="12">
        <v>1216.2761520000001</v>
      </c>
      <c r="P29" s="12">
        <v>1476.9067559999999</v>
      </c>
      <c r="Q29" s="12">
        <v>1789.6634808000003</v>
      </c>
      <c r="R29" s="12">
        <v>1968.6298288799999</v>
      </c>
      <c r="S29" s="12">
        <v>2237.0793509999999</v>
      </c>
      <c r="T29" s="12">
        <v>2505.5288731199998</v>
      </c>
      <c r="U29" s="12">
        <v>2773.9783952399998</v>
      </c>
      <c r="V29" s="12">
        <v>3042.4279173599998</v>
      </c>
      <c r="W29" s="12">
        <v>3310.8774394799998</v>
      </c>
      <c r="X29" s="12">
        <v>3579.3269616000007</v>
      </c>
      <c r="Y29" s="12">
        <v>3579.3269616000007</v>
      </c>
      <c r="Z29" s="12">
        <v>3579.3269616000007</v>
      </c>
      <c r="AA29" s="12">
        <v>3579.3269616000007</v>
      </c>
      <c r="AB29" s="12">
        <v>3579.3269616000007</v>
      </c>
      <c r="AC29" s="12">
        <v>3579.3269616000007</v>
      </c>
      <c r="AD29" s="12">
        <v>3579.3269616000007</v>
      </c>
      <c r="AE29" s="12">
        <v>3579.3269616000007</v>
      </c>
      <c r="AF29" s="12">
        <v>3579.3269616000007</v>
      </c>
      <c r="AG29" s="12">
        <v>3579.3269616000007</v>
      </c>
      <c r="AH29" s="12">
        <v>3579.3269616000007</v>
      </c>
      <c r="AI29" s="12">
        <v>3579.3269616000007</v>
      </c>
      <c r="AJ29" s="12">
        <v>3579.3269616000007</v>
      </c>
      <c r="AK29" s="12">
        <v>3579.3269616000007</v>
      </c>
      <c r="AL29" s="12">
        <v>3579.3269616000007</v>
      </c>
      <c r="AM29" s="12">
        <v>3579.3269616000007</v>
      </c>
      <c r="AN29" s="12">
        <v>3579.3269616000007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_xlfn.LET(_xlpm.site,$B$1&amp;"-"&amp;$C$1,_xlpm.locations,Base!$D$4:$BD$4,_xlpm.rates,Base!$D35:$BD35,_xlpm.hours,Base!$D78:$BD78,_xlpm.comp,_xlpm.rates*_xlpm.hours,_xlpm.Customer,_xlfn.ANCHORARRAY($E$1),
_xlpm.Customer_comp,_xlfn.XLOOKUP(_xlpm.site,_xlpm.locations,_xlpm.comp,0,0),_xlpm.ann_incr,_xlfn.XLOOKUP(YEAR(_xlfn.ANCHORARRAY($E$25)),Base!$BJ$4:$BL$4,Base!$BJ78:$BL78,0,0),
_xlpm.bad_debt,_xlfn.XLOOKUP(_xlpm.site,_xlpm.locations,Base!$D$28:$BD$28,0,0),_xlpm.Customer_comp*_xlpm.Customer*_xlpm.bad_debt*_xlpm.ann_incr*(52/12))</f>
        <v>0</v>
      </c>
      <c r="F30" s="12">
        <v>0</v>
      </c>
      <c r="G30" s="12">
        <v>0</v>
      </c>
      <c r="H30" s="12">
        <v>0</v>
      </c>
      <c r="I30" s="12">
        <v>0</v>
      </c>
      <c r="J30" s="12">
        <v>0</v>
      </c>
      <c r="K30" s="12">
        <v>1911.5403840000001</v>
      </c>
      <c r="L30" s="12">
        <v>1911.5403840000001</v>
      </c>
      <c r="M30" s="12">
        <v>1911.5403840000001</v>
      </c>
      <c r="N30" s="12">
        <v>2336.3271360000003</v>
      </c>
      <c r="O30" s="12">
        <v>2973.5072640000003</v>
      </c>
      <c r="P30" s="12">
        <v>3610.6873920000003</v>
      </c>
      <c r="Q30" s="12">
        <v>4375.3035456000007</v>
      </c>
      <c r="R30" s="12">
        <v>4812.8339001600016</v>
      </c>
      <c r="S30" s="12">
        <v>5469.1294320000006</v>
      </c>
      <c r="T30" s="12">
        <v>6125.4249638400006</v>
      </c>
      <c r="U30" s="12">
        <v>6781.7204956800006</v>
      </c>
      <c r="V30" s="12">
        <v>7438.0160275200005</v>
      </c>
      <c r="W30" s="12">
        <v>8094.3115593599996</v>
      </c>
      <c r="X30" s="12">
        <v>8750.6070912000014</v>
      </c>
      <c r="Y30" s="12">
        <v>8750.6070912000014</v>
      </c>
      <c r="Z30" s="12">
        <v>8750.6070912000014</v>
      </c>
      <c r="AA30" s="12">
        <v>8750.6070912000014</v>
      </c>
      <c r="AB30" s="12">
        <v>8750.6070912000014</v>
      </c>
      <c r="AC30" s="12">
        <v>8750.6070912000014</v>
      </c>
      <c r="AD30" s="12">
        <v>8750.6070912000014</v>
      </c>
      <c r="AE30" s="12">
        <v>8750.6070912000014</v>
      </c>
      <c r="AF30" s="12">
        <v>8750.6070912000014</v>
      </c>
      <c r="AG30" s="12">
        <v>8750.6070912000014</v>
      </c>
      <c r="AH30" s="12">
        <v>8750.6070912000014</v>
      </c>
      <c r="AI30" s="12">
        <v>8750.6070912000014</v>
      </c>
      <c r="AJ30" s="12">
        <v>8750.6070912000014</v>
      </c>
      <c r="AK30" s="12">
        <v>8750.6070912000014</v>
      </c>
      <c r="AL30" s="12">
        <v>8750.6070912000014</v>
      </c>
      <c r="AM30" s="12">
        <v>8750.6070912000014</v>
      </c>
      <c r="AN30" s="12">
        <v>8750.6070912000014</v>
      </c>
    </row>
    <row r="31" spans="2:50" x14ac:dyDescent="0.25">
      <c r="B31" s="39" t="str">
        <f>Base!B36</f>
        <v>Tertiary Direct Staff - Service A</v>
      </c>
      <c r="C31" s="4"/>
      <c r="E31" s="183" cm="1">
        <f t="array" ref="E31:AN31">_xlfn.LET(_xlpm.site,$B$1&amp;"-"&amp;$C$1,_xlpm.locations,Base!$D$4:$BD$4,_xlpm.rates,Base!$D36:$BD36,_xlpm.hours,Base!$D79:$BD79,_xlpm.comp,_xlpm.rates*_xlpm.hours,_xlpm.Customer,_xlfn.ANCHORARRAY($E$1)*0,
_xlpm.Customer_comp,_xlfn.XLOOKUP(_xlpm.site,_xlpm.locations,_xlpm.comp,0,0),_xlpm.ann_incr,_xlfn.XLOOKUP(YEAR(_xlfn.ANCHORARRAY($E$25)),Base!$BJ$4:$BL$4,Base!$BJ79:$BL79,0,0),
_xlpm.bad_debt,_xlfn.XLOOKUP(_xlpm.site,_xlpm.locations,Base!$D$28:$BD$28,0,0),_xlpm.Customer_comp*_xlpm.Customer*_xlpm.bad_debt*_xlpm.ann_incr*(52/12))</f>
        <v>0</v>
      </c>
      <c r="F31" s="183">
        <v>0</v>
      </c>
      <c r="G31" s="183">
        <v>0</v>
      </c>
      <c r="H31" s="183">
        <v>0</v>
      </c>
      <c r="I31" s="183">
        <v>0</v>
      </c>
      <c r="J31" s="183">
        <v>0</v>
      </c>
      <c r="K31" s="183">
        <v>0</v>
      </c>
      <c r="L31" s="183">
        <v>0</v>
      </c>
      <c r="M31" s="183">
        <v>0</v>
      </c>
      <c r="N31" s="183">
        <v>0</v>
      </c>
      <c r="O31" s="183">
        <v>0</v>
      </c>
      <c r="P31" s="183">
        <v>0</v>
      </c>
      <c r="Q31" s="183">
        <v>0</v>
      </c>
      <c r="R31" s="183">
        <v>0</v>
      </c>
      <c r="S31" s="183">
        <v>0</v>
      </c>
      <c r="T31" s="183">
        <v>0</v>
      </c>
      <c r="U31" s="183">
        <v>0</v>
      </c>
      <c r="V31" s="183">
        <v>0</v>
      </c>
      <c r="W31" s="183">
        <v>0</v>
      </c>
      <c r="X31" s="183">
        <v>0</v>
      </c>
      <c r="Y31" s="183">
        <v>0</v>
      </c>
      <c r="Z31" s="183">
        <v>0</v>
      </c>
      <c r="AA31" s="183">
        <v>0</v>
      </c>
      <c r="AB31" s="183">
        <v>0</v>
      </c>
      <c r="AC31" s="183">
        <v>0</v>
      </c>
      <c r="AD31" s="183">
        <v>0</v>
      </c>
      <c r="AE31" s="183">
        <v>0</v>
      </c>
      <c r="AF31" s="183">
        <v>0</v>
      </c>
      <c r="AG31" s="183">
        <v>0</v>
      </c>
      <c r="AH31" s="183">
        <v>0</v>
      </c>
      <c r="AI31" s="183">
        <v>0</v>
      </c>
      <c r="AJ31" s="183">
        <v>0</v>
      </c>
      <c r="AK31" s="183">
        <v>0</v>
      </c>
      <c r="AL31" s="183">
        <v>0</v>
      </c>
      <c r="AM31" s="183">
        <v>0</v>
      </c>
      <c r="AN31" s="183">
        <v>0</v>
      </c>
    </row>
    <row r="32" spans="2:50" x14ac:dyDescent="0.25">
      <c r="B32" s="39" t="str">
        <f>Base!B37</f>
        <v>Tertiary Direct Staff - Service B</v>
      </c>
      <c r="C32" s="4"/>
      <c r="E32" s="183" cm="1">
        <f t="array" ref="E32:AN32">_xlfn.LET(_xlpm.site,$B$1&amp;"-"&amp;$C$1,_xlpm.locations,Base!$D$4:$BD$4,_xlpm.rates,Base!$D37:$BD37,_xlpm.hours,Base!$D80:$BD80,_xlpm.comp,_xlpm.rates*_xlpm.hours,_xlpm.Customer,_xlfn.ANCHORARRAY($E$1)*0,
_xlpm.Customer_comp,_xlfn.XLOOKUP(_xlpm.site,_xlpm.locations,_xlpm.comp,0,0),_xlpm.ann_incr,_xlfn.XLOOKUP(YEAR(_xlfn.ANCHORARRAY($E$25)),Base!$BJ$4:$BL$4,Base!$BJ80:$BL80,0,0),
_xlpm.bad_debt,_xlfn.XLOOKUP(_xlpm.site,_xlpm.locations,Base!$D$28:$BD$28,0,0),_xlpm.Customer_comp*_xlpm.Customer*_xlpm.bad_debt*_xlpm.ann_incr*(52/12))</f>
        <v>0</v>
      </c>
      <c r="F32" s="183">
        <v>0</v>
      </c>
      <c r="G32" s="183">
        <v>0</v>
      </c>
      <c r="H32" s="183">
        <v>0</v>
      </c>
      <c r="I32" s="183">
        <v>0</v>
      </c>
      <c r="J32" s="183">
        <v>0</v>
      </c>
      <c r="K32" s="183">
        <v>0</v>
      </c>
      <c r="L32" s="183">
        <v>0</v>
      </c>
      <c r="M32" s="183">
        <v>0</v>
      </c>
      <c r="N32" s="183">
        <v>0</v>
      </c>
      <c r="O32" s="183">
        <v>0</v>
      </c>
      <c r="P32" s="183">
        <v>0</v>
      </c>
      <c r="Q32" s="183">
        <v>0</v>
      </c>
      <c r="R32" s="183">
        <v>0</v>
      </c>
      <c r="S32" s="183">
        <v>0</v>
      </c>
      <c r="T32" s="183">
        <v>0</v>
      </c>
      <c r="U32" s="183">
        <v>0</v>
      </c>
      <c r="V32" s="183">
        <v>0</v>
      </c>
      <c r="W32" s="183">
        <v>0</v>
      </c>
      <c r="X32" s="183">
        <v>0</v>
      </c>
      <c r="Y32" s="183">
        <v>0</v>
      </c>
      <c r="Z32" s="183">
        <v>0</v>
      </c>
      <c r="AA32" s="183">
        <v>0</v>
      </c>
      <c r="AB32" s="183">
        <v>0</v>
      </c>
      <c r="AC32" s="183">
        <v>0</v>
      </c>
      <c r="AD32" s="183">
        <v>0</v>
      </c>
      <c r="AE32" s="183">
        <v>0</v>
      </c>
      <c r="AF32" s="183">
        <v>0</v>
      </c>
      <c r="AG32" s="183">
        <v>0</v>
      </c>
      <c r="AH32" s="183">
        <v>0</v>
      </c>
      <c r="AI32" s="183">
        <v>0</v>
      </c>
      <c r="AJ32" s="183">
        <v>0</v>
      </c>
      <c r="AK32" s="183">
        <v>0</v>
      </c>
      <c r="AL32" s="183">
        <v>0</v>
      </c>
      <c r="AM32" s="183">
        <v>0</v>
      </c>
      <c r="AN32" s="183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_xlpm.Customer,_xlfn.ANCHORARRAY($E$2),_xlpm.ann_incr,_xlfn.XLOOKUP(YEAR(_xlfn.ANCHORARRAY($E$25)),Base!$BJ$4:$BL$4,Base!$BJ$81:$BL$81,0,0),
_xlpm.bad_debt,_xlfn.XLOOKUP(_xlpm.site,_xlpm.locations,Base!$D$28:$BD$28,0,0),
_xlpm.comp*_xlpm.bad_debt*_xlpm.ann_incr*(52/12))</f>
        <v>0</v>
      </c>
      <c r="F33" s="12">
        <v>0</v>
      </c>
      <c r="G33" s="12">
        <v>0</v>
      </c>
      <c r="H33" s="12">
        <v>0</v>
      </c>
      <c r="I33" s="12">
        <v>0</v>
      </c>
      <c r="J33" s="12">
        <v>0</v>
      </c>
      <c r="K33" s="12">
        <v>24633.096366666661</v>
      </c>
      <c r="L33" s="12">
        <v>24633.096366666661</v>
      </c>
      <c r="M33" s="12">
        <v>24633.096366666661</v>
      </c>
      <c r="N33" s="12">
        <v>24633.096366666661</v>
      </c>
      <c r="O33" s="12">
        <v>24633.096366666661</v>
      </c>
      <c r="P33" s="12">
        <v>24633.096366666661</v>
      </c>
      <c r="Q33" s="12">
        <v>25372.089257666659</v>
      </c>
      <c r="R33" s="12">
        <v>25372.089257666659</v>
      </c>
      <c r="S33" s="12">
        <v>25372.089257666659</v>
      </c>
      <c r="T33" s="12">
        <v>25372.089257666659</v>
      </c>
      <c r="U33" s="12">
        <v>25372.089257666659</v>
      </c>
      <c r="V33" s="12">
        <v>25372.089257666659</v>
      </c>
      <c r="W33" s="12">
        <v>25372.089257666659</v>
      </c>
      <c r="X33" s="12">
        <v>25372.089257666659</v>
      </c>
      <c r="Y33" s="12">
        <v>25372.089257666659</v>
      </c>
      <c r="Z33" s="12">
        <v>25372.089257666659</v>
      </c>
      <c r="AA33" s="12">
        <v>25372.089257666659</v>
      </c>
      <c r="AB33" s="12">
        <v>25372.089257666659</v>
      </c>
      <c r="AC33" s="12">
        <v>25372.089257666659</v>
      </c>
      <c r="AD33" s="12">
        <v>25372.089257666659</v>
      </c>
      <c r="AE33" s="12">
        <v>25372.089257666659</v>
      </c>
      <c r="AF33" s="12">
        <v>25372.089257666659</v>
      </c>
      <c r="AG33" s="12">
        <v>25372.089257666659</v>
      </c>
      <c r="AH33" s="12">
        <v>25372.089257666659</v>
      </c>
      <c r="AI33" s="12">
        <v>25372.089257666659</v>
      </c>
      <c r="AJ33" s="12">
        <v>25372.089257666659</v>
      </c>
      <c r="AK33" s="12">
        <v>25372.089257666659</v>
      </c>
      <c r="AL33" s="12">
        <v>25372.089257666659</v>
      </c>
      <c r="AM33" s="12">
        <v>25372.089257666659</v>
      </c>
      <c r="AN33" s="12">
        <v>25372.089257666659</v>
      </c>
    </row>
    <row r="34" spans="2:40" x14ac:dyDescent="0.25">
      <c r="B34" s="39" t="str">
        <f>Base!B39</f>
        <v>Quinary Direct Staff - Service A</v>
      </c>
      <c r="C34" s="4"/>
      <c r="E34" s="183" cm="1">
        <f t="array" ref="E34:AN34">_xlfn.LET(_xlpm.site,$B$1&amp;"-"&amp;$C$1,_xlpm.locations,Base!$D$4:$BD$4,_xlpm.rates,Base!$D39:$BD39,_xlpm.hours,Base!$D82:$BD82,_xlpm.comp,_xlpm.rates*_xlpm.hours,_xlpm.Customer,_xlfn.ANCHORARRAY($E$1)*0,
_xlpm.Customer_comp,_xlfn.XLOOKUP(_xlpm.site,_xlpm.locations,_xlpm.comp,0,0),_xlpm.ann_incr,_xlfn.XLOOKUP(YEAR(_xlfn.ANCHORARRAY($E$25)),Base!$BJ$4:$BL$4,Base!$BJ82:$BL82,0,0),
_xlpm.bad_debt,_xlfn.XLOOKUP(_xlpm.site,_xlpm.locations,Base!$D$28:$BD$28,0,0),_xlpm.Customer_comp*_xlpm.Customer*_xlpm.bad_debt*_xlpm.ann_incr*(52/12))</f>
        <v>0</v>
      </c>
      <c r="F34" s="183">
        <v>0</v>
      </c>
      <c r="G34" s="183">
        <v>0</v>
      </c>
      <c r="H34" s="183">
        <v>0</v>
      </c>
      <c r="I34" s="183">
        <v>0</v>
      </c>
      <c r="J34" s="183">
        <v>0</v>
      </c>
      <c r="K34" s="183">
        <v>0</v>
      </c>
      <c r="L34" s="183">
        <v>0</v>
      </c>
      <c r="M34" s="183">
        <v>0</v>
      </c>
      <c r="N34" s="183">
        <v>0</v>
      </c>
      <c r="O34" s="183">
        <v>0</v>
      </c>
      <c r="P34" s="183">
        <v>0</v>
      </c>
      <c r="Q34" s="183">
        <v>0</v>
      </c>
      <c r="R34" s="183">
        <v>0</v>
      </c>
      <c r="S34" s="183">
        <v>0</v>
      </c>
      <c r="T34" s="183">
        <v>0</v>
      </c>
      <c r="U34" s="183">
        <v>0</v>
      </c>
      <c r="V34" s="183">
        <v>0</v>
      </c>
      <c r="W34" s="183">
        <v>0</v>
      </c>
      <c r="X34" s="183">
        <v>0</v>
      </c>
      <c r="Y34" s="183">
        <v>0</v>
      </c>
      <c r="Z34" s="183">
        <v>0</v>
      </c>
      <c r="AA34" s="183">
        <v>0</v>
      </c>
      <c r="AB34" s="183">
        <v>0</v>
      </c>
      <c r="AC34" s="183">
        <v>0</v>
      </c>
      <c r="AD34" s="183">
        <v>0</v>
      </c>
      <c r="AE34" s="183">
        <v>0</v>
      </c>
      <c r="AF34" s="183">
        <v>0</v>
      </c>
      <c r="AG34" s="183">
        <v>0</v>
      </c>
      <c r="AH34" s="183">
        <v>0</v>
      </c>
      <c r="AI34" s="183">
        <v>0</v>
      </c>
      <c r="AJ34" s="183">
        <v>0</v>
      </c>
      <c r="AK34" s="183">
        <v>0</v>
      </c>
      <c r="AL34" s="183">
        <v>0</v>
      </c>
      <c r="AM34" s="183">
        <v>0</v>
      </c>
      <c r="AN34" s="183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0</v>
      </c>
      <c r="F35" s="12">
        <v>0</v>
      </c>
      <c r="G35" s="12">
        <v>0</v>
      </c>
      <c r="H35" s="12">
        <v>0</v>
      </c>
      <c r="I35" s="12">
        <v>0</v>
      </c>
      <c r="J35" s="12">
        <v>0</v>
      </c>
      <c r="K35" s="12">
        <v>-14257.52780192</v>
      </c>
      <c r="L35" s="12">
        <v>-14257.52780192</v>
      </c>
      <c r="M35" s="12">
        <v>-14257.52780192</v>
      </c>
      <c r="N35" s="12">
        <v>-16768.984743679997</v>
      </c>
      <c r="O35" s="12">
        <v>-20536.170156320004</v>
      </c>
      <c r="P35" s="12">
        <v>-24303.35556896</v>
      </c>
      <c r="Q35" s="12">
        <v>-28912.657211048001</v>
      </c>
      <c r="R35" s="12">
        <v>-31499.457861060797</v>
      </c>
      <c r="S35" s="12">
        <v>-35379.658836079994</v>
      </c>
      <c r="T35" s="12">
        <v>-39259.859811099202</v>
      </c>
      <c r="U35" s="12">
        <v>-43140.060786118396</v>
      </c>
      <c r="V35" s="12">
        <v>-47020.261761137597</v>
      </c>
      <c r="W35" s="12">
        <v>-50900.462736156798</v>
      </c>
      <c r="X35" s="12">
        <v>-54780.663711175999</v>
      </c>
      <c r="Y35" s="12">
        <v>-54780.663711175999</v>
      </c>
      <c r="Z35" s="12">
        <v>-54780.663711175999</v>
      </c>
      <c r="AA35" s="12">
        <v>-54780.663711175999</v>
      </c>
      <c r="AB35" s="12">
        <v>-54780.663711175999</v>
      </c>
      <c r="AC35" s="12">
        <v>-54780.663711175999</v>
      </c>
      <c r="AD35" s="12">
        <v>-54780.663711175999</v>
      </c>
      <c r="AE35" s="12">
        <v>-54780.663711175999</v>
      </c>
      <c r="AF35" s="12">
        <v>-54780.663711175999</v>
      </c>
      <c r="AG35" s="12">
        <v>-54780.663711175999</v>
      </c>
      <c r="AH35" s="12">
        <v>-54780.663711175999</v>
      </c>
      <c r="AI35" s="12">
        <v>-54780.663711175999</v>
      </c>
      <c r="AJ35" s="12">
        <v>-54780.663711175999</v>
      </c>
      <c r="AK35" s="12">
        <v>-54780.663711175999</v>
      </c>
      <c r="AL35" s="12">
        <v>-54780.663711175999</v>
      </c>
      <c r="AM35" s="12">
        <v>-54780.663711175999</v>
      </c>
      <c r="AN35" s="12">
        <v>-54780.663711175999</v>
      </c>
    </row>
    <row r="36" spans="2:40" x14ac:dyDescent="0.25">
      <c r="B36" s="39" t="s">
        <v>261</v>
      </c>
      <c r="C36" s="15"/>
      <c r="E36" s="183" cm="1">
        <f t="array" ref="E36:AN36">_xlfn.BYCOL(_xlfn.ANCHORARRAY($E$25),_xlfn.LAMBDA(_xlpm.a,0))</f>
        <v>0</v>
      </c>
      <c r="F36" s="183">
        <v>0</v>
      </c>
      <c r="G36" s="183">
        <v>0</v>
      </c>
      <c r="H36" s="183">
        <v>0</v>
      </c>
      <c r="I36" s="183">
        <v>0</v>
      </c>
      <c r="J36" s="183">
        <v>0</v>
      </c>
      <c r="K36" s="183">
        <v>0</v>
      </c>
      <c r="L36" s="183">
        <v>0</v>
      </c>
      <c r="M36" s="183">
        <v>0</v>
      </c>
      <c r="N36" s="183">
        <v>0</v>
      </c>
      <c r="O36" s="183">
        <v>0</v>
      </c>
      <c r="P36" s="183">
        <v>0</v>
      </c>
      <c r="Q36" s="183">
        <v>0</v>
      </c>
      <c r="R36" s="183">
        <v>0</v>
      </c>
      <c r="S36" s="183">
        <v>0</v>
      </c>
      <c r="T36" s="183">
        <v>0</v>
      </c>
      <c r="U36" s="183">
        <v>0</v>
      </c>
      <c r="V36" s="183">
        <v>0</v>
      </c>
      <c r="W36" s="183">
        <v>0</v>
      </c>
      <c r="X36" s="183">
        <v>0</v>
      </c>
      <c r="Y36" s="183">
        <v>0</v>
      </c>
      <c r="Z36" s="183">
        <v>0</v>
      </c>
      <c r="AA36" s="183">
        <v>0</v>
      </c>
      <c r="AB36" s="183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271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100044.08823274667</v>
      </c>
      <c r="L37" s="13">
        <v>100044.08823274667</v>
      </c>
      <c r="M37" s="13">
        <v>100044.08823274667</v>
      </c>
      <c r="N37" s="13">
        <v>117458.96899498667</v>
      </c>
      <c r="O37" s="13">
        <v>143581.2901383467</v>
      </c>
      <c r="P37" s="13">
        <v>169703.61128170669</v>
      </c>
      <c r="Q37" s="13">
        <v>201700.71039781868</v>
      </c>
      <c r="R37" s="13">
        <v>219638.03758292587</v>
      </c>
      <c r="S37" s="13">
        <v>246544.02836058661</v>
      </c>
      <c r="T37" s="13">
        <v>273450.01913824747</v>
      </c>
      <c r="U37" s="13">
        <v>300356.00991590827</v>
      </c>
      <c r="V37" s="13">
        <v>327262.00069356908</v>
      </c>
      <c r="W37" s="13">
        <v>354167.99147122994</v>
      </c>
      <c r="X37" s="13">
        <v>381073.98224889068</v>
      </c>
      <c r="Y37" s="13">
        <v>381073.98224889068</v>
      </c>
      <c r="Z37" s="13">
        <v>381073.98224889068</v>
      </c>
      <c r="AA37" s="13">
        <v>381073.98224889068</v>
      </c>
      <c r="AB37" s="13">
        <v>381073.98224889068</v>
      </c>
      <c r="AC37" s="13">
        <v>381073.98224889068</v>
      </c>
      <c r="AD37" s="13">
        <v>381073.98224889068</v>
      </c>
      <c r="AE37" s="13">
        <v>381073.98224889068</v>
      </c>
      <c r="AF37" s="13">
        <v>381073.98224889068</v>
      </c>
      <c r="AG37" s="13">
        <v>381073.98224889068</v>
      </c>
      <c r="AH37" s="13">
        <v>381073.98224889068</v>
      </c>
      <c r="AI37" s="13">
        <v>381073.98224889068</v>
      </c>
      <c r="AJ37" s="13">
        <v>381073.98224889068</v>
      </c>
      <c r="AK37" s="13">
        <v>381073.98224889068</v>
      </c>
      <c r="AL37" s="13">
        <v>381073.98224889068</v>
      </c>
      <c r="AM37" s="13">
        <v>381073.98224889068</v>
      </c>
      <c r="AN37" s="13">
        <v>381073.98224889068</v>
      </c>
    </row>
    <row r="38" spans="2:40" x14ac:dyDescent="0.25">
      <c r="E38" s="67"/>
      <c r="F38" s="67"/>
    </row>
    <row r="39" spans="2:40" x14ac:dyDescent="0.25">
      <c r="B39" s="1" t="s">
        <v>118</v>
      </c>
    </row>
    <row r="40" spans="2:40" x14ac:dyDescent="0.25">
      <c r="B40" s="39" t="s">
        <v>23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0</v>
      </c>
      <c r="F40" s="12">
        <v>0</v>
      </c>
      <c r="G40" s="12">
        <v>0</v>
      </c>
      <c r="H40" s="12">
        <v>0</v>
      </c>
      <c r="I40" s="12">
        <v>0</v>
      </c>
      <c r="J40" s="12">
        <v>0</v>
      </c>
      <c r="K40" s="12">
        <v>80324.913772009866</v>
      </c>
      <c r="L40" s="12">
        <v>84991.315372009849</v>
      </c>
      <c r="M40" s="12">
        <v>85138.728172009854</v>
      </c>
      <c r="N40" s="12">
        <v>96003.979099123171</v>
      </c>
      <c r="O40" s="12">
        <v>112035.78822312645</v>
      </c>
      <c r="P40" s="12">
        <v>128066.14734712976</v>
      </c>
      <c r="Q40" s="12">
        <v>158542.09778491303</v>
      </c>
      <c r="R40" s="12">
        <v>170214.76156473765</v>
      </c>
      <c r="S40" s="12">
        <v>187627.52344114127</v>
      </c>
      <c r="T40" s="12">
        <v>205064.53357087827</v>
      </c>
      <c r="U40" s="12">
        <v>222477.29544728188</v>
      </c>
      <c r="V40" s="12">
        <v>239831.57824368545</v>
      </c>
      <c r="W40" s="12">
        <v>257221.80170675577</v>
      </c>
      <c r="X40" s="12">
        <v>269780.63406315935</v>
      </c>
      <c r="Y40" s="12">
        <v>269780.63406315935</v>
      </c>
      <c r="Z40" s="12">
        <v>269780.63406315935</v>
      </c>
      <c r="AA40" s="12">
        <v>269780.63406315935</v>
      </c>
      <c r="AB40" s="12">
        <v>269780.63406315935</v>
      </c>
      <c r="AC40" s="12">
        <v>296758.69746947539</v>
      </c>
      <c r="AD40" s="12">
        <v>296758.69746947539</v>
      </c>
      <c r="AE40" s="12">
        <v>296758.69746947539</v>
      </c>
      <c r="AF40" s="12">
        <v>296758.69746947539</v>
      </c>
      <c r="AG40" s="12">
        <v>296758.69746947539</v>
      </c>
      <c r="AH40" s="12">
        <v>296758.69746947539</v>
      </c>
      <c r="AI40" s="12">
        <v>296758.69746947539</v>
      </c>
      <c r="AJ40" s="12">
        <v>296758.69746947539</v>
      </c>
      <c r="AK40" s="12">
        <v>296758.69746947539</v>
      </c>
      <c r="AL40" s="12">
        <v>296758.69746947539</v>
      </c>
      <c r="AM40" s="12">
        <v>296758.69746947539</v>
      </c>
      <c r="AN40" s="12">
        <v>296758.69746947539</v>
      </c>
    </row>
    <row r="41" spans="2:40" x14ac:dyDescent="0.25">
      <c r="B41" s="39" t="s">
        <v>388</v>
      </c>
      <c r="C41" s="142">
        <f>_xlfn.XLOOKUP($B$1&amp;"-"&amp;$C$1,Base!$D$4:$BD$4,Base!$D$12:$BD$12,0,0)</f>
        <v>0</v>
      </c>
      <c r="E41" s="183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28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14292.37</v>
      </c>
      <c r="L42" s="12">
        <v>14292.37</v>
      </c>
      <c r="M42" s="12">
        <v>14292.37</v>
      </c>
      <c r="N42" s="12">
        <v>14292.37</v>
      </c>
      <c r="O42" s="12">
        <v>14292.37</v>
      </c>
      <c r="P42" s="12">
        <v>14292.37</v>
      </c>
      <c r="Q42" s="12">
        <v>14721.141100000001</v>
      </c>
      <c r="R42" s="12">
        <v>14721.141100000001</v>
      </c>
      <c r="S42" s="12">
        <v>14721.141100000001</v>
      </c>
      <c r="T42" s="12">
        <v>14721.141100000001</v>
      </c>
      <c r="U42" s="12">
        <v>14721.141100000001</v>
      </c>
      <c r="V42" s="12">
        <v>14721.141100000001</v>
      </c>
      <c r="W42" s="12">
        <v>14721.141100000001</v>
      </c>
      <c r="X42" s="12">
        <v>14721.141100000001</v>
      </c>
      <c r="Y42" s="12">
        <v>14721.141100000001</v>
      </c>
      <c r="Z42" s="12">
        <v>14721.141100000001</v>
      </c>
      <c r="AA42" s="12">
        <v>14721.141100000001</v>
      </c>
      <c r="AB42" s="12">
        <v>14721.141100000001</v>
      </c>
      <c r="AC42" s="12">
        <v>15162.775333</v>
      </c>
      <c r="AD42" s="12">
        <v>15162.775333</v>
      </c>
      <c r="AE42" s="12">
        <v>15162.775333</v>
      </c>
      <c r="AF42" s="12">
        <v>15162.775333</v>
      </c>
      <c r="AG42" s="12">
        <v>15162.775333</v>
      </c>
      <c r="AH42" s="12">
        <v>15162.775333</v>
      </c>
      <c r="AI42" s="12">
        <v>15162.775333</v>
      </c>
      <c r="AJ42" s="12">
        <v>15162.775333</v>
      </c>
      <c r="AK42" s="12">
        <v>15162.775333</v>
      </c>
      <c r="AL42" s="12">
        <v>15162.775333</v>
      </c>
      <c r="AM42" s="12">
        <v>15162.775333</v>
      </c>
      <c r="AN42" s="12">
        <v>15162.775333</v>
      </c>
    </row>
    <row r="43" spans="2:40" x14ac:dyDescent="0.25">
      <c r="B43" s="39" t="s">
        <v>31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5700</v>
      </c>
      <c r="L43" s="12">
        <v>5700</v>
      </c>
      <c r="M43" s="12">
        <v>5700</v>
      </c>
      <c r="N43" s="12">
        <v>5700</v>
      </c>
      <c r="O43" s="12">
        <v>5700</v>
      </c>
      <c r="P43" s="12">
        <v>5700</v>
      </c>
      <c r="Q43" s="12">
        <v>5928</v>
      </c>
      <c r="R43" s="12">
        <v>5928</v>
      </c>
      <c r="S43" s="12">
        <v>5928</v>
      </c>
      <c r="T43" s="12">
        <v>5928</v>
      </c>
      <c r="U43" s="12">
        <v>5928</v>
      </c>
      <c r="V43" s="12">
        <v>5928</v>
      </c>
      <c r="W43" s="12">
        <v>5928</v>
      </c>
      <c r="X43" s="12">
        <v>5928</v>
      </c>
      <c r="Y43" s="12">
        <v>5928</v>
      </c>
      <c r="Z43" s="12">
        <v>5928</v>
      </c>
      <c r="AA43" s="12">
        <v>5928</v>
      </c>
      <c r="AB43" s="12">
        <v>5928</v>
      </c>
      <c r="AC43" s="12">
        <v>6165.1200000000008</v>
      </c>
      <c r="AD43" s="12">
        <v>6165.1200000000008</v>
      </c>
      <c r="AE43" s="12">
        <v>6165.1200000000008</v>
      </c>
      <c r="AF43" s="12">
        <v>6165.1200000000008</v>
      </c>
      <c r="AG43" s="12">
        <v>6165.1200000000008</v>
      </c>
      <c r="AH43" s="12">
        <v>6165.1200000000008</v>
      </c>
      <c r="AI43" s="12">
        <v>6165.1200000000008</v>
      </c>
      <c r="AJ43" s="12">
        <v>6165.1200000000008</v>
      </c>
      <c r="AK43" s="12">
        <v>6165.1200000000008</v>
      </c>
      <c r="AL43" s="12">
        <v>6165.1200000000008</v>
      </c>
      <c r="AM43" s="12">
        <v>6165.1200000000008</v>
      </c>
      <c r="AN43" s="12">
        <v>6165.1200000000008</v>
      </c>
    </row>
    <row r="44" spans="2:40" x14ac:dyDescent="0.25">
      <c r="B44" s="39" t="s">
        <v>34</v>
      </c>
      <c r="C44" s="96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967.01780000000019</v>
      </c>
      <c r="L44" s="12">
        <v>1202.8758</v>
      </c>
      <c r="M44" s="12">
        <v>1209.6145999999999</v>
      </c>
      <c r="N44" s="12">
        <v>1236.5698</v>
      </c>
      <c r="O44" s="12">
        <v>1270.2637999999999</v>
      </c>
      <c r="P44" s="12">
        <v>1300.5883999999999</v>
      </c>
      <c r="Q44" s="12">
        <v>1384.1495199999999</v>
      </c>
      <c r="R44" s="12">
        <v>1398.1662240000001</v>
      </c>
      <c r="S44" s="12">
        <v>1419.1912800000002</v>
      </c>
      <c r="T44" s="12">
        <v>1440.2163360000002</v>
      </c>
      <c r="U44" s="12">
        <v>1461.2413919999999</v>
      </c>
      <c r="V44" s="12">
        <v>1478.7622719999999</v>
      </c>
      <c r="W44" s="12">
        <v>1496.2831520000004</v>
      </c>
      <c r="X44" s="12">
        <v>1286.032592</v>
      </c>
      <c r="Y44" s="12">
        <v>1286.032592</v>
      </c>
      <c r="Z44" s="12">
        <v>1286.032592</v>
      </c>
      <c r="AA44" s="12">
        <v>1286.032592</v>
      </c>
      <c r="AB44" s="12">
        <v>1286.032592</v>
      </c>
      <c r="AC44" s="12">
        <v>1337.4738956800004</v>
      </c>
      <c r="AD44" s="12">
        <v>1337.4738956800004</v>
      </c>
      <c r="AE44" s="12">
        <v>1337.4738956800004</v>
      </c>
      <c r="AF44" s="12">
        <v>1337.4738956800004</v>
      </c>
      <c r="AG44" s="12">
        <v>1337.4738956800004</v>
      </c>
      <c r="AH44" s="12">
        <v>1337.4738956800004</v>
      </c>
      <c r="AI44" s="12">
        <v>1337.4738956800004</v>
      </c>
      <c r="AJ44" s="12">
        <v>1337.4738956800004</v>
      </c>
      <c r="AK44" s="12">
        <v>1337.4738956800004</v>
      </c>
      <c r="AL44" s="12">
        <v>1337.4738956800004</v>
      </c>
      <c r="AM44" s="12">
        <v>1337.4738956800004</v>
      </c>
      <c r="AN44" s="12">
        <v>1337.4738956800004</v>
      </c>
    </row>
    <row r="45" spans="2:40" x14ac:dyDescent="0.25">
      <c r="B45" s="39" t="s">
        <v>36</v>
      </c>
      <c r="C45" s="96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0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>
        <v>4250</v>
      </c>
      <c r="L45" s="12">
        <v>4250</v>
      </c>
      <c r="M45" s="12">
        <v>4250</v>
      </c>
      <c r="N45" s="12">
        <v>4250</v>
      </c>
      <c r="O45" s="12">
        <v>4250</v>
      </c>
      <c r="P45" s="12">
        <v>4250</v>
      </c>
      <c r="Q45" s="12">
        <v>4335</v>
      </c>
      <c r="R45" s="12">
        <v>4335</v>
      </c>
      <c r="S45" s="12">
        <v>4335</v>
      </c>
      <c r="T45" s="12">
        <v>4335</v>
      </c>
      <c r="U45" s="12">
        <v>4335</v>
      </c>
      <c r="V45" s="12">
        <v>4335</v>
      </c>
      <c r="W45" s="12">
        <v>4335</v>
      </c>
      <c r="X45" s="12">
        <v>4335</v>
      </c>
      <c r="Y45" s="12">
        <v>4335</v>
      </c>
      <c r="Z45" s="12">
        <v>4335</v>
      </c>
      <c r="AA45" s="12">
        <v>4335</v>
      </c>
      <c r="AB45" s="12">
        <v>4335</v>
      </c>
      <c r="AC45" s="12">
        <v>4421.7</v>
      </c>
      <c r="AD45" s="12">
        <v>4421.7</v>
      </c>
      <c r="AE45" s="12">
        <v>4421.7</v>
      </c>
      <c r="AF45" s="12">
        <v>4421.7</v>
      </c>
      <c r="AG45" s="12">
        <v>4421.7</v>
      </c>
      <c r="AH45" s="12">
        <v>4421.7</v>
      </c>
      <c r="AI45" s="12">
        <v>4421.7</v>
      </c>
      <c r="AJ45" s="12">
        <v>4421.7</v>
      </c>
      <c r="AK45" s="12">
        <v>4421.7</v>
      </c>
      <c r="AL45" s="12">
        <v>4421.7</v>
      </c>
      <c r="AM45" s="12">
        <v>4421.7</v>
      </c>
      <c r="AN45" s="12">
        <v>4421.7</v>
      </c>
    </row>
    <row r="46" spans="2:40" x14ac:dyDescent="0.25">
      <c r="B46" s="39" t="s">
        <v>38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0</v>
      </c>
      <c r="F46" s="12">
        <v>0</v>
      </c>
      <c r="G46" s="12">
        <v>0</v>
      </c>
      <c r="H46" s="12">
        <v>0</v>
      </c>
      <c r="I46" s="12">
        <v>0</v>
      </c>
      <c r="J46" s="12">
        <v>0</v>
      </c>
      <c r="K46" s="12">
        <v>5195</v>
      </c>
      <c r="L46" s="12">
        <v>5370</v>
      </c>
      <c r="M46" s="12">
        <v>5375</v>
      </c>
      <c r="N46" s="12">
        <v>5987.5</v>
      </c>
      <c r="O46" s="12">
        <v>6897.4999999999991</v>
      </c>
      <c r="P46" s="12">
        <v>7807.5</v>
      </c>
      <c r="Q46" s="12">
        <v>8894.4</v>
      </c>
      <c r="R46" s="12">
        <v>9508.9499999999989</v>
      </c>
      <c r="S46" s="12">
        <v>10429.5</v>
      </c>
      <c r="T46" s="12">
        <v>11350.05</v>
      </c>
      <c r="U46" s="12">
        <v>12270.600000000004</v>
      </c>
      <c r="V46" s="12">
        <v>13188.600000000002</v>
      </c>
      <c r="W46" s="12">
        <v>14109.15</v>
      </c>
      <c r="X46" s="12">
        <v>14861.399999999998</v>
      </c>
      <c r="Y46" s="12">
        <v>14861.399999999998</v>
      </c>
      <c r="Z46" s="12">
        <v>14861.399999999998</v>
      </c>
      <c r="AA46" s="12">
        <v>14861.399999999998</v>
      </c>
      <c r="AB46" s="12">
        <v>14861.399999999998</v>
      </c>
      <c r="AC46" s="12">
        <v>15158.627999999999</v>
      </c>
      <c r="AD46" s="12">
        <v>15158.627999999999</v>
      </c>
      <c r="AE46" s="12">
        <v>15158.627999999999</v>
      </c>
      <c r="AF46" s="12">
        <v>15158.627999999999</v>
      </c>
      <c r="AG46" s="12">
        <v>15158.627999999999</v>
      </c>
      <c r="AH46" s="12">
        <v>15158.627999999999</v>
      </c>
      <c r="AI46" s="12">
        <v>15158.627999999999</v>
      </c>
      <c r="AJ46" s="12">
        <v>15158.627999999999</v>
      </c>
      <c r="AK46" s="12">
        <v>15158.627999999999</v>
      </c>
      <c r="AL46" s="12">
        <v>15158.627999999999</v>
      </c>
      <c r="AM46" s="12">
        <v>15158.627999999999</v>
      </c>
      <c r="AN46" s="12">
        <v>15158.627999999999</v>
      </c>
    </row>
    <row r="47" spans="2:40" x14ac:dyDescent="0.25">
      <c r="B47" s="39" t="s">
        <v>40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5750</v>
      </c>
      <c r="L47" s="12">
        <v>5750</v>
      </c>
      <c r="M47" s="12">
        <v>5750</v>
      </c>
      <c r="N47" s="12">
        <v>5750</v>
      </c>
      <c r="O47" s="12">
        <v>5750</v>
      </c>
      <c r="P47" s="12">
        <v>5750</v>
      </c>
      <c r="Q47" s="12">
        <v>6037.5</v>
      </c>
      <c r="R47" s="12">
        <v>6037.5</v>
      </c>
      <c r="S47" s="12">
        <v>6037.5</v>
      </c>
      <c r="T47" s="12">
        <v>6037.5</v>
      </c>
      <c r="U47" s="12">
        <v>6037.5</v>
      </c>
      <c r="V47" s="12">
        <v>6037.5</v>
      </c>
      <c r="W47" s="12">
        <v>6037.5</v>
      </c>
      <c r="X47" s="12">
        <v>6037.5</v>
      </c>
      <c r="Y47" s="12">
        <v>6037.5</v>
      </c>
      <c r="Z47" s="12">
        <v>6037.5</v>
      </c>
      <c r="AA47" s="12">
        <v>6037.5</v>
      </c>
      <c r="AB47" s="12">
        <v>6037.5</v>
      </c>
      <c r="AC47" s="12">
        <v>6339.375</v>
      </c>
      <c r="AD47" s="12">
        <v>6339.375</v>
      </c>
      <c r="AE47" s="12">
        <v>6339.375</v>
      </c>
      <c r="AF47" s="12">
        <v>6339.375</v>
      </c>
      <c r="AG47" s="12">
        <v>6339.375</v>
      </c>
      <c r="AH47" s="12">
        <v>6339.375</v>
      </c>
      <c r="AI47" s="12">
        <v>6339.375</v>
      </c>
      <c r="AJ47" s="12">
        <v>6339.375</v>
      </c>
      <c r="AK47" s="12">
        <v>6339.375</v>
      </c>
      <c r="AL47" s="12">
        <v>6339.375</v>
      </c>
      <c r="AM47" s="12">
        <v>6339.375</v>
      </c>
      <c r="AN47" s="12">
        <v>6339.375</v>
      </c>
    </row>
    <row r="48" spans="2:40" x14ac:dyDescent="0.25">
      <c r="B48" s="39" t="s">
        <v>41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0</v>
      </c>
      <c r="F48" s="12">
        <v>0</v>
      </c>
      <c r="G48" s="12">
        <v>0</v>
      </c>
      <c r="H48" s="12">
        <v>0</v>
      </c>
      <c r="I48" s="12">
        <v>126877.11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42</v>
      </c>
      <c r="E49" s="12">
        <f>'Corp.'!E$50*(E$37-(E31-E32-E34)*$C$35)/(SUM('MDA1:NCA9'!E$37)-SUM('MDA1:NCA9'!E$31)-SUM('MDA1:NCA9'!E$32)-SUM('MDA1:NCA9'!E$34))</f>
        <v>0</v>
      </c>
      <c r="F49" s="12">
        <f>'Corp.'!F$50*(F$37-(F31-F32-F34)*$C$35)/(SUM('MDA1:NCA9'!F$37)-SUM('MDA1:NCA9'!F$31)-SUM('MDA1:NCA9'!F$32)-SUM('MDA1:NCA9'!F$34))</f>
        <v>0</v>
      </c>
      <c r="G49" s="12">
        <f>'Corp.'!G$50*(G$37-(G31-G32-G34)*$C$35)/(SUM('MDA1:NCA9'!G$37)-SUM('MDA1:NCA9'!G$31)-SUM('MDA1:NCA9'!G$32)-SUM('MDA1:NCA9'!G$34))</f>
        <v>0</v>
      </c>
      <c r="H49" s="12">
        <f>'Corp.'!H$50*(H$37-(H31-H32-H34)*$C$35)/(SUM('MDA1:NCA9'!H$37)-SUM('MDA1:NCA9'!H$31)-SUM('MDA1:NCA9'!H$32)-SUM('MDA1:NCA9'!H$34))</f>
        <v>0</v>
      </c>
      <c r="I49" s="12">
        <f>'Corp.'!I$50*(I$37-(I31-I32-I34)*$C$35)/(SUM('MDA1:NCA9'!I$37)-SUM('MDA1:NCA9'!I$31)-SUM('MDA1:NCA9'!I$32)-SUM('MDA1:NCA9'!I$34))</f>
        <v>0</v>
      </c>
      <c r="J49" s="12">
        <f>'Corp.'!J$50*(J$37-(J31-J32-J34)*$C$35)/(SUM('MDA1:NCA9'!J$37)-SUM('MDA1:NCA9'!J$31)-SUM('MDA1:NCA9'!J$32)-SUM('MDA1:NCA9'!J$34))</f>
        <v>0</v>
      </c>
      <c r="K49" s="12">
        <f>'Corp.'!K$50*(K$37-(K31-K32-K34)*$C$35)/(SUM('MDA1:NCA9'!K$37)-SUM('MDA1:NCA9'!K$31)-SUM('MDA1:NCA9'!K$32)-SUM('MDA1:NCA9'!K$34))</f>
        <v>20923.666503248172</v>
      </c>
      <c r="L49" s="12">
        <f>'Corp.'!L$50*(L$37-(L31-L32-L34)*$C$35)/(SUM('MDA1:NCA9'!L$37)-SUM('MDA1:NCA9'!L$31)-SUM('MDA1:NCA9'!L$32)-SUM('MDA1:NCA9'!L$34))</f>
        <v>19772.81975140849</v>
      </c>
      <c r="M49" s="12">
        <f>'Corp.'!M$50*(M$37-(M31-M32-M34)*$C$35)/(SUM('MDA1:NCA9'!M$37)-SUM('MDA1:NCA9'!M$31)-SUM('MDA1:NCA9'!M$32)-SUM('MDA1:NCA9'!M$34))</f>
        <v>18530.141889215229</v>
      </c>
      <c r="N49" s="12">
        <f>'Corp.'!N$50*(N$37-(N31-N32-N34)*$C$35)/(SUM('MDA1:NCA9'!N$37)-SUM('MDA1:NCA9'!N$31)-SUM('MDA1:NCA9'!N$32)-SUM('MDA1:NCA9'!N$34))</f>
        <v>20500.004659838698</v>
      </c>
      <c r="O49" s="12">
        <f>'Corp.'!O$50*(O$37-(O31-O32-O34)*$C$35)/(SUM('MDA1:NCA9'!O$37)-SUM('MDA1:NCA9'!O$31)-SUM('MDA1:NCA9'!O$32)-SUM('MDA1:NCA9'!O$34))</f>
        <v>23452.796454607469</v>
      </c>
      <c r="P49" s="12">
        <f>'Corp.'!P$50*(P$37-(P31-P32-P34)*$C$35)/(SUM('MDA1:NCA9'!P$37)-SUM('MDA1:NCA9'!P$31)-SUM('MDA1:NCA9'!P$32)-SUM('MDA1:NCA9'!P$34))</f>
        <v>26157.581893478029</v>
      </c>
      <c r="Q49" s="12">
        <f>'Corp.'!Q$50*(Q$37-(Q31-Q32-Q34)*$C$35)/(SUM('MDA1:NCA9'!Q$37)-SUM('MDA1:NCA9'!Q$31)-SUM('MDA1:NCA9'!Q$32)-SUM('MDA1:NCA9'!Q$34))</f>
        <v>31203.547237066821</v>
      </c>
      <c r="R49" s="12">
        <f>'Corp.'!R$50*(R$37-(R31-R32-R34)*$C$35)/(SUM('MDA1:NCA9'!R$37)-SUM('MDA1:NCA9'!R$31)-SUM('MDA1:NCA9'!R$32)-SUM('MDA1:NCA9'!R$34))</f>
        <v>32691.497915422678</v>
      </c>
      <c r="S49" s="12">
        <f>'Corp.'!S$50*(S$37-(S31-S32-S34)*$C$35)/(SUM('MDA1:NCA9'!S$37)-SUM('MDA1:NCA9'!S$31)-SUM('MDA1:NCA9'!S$32)-SUM('MDA1:NCA9'!S$34))</f>
        <v>35108.290212815817</v>
      </c>
      <c r="T49" s="12">
        <f>'Corp.'!T$50*(T$37-(T31-T32-T34)*$C$35)/(SUM('MDA1:NCA9'!T$37)-SUM('MDA1:NCA9'!T$31)-SUM('MDA1:NCA9'!T$32)-SUM('MDA1:NCA9'!T$34))</f>
        <v>37448.909156256224</v>
      </c>
      <c r="U49" s="12">
        <f>'Corp.'!U$50*(U$37-(U31-U32-U34)*$C$35)/(SUM('MDA1:NCA9'!U$37)-SUM('MDA1:NCA9'!U$31)-SUM('MDA1:NCA9'!U$32)-SUM('MDA1:NCA9'!U$34))</f>
        <v>40010.964810194288</v>
      </c>
      <c r="V49" s="12">
        <f>'Corp.'!V$50*(V$37-(V31-V32-V34)*$C$35)/(SUM('MDA1:NCA9'!V$37)-SUM('MDA1:NCA9'!V$31)-SUM('MDA1:NCA9'!V$32)-SUM('MDA1:NCA9'!V$34))</f>
        <v>42597.818267542425</v>
      </c>
      <c r="W49" s="12">
        <f>'Corp.'!W$50*(W$37-(W31-W32-W34)*$C$35)/(SUM('MDA1:NCA9'!W$37)-SUM('MDA1:NCA9'!W$31)-SUM('MDA1:NCA9'!W$32)-SUM('MDA1:NCA9'!W$34))</f>
        <v>44698.921780444136</v>
      </c>
      <c r="X49" s="12">
        <f>'Corp.'!X$50*(X$37-(X31-X32-X34)*$C$35)/(SUM('MDA1:NCA9'!X$37)-SUM('MDA1:NCA9'!X$31)-SUM('MDA1:NCA9'!X$32)-SUM('MDA1:NCA9'!X$34))</f>
        <v>46588.178447244434</v>
      </c>
      <c r="Y49" s="12">
        <f>'Corp.'!Y$50*(Y$37-(Y31-Y32-Y34)*$C$35)/(SUM('MDA1:NCA9'!Y$37)-SUM('MDA1:NCA9'!Y$31)-SUM('MDA1:NCA9'!Y$32)-SUM('MDA1:NCA9'!Y$34))</f>
        <v>45601.141819831515</v>
      </c>
      <c r="Z49" s="12">
        <f>'Corp.'!Z$50*(Z$37-(Z31-Z32-Z34)*$C$35)/(SUM('MDA1:NCA9'!Z$37)-SUM('MDA1:NCA9'!Z$31)-SUM('MDA1:NCA9'!Z$32)-SUM('MDA1:NCA9'!Z$34))</f>
        <v>44610.794458738266</v>
      </c>
      <c r="AA49" s="12">
        <f>'Corp.'!AA$50*(AA$37-(AA31-AA32-AA34)*$C$35)/(SUM('MDA1:NCA9'!AA$37)-SUM('MDA1:NCA9'!AA$31)-SUM('MDA1:NCA9'!AA$32)-SUM('MDA1:NCA9'!AA$34))</f>
        <v>43590.842846146712</v>
      </c>
      <c r="AB49" s="12">
        <f>'Corp.'!AB$50*(AB$37-(AB31-AB32-AB34)*$C$35)/(SUM('MDA1:NCA9'!AB$37)-SUM('MDA1:NCA9'!AB$31)-SUM('MDA1:NCA9'!AB$32)-SUM('MDA1:NCA9'!AB$34))</f>
        <v>42601.592693246959</v>
      </c>
      <c r="AC49" s="12">
        <f>'Corp.'!AC$50*(AC$37-(AC31-AC32-AC34)*$C$35)/(SUM('MDA1:NCA9'!AC$37)-SUM('MDA1:NCA9'!AC$31)-SUM('MDA1:NCA9'!AC$32)-SUM('MDA1:NCA9'!AC$34))</f>
        <v>45722.043485869908</v>
      </c>
      <c r="AD49" s="12">
        <f>'Corp.'!AD$50*(AD$37-(AD31-AD32-AD34)*$C$35)/(SUM('MDA1:NCA9'!AD$37)-SUM('MDA1:NCA9'!AD$31)-SUM('MDA1:NCA9'!AD$32)-SUM('MDA1:NCA9'!AD$34))</f>
        <v>44970.918192091463</v>
      </c>
      <c r="AE49" s="12">
        <f>'Corp.'!AE$50*(AE$37-(AE31-AE32-AE34)*$C$35)/(SUM('MDA1:NCA9'!AE$37)-SUM('MDA1:NCA9'!AE$31)-SUM('MDA1:NCA9'!AE$32)-SUM('MDA1:NCA9'!AE$34))</f>
        <v>44262.678137439252</v>
      </c>
      <c r="AF49" s="12">
        <f>'Corp.'!AF$50*(AF$37-(AF31-AF32-AF34)*$C$35)/(SUM('MDA1:NCA9'!AF$37)-SUM('MDA1:NCA9'!AF$31)-SUM('MDA1:NCA9'!AF$32)-SUM('MDA1:NCA9'!AF$34))</f>
        <v>43599.03398674442</v>
      </c>
      <c r="AG49" s="12">
        <f>'Corp.'!AG$50*(AG$37-(AG31-AG32-AG34)*$C$35)/(SUM('MDA1:NCA9'!AG$37)-SUM('MDA1:NCA9'!AG$31)-SUM('MDA1:NCA9'!AG$32)-SUM('MDA1:NCA9'!AG$34))</f>
        <v>43066.822251421196</v>
      </c>
      <c r="AH49" s="12">
        <f>'Corp.'!AH$50*(AH$37-(AH31-AH32-AH34)*$C$35)/(SUM('MDA1:NCA9'!AH$37)-SUM('MDA1:NCA9'!AH$31)-SUM('MDA1:NCA9'!AH$32)-SUM('MDA1:NCA9'!AH$34))</f>
        <v>42366.7651120714</v>
      </c>
      <c r="AI49" s="12">
        <f>'Corp.'!AI$50*(AI$37-(AI31-AI32-AI34)*$C$35)/(SUM('MDA1:NCA9'!AI$37)-SUM('MDA1:NCA9'!AI$31)-SUM('MDA1:NCA9'!AI$32)-SUM('MDA1:NCA9'!AI$34))</f>
        <v>41637.223678055736</v>
      </c>
      <c r="AJ49" s="12">
        <f>'Corp.'!AJ$50*(AJ$37-(AJ31-AJ32-AJ34)*$C$35)/(SUM('MDA1:NCA9'!AJ$37)-SUM('MDA1:NCA9'!AJ$31)-SUM('MDA1:NCA9'!AJ$32)-SUM('MDA1:NCA9'!AJ$34))</f>
        <v>40889.76167093961</v>
      </c>
      <c r="AK49" s="12">
        <f>'Corp.'!AK$50*(AK$37-(AK31-AK32-AK34)*$C$35)/(SUM('MDA1:NCA9'!AK$37)-SUM('MDA1:NCA9'!AK$31)-SUM('MDA1:NCA9'!AK$32)-SUM('MDA1:NCA9'!AK$34))</f>
        <v>40199.573424889051</v>
      </c>
      <c r="AL49" s="12">
        <f>'Corp.'!AL$50*(AL$37-(AL31-AL32-AL34)*$C$35)/(SUM('MDA1:NCA9'!AL$37)-SUM('MDA1:NCA9'!AL$31)-SUM('MDA1:NCA9'!AL$32)-SUM('MDA1:NCA9'!AL$34))</f>
        <v>39566.214775099157</v>
      </c>
      <c r="AM49" s="12">
        <f>'Corp.'!AM$50*(AM$37-(AM31-AM32-AM34)*$C$35)/(SUM('MDA1:NCA9'!AM$37)-SUM('MDA1:NCA9'!AM$31)-SUM('MDA1:NCA9'!AM$32)-SUM('MDA1:NCA9'!AM$34))</f>
        <v>38884.119086123108</v>
      </c>
      <c r="AN49" s="12">
        <f>'Corp.'!AN$50*(AN$37-(AN31-AN32-AN34)*$C$35)/(SUM('MDA1:NCA9'!AN$37)-SUM('MDA1:NCA9'!AN$31)-SUM('MDA1:NCA9'!AN$32)-SUM('MDA1:NCA9'!AN$34))</f>
        <v>38302.688236796967</v>
      </c>
    </row>
    <row r="50" spans="2:40" x14ac:dyDescent="0.25">
      <c r="B50" s="1" t="s">
        <v>272</v>
      </c>
      <c r="E50" s="13" cm="1">
        <f t="array" ref="E50:AN50">_xlfn.BYCOL(_xlfn.VSTACK(_xlfn.ANCHORARRAY(E40),_xlfn.ANCHORARRAY(E42),_xlfn.ANCHORARRAY(E43),_xlfn.ANCHORARRAY(E45),_xlfn.ANCHORARRAY(E46),_xlfn.ANCHORARRAY(E47),_xlfn.ANCHORARRAY(E48),_xlfn.HSTACK(E49:AN49)),_xlfn.LAMBDA(_xlpm.a,SUM(_xlpm.a)))</f>
        <v>0</v>
      </c>
      <c r="F50" s="13">
        <v>0</v>
      </c>
      <c r="G50" s="13">
        <v>0</v>
      </c>
      <c r="H50" s="13">
        <v>0</v>
      </c>
      <c r="I50" s="13">
        <v>126877.11</v>
      </c>
      <c r="J50" s="13">
        <v>0</v>
      </c>
      <c r="K50" s="13">
        <v>136435.95027525804</v>
      </c>
      <c r="L50" s="13">
        <v>140126.50512341835</v>
      </c>
      <c r="M50" s="13">
        <v>139036.24006122508</v>
      </c>
      <c r="N50" s="13">
        <v>152483.85375896184</v>
      </c>
      <c r="O50" s="13">
        <v>172378.45467773391</v>
      </c>
      <c r="P50" s="13">
        <v>192023.59924060779</v>
      </c>
      <c r="Q50" s="13">
        <v>229661.68612197984</v>
      </c>
      <c r="R50" s="13">
        <v>243436.85058016036</v>
      </c>
      <c r="S50" s="13">
        <v>264186.95475395711</v>
      </c>
      <c r="T50" s="13">
        <v>284885.1338271345</v>
      </c>
      <c r="U50" s="13">
        <v>305780.50135747617</v>
      </c>
      <c r="V50" s="13">
        <v>326639.63761122781</v>
      </c>
      <c r="W50" s="13">
        <v>347051.51458719996</v>
      </c>
      <c r="X50" s="13">
        <v>362251.85361040384</v>
      </c>
      <c r="Y50" s="13">
        <v>361264.81698299089</v>
      </c>
      <c r="Z50" s="13">
        <v>360274.46962189768</v>
      </c>
      <c r="AA50" s="13">
        <v>359254.51800930611</v>
      </c>
      <c r="AB50" s="13">
        <v>358265.26785640634</v>
      </c>
      <c r="AC50" s="13">
        <v>389728.33928834531</v>
      </c>
      <c r="AD50" s="13">
        <v>388977.21399456688</v>
      </c>
      <c r="AE50" s="13">
        <v>388268.97393991466</v>
      </c>
      <c r="AF50" s="13">
        <v>387605.32978921983</v>
      </c>
      <c r="AG50" s="13">
        <v>387073.11805389659</v>
      </c>
      <c r="AH50" s="13">
        <v>386373.06091454683</v>
      </c>
      <c r="AI50" s="13">
        <v>385643.51948053116</v>
      </c>
      <c r="AJ50" s="13">
        <v>384896.05747341504</v>
      </c>
      <c r="AK50" s="13">
        <v>384205.86922736448</v>
      </c>
      <c r="AL50" s="13">
        <v>383572.51057757461</v>
      </c>
      <c r="AM50" s="13">
        <v>382890.41488859855</v>
      </c>
      <c r="AN50" s="13">
        <v>382308.98403927241</v>
      </c>
    </row>
    <row r="52" spans="2:40" x14ac:dyDescent="0.25">
      <c r="B52" s="1" t="s">
        <v>48</v>
      </c>
      <c r="E52" s="74">
        <f>E37-E50</f>
        <v>0</v>
      </c>
      <c r="F52" s="74">
        <f t="shared" ref="F52:AN52" si="0">F37-F50</f>
        <v>0</v>
      </c>
      <c r="G52" s="74">
        <f t="shared" si="0"/>
        <v>0</v>
      </c>
      <c r="H52" s="74">
        <f t="shared" si="0"/>
        <v>0</v>
      </c>
      <c r="I52" s="74">
        <f t="shared" si="0"/>
        <v>-126877.11</v>
      </c>
      <c r="J52" s="74">
        <f t="shared" si="0"/>
        <v>0</v>
      </c>
      <c r="K52" s="74">
        <f t="shared" si="0"/>
        <v>-36391.862042511377</v>
      </c>
      <c r="L52" s="74">
        <f t="shared" si="0"/>
        <v>-40082.41689067168</v>
      </c>
      <c r="M52" s="74">
        <f t="shared" si="0"/>
        <v>-38992.151828478411</v>
      </c>
      <c r="N52" s="74">
        <f t="shared" si="0"/>
        <v>-35024.884763975162</v>
      </c>
      <c r="O52" s="74">
        <f t="shared" si="0"/>
        <v>-28797.164539387217</v>
      </c>
      <c r="P52" s="74">
        <f t="shared" si="0"/>
        <v>-22319.987958901096</v>
      </c>
      <c r="Q52" s="74">
        <f t="shared" si="0"/>
        <v>-27960.975724161166</v>
      </c>
      <c r="R52" s="74">
        <f t="shared" si="0"/>
        <v>-23798.81299723449</v>
      </c>
      <c r="S52" s="74">
        <f t="shared" si="0"/>
        <v>-17642.926393370493</v>
      </c>
      <c r="T52" s="74">
        <f t="shared" si="0"/>
        <v>-11435.114688887028</v>
      </c>
      <c r="U52" s="74">
        <f t="shared" si="0"/>
        <v>-5424.4914415678941</v>
      </c>
      <c r="V52" s="74">
        <f t="shared" si="0"/>
        <v>622.36308234126773</v>
      </c>
      <c r="W52" s="74">
        <f t="shared" si="0"/>
        <v>7116.4768840299803</v>
      </c>
      <c r="X52" s="74">
        <f t="shared" si="0"/>
        <v>18822.128638486844</v>
      </c>
      <c r="Y52" s="74">
        <f t="shared" si="0"/>
        <v>19809.165265899792</v>
      </c>
      <c r="Z52" s="74">
        <f t="shared" si="0"/>
        <v>20799.512626993004</v>
      </c>
      <c r="AA52" s="74">
        <f t="shared" si="0"/>
        <v>21819.464239584573</v>
      </c>
      <c r="AB52" s="74">
        <f t="shared" si="0"/>
        <v>22808.71439248434</v>
      </c>
      <c r="AC52" s="74">
        <f t="shared" si="0"/>
        <v>-8654.3570394546259</v>
      </c>
      <c r="AD52" s="74">
        <f t="shared" si="0"/>
        <v>-7903.2317456761957</v>
      </c>
      <c r="AE52" s="74">
        <f t="shared" si="0"/>
        <v>-7194.9916910239845</v>
      </c>
      <c r="AF52" s="74">
        <f t="shared" si="0"/>
        <v>-6531.3475403291523</v>
      </c>
      <c r="AG52" s="74">
        <f t="shared" si="0"/>
        <v>-5999.1358050059061</v>
      </c>
      <c r="AH52" s="74">
        <f t="shared" si="0"/>
        <v>-5299.078665656154</v>
      </c>
      <c r="AI52" s="74">
        <f t="shared" si="0"/>
        <v>-4569.5372316404828</v>
      </c>
      <c r="AJ52" s="74">
        <f t="shared" si="0"/>
        <v>-3822.0752245243639</v>
      </c>
      <c r="AK52" s="74">
        <f t="shared" si="0"/>
        <v>-3131.8869784738054</v>
      </c>
      <c r="AL52" s="74">
        <f t="shared" si="0"/>
        <v>-2498.5283286839258</v>
      </c>
      <c r="AM52" s="74">
        <f t="shared" si="0"/>
        <v>-1816.4326397078694</v>
      </c>
      <c r="AN52" s="74">
        <f t="shared" si="0"/>
        <v>-1235.0017903817352</v>
      </c>
    </row>
    <row r="53" spans="2:40" x14ac:dyDescent="0.25">
      <c r="E53" s="105" t="str">
        <f>IFERROR(E52/E37,"")</f>
        <v/>
      </c>
      <c r="F53" s="105" t="str">
        <f t="shared" ref="F53:AN53" si="1">IFERROR(F52/F37,"")</f>
        <v/>
      </c>
      <c r="G53" s="105" t="str">
        <f t="shared" si="1"/>
        <v/>
      </c>
      <c r="H53" s="105" t="str">
        <f t="shared" si="1"/>
        <v/>
      </c>
      <c r="I53" s="105" t="str">
        <f t="shared" si="1"/>
        <v/>
      </c>
      <c r="J53" s="105" t="str">
        <f t="shared" si="1"/>
        <v/>
      </c>
      <c r="K53" s="105">
        <f t="shared" si="1"/>
        <v>-0.36375824584305128</v>
      </c>
      <c r="L53" s="105">
        <f t="shared" si="1"/>
        <v>-0.40064753049098017</v>
      </c>
      <c r="M53" s="105">
        <f t="shared" si="1"/>
        <v>-0.38974968453673614</v>
      </c>
      <c r="N53" s="105">
        <f t="shared" si="1"/>
        <v>-0.29818825300152324</v>
      </c>
      <c r="O53" s="105">
        <f t="shared" si="1"/>
        <v>-0.20056348923762923</v>
      </c>
      <c r="P53" s="105">
        <f t="shared" si="1"/>
        <v>-0.13152335292293862</v>
      </c>
      <c r="Q53" s="105">
        <f t="shared" si="1"/>
        <v>-0.1386260646728171</v>
      </c>
      <c r="R53" s="105">
        <f t="shared" si="1"/>
        <v>-0.10835469693289844</v>
      </c>
      <c r="S53" s="105">
        <f t="shared" si="1"/>
        <v>-7.1560956112741742E-2</v>
      </c>
      <c r="T53" s="105">
        <f t="shared" si="1"/>
        <v>-4.1817933401225339E-2</v>
      </c>
      <c r="U53" s="105">
        <f t="shared" si="1"/>
        <v>-1.8060206097046661E-2</v>
      </c>
      <c r="V53" s="105">
        <f t="shared" si="1"/>
        <v>1.9017273041852965E-3</v>
      </c>
      <c r="W53" s="105">
        <f t="shared" si="1"/>
        <v>2.0093506627936117E-2</v>
      </c>
      <c r="X53" s="105">
        <f t="shared" si="1"/>
        <v>4.9392321478913127E-2</v>
      </c>
      <c r="Y53" s="105">
        <f t="shared" si="1"/>
        <v>5.1982465842975972E-2</v>
      </c>
      <c r="Z53" s="105">
        <f t="shared" si="1"/>
        <v>5.4581298109741397E-2</v>
      </c>
      <c r="AA53" s="105">
        <f t="shared" si="1"/>
        <v>5.7257816738938733E-2</v>
      </c>
      <c r="AB53" s="105">
        <f t="shared" si="1"/>
        <v>5.9853769753263543E-2</v>
      </c>
      <c r="AC53" s="105">
        <f t="shared" si="1"/>
        <v>-2.2710437979474047E-2</v>
      </c>
      <c r="AD53" s="105">
        <f t="shared" si="1"/>
        <v>-2.0739363257065296E-2</v>
      </c>
      <c r="AE53" s="105">
        <f t="shared" si="1"/>
        <v>-1.8880826364904447E-2</v>
      </c>
      <c r="AF53" s="105">
        <f t="shared" si="1"/>
        <v>-1.713931636524935E-2</v>
      </c>
      <c r="AG53" s="105">
        <f t="shared" si="1"/>
        <v>-1.5742706362691782E-2</v>
      </c>
      <c r="AH53" s="105">
        <f t="shared" si="1"/>
        <v>-1.3905642768849985E-2</v>
      </c>
      <c r="AI53" s="105">
        <f t="shared" si="1"/>
        <v>-1.1991207598780603E-2</v>
      </c>
      <c r="AJ53" s="105">
        <f t="shared" si="1"/>
        <v>-1.002974593533928E-2</v>
      </c>
      <c r="AK53" s="105">
        <f t="shared" si="1"/>
        <v>-8.2185799198127296E-3</v>
      </c>
      <c r="AL53" s="105">
        <f t="shared" si="1"/>
        <v>-6.5565439916390389E-3</v>
      </c>
      <c r="AM53" s="105">
        <f t="shared" si="1"/>
        <v>-4.7666141597709592E-3</v>
      </c>
      <c r="AN53" s="105">
        <f t="shared" si="1"/>
        <v>-3.2408452109310339E-3</v>
      </c>
    </row>
    <row r="55" spans="2:40" x14ac:dyDescent="0.25">
      <c r="B55" t="s">
        <v>57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786840</v>
      </c>
      <c r="D55" s="12">
        <f>C55-SUM(_xlfn.ANCHORARRAY(E55))</f>
        <v>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0</v>
      </c>
      <c r="F55" s="12">
        <v>0</v>
      </c>
      <c r="G55" s="12">
        <v>0</v>
      </c>
      <c r="H55" s="12">
        <v>0</v>
      </c>
      <c r="I55" s="12">
        <v>131140</v>
      </c>
      <c r="J55" s="12">
        <v>131140</v>
      </c>
      <c r="K55" s="12">
        <v>131140</v>
      </c>
      <c r="L55" s="12">
        <v>131140</v>
      </c>
      <c r="M55" s="12">
        <v>131140</v>
      </c>
      <c r="N55" s="12">
        <v>131140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</row>
    <row r="56" spans="2:40" x14ac:dyDescent="0.25">
      <c r="B56" t="s">
        <v>285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0</v>
      </c>
      <c r="F56" s="90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0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0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0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0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-37201.438591754668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-44389.650713685347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-48530.258702223982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-60043.927607102407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-57918.095793590212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-65685.132613549227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-21537.193520752004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-25455.541692256003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-30255.1065596728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-32945.705637438878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-36981.604254087993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-41017.502870737117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-45053.40148738624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-49089.300104035363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-53125.198720684486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-57161.097337333602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-57161.097337333602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-57161.097337333602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-57161.097337333602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-57161.097337333602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-57161.097337333602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-57161.097337333602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-57161.097337333602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-57161.097337333602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-57161.097337333602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-57161.097337333602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-57161.097337333602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276</v>
      </c>
      <c r="E58" s="13">
        <f>E37-E50-E55+E56</f>
        <v>0</v>
      </c>
      <c r="F58" s="13">
        <f t="shared" ref="F58:AN58" si="2">F37-F50-F55+F56</f>
        <v>0</v>
      </c>
      <c r="G58" s="13">
        <f t="shared" si="2"/>
        <v>0</v>
      </c>
      <c r="H58" s="13">
        <f t="shared" si="2"/>
        <v>0</v>
      </c>
      <c r="I58" s="13">
        <f t="shared" si="2"/>
        <v>-258017.11</v>
      </c>
      <c r="J58" s="13">
        <f t="shared" si="2"/>
        <v>-131140</v>
      </c>
      <c r="K58" s="13">
        <f t="shared" si="2"/>
        <v>-167531.86204251138</v>
      </c>
      <c r="L58" s="13">
        <f t="shared" si="2"/>
        <v>-171222.41689067168</v>
      </c>
      <c r="M58" s="13">
        <f t="shared" si="2"/>
        <v>-170132.15182847841</v>
      </c>
      <c r="N58" s="13">
        <f t="shared" si="2"/>
        <v>-203366.32335572984</v>
      </c>
      <c r="O58" s="13">
        <f t="shared" si="2"/>
        <v>-73186.815253072564</v>
      </c>
      <c r="P58" s="13">
        <f t="shared" si="2"/>
        <v>-70850.246661125071</v>
      </c>
      <c r="Q58" s="13">
        <f t="shared" si="2"/>
        <v>-88004.903331263573</v>
      </c>
      <c r="R58" s="13">
        <f t="shared" si="2"/>
        <v>-81716.908790824702</v>
      </c>
      <c r="S58" s="13">
        <f t="shared" si="2"/>
        <v>-83328.059006919721</v>
      </c>
      <c r="T58" s="13">
        <f t="shared" si="2"/>
        <v>-32972.308209639028</v>
      </c>
      <c r="U58" s="13">
        <f t="shared" si="2"/>
        <v>-30880.033133823898</v>
      </c>
      <c r="V58" s="13">
        <f t="shared" si="2"/>
        <v>-29632.743477331533</v>
      </c>
      <c r="W58" s="13">
        <f t="shared" si="2"/>
        <v>-25829.228753408897</v>
      </c>
      <c r="X58" s="13">
        <f t="shared" si="2"/>
        <v>-18159.47561560115</v>
      </c>
      <c r="Y58" s="13">
        <f t="shared" si="2"/>
        <v>-21208.337604837325</v>
      </c>
      <c r="Z58" s="13">
        <f t="shared" si="2"/>
        <v>-24253.888860393236</v>
      </c>
      <c r="AA58" s="13">
        <f t="shared" si="2"/>
        <v>-27269.83586445079</v>
      </c>
      <c r="AB58" s="13">
        <f t="shared" si="2"/>
        <v>-30316.484328200146</v>
      </c>
      <c r="AC58" s="13">
        <f t="shared" si="2"/>
        <v>-65815.454376788228</v>
      </c>
      <c r="AD58" s="13">
        <f t="shared" si="2"/>
        <v>-65064.329083009798</v>
      </c>
      <c r="AE58" s="13">
        <f t="shared" si="2"/>
        <v>-64356.089028357586</v>
      </c>
      <c r="AF58" s="13">
        <f t="shared" si="2"/>
        <v>-63692.444877662754</v>
      </c>
      <c r="AG58" s="13">
        <f t="shared" si="2"/>
        <v>-63160.233142339508</v>
      </c>
      <c r="AH58" s="13">
        <f t="shared" si="2"/>
        <v>-62460.176002989756</v>
      </c>
      <c r="AI58" s="13">
        <f t="shared" si="2"/>
        <v>-61730.634568974085</v>
      </c>
      <c r="AJ58" s="13">
        <f t="shared" si="2"/>
        <v>-60983.172561857966</v>
      </c>
      <c r="AK58" s="13">
        <f t="shared" si="2"/>
        <v>-60292.984315807407</v>
      </c>
      <c r="AL58" s="13">
        <f t="shared" si="2"/>
        <v>-59659.625666017528</v>
      </c>
      <c r="AM58" s="13">
        <f t="shared" si="2"/>
        <v>-58977.529977041471</v>
      </c>
      <c r="AN58" s="13">
        <f t="shared" si="2"/>
        <v>-58396.099127715337</v>
      </c>
    </row>
    <row r="59" spans="2:40" x14ac:dyDescent="0.25">
      <c r="B59" t="s">
        <v>277</v>
      </c>
      <c r="E59" s="12" cm="1">
        <f t="array" ref="E59:AN59">_xlfn.SCAN(-D55,E58:AN58,_xlfn.LAMBDA(_xlpm.capex,_xlpm.fcf,_xlpm.capex+_xlpm.fcf))</f>
        <v>0</v>
      </c>
      <c r="F59" s="12">
        <v>0</v>
      </c>
      <c r="G59" s="12">
        <v>0</v>
      </c>
      <c r="H59" s="12">
        <v>0</v>
      </c>
      <c r="I59" s="12">
        <v>-258017.11</v>
      </c>
      <c r="J59" s="12">
        <v>-389157.11</v>
      </c>
      <c r="K59" s="12">
        <v>-556688.97204251133</v>
      </c>
      <c r="L59" s="12">
        <v>-727911.38893318304</v>
      </c>
      <c r="M59" s="12">
        <v>-898043.54076166148</v>
      </c>
      <c r="N59" s="12">
        <v>-1101409.8641173914</v>
      </c>
      <c r="O59" s="12">
        <v>-1174596.6793704641</v>
      </c>
      <c r="P59" s="12">
        <v>-1245446.926031589</v>
      </c>
      <c r="Q59" s="12">
        <v>-1333451.8293628525</v>
      </c>
      <c r="R59" s="12">
        <v>-1415168.7381536772</v>
      </c>
      <c r="S59" s="12">
        <v>-1498496.7971605968</v>
      </c>
      <c r="T59" s="12">
        <v>-1531469.1053702359</v>
      </c>
      <c r="U59" s="12">
        <v>-1562349.1385040598</v>
      </c>
      <c r="V59" s="12">
        <v>-1591981.8819813912</v>
      </c>
      <c r="W59" s="12">
        <v>-1617811.1107348001</v>
      </c>
      <c r="X59" s="12">
        <v>-1635970.5863504012</v>
      </c>
      <c r="Y59" s="12">
        <v>-1657178.9239552384</v>
      </c>
      <c r="Z59" s="12">
        <v>-1681432.8128156317</v>
      </c>
      <c r="AA59" s="12">
        <v>-1708702.6486800825</v>
      </c>
      <c r="AB59" s="12">
        <v>-1739019.1330082826</v>
      </c>
      <c r="AC59" s="12">
        <v>-1804834.587385071</v>
      </c>
      <c r="AD59" s="12">
        <v>-1869898.9164680808</v>
      </c>
      <c r="AE59" s="12">
        <v>-1934255.0054964384</v>
      </c>
      <c r="AF59" s="12">
        <v>-1997947.4503741011</v>
      </c>
      <c r="AG59" s="12">
        <v>-2061107.6835164404</v>
      </c>
      <c r="AH59" s="12">
        <v>-2123567.8595194304</v>
      </c>
      <c r="AI59" s="12">
        <v>-2185298.4940884043</v>
      </c>
      <c r="AJ59" s="12">
        <v>-2246281.6666502622</v>
      </c>
      <c r="AK59" s="12">
        <v>-2306574.6509660697</v>
      </c>
      <c r="AL59" s="12">
        <v>-2366234.2766320873</v>
      </c>
      <c r="AM59" s="12">
        <v>-2425211.8066091286</v>
      </c>
      <c r="AN59" s="12">
        <v>-2483607.9057368441</v>
      </c>
    </row>
    <row r="61" spans="2:40" x14ac:dyDescent="0.25">
      <c r="B61" s="1" t="s">
        <v>302</v>
      </c>
    </row>
    <row r="63" spans="2:40" x14ac:dyDescent="0.25">
      <c r="B63" s="39" t="s">
        <v>103</v>
      </c>
      <c r="E63" s="12" cm="1">
        <f t="array" ref="E63:AN63">_xlfn.LET(_xlpm.site,$B$1&amp;"-"&amp;$C$1,_xlpm.locations,Base!$D$4:$BD$4,_xlpm.rates,Base!$D$36:$BD$36,_xlpm.hours,Base!$D$79:$BD$79,_xlpm.comp,_xlpm.rates*_xlpm.hours,_xlpm.Customer,_xlfn.ANCHORARRAY($E$1),
_xlpm.Customer_comp,_xlfn.XLOOKUP(_xlpm.site,_xlpm.locations,_xlpm.comp,0,0),_xlpm.ann_incr,_xlfn.XLOOKUP(YEAR(_xlfn.ANCHORARRAY($E$25)),Base!$BJ$4:$BL$4,Base!$BJ$79:$BL$79,0,0),
_xlpm.bad_debt,_xlfn.XLOOKUP(_xlpm.site,_xlpm.locations,Base!$D$28:$BD$28,0,0),_xlpm.Customer_comp*_xlpm.Customer*_xlpm.bad_debt*_xlpm.ann_incr*(52/12)*(1-$C$35))</f>
        <v>0</v>
      </c>
      <c r="F63" s="12">
        <v>0</v>
      </c>
      <c r="G63" s="12">
        <v>0</v>
      </c>
      <c r="H63" s="12">
        <v>0</v>
      </c>
      <c r="I63" s="12">
        <v>0</v>
      </c>
      <c r="J63" s="12">
        <v>0</v>
      </c>
      <c r="K63" s="12">
        <v>3997.2421632</v>
      </c>
      <c r="L63" s="12">
        <v>3997.2421632</v>
      </c>
      <c r="M63" s="12">
        <v>3997.2421632</v>
      </c>
      <c r="N63" s="12">
        <v>4885.5181994666655</v>
      </c>
      <c r="O63" s="12">
        <v>6217.9322538666647</v>
      </c>
      <c r="P63" s="12">
        <v>7550.3463082666658</v>
      </c>
      <c r="Q63" s="12">
        <v>9149.2431735466653</v>
      </c>
      <c r="R63" s="12">
        <v>10064.167490901333</v>
      </c>
      <c r="S63" s="12">
        <v>11436.55396693333</v>
      </c>
      <c r="T63" s="12">
        <v>12808.940442965333</v>
      </c>
      <c r="U63" s="12">
        <v>14181.326918997333</v>
      </c>
      <c r="V63" s="12">
        <v>15553.71339502933</v>
      </c>
      <c r="W63" s="12">
        <v>16926.099871061331</v>
      </c>
      <c r="X63" s="12">
        <v>18298.486347093331</v>
      </c>
      <c r="Y63" s="12">
        <v>18298.486347093331</v>
      </c>
      <c r="Z63" s="12">
        <v>18298.486347093331</v>
      </c>
      <c r="AA63" s="12">
        <v>18298.486347093331</v>
      </c>
      <c r="AB63" s="12">
        <v>18298.486347093331</v>
      </c>
      <c r="AC63" s="12">
        <v>18298.486347093331</v>
      </c>
      <c r="AD63" s="12">
        <v>18298.486347093331</v>
      </c>
      <c r="AE63" s="12">
        <v>18298.486347093331</v>
      </c>
      <c r="AF63" s="12">
        <v>18298.486347093331</v>
      </c>
      <c r="AG63" s="12">
        <v>18298.486347093331</v>
      </c>
      <c r="AH63" s="12">
        <v>18298.486347093331</v>
      </c>
      <c r="AI63" s="12">
        <v>18298.486347093331</v>
      </c>
      <c r="AJ63" s="12">
        <v>18298.486347093331</v>
      </c>
      <c r="AK63" s="12">
        <v>18298.486347093331</v>
      </c>
      <c r="AL63" s="12">
        <v>18298.486347093331</v>
      </c>
      <c r="AM63" s="12">
        <v>18298.486347093331</v>
      </c>
      <c r="AN63" s="12">
        <v>18298.486347093331</v>
      </c>
    </row>
    <row r="64" spans="2:40" x14ac:dyDescent="0.25">
      <c r="B64" s="39" t="s">
        <v>104</v>
      </c>
      <c r="E64" s="12" cm="1">
        <f t="array" ref="E64:AN64">_xlfn.LET(_xlpm.site,$B$1&amp;"-"&amp;$C$1,_xlpm.locations,Base!$D$4:$BD$4,_xlpm.rates,Base!$D$37:$BD$37,_xlpm.hours,Base!$D$80:$BD$80,_xlpm.comp,_xlpm.rates*_xlpm.hours,_xlpm.Customer,_xlfn.ANCHORARRAY($E$1),
_xlpm.Customer_comp,_xlfn.XLOOKUP(_xlpm.site,_xlpm.locations,_xlpm.comp,0,0),_xlpm.ann_incr,_xlfn.XLOOKUP(YEAR(_xlfn.ANCHORARRAY($E$25)),Base!$BJ$4:$BL$4,Base!$BJ$80:$BL$80,0,0),
_xlpm.bad_debt,_xlfn.XLOOKUP(_xlpm.site,_xlpm.locations,Base!$D$28:$BD$28,0,0),_xlpm.Customer_comp*_xlpm.Customer*_xlpm.bad_debt*_xlpm.ann_incr*(52/12)*(1-$C$35))</f>
        <v>0</v>
      </c>
      <c r="F64" s="12">
        <v>0</v>
      </c>
      <c r="G64" s="12">
        <v>0</v>
      </c>
      <c r="H64" s="12">
        <v>0</v>
      </c>
      <c r="I64" s="12">
        <v>0</v>
      </c>
      <c r="J64" s="12">
        <v>0</v>
      </c>
      <c r="K64" s="12">
        <v>554.90561280000009</v>
      </c>
      <c r="L64" s="12">
        <v>554.90561280000009</v>
      </c>
      <c r="M64" s="12">
        <v>554.90561280000009</v>
      </c>
      <c r="N64" s="12">
        <v>678.21797120000008</v>
      </c>
      <c r="O64" s="12">
        <v>863.18650880000018</v>
      </c>
      <c r="P64" s="12">
        <v>1048.1550464000002</v>
      </c>
      <c r="Q64" s="12">
        <v>1270.11729152</v>
      </c>
      <c r="R64" s="12">
        <v>1397.1290206720003</v>
      </c>
      <c r="S64" s="12">
        <v>1587.6466144000005</v>
      </c>
      <c r="T64" s="12">
        <v>1778.1642081280004</v>
      </c>
      <c r="U64" s="12">
        <v>1968.681801856</v>
      </c>
      <c r="V64" s="12">
        <v>2159.1993955840003</v>
      </c>
      <c r="W64" s="12">
        <v>2349.7169893120004</v>
      </c>
      <c r="X64" s="12">
        <v>2540.23458304</v>
      </c>
      <c r="Y64" s="12">
        <v>2540.23458304</v>
      </c>
      <c r="Z64" s="12">
        <v>2540.23458304</v>
      </c>
      <c r="AA64" s="12">
        <v>2540.23458304</v>
      </c>
      <c r="AB64" s="12">
        <v>2540.23458304</v>
      </c>
      <c r="AC64" s="12">
        <v>2540.23458304</v>
      </c>
      <c r="AD64" s="12">
        <v>2540.23458304</v>
      </c>
      <c r="AE64" s="12">
        <v>2540.23458304</v>
      </c>
      <c r="AF64" s="12">
        <v>2540.23458304</v>
      </c>
      <c r="AG64" s="12">
        <v>2540.23458304</v>
      </c>
      <c r="AH64" s="12">
        <v>2540.23458304</v>
      </c>
      <c r="AI64" s="12">
        <v>2540.23458304</v>
      </c>
      <c r="AJ64" s="12">
        <v>2540.23458304</v>
      </c>
      <c r="AK64" s="12">
        <v>2540.23458304</v>
      </c>
      <c r="AL64" s="12">
        <v>2540.23458304</v>
      </c>
      <c r="AM64" s="12">
        <v>2540.23458304</v>
      </c>
      <c r="AN64" s="12">
        <v>2540.23458304</v>
      </c>
    </row>
    <row r="65" spans="2:40" x14ac:dyDescent="0.25">
      <c r="B65" s="39" t="s">
        <v>56</v>
      </c>
      <c r="E65" s="12" cm="1">
        <f t="array" ref="E65:AN65">_xlfn.LET(_xlpm.site,$B$1&amp;"-"&amp;$C$1,_xlpm.locations,Base!$D$4:$BD$4,_xlpm.rates,Base!$D$39:$BD$39,_xlpm.hours,Base!$D$82:$BD$82,_xlpm.comp,_xlpm.rates*_xlpm.hours,_xlpm.Customer,_xlfn.ANCHORARRAY($E$1),
_xlpm.Customer_comp,_xlfn.XLOOKUP(_xlpm.site,_xlpm.locations,_xlpm.comp,0,0),_xlpm.ann_incr,_xlfn.XLOOKUP(YEAR(_xlfn.ANCHORARRAY($E$25)),Base!$BJ$4:$BL$4,Base!$BJ$82:$BL$82,0,0),
_xlpm.bad_debt,_xlfn.XLOOKUP(_xlpm.site,_xlpm.locations,Base!$D$28:$BD$28,0,0),_xlpm.Customer_comp*_xlpm.Customer*_xlpm.bad_debt*_xlpm.ann_incr*(52/12)*(1-$C$35))</f>
        <v>0</v>
      </c>
      <c r="F65" s="12">
        <v>0</v>
      </c>
      <c r="G65" s="12">
        <v>0</v>
      </c>
      <c r="H65" s="12">
        <v>0</v>
      </c>
      <c r="I65" s="12">
        <v>0</v>
      </c>
      <c r="J65" s="12">
        <v>0</v>
      </c>
      <c r="K65" s="12">
        <v>3817.3662658559997</v>
      </c>
      <c r="L65" s="12">
        <v>3817.3662658559997</v>
      </c>
      <c r="M65" s="12">
        <v>3817.3662658559997</v>
      </c>
      <c r="N65" s="12">
        <v>4665.6698804906655</v>
      </c>
      <c r="O65" s="12">
        <v>5938.125302442666</v>
      </c>
      <c r="P65" s="12">
        <v>7210.5807243946647</v>
      </c>
      <c r="Q65" s="12">
        <v>8737.5272307370651</v>
      </c>
      <c r="R65" s="12">
        <v>9611.279953810772</v>
      </c>
      <c r="S65" s="12">
        <v>10921.90903842133</v>
      </c>
      <c r="T65" s="12">
        <v>12232.538123031893</v>
      </c>
      <c r="U65" s="12">
        <v>13543.167207642451</v>
      </c>
      <c r="V65" s="12">
        <v>14853.796292253011</v>
      </c>
      <c r="W65" s="12">
        <v>16164.42537686357</v>
      </c>
      <c r="X65" s="12">
        <v>17475.05446147413</v>
      </c>
      <c r="Y65" s="12">
        <v>17475.05446147413</v>
      </c>
      <c r="Z65" s="12">
        <v>17475.05446147413</v>
      </c>
      <c r="AA65" s="12">
        <v>17475.05446147413</v>
      </c>
      <c r="AB65" s="12">
        <v>17475.05446147413</v>
      </c>
      <c r="AC65" s="12">
        <v>17475.05446147413</v>
      </c>
      <c r="AD65" s="12">
        <v>17475.05446147413</v>
      </c>
      <c r="AE65" s="12">
        <v>17475.05446147413</v>
      </c>
      <c r="AF65" s="12">
        <v>17475.05446147413</v>
      </c>
      <c r="AG65" s="12">
        <v>17475.05446147413</v>
      </c>
      <c r="AH65" s="12">
        <v>17475.05446147413</v>
      </c>
      <c r="AI65" s="12">
        <v>17475.05446147413</v>
      </c>
      <c r="AJ65" s="12">
        <v>17475.05446147413</v>
      </c>
      <c r="AK65" s="12">
        <v>17475.05446147413</v>
      </c>
      <c r="AL65" s="12">
        <v>17475.05446147413</v>
      </c>
      <c r="AM65" s="12">
        <v>17475.05446147413</v>
      </c>
      <c r="AN65" s="12">
        <v>17475.05446147413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303</v>
      </c>
      <c r="C67" s="12"/>
      <c r="E67" s="13" cm="1">
        <f t="array" ref="E67:AN67">_xlfn.BYCOL(_xlfn.VSTACK(_xlfn.ANCHORARRAY($E$63),_xlfn.ANCHORARRAY($E$64),_xlfn.ANCHORARRAY($E$65)),_xlfn.LAMBDA(_xlpm.a,SUM(_xlpm.a)))</f>
        <v>0</v>
      </c>
      <c r="F67" s="13">
        <v>0</v>
      </c>
      <c r="G67" s="13">
        <v>0</v>
      </c>
      <c r="H67" s="13">
        <v>0</v>
      </c>
      <c r="I67" s="13">
        <v>0</v>
      </c>
      <c r="J67" s="13">
        <v>0</v>
      </c>
      <c r="K67" s="13">
        <v>8369.5140418560004</v>
      </c>
      <c r="L67" s="13">
        <v>8369.5140418560004</v>
      </c>
      <c r="M67" s="13">
        <v>8369.5140418560004</v>
      </c>
      <c r="N67" s="13">
        <v>10229.40605115733</v>
      </c>
      <c r="O67" s="13">
        <v>13019.244065109331</v>
      </c>
      <c r="P67" s="13">
        <v>15809.082079061332</v>
      </c>
      <c r="Q67" s="13">
        <v>19156.887695803729</v>
      </c>
      <c r="R67" s="13">
        <v>21072.576465384103</v>
      </c>
      <c r="S67" s="13">
        <v>23946.109619754661</v>
      </c>
      <c r="T67" s="13">
        <v>26819.642774125226</v>
      </c>
      <c r="U67" s="13">
        <v>29693.175928495784</v>
      </c>
      <c r="V67" s="13">
        <v>32566.709082866342</v>
      </c>
      <c r="W67" s="13">
        <v>35440.242237236904</v>
      </c>
      <c r="X67" s="13">
        <v>38313.775391607458</v>
      </c>
      <c r="Y67" s="13">
        <v>38313.775391607458</v>
      </c>
      <c r="Z67" s="13">
        <v>38313.775391607458</v>
      </c>
      <c r="AA67" s="13">
        <v>38313.775391607458</v>
      </c>
      <c r="AB67" s="13">
        <v>38313.775391607458</v>
      </c>
      <c r="AC67" s="13">
        <v>38313.775391607458</v>
      </c>
      <c r="AD67" s="13">
        <v>38313.775391607458</v>
      </c>
      <c r="AE67" s="13">
        <v>38313.775391607458</v>
      </c>
      <c r="AF67" s="13">
        <v>38313.775391607458</v>
      </c>
      <c r="AG67" s="13">
        <v>38313.775391607458</v>
      </c>
      <c r="AH67" s="13">
        <v>38313.775391607458</v>
      </c>
      <c r="AI67" s="13">
        <v>38313.775391607458</v>
      </c>
      <c r="AJ67" s="13">
        <v>38313.775391607458</v>
      </c>
      <c r="AK67" s="13">
        <v>38313.775391607458</v>
      </c>
      <c r="AL67" s="13">
        <v>38313.775391607458</v>
      </c>
      <c r="AM67" s="13">
        <v>38313.775391607458</v>
      </c>
      <c r="AN67" s="13">
        <v>38313.775391607458</v>
      </c>
    </row>
    <row r="68" spans="2:40" x14ac:dyDescent="0.25">
      <c r="B68" s="39"/>
      <c r="C68" s="12"/>
    </row>
    <row r="69" spans="2:40" x14ac:dyDescent="0.25">
      <c r="B69" s="39" t="s">
        <v>304</v>
      </c>
      <c r="C69" s="12"/>
      <c r="E69" s="106" cm="1">
        <f t="array" ref="E69:AN70">_xlfn.LET(_xlpm.Customer_staff,_xlfn._xlws.FILTER(Base!$D$96:$BD$97,ISNUMBER(SEARCH($B$1&amp;"-"&amp;$C$1,Base!$D$4:$BD$4))),_xlpm.Customer,_xlfn.ANCHORARRAY($E$1),_xlpm.headcount,_xlpm.Customer/_xlpm.Customer_staff,
_xlpm.rounding,_xlfn.VSTACK(0,0),IFERROR(ROUND(_xlpm.headcount,_xlpm.rounding),0))</f>
        <v>0</v>
      </c>
      <c r="F69" s="106">
        <v>0</v>
      </c>
      <c r="G69" s="106">
        <v>0</v>
      </c>
      <c r="H69" s="106">
        <v>0</v>
      </c>
      <c r="I69" s="106">
        <v>0</v>
      </c>
      <c r="J69" s="106">
        <v>0</v>
      </c>
      <c r="K69" s="106">
        <v>0</v>
      </c>
      <c r="L69" s="106">
        <v>0</v>
      </c>
      <c r="M69" s="106">
        <v>0</v>
      </c>
      <c r="N69" s="106">
        <v>0</v>
      </c>
      <c r="O69" s="106">
        <v>0</v>
      </c>
      <c r="P69" s="106">
        <v>0</v>
      </c>
      <c r="Q69" s="106">
        <v>0</v>
      </c>
      <c r="R69" s="106">
        <v>1</v>
      </c>
      <c r="S69" s="106">
        <v>1</v>
      </c>
      <c r="T69" s="106">
        <v>1</v>
      </c>
      <c r="U69" s="106">
        <v>1</v>
      </c>
      <c r="V69" s="106">
        <v>1</v>
      </c>
      <c r="W69" s="106">
        <v>1</v>
      </c>
      <c r="X69" s="106">
        <v>1</v>
      </c>
      <c r="Y69" s="106">
        <v>1</v>
      </c>
      <c r="Z69" s="106">
        <v>1</v>
      </c>
      <c r="AA69" s="106">
        <v>1</v>
      </c>
      <c r="AB69" s="106">
        <v>1</v>
      </c>
      <c r="AC69" s="106">
        <v>1</v>
      </c>
      <c r="AD69" s="106">
        <v>1</v>
      </c>
      <c r="AE69" s="106">
        <v>1</v>
      </c>
      <c r="AF69" s="106">
        <v>1</v>
      </c>
      <c r="AG69" s="106">
        <v>1</v>
      </c>
      <c r="AH69" s="106">
        <v>1</v>
      </c>
      <c r="AI69" s="106">
        <v>1</v>
      </c>
      <c r="AJ69" s="106">
        <v>1</v>
      </c>
      <c r="AK69" s="106">
        <v>1</v>
      </c>
      <c r="AL69" s="106">
        <v>1</v>
      </c>
      <c r="AM69" s="106">
        <v>1</v>
      </c>
      <c r="AN69" s="106">
        <v>1</v>
      </c>
    </row>
    <row r="70" spans="2:40" x14ac:dyDescent="0.25">
      <c r="B70" s="39" t="s">
        <v>305</v>
      </c>
      <c r="C70" s="12"/>
      <c r="E70" s="106">
        <v>0</v>
      </c>
      <c r="F70" s="106">
        <v>0</v>
      </c>
      <c r="G70" s="106">
        <v>0</v>
      </c>
      <c r="H70" s="106">
        <v>0</v>
      </c>
      <c r="I70" s="106">
        <v>0</v>
      </c>
      <c r="J70" s="106">
        <v>0</v>
      </c>
      <c r="K70" s="106">
        <v>0</v>
      </c>
      <c r="L70" s="106">
        <v>0</v>
      </c>
      <c r="M70" s="106">
        <v>0</v>
      </c>
      <c r="N70" s="106">
        <v>0</v>
      </c>
      <c r="O70" s="106">
        <v>0</v>
      </c>
      <c r="P70" s="106">
        <v>0</v>
      </c>
      <c r="Q70" s="106">
        <v>0</v>
      </c>
      <c r="R70" s="106">
        <v>0</v>
      </c>
      <c r="S70" s="106">
        <v>1</v>
      </c>
      <c r="T70" s="106">
        <v>1</v>
      </c>
      <c r="U70" s="106">
        <v>1</v>
      </c>
      <c r="V70" s="106">
        <v>1</v>
      </c>
      <c r="W70" s="106">
        <v>1</v>
      </c>
      <c r="X70" s="106">
        <v>1</v>
      </c>
      <c r="Y70" s="106">
        <v>1</v>
      </c>
      <c r="Z70" s="106">
        <v>1</v>
      </c>
      <c r="AA70" s="106">
        <v>1</v>
      </c>
      <c r="AB70" s="106">
        <v>1</v>
      </c>
      <c r="AC70" s="106">
        <v>1</v>
      </c>
      <c r="AD70" s="106">
        <v>1</v>
      </c>
      <c r="AE70" s="106">
        <v>1</v>
      </c>
      <c r="AF70" s="106">
        <v>1</v>
      </c>
      <c r="AG70" s="106">
        <v>1</v>
      </c>
      <c r="AH70" s="106">
        <v>1</v>
      </c>
      <c r="AI70" s="106">
        <v>1</v>
      </c>
      <c r="AJ70" s="106">
        <v>1</v>
      </c>
      <c r="AK70" s="106">
        <v>1</v>
      </c>
      <c r="AL70" s="106">
        <v>1</v>
      </c>
      <c r="AM70" s="106">
        <v>1</v>
      </c>
      <c r="AN70" s="106">
        <v>1</v>
      </c>
    </row>
    <row r="71" spans="2:40" x14ac:dyDescent="0.25">
      <c r="B71" s="39"/>
      <c r="C71" s="12"/>
    </row>
    <row r="72" spans="2:40" x14ac:dyDescent="0.25">
      <c r="B72" s="39" t="s">
        <v>23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0</v>
      </c>
      <c r="F72" s="12">
        <v>0</v>
      </c>
      <c r="G72" s="12">
        <v>0</v>
      </c>
      <c r="H72" s="12">
        <v>0</v>
      </c>
      <c r="I72" s="12">
        <v>0</v>
      </c>
      <c r="J72" s="12">
        <v>0</v>
      </c>
      <c r="K72" s="12">
        <v>1888.0685720098741</v>
      </c>
      <c r="L72" s="12">
        <v>1888.0685720098741</v>
      </c>
      <c r="M72" s="12">
        <v>1888.0685720098741</v>
      </c>
      <c r="N72" s="12">
        <v>2307.6393657898457</v>
      </c>
      <c r="O72" s="12">
        <v>2936.995556459804</v>
      </c>
      <c r="P72" s="12">
        <v>3566.3517471297637</v>
      </c>
      <c r="Q72" s="12">
        <v>4615.2787315796922</v>
      </c>
      <c r="R72" s="12">
        <v>20261.206604737665</v>
      </c>
      <c r="S72" s="12">
        <v>36137.898414474621</v>
      </c>
      <c r="T72" s="12">
        <v>36830.190224211576</v>
      </c>
      <c r="U72" s="12">
        <v>37522.48203394853</v>
      </c>
      <c r="V72" s="12">
        <v>38214.773843685478</v>
      </c>
      <c r="W72" s="12">
        <v>38907.06565342244</v>
      </c>
      <c r="X72" s="12">
        <v>39599.357463159387</v>
      </c>
      <c r="Y72" s="12">
        <v>39599.357463159387</v>
      </c>
      <c r="Z72" s="12">
        <v>39599.357463159387</v>
      </c>
      <c r="AA72" s="12">
        <v>39599.357463159387</v>
      </c>
      <c r="AB72" s="12">
        <v>39599.357463159387</v>
      </c>
      <c r="AC72" s="12">
        <v>43559.293209475334</v>
      </c>
      <c r="AD72" s="12">
        <v>43559.293209475334</v>
      </c>
      <c r="AE72" s="12">
        <v>43559.293209475334</v>
      </c>
      <c r="AF72" s="12">
        <v>43559.293209475334</v>
      </c>
      <c r="AG72" s="12">
        <v>43559.293209475334</v>
      </c>
      <c r="AH72" s="12">
        <v>43559.293209475334</v>
      </c>
      <c r="AI72" s="12">
        <v>43559.293209475334</v>
      </c>
      <c r="AJ72" s="12">
        <v>43559.293209475334</v>
      </c>
      <c r="AK72" s="12">
        <v>43559.293209475334</v>
      </c>
      <c r="AL72" s="12">
        <v>43559.293209475334</v>
      </c>
      <c r="AM72" s="12">
        <v>43559.293209475334</v>
      </c>
      <c r="AN72" s="12">
        <v>43559.293209475334</v>
      </c>
    </row>
    <row r="73" spans="2:40" x14ac:dyDescent="0.25">
      <c r="B73" s="39" t="s">
        <v>24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306</v>
      </c>
      <c r="E75" s="74" cm="1">
        <f t="array" ref="E75:AN75">_xlfn.ANCHORARRAY(E67)-_xlfn.ANCHORARRAY(E72)-_xlfn.ANCHORARRAY(E73)</f>
        <v>0</v>
      </c>
      <c r="F75" s="74">
        <v>0</v>
      </c>
      <c r="G75" s="74">
        <v>0</v>
      </c>
      <c r="H75" s="74">
        <v>0</v>
      </c>
      <c r="I75" s="74">
        <v>0</v>
      </c>
      <c r="J75" s="74">
        <v>0</v>
      </c>
      <c r="K75" s="74">
        <v>6481.4454698461268</v>
      </c>
      <c r="L75" s="74">
        <v>6481.4454698461268</v>
      </c>
      <c r="M75" s="74">
        <v>6481.4454698461268</v>
      </c>
      <c r="N75" s="74">
        <v>7921.7666853674837</v>
      </c>
      <c r="O75" s="74">
        <v>10082.248508649527</v>
      </c>
      <c r="P75" s="74">
        <v>12242.730331931569</v>
      </c>
      <c r="Q75" s="74">
        <v>14541.608964224037</v>
      </c>
      <c r="R75" s="74">
        <v>811.36986064643861</v>
      </c>
      <c r="S75" s="74">
        <v>-12191.78879471996</v>
      </c>
      <c r="T75" s="74">
        <v>-10010.547450086349</v>
      </c>
      <c r="U75" s="74">
        <v>-7829.3061054527461</v>
      </c>
      <c r="V75" s="74">
        <v>-5648.0647608191357</v>
      </c>
      <c r="W75" s="74">
        <v>-3466.8234161855362</v>
      </c>
      <c r="X75" s="74">
        <v>-1285.5820715519294</v>
      </c>
      <c r="Y75" s="74">
        <v>-1285.5820715519294</v>
      </c>
      <c r="Z75" s="74">
        <v>-1285.5820715519294</v>
      </c>
      <c r="AA75" s="74">
        <v>-1285.5820715519294</v>
      </c>
      <c r="AB75" s="74">
        <v>-1285.5820715519294</v>
      </c>
      <c r="AC75" s="74">
        <v>-5245.5178178678761</v>
      </c>
      <c r="AD75" s="74">
        <v>-5245.5178178678761</v>
      </c>
      <c r="AE75" s="74">
        <v>-5245.5178178678761</v>
      </c>
      <c r="AF75" s="74">
        <v>-5245.5178178678761</v>
      </c>
      <c r="AG75" s="74">
        <v>-5245.5178178678761</v>
      </c>
      <c r="AH75" s="74">
        <v>-5245.5178178678761</v>
      </c>
      <c r="AI75" s="74">
        <v>-5245.5178178678761</v>
      </c>
      <c r="AJ75" s="74">
        <v>-5245.5178178678761</v>
      </c>
      <c r="AK75" s="74">
        <v>-5245.5178178678761</v>
      </c>
      <c r="AL75" s="74">
        <v>-5245.5178178678761</v>
      </c>
      <c r="AM75" s="74">
        <v>-5245.5178178678761</v>
      </c>
      <c r="AN75" s="74">
        <v>-5245.5178178678761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F09E2A-A992-4DC0-A567-6075E682170A}">
  <dimension ref="A1:AX75"/>
  <sheetViews>
    <sheetView workbookViewId="0">
      <pane xSplit="4" ySplit="25" topLeftCell="E26" activePane="bottomRight" state="frozen"/>
      <selection activeCell="E63" sqref="E63:E65"/>
      <selection pane="topRight" activeCell="E63" sqref="E63:E65"/>
      <selection pane="bottomLeft" activeCell="E63" sqref="E63:E65"/>
      <selection pane="bottomRight" activeCell="E63" sqref="E63:E65"/>
    </sheetView>
  </sheetViews>
  <sheetFormatPr defaultRowHeight="15" outlineLevelRow="1" x14ac:dyDescent="0.25"/>
  <cols>
    <col min="2" max="2" width="24.5703125" bestFit="1" customWidth="1"/>
    <col min="3" max="3" width="10.7109375" bestFit="1" customWidth="1"/>
    <col min="4" max="4" width="10" bestFit="1" customWidth="1"/>
    <col min="5" max="5" width="11.42578125" bestFit="1" customWidth="1"/>
    <col min="6" max="6" width="11.7109375" bestFit="1" customWidth="1"/>
    <col min="7" max="13" width="12.28515625" bestFit="1" customWidth="1"/>
    <col min="14" max="18" width="11.5703125" bestFit="1" customWidth="1"/>
    <col min="19" max="40" width="12.5703125" bestFit="1" customWidth="1"/>
  </cols>
  <sheetData>
    <row r="1" spans="1:40" x14ac:dyDescent="0.25">
      <c r="A1" s="96" t="str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/>
      </c>
      <c r="B1" s="58" t="s">
        <v>78</v>
      </c>
      <c r="C1" s="16" t="s">
        <v>344</v>
      </c>
      <c r="D1" s="3" t="s">
        <v>307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IFERROR(_xlpm.kiddos,0))</f>
        <v>2</v>
      </c>
      <c r="F1" s="69">
        <v>4</v>
      </c>
      <c r="G1" s="69">
        <v>7</v>
      </c>
      <c r="H1" s="69">
        <v>9</v>
      </c>
      <c r="I1" s="69">
        <v>11</v>
      </c>
      <c r="J1" s="69">
        <v>14</v>
      </c>
      <c r="K1" s="69">
        <v>16</v>
      </c>
      <c r="L1" s="69">
        <v>18</v>
      </c>
      <c r="M1" s="69">
        <v>21</v>
      </c>
      <c r="N1" s="69">
        <v>23</v>
      </c>
      <c r="O1" s="69">
        <v>25</v>
      </c>
      <c r="P1" s="69">
        <v>28</v>
      </c>
      <c r="Q1" s="69">
        <v>28</v>
      </c>
      <c r="R1" s="69">
        <v>28</v>
      </c>
      <c r="S1" s="69">
        <v>28</v>
      </c>
      <c r="T1" s="69">
        <v>28</v>
      </c>
      <c r="U1" s="69">
        <v>28</v>
      </c>
      <c r="V1" s="69">
        <v>28</v>
      </c>
      <c r="W1" s="69">
        <v>28</v>
      </c>
      <c r="X1" s="69">
        <v>28</v>
      </c>
      <c r="Y1" s="69">
        <v>28</v>
      </c>
      <c r="Z1" s="69">
        <v>28</v>
      </c>
      <c r="AA1" s="69">
        <v>28</v>
      </c>
      <c r="AB1" s="69">
        <v>28</v>
      </c>
      <c r="AC1" s="69">
        <v>28</v>
      </c>
      <c r="AD1" s="69">
        <v>28</v>
      </c>
      <c r="AE1" s="69">
        <v>28</v>
      </c>
      <c r="AF1" s="69">
        <v>28</v>
      </c>
      <c r="AG1" s="69">
        <v>28</v>
      </c>
      <c r="AH1" s="69">
        <v>28</v>
      </c>
      <c r="AI1" s="69">
        <v>28</v>
      </c>
      <c r="AJ1" s="69">
        <v>28</v>
      </c>
      <c r="AK1" s="69">
        <v>28</v>
      </c>
      <c r="AL1" s="69">
        <v>28</v>
      </c>
      <c r="AM1" s="69">
        <v>28</v>
      </c>
      <c r="AN1" s="69">
        <v>28</v>
      </c>
    </row>
    <row r="2" spans="1:40" x14ac:dyDescent="0.25">
      <c r="A2" s="65"/>
      <c r="B2" s="3" t="str">
        <f>_xlfn.XLOOKUP($B$1&amp;"-"&amp;$C$1,Base!$D$4:$BD$4,Base!$D$2:$BD$2,"",0)</f>
        <v>Maryland</v>
      </c>
      <c r="C2" s="55"/>
      <c r="D2" s="55" t="s">
        <v>259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0</v>
      </c>
      <c r="F2" s="69">
        <v>2.5</v>
      </c>
      <c r="G2" s="69">
        <v>2.666666666666667</v>
      </c>
      <c r="H2" s="69">
        <v>2.8333333333333335</v>
      </c>
      <c r="I2" s="69">
        <v>3</v>
      </c>
      <c r="J2" s="69">
        <v>3.166666666666667</v>
      </c>
      <c r="K2" s="69">
        <v>3.3333333333333335</v>
      </c>
      <c r="L2" s="69">
        <v>3.5</v>
      </c>
      <c r="M2" s="69">
        <v>3.666666666666667</v>
      </c>
      <c r="N2" s="69">
        <v>3.8333333333333335</v>
      </c>
      <c r="O2" s="69">
        <v>4</v>
      </c>
      <c r="P2" s="69">
        <v>1.8333333333333333</v>
      </c>
      <c r="Q2" s="69">
        <v>2</v>
      </c>
      <c r="R2" s="69">
        <v>2.1666666666666665</v>
      </c>
      <c r="S2" s="69">
        <v>2.3333333333333335</v>
      </c>
      <c r="T2" s="69">
        <v>2.5</v>
      </c>
      <c r="U2" s="69">
        <v>2.6666666666666665</v>
      </c>
      <c r="V2" s="69">
        <v>2.8333333333333335</v>
      </c>
      <c r="W2" s="69">
        <v>3</v>
      </c>
      <c r="X2" s="69">
        <v>3.1666666666666665</v>
      </c>
      <c r="Y2" s="69">
        <v>3.3333333333333335</v>
      </c>
      <c r="Z2" s="69">
        <v>3.5</v>
      </c>
      <c r="AA2" s="69">
        <v>3.6666666666666665</v>
      </c>
      <c r="AB2" s="69">
        <v>3.8333333333333335</v>
      </c>
      <c r="AC2" s="69">
        <v>4</v>
      </c>
      <c r="AD2" s="69">
        <v>4</v>
      </c>
      <c r="AE2" s="69">
        <v>4</v>
      </c>
      <c r="AF2" s="69">
        <v>4</v>
      </c>
      <c r="AG2" s="69">
        <v>4</v>
      </c>
      <c r="AH2" s="69">
        <v>4</v>
      </c>
      <c r="AI2" s="69">
        <v>4</v>
      </c>
      <c r="AJ2" s="69">
        <v>4</v>
      </c>
      <c r="AK2" s="69">
        <v>4</v>
      </c>
      <c r="AL2" s="69">
        <v>4</v>
      </c>
      <c r="AM2" s="69">
        <v>4</v>
      </c>
      <c r="AN2" s="69">
        <v>4</v>
      </c>
    </row>
    <row r="3" spans="1:40" x14ac:dyDescent="0.25">
      <c r="A3" s="65"/>
      <c r="B3" s="55"/>
      <c r="C3" s="55"/>
      <c r="D3" s="55" t="s">
        <v>62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_xlpm.months_since,DATEDIF(_xlpm.launchdate,_xlfn.ANCHORARRAY($E$25),"m"),_xlfn.BYCOL(_xlpm.months_since,_xlfn.LAMBDA(_xlpm.a,IFERROR(MIN(_xlpm.a/6,_xlpm.max_kiddos),0))))</f>
        <v>0</v>
      </c>
      <c r="F3" s="69">
        <v>0.16666666666666666</v>
      </c>
      <c r="G3" s="69">
        <v>0.33333333333333331</v>
      </c>
      <c r="H3" s="69">
        <v>0.5</v>
      </c>
      <c r="I3" s="69">
        <v>0.66666666666666663</v>
      </c>
      <c r="J3" s="69">
        <v>0.83333333333333337</v>
      </c>
      <c r="K3" s="69">
        <v>1</v>
      </c>
      <c r="L3" s="69">
        <v>1.1666666666666667</v>
      </c>
      <c r="M3" s="69">
        <v>1.3333333333333333</v>
      </c>
      <c r="N3" s="69">
        <v>1.5</v>
      </c>
      <c r="O3" s="69">
        <v>1.6666666666666667</v>
      </c>
      <c r="P3" s="69">
        <v>1.8333333333333333</v>
      </c>
      <c r="Q3" s="69">
        <v>2</v>
      </c>
      <c r="R3" s="69">
        <v>2.1666666666666665</v>
      </c>
      <c r="S3" s="69">
        <v>2.3333333333333335</v>
      </c>
      <c r="T3" s="69">
        <v>2.5</v>
      </c>
      <c r="U3" s="69">
        <v>2.6666666666666665</v>
      </c>
      <c r="V3" s="69">
        <v>2.8333333333333335</v>
      </c>
      <c r="W3" s="69">
        <v>3</v>
      </c>
      <c r="X3" s="69">
        <v>3.1666666666666665</v>
      </c>
      <c r="Y3" s="69">
        <v>3.3333333333333335</v>
      </c>
      <c r="Z3" s="69">
        <v>3.5</v>
      </c>
      <c r="AA3" s="69">
        <v>3.6666666666666665</v>
      </c>
      <c r="AB3" s="69">
        <v>3.8333333333333335</v>
      </c>
      <c r="AC3" s="69">
        <v>4</v>
      </c>
      <c r="AD3" s="69">
        <v>4</v>
      </c>
      <c r="AE3" s="69">
        <v>4</v>
      </c>
      <c r="AF3" s="69">
        <v>4</v>
      </c>
      <c r="AG3" s="69">
        <v>4</v>
      </c>
      <c r="AH3" s="69">
        <v>4</v>
      </c>
      <c r="AI3" s="69">
        <v>4</v>
      </c>
      <c r="AJ3" s="69">
        <v>4</v>
      </c>
      <c r="AK3" s="69">
        <v>4</v>
      </c>
      <c r="AL3" s="69">
        <v>4</v>
      </c>
      <c r="AM3" s="69">
        <v>4</v>
      </c>
      <c r="AN3" s="69">
        <v>4</v>
      </c>
    </row>
    <row r="4" spans="1:40" x14ac:dyDescent="0.25">
      <c r="A4" s="65"/>
      <c r="B4" s="55"/>
      <c r="C4" s="55"/>
      <c r="D4" s="55" t="s">
        <v>260</v>
      </c>
      <c r="E4" s="69" cm="1">
        <f t="array" ref="E4:AN4">_xlfn.BYCOL(_xlfn.VSTACK(_xlfn.ANCHORARRAY($E$1),_xlfn.ANCHORARRAY($E$2)),_xlfn.LAMBDA(_xlpm.a,SUM(_xlpm.a)))</f>
        <v>2</v>
      </c>
      <c r="F4" s="69">
        <v>6.5</v>
      </c>
      <c r="G4" s="69">
        <v>9.6666666666666679</v>
      </c>
      <c r="H4" s="69">
        <v>11.833333333333334</v>
      </c>
      <c r="I4" s="69">
        <v>14</v>
      </c>
      <c r="J4" s="69">
        <v>17.166666666666668</v>
      </c>
      <c r="K4" s="69">
        <v>19.333333333333332</v>
      </c>
      <c r="L4" s="69">
        <v>21.5</v>
      </c>
      <c r="M4" s="69">
        <v>24.666666666666668</v>
      </c>
      <c r="N4" s="69">
        <v>26.833333333333332</v>
      </c>
      <c r="O4" s="69">
        <v>29</v>
      </c>
      <c r="P4" s="69">
        <v>29.833333333333332</v>
      </c>
      <c r="Q4" s="69">
        <v>30</v>
      </c>
      <c r="R4" s="69">
        <v>30.166666666666668</v>
      </c>
      <c r="S4" s="69">
        <v>30.333333333333332</v>
      </c>
      <c r="T4" s="69">
        <v>30.5</v>
      </c>
      <c r="U4" s="69">
        <v>30.666666666666668</v>
      </c>
      <c r="V4" s="69">
        <v>30.833333333333332</v>
      </c>
      <c r="W4" s="69">
        <v>31</v>
      </c>
      <c r="X4" s="69">
        <v>31.166666666666668</v>
      </c>
      <c r="Y4" s="69">
        <v>31.333333333333332</v>
      </c>
      <c r="Z4" s="69">
        <v>31.5</v>
      </c>
      <c r="AA4" s="69">
        <v>31.666666666666668</v>
      </c>
      <c r="AB4" s="69">
        <v>31.833333333333332</v>
      </c>
      <c r="AC4" s="69">
        <v>32</v>
      </c>
      <c r="AD4" s="69">
        <v>32</v>
      </c>
      <c r="AE4" s="69">
        <v>32</v>
      </c>
      <c r="AF4" s="69">
        <v>32</v>
      </c>
      <c r="AG4" s="69">
        <v>32</v>
      </c>
      <c r="AH4" s="69">
        <v>32</v>
      </c>
      <c r="AI4" s="69">
        <v>32</v>
      </c>
      <c r="AJ4" s="69">
        <v>32</v>
      </c>
      <c r="AK4" s="69">
        <v>32</v>
      </c>
      <c r="AL4" s="69">
        <v>32</v>
      </c>
      <c r="AM4" s="69">
        <v>32</v>
      </c>
      <c r="AN4" s="69">
        <v>32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107</v>
      </c>
      <c r="C6" s="3"/>
      <c r="D6" s="3"/>
      <c r="E6" s="66" cm="1">
        <f t="array" ref="E6:AN6">ROUND(_xlfn.BYCOL(_xlfn.ANCHORARRAY(E7),_xlfn.LAMBDA(_xlpm.a,SUM(_xlpm.a))),0)</f>
        <v>2</v>
      </c>
      <c r="F6" s="66">
        <v>5</v>
      </c>
      <c r="G6" s="66">
        <v>7</v>
      </c>
      <c r="H6" s="66">
        <v>8</v>
      </c>
      <c r="I6" s="66">
        <v>9</v>
      </c>
      <c r="J6" s="66">
        <v>11</v>
      </c>
      <c r="K6" s="66">
        <v>13</v>
      </c>
      <c r="L6" s="66">
        <v>14</v>
      </c>
      <c r="M6" s="66">
        <v>16</v>
      </c>
      <c r="N6" s="66">
        <v>17</v>
      </c>
      <c r="O6" s="66">
        <v>18</v>
      </c>
      <c r="P6" s="66">
        <v>20</v>
      </c>
      <c r="Q6" s="66">
        <v>20</v>
      </c>
      <c r="R6" s="66">
        <v>20</v>
      </c>
      <c r="S6" s="66">
        <v>20</v>
      </c>
      <c r="T6" s="66">
        <v>20</v>
      </c>
      <c r="U6" s="66">
        <v>20</v>
      </c>
      <c r="V6" s="66">
        <v>20</v>
      </c>
      <c r="W6" s="66">
        <v>20</v>
      </c>
      <c r="X6" s="66">
        <v>20</v>
      </c>
      <c r="Y6" s="66">
        <v>20</v>
      </c>
      <c r="Z6" s="66">
        <v>20</v>
      </c>
      <c r="AA6" s="66">
        <v>20</v>
      </c>
      <c r="AB6" s="66">
        <v>20</v>
      </c>
      <c r="AC6" s="66">
        <v>20</v>
      </c>
      <c r="AD6" s="66">
        <v>20</v>
      </c>
      <c r="AE6" s="66">
        <v>20</v>
      </c>
      <c r="AF6" s="66">
        <v>20</v>
      </c>
      <c r="AG6" s="66">
        <v>20</v>
      </c>
      <c r="AH6" s="66">
        <v>20</v>
      </c>
      <c r="AI6" s="66">
        <v>20</v>
      </c>
      <c r="AJ6" s="66">
        <v>20</v>
      </c>
      <c r="AK6" s="66">
        <v>20</v>
      </c>
      <c r="AL6" s="66">
        <v>20</v>
      </c>
      <c r="AM6" s="66">
        <v>20</v>
      </c>
      <c r="AN6" s="66">
        <v>20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1"/>
      <c r="E7" s="106" cm="1">
        <f t="array" ref="E7:AN20">_xlfn.LET(_xlpm.Customer_staff,_xlfn._xlws.FILTER(Base!$D$85:$BD$98,ISNUMBER(SEARCH($B$1&amp;"-"&amp;$C$1,Base!$D$4:$BD$4))),_xlpm.Customer,_xlfn.ANCHORARRAY($E$1),_xlpm.headcount,_xlpm.Customer/_xlpm.Customer_staff,
_xlpm.patient_staff,_xlfn.ANCHORARRAY($E$2)/_xlpm.Customer_staff,_xlpm.prim_staff_tr_rec,_xlfn.ANCHORARRAY($E$2)/_xlfn.CHOOSEROWS(_xlpm.Customer_staff,{7,8})+(_xlfn.ANCHORARRAY($E$1)*0.0055),_xlpm.rounding,_xlfn.VSTACK(2,2,0,0,2,2,2,2,2,2,2,0,0,0),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prim_staff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0.91</v>
      </c>
      <c r="F7" s="106">
        <v>1.81</v>
      </c>
      <c r="G7" s="106">
        <v>3.1599999999999997</v>
      </c>
      <c r="H7" s="106">
        <v>4.0599999999999996</v>
      </c>
      <c r="I7" s="106">
        <v>4.97</v>
      </c>
      <c r="J7" s="106">
        <v>6.3199999999999994</v>
      </c>
      <c r="K7" s="106">
        <v>7.22</v>
      </c>
      <c r="L7" s="106">
        <v>8.1199999999999992</v>
      </c>
      <c r="M7" s="106">
        <v>9.48</v>
      </c>
      <c r="N7" s="106">
        <v>10.379999999999999</v>
      </c>
      <c r="O7" s="106">
        <v>11.28</v>
      </c>
      <c r="P7" s="106">
        <v>12.629999999999999</v>
      </c>
      <c r="Q7" s="106">
        <v>12.629999999999999</v>
      </c>
      <c r="R7" s="106">
        <v>12.629999999999999</v>
      </c>
      <c r="S7" s="106">
        <v>12.629999999999999</v>
      </c>
      <c r="T7" s="106">
        <v>12.629999999999999</v>
      </c>
      <c r="U7" s="106">
        <v>12.629999999999999</v>
      </c>
      <c r="V7" s="106">
        <v>12.629999999999999</v>
      </c>
      <c r="W7" s="106">
        <v>12.629999999999999</v>
      </c>
      <c r="X7" s="106">
        <v>12.629999999999999</v>
      </c>
      <c r="Y7" s="106">
        <v>12.629999999999999</v>
      </c>
      <c r="Z7" s="106">
        <v>12.629999999999999</v>
      </c>
      <c r="AA7" s="106">
        <v>12.629999999999999</v>
      </c>
      <c r="AB7" s="106">
        <v>12.629999999999999</v>
      </c>
      <c r="AC7" s="106">
        <v>12.629999999999999</v>
      </c>
      <c r="AD7" s="106">
        <v>12.629999999999999</v>
      </c>
      <c r="AE7" s="106">
        <v>12.629999999999999</v>
      </c>
      <c r="AF7" s="106">
        <v>12.629999999999999</v>
      </c>
      <c r="AG7" s="106">
        <v>12.629999999999999</v>
      </c>
      <c r="AH7" s="106">
        <v>12.629999999999999</v>
      </c>
      <c r="AI7" s="106">
        <v>12.629999999999999</v>
      </c>
      <c r="AJ7" s="106">
        <v>12.629999999999999</v>
      </c>
      <c r="AK7" s="106">
        <v>12.629999999999999</v>
      </c>
      <c r="AL7" s="106">
        <v>12.629999999999999</v>
      </c>
      <c r="AM7" s="106">
        <v>12.629999999999999</v>
      </c>
      <c r="AN7" s="106">
        <v>12.629999999999999</v>
      </c>
    </row>
    <row r="8" spans="1:40" hidden="1" outlineLevel="1" x14ac:dyDescent="0.25">
      <c r="B8" s="39" t="str">
        <v>Secondary Direct Staff</v>
      </c>
      <c r="C8" s="3"/>
      <c r="D8" s="3"/>
      <c r="E8" s="106">
        <v>0.29000000000000004</v>
      </c>
      <c r="F8" s="106">
        <v>0.57999999999999996</v>
      </c>
      <c r="G8" s="106">
        <v>1</v>
      </c>
      <c r="H8" s="106">
        <v>1.29</v>
      </c>
      <c r="I8" s="106">
        <v>1.58</v>
      </c>
      <c r="J8" s="106">
        <v>2</v>
      </c>
      <c r="K8" s="106">
        <v>2.2899999999999996</v>
      </c>
      <c r="L8" s="106">
        <v>2.5799999999999996</v>
      </c>
      <c r="M8" s="106">
        <v>3</v>
      </c>
      <c r="N8" s="106">
        <v>3.2899999999999996</v>
      </c>
      <c r="O8" s="106">
        <v>3.5799999999999996</v>
      </c>
      <c r="P8" s="106">
        <v>4</v>
      </c>
      <c r="Q8" s="106">
        <v>4</v>
      </c>
      <c r="R8" s="106">
        <v>4</v>
      </c>
      <c r="S8" s="106">
        <v>4</v>
      </c>
      <c r="T8" s="106">
        <v>4</v>
      </c>
      <c r="U8" s="106">
        <v>4</v>
      </c>
      <c r="V8" s="106">
        <v>4</v>
      </c>
      <c r="W8" s="106">
        <v>4</v>
      </c>
      <c r="X8" s="106">
        <v>4</v>
      </c>
      <c r="Y8" s="106">
        <v>4</v>
      </c>
      <c r="Z8" s="106">
        <v>4</v>
      </c>
      <c r="AA8" s="106">
        <v>4</v>
      </c>
      <c r="AB8" s="106">
        <v>4</v>
      </c>
      <c r="AC8" s="106">
        <v>4</v>
      </c>
      <c r="AD8" s="106">
        <v>4</v>
      </c>
      <c r="AE8" s="106">
        <v>4</v>
      </c>
      <c r="AF8" s="106">
        <v>4</v>
      </c>
      <c r="AG8" s="106">
        <v>4</v>
      </c>
      <c r="AH8" s="106">
        <v>4</v>
      </c>
      <c r="AI8" s="106">
        <v>4</v>
      </c>
      <c r="AJ8" s="106">
        <v>4</v>
      </c>
      <c r="AK8" s="106">
        <v>4</v>
      </c>
      <c r="AL8" s="106">
        <v>4</v>
      </c>
      <c r="AM8" s="106">
        <v>4</v>
      </c>
      <c r="AN8" s="106">
        <v>4</v>
      </c>
    </row>
    <row r="9" spans="1:40" hidden="1" outlineLevel="1" x14ac:dyDescent="0.25">
      <c r="B9" s="39" t="str">
        <v>Center Manager</v>
      </c>
      <c r="C9" s="3"/>
      <c r="D9" s="3"/>
      <c r="E9" s="106">
        <v>1</v>
      </c>
      <c r="F9" s="106">
        <v>1</v>
      </c>
      <c r="G9" s="106">
        <v>1</v>
      </c>
      <c r="H9" s="106">
        <v>1</v>
      </c>
      <c r="I9" s="106">
        <v>1</v>
      </c>
      <c r="J9" s="106">
        <v>1</v>
      </c>
      <c r="K9" s="106">
        <v>1</v>
      </c>
      <c r="L9" s="106">
        <v>1</v>
      </c>
      <c r="M9" s="106">
        <v>1</v>
      </c>
      <c r="N9" s="106">
        <v>1</v>
      </c>
      <c r="O9" s="106">
        <v>1</v>
      </c>
      <c r="P9" s="106">
        <v>1</v>
      </c>
      <c r="Q9" s="106">
        <v>1</v>
      </c>
      <c r="R9" s="106">
        <v>1</v>
      </c>
      <c r="S9" s="106">
        <v>1</v>
      </c>
      <c r="T9" s="106">
        <v>1</v>
      </c>
      <c r="U9" s="106">
        <v>1</v>
      </c>
      <c r="V9" s="106">
        <v>1</v>
      </c>
      <c r="W9" s="106">
        <v>1</v>
      </c>
      <c r="X9" s="106">
        <v>1</v>
      </c>
      <c r="Y9" s="106">
        <v>1</v>
      </c>
      <c r="Z9" s="106">
        <v>1</v>
      </c>
      <c r="AA9" s="106">
        <v>1</v>
      </c>
      <c r="AB9" s="106">
        <v>1</v>
      </c>
      <c r="AC9" s="106">
        <v>1</v>
      </c>
      <c r="AD9" s="106">
        <v>1</v>
      </c>
      <c r="AE9" s="106">
        <v>1</v>
      </c>
      <c r="AF9" s="106">
        <v>1</v>
      </c>
      <c r="AG9" s="106">
        <v>1</v>
      </c>
      <c r="AH9" s="106">
        <v>1</v>
      </c>
      <c r="AI9" s="106">
        <v>1</v>
      </c>
      <c r="AJ9" s="106">
        <v>1</v>
      </c>
      <c r="AK9" s="106">
        <v>1</v>
      </c>
      <c r="AL9" s="106">
        <v>1</v>
      </c>
      <c r="AM9" s="106">
        <v>1</v>
      </c>
      <c r="AN9" s="106">
        <v>1</v>
      </c>
    </row>
    <row r="10" spans="1:40" hidden="1" outlineLevel="1" x14ac:dyDescent="0.25">
      <c r="B10" s="39" t="str">
        <v>Intake</v>
      </c>
      <c r="C10" s="3"/>
      <c r="D10" s="3"/>
      <c r="E10" s="106">
        <v>0</v>
      </c>
      <c r="F10" s="106">
        <v>1</v>
      </c>
      <c r="G10" s="106">
        <v>1</v>
      </c>
      <c r="H10" s="106">
        <v>1</v>
      </c>
      <c r="I10" s="106">
        <v>1</v>
      </c>
      <c r="J10" s="106">
        <v>1</v>
      </c>
      <c r="K10" s="106">
        <v>1</v>
      </c>
      <c r="L10" s="106">
        <v>1</v>
      </c>
      <c r="M10" s="106">
        <v>1</v>
      </c>
      <c r="N10" s="106">
        <v>1</v>
      </c>
      <c r="O10" s="106">
        <v>1</v>
      </c>
      <c r="P10" s="106">
        <v>1</v>
      </c>
      <c r="Q10" s="106">
        <v>1</v>
      </c>
      <c r="R10" s="106">
        <v>1</v>
      </c>
      <c r="S10" s="106">
        <v>1</v>
      </c>
      <c r="T10" s="106">
        <v>1</v>
      </c>
      <c r="U10" s="106">
        <v>1</v>
      </c>
      <c r="V10" s="106">
        <v>1</v>
      </c>
      <c r="W10" s="106">
        <v>1</v>
      </c>
      <c r="X10" s="106">
        <v>1</v>
      </c>
      <c r="Y10" s="106">
        <v>1</v>
      </c>
      <c r="Z10" s="106">
        <v>1</v>
      </c>
      <c r="AA10" s="106">
        <v>1</v>
      </c>
      <c r="AB10" s="106">
        <v>1</v>
      </c>
      <c r="AC10" s="106">
        <v>1</v>
      </c>
      <c r="AD10" s="106">
        <v>1</v>
      </c>
      <c r="AE10" s="106">
        <v>1</v>
      </c>
      <c r="AF10" s="106">
        <v>1</v>
      </c>
      <c r="AG10" s="106">
        <v>1</v>
      </c>
      <c r="AH10" s="106">
        <v>1</v>
      </c>
      <c r="AI10" s="106">
        <v>1</v>
      </c>
      <c r="AJ10" s="106">
        <v>1</v>
      </c>
      <c r="AK10" s="106">
        <v>1</v>
      </c>
      <c r="AL10" s="106">
        <v>1</v>
      </c>
      <c r="AM10" s="106">
        <v>1</v>
      </c>
      <c r="AN10" s="106">
        <v>1</v>
      </c>
    </row>
    <row r="11" spans="1:40" hidden="1" outlineLevel="1" x14ac:dyDescent="0.25">
      <c r="B11" s="39" t="str">
        <v>Scheduler</v>
      </c>
      <c r="C11" s="3"/>
      <c r="D11" s="3"/>
      <c r="E11" s="106">
        <v>0</v>
      </c>
      <c r="F11" s="106">
        <v>0</v>
      </c>
      <c r="G11" s="106">
        <v>0</v>
      </c>
      <c r="H11" s="106">
        <v>0</v>
      </c>
      <c r="I11" s="106">
        <v>0</v>
      </c>
      <c r="J11" s="106">
        <v>0</v>
      </c>
      <c r="K11" s="106">
        <v>0</v>
      </c>
      <c r="L11" s="106">
        <v>0</v>
      </c>
      <c r="M11" s="106">
        <v>0</v>
      </c>
      <c r="N11" s="106">
        <v>0</v>
      </c>
      <c r="O11" s="106">
        <v>0</v>
      </c>
      <c r="P11" s="106">
        <v>0</v>
      </c>
      <c r="Q11" s="106">
        <v>0</v>
      </c>
      <c r="R11" s="106">
        <v>0</v>
      </c>
      <c r="S11" s="106">
        <v>0</v>
      </c>
      <c r="T11" s="106">
        <v>0</v>
      </c>
      <c r="U11" s="106">
        <v>0</v>
      </c>
      <c r="V11" s="106">
        <v>0</v>
      </c>
      <c r="W11" s="106">
        <v>0</v>
      </c>
      <c r="X11" s="106">
        <v>0</v>
      </c>
      <c r="Y11" s="106">
        <v>0</v>
      </c>
      <c r="Z11" s="106">
        <v>0</v>
      </c>
      <c r="AA11" s="106">
        <v>0</v>
      </c>
      <c r="AB11" s="106">
        <v>0</v>
      </c>
      <c r="AC11" s="106">
        <v>0</v>
      </c>
      <c r="AD11" s="106">
        <v>0</v>
      </c>
      <c r="AE11" s="106">
        <v>0</v>
      </c>
      <c r="AF11" s="106">
        <v>0</v>
      </c>
      <c r="AG11" s="106">
        <v>0</v>
      </c>
      <c r="AH11" s="106">
        <v>0</v>
      </c>
      <c r="AI11" s="106">
        <v>0</v>
      </c>
      <c r="AJ11" s="106">
        <v>0</v>
      </c>
      <c r="AK11" s="106">
        <v>0</v>
      </c>
      <c r="AL11" s="106">
        <v>0</v>
      </c>
      <c r="AM11" s="106">
        <v>0</v>
      </c>
      <c r="AN11" s="106">
        <v>0</v>
      </c>
    </row>
    <row r="12" spans="1:40" hidden="1" outlineLevel="1" x14ac:dyDescent="0.25">
      <c r="B12" s="39" t="str">
        <v>Initial Consultation Expert</v>
      </c>
      <c r="C12" s="3"/>
      <c r="D12" s="3"/>
      <c r="E12" s="106">
        <v>0</v>
      </c>
      <c r="F12" s="106">
        <v>0.2</v>
      </c>
      <c r="G12" s="106">
        <v>0.21000000000000002</v>
      </c>
      <c r="H12" s="106">
        <v>0.22</v>
      </c>
      <c r="I12" s="106">
        <v>0.24000000000000002</v>
      </c>
      <c r="J12" s="106">
        <v>0.25</v>
      </c>
      <c r="K12" s="106">
        <v>0.26</v>
      </c>
      <c r="L12" s="106">
        <v>0.27</v>
      </c>
      <c r="M12" s="106">
        <v>0.29000000000000004</v>
      </c>
      <c r="N12" s="106">
        <v>0.3</v>
      </c>
      <c r="O12" s="106">
        <v>0.31</v>
      </c>
      <c r="P12" s="106">
        <v>0.15000000000000002</v>
      </c>
      <c r="Q12" s="106">
        <v>0.16</v>
      </c>
      <c r="R12" s="106">
        <v>0.17</v>
      </c>
      <c r="S12" s="106">
        <v>0.18000000000000002</v>
      </c>
      <c r="T12" s="106">
        <v>0.2</v>
      </c>
      <c r="U12" s="106">
        <v>0.21000000000000002</v>
      </c>
      <c r="V12" s="106">
        <v>0.22</v>
      </c>
      <c r="W12" s="106">
        <v>0.24000000000000002</v>
      </c>
      <c r="X12" s="106">
        <v>0.25</v>
      </c>
      <c r="Y12" s="106">
        <v>0.26</v>
      </c>
      <c r="Z12" s="106">
        <v>0.27</v>
      </c>
      <c r="AA12" s="106">
        <v>0.29000000000000004</v>
      </c>
      <c r="AB12" s="106">
        <v>0.3</v>
      </c>
      <c r="AC12" s="106">
        <v>0.31</v>
      </c>
      <c r="AD12" s="106">
        <v>0.31</v>
      </c>
      <c r="AE12" s="106">
        <v>0.31</v>
      </c>
      <c r="AF12" s="106">
        <v>0.31</v>
      </c>
      <c r="AG12" s="106">
        <v>0.31</v>
      </c>
      <c r="AH12" s="106">
        <v>0.31</v>
      </c>
      <c r="AI12" s="106">
        <v>0.31</v>
      </c>
      <c r="AJ12" s="106">
        <v>0.31</v>
      </c>
      <c r="AK12" s="106">
        <v>0.31</v>
      </c>
      <c r="AL12" s="106">
        <v>0.31</v>
      </c>
      <c r="AM12" s="106">
        <v>0.31</v>
      </c>
      <c r="AN12" s="106">
        <v>0.31</v>
      </c>
    </row>
    <row r="13" spans="1:40" hidden="1" outlineLevel="1" x14ac:dyDescent="0.25">
      <c r="B13" s="39" t="str">
        <v>Trainer</v>
      </c>
      <c r="C13" s="3"/>
      <c r="D13" s="3"/>
      <c r="E13" s="106">
        <v>0.02</v>
      </c>
      <c r="F13" s="106">
        <v>0.28000000000000003</v>
      </c>
      <c r="G13" s="106">
        <v>0.31</v>
      </c>
      <c r="H13" s="106">
        <v>0.34</v>
      </c>
      <c r="I13" s="106">
        <v>0.37</v>
      </c>
      <c r="J13" s="106">
        <v>0.4</v>
      </c>
      <c r="K13" s="106">
        <v>0.43</v>
      </c>
      <c r="L13" s="106">
        <v>0.45</v>
      </c>
      <c r="M13" s="106">
        <v>0.49</v>
      </c>
      <c r="N13" s="106">
        <v>0.51</v>
      </c>
      <c r="O13" s="106">
        <v>0.54</v>
      </c>
      <c r="P13" s="106">
        <v>0.34</v>
      </c>
      <c r="Q13" s="106">
        <v>0.36</v>
      </c>
      <c r="R13" s="106">
        <v>0.38</v>
      </c>
      <c r="S13" s="106">
        <v>0.39</v>
      </c>
      <c r="T13" s="106">
        <v>0.41000000000000003</v>
      </c>
      <c r="U13" s="106">
        <v>0.43</v>
      </c>
      <c r="V13" s="106">
        <v>0.44</v>
      </c>
      <c r="W13" s="106">
        <v>0.46</v>
      </c>
      <c r="X13" s="106">
        <v>0.48</v>
      </c>
      <c r="Y13" s="106">
        <v>0.49</v>
      </c>
      <c r="Z13" s="106">
        <v>0.51</v>
      </c>
      <c r="AA13" s="106">
        <v>0.53</v>
      </c>
      <c r="AB13" s="106">
        <v>0.54</v>
      </c>
      <c r="AC13" s="106">
        <v>0.56000000000000005</v>
      </c>
      <c r="AD13" s="106">
        <v>0.56000000000000005</v>
      </c>
      <c r="AE13" s="106">
        <v>0.56000000000000005</v>
      </c>
      <c r="AF13" s="106">
        <v>0.56000000000000005</v>
      </c>
      <c r="AG13" s="106">
        <v>0.56000000000000005</v>
      </c>
      <c r="AH13" s="106">
        <v>0.56000000000000005</v>
      </c>
      <c r="AI13" s="106">
        <v>0.56000000000000005</v>
      </c>
      <c r="AJ13" s="106">
        <v>0.56000000000000005</v>
      </c>
      <c r="AK13" s="106">
        <v>0.56000000000000005</v>
      </c>
      <c r="AL13" s="106">
        <v>0.56000000000000005</v>
      </c>
      <c r="AM13" s="106">
        <v>0.56000000000000005</v>
      </c>
      <c r="AN13" s="106">
        <v>0.56000000000000005</v>
      </c>
    </row>
    <row r="14" spans="1:40" hidden="1" outlineLevel="1" x14ac:dyDescent="0.25">
      <c r="B14" s="39" t="str">
        <v>Recruiter</v>
      </c>
      <c r="C14" s="3"/>
      <c r="D14" s="3"/>
      <c r="E14" s="106">
        <v>0.02</v>
      </c>
      <c r="F14" s="106">
        <v>0.15000000000000002</v>
      </c>
      <c r="G14" s="106">
        <v>0.18000000000000002</v>
      </c>
      <c r="H14" s="106">
        <v>0.2</v>
      </c>
      <c r="I14" s="106">
        <v>0.22</v>
      </c>
      <c r="J14" s="106">
        <v>0.24000000000000002</v>
      </c>
      <c r="K14" s="106">
        <v>0.26</v>
      </c>
      <c r="L14" s="106">
        <v>0.28000000000000003</v>
      </c>
      <c r="M14" s="106">
        <v>0.3</v>
      </c>
      <c r="N14" s="106">
        <v>0.32</v>
      </c>
      <c r="O14" s="106">
        <v>0.34</v>
      </c>
      <c r="P14" s="106">
        <v>0.25</v>
      </c>
      <c r="Q14" s="106">
        <v>0.26</v>
      </c>
      <c r="R14" s="106">
        <v>0.27</v>
      </c>
      <c r="S14" s="106">
        <v>0.28000000000000003</v>
      </c>
      <c r="T14" s="106">
        <v>0.28000000000000003</v>
      </c>
      <c r="U14" s="106">
        <v>0.29000000000000004</v>
      </c>
      <c r="V14" s="106">
        <v>0.3</v>
      </c>
      <c r="W14" s="106">
        <v>0.31</v>
      </c>
      <c r="X14" s="106">
        <v>0.32</v>
      </c>
      <c r="Y14" s="106">
        <v>0.33</v>
      </c>
      <c r="Z14" s="106">
        <v>0.33</v>
      </c>
      <c r="AA14" s="106">
        <v>0.34</v>
      </c>
      <c r="AB14" s="106">
        <v>0.35000000000000003</v>
      </c>
      <c r="AC14" s="106">
        <v>0.36</v>
      </c>
      <c r="AD14" s="106">
        <v>0.36</v>
      </c>
      <c r="AE14" s="106">
        <v>0.36</v>
      </c>
      <c r="AF14" s="106">
        <v>0.36</v>
      </c>
      <c r="AG14" s="106">
        <v>0.36</v>
      </c>
      <c r="AH14" s="106">
        <v>0.36</v>
      </c>
      <c r="AI14" s="106">
        <v>0.36</v>
      </c>
      <c r="AJ14" s="106">
        <v>0.36</v>
      </c>
      <c r="AK14" s="106">
        <v>0.36</v>
      </c>
      <c r="AL14" s="106">
        <v>0.36</v>
      </c>
      <c r="AM14" s="106">
        <v>0.36</v>
      </c>
      <c r="AN14" s="106">
        <v>0.36</v>
      </c>
    </row>
    <row r="15" spans="1:40" hidden="1" outlineLevel="1" x14ac:dyDescent="0.25">
      <c r="B15" s="39" t="str">
        <v>Center Director / Remote Site Director</v>
      </c>
      <c r="C15" s="3"/>
      <c r="D15" s="3"/>
      <c r="E15" s="106">
        <v>0.01</v>
      </c>
      <c r="F15" s="106">
        <v>0.02</v>
      </c>
      <c r="G15" s="106">
        <v>0.03</v>
      </c>
      <c r="H15" s="106">
        <v>0.04</v>
      </c>
      <c r="I15" s="106">
        <v>0.05</v>
      </c>
      <c r="J15" s="106">
        <v>6.0000000000000005E-2</v>
      </c>
      <c r="K15" s="106">
        <v>6.9999999999999993E-2</v>
      </c>
      <c r="L15" s="106">
        <v>0.08</v>
      </c>
      <c r="M15" s="106">
        <v>0.09</v>
      </c>
      <c r="N15" s="106">
        <v>9.9999999999999992E-2</v>
      </c>
      <c r="O15" s="106">
        <v>0.1</v>
      </c>
      <c r="P15" s="106">
        <v>0.12</v>
      </c>
      <c r="Q15" s="106">
        <v>0.12</v>
      </c>
      <c r="R15" s="106">
        <v>0.12</v>
      </c>
      <c r="S15" s="106">
        <v>0.12</v>
      </c>
      <c r="T15" s="106">
        <v>0.12</v>
      </c>
      <c r="U15" s="106">
        <v>0.12</v>
      </c>
      <c r="V15" s="106">
        <v>0.12</v>
      </c>
      <c r="W15" s="106">
        <v>0.12</v>
      </c>
      <c r="X15" s="106">
        <v>0.12</v>
      </c>
      <c r="Y15" s="106">
        <v>0.12</v>
      </c>
      <c r="Z15" s="106">
        <v>0.12</v>
      </c>
      <c r="AA15" s="106">
        <v>0.12</v>
      </c>
      <c r="AB15" s="106">
        <v>0.12</v>
      </c>
      <c r="AC15" s="106">
        <v>0.12</v>
      </c>
      <c r="AD15" s="106">
        <v>0.12</v>
      </c>
      <c r="AE15" s="106">
        <v>0.12</v>
      </c>
      <c r="AF15" s="106">
        <v>0.12</v>
      </c>
      <c r="AG15" s="106">
        <v>0.12</v>
      </c>
      <c r="AH15" s="106">
        <v>0.12</v>
      </c>
      <c r="AI15" s="106">
        <v>0.12</v>
      </c>
      <c r="AJ15" s="106">
        <v>0.12</v>
      </c>
      <c r="AK15" s="106">
        <v>0.12</v>
      </c>
      <c r="AL15" s="106">
        <v>0.12</v>
      </c>
      <c r="AM15" s="106">
        <v>0.12</v>
      </c>
      <c r="AN15" s="106">
        <v>0.12</v>
      </c>
    </row>
    <row r="16" spans="1:40" hidden="1" outlineLevel="1" x14ac:dyDescent="0.25">
      <c r="B16" s="39" t="str">
        <v>Center Marketing Outreach</v>
      </c>
      <c r="C16" s="3"/>
      <c r="D16" s="3"/>
      <c r="E16" s="106">
        <v>0.01</v>
      </c>
      <c r="F16" s="106">
        <v>0.02</v>
      </c>
      <c r="G16" s="106">
        <v>0.03</v>
      </c>
      <c r="H16" s="106">
        <v>0.04</v>
      </c>
      <c r="I16" s="106">
        <v>0.05</v>
      </c>
      <c r="J16" s="106">
        <v>6.0000000000000005E-2</v>
      </c>
      <c r="K16" s="106">
        <v>6.9999999999999993E-2</v>
      </c>
      <c r="L16" s="106">
        <v>0.08</v>
      </c>
      <c r="M16" s="106">
        <v>0.09</v>
      </c>
      <c r="N16" s="106">
        <v>9.9999999999999992E-2</v>
      </c>
      <c r="O16" s="106">
        <v>0.1</v>
      </c>
      <c r="P16" s="106">
        <v>0.12</v>
      </c>
      <c r="Q16" s="106">
        <v>0.12</v>
      </c>
      <c r="R16" s="106">
        <v>0.12</v>
      </c>
      <c r="S16" s="106">
        <v>0.12</v>
      </c>
      <c r="T16" s="106">
        <v>0.12</v>
      </c>
      <c r="U16" s="106">
        <v>0.12</v>
      </c>
      <c r="V16" s="106">
        <v>0.12</v>
      </c>
      <c r="W16" s="106">
        <v>0.12</v>
      </c>
      <c r="X16" s="106">
        <v>0.12</v>
      </c>
      <c r="Y16" s="106">
        <v>0.12</v>
      </c>
      <c r="Z16" s="106">
        <v>0.12</v>
      </c>
      <c r="AA16" s="106">
        <v>0.12</v>
      </c>
      <c r="AB16" s="106">
        <v>0.12</v>
      </c>
      <c r="AC16" s="106">
        <v>0.12</v>
      </c>
      <c r="AD16" s="106">
        <v>0.12</v>
      </c>
      <c r="AE16" s="106">
        <v>0.12</v>
      </c>
      <c r="AF16" s="106">
        <v>0.12</v>
      </c>
      <c r="AG16" s="106">
        <v>0.12</v>
      </c>
      <c r="AH16" s="106">
        <v>0.12</v>
      </c>
      <c r="AI16" s="106">
        <v>0.12</v>
      </c>
      <c r="AJ16" s="106">
        <v>0.12</v>
      </c>
      <c r="AK16" s="106">
        <v>0.12</v>
      </c>
      <c r="AL16" s="106">
        <v>0.12</v>
      </c>
      <c r="AM16" s="106">
        <v>0.12</v>
      </c>
      <c r="AN16" s="106">
        <v>0.12</v>
      </c>
    </row>
    <row r="17" spans="2:50" hidden="1" outlineLevel="1" x14ac:dyDescent="0.25">
      <c r="B17" s="39" t="str">
        <v>Primary Direct Staff Lead</v>
      </c>
      <c r="C17" s="3"/>
      <c r="D17" s="3"/>
      <c r="E17" s="106">
        <v>0</v>
      </c>
      <c r="F17" s="106">
        <v>0</v>
      </c>
      <c r="G17" s="106">
        <v>0</v>
      </c>
      <c r="H17" s="106">
        <v>0</v>
      </c>
      <c r="I17" s="106">
        <v>0</v>
      </c>
      <c r="J17" s="106">
        <v>0</v>
      </c>
      <c r="K17" s="106">
        <v>0</v>
      </c>
      <c r="L17" s="106">
        <v>0</v>
      </c>
      <c r="M17" s="106">
        <v>0</v>
      </c>
      <c r="N17" s="106">
        <v>0</v>
      </c>
      <c r="O17" s="106">
        <v>0</v>
      </c>
      <c r="P17" s="106">
        <v>0</v>
      </c>
      <c r="Q17" s="106">
        <v>0</v>
      </c>
      <c r="R17" s="106">
        <v>0</v>
      </c>
      <c r="S17" s="106">
        <v>0</v>
      </c>
      <c r="T17" s="106">
        <v>0</v>
      </c>
      <c r="U17" s="106">
        <v>0</v>
      </c>
      <c r="V17" s="106">
        <v>0</v>
      </c>
      <c r="W17" s="106">
        <v>0</v>
      </c>
      <c r="X17" s="106">
        <v>0</v>
      </c>
      <c r="Y17" s="106">
        <v>0</v>
      </c>
      <c r="Z17" s="106">
        <v>0</v>
      </c>
      <c r="AA17" s="106">
        <v>0</v>
      </c>
      <c r="AB17" s="106">
        <v>0</v>
      </c>
      <c r="AC17" s="106">
        <v>0</v>
      </c>
      <c r="AD17" s="106">
        <v>0</v>
      </c>
      <c r="AE17" s="106">
        <v>0</v>
      </c>
      <c r="AF17" s="106">
        <v>0</v>
      </c>
      <c r="AG17" s="106">
        <v>0</v>
      </c>
      <c r="AH17" s="106">
        <v>0</v>
      </c>
      <c r="AI17" s="106">
        <v>0</v>
      </c>
      <c r="AJ17" s="106">
        <v>0</v>
      </c>
      <c r="AK17" s="106">
        <v>0</v>
      </c>
      <c r="AL17" s="106">
        <v>0</v>
      </c>
      <c r="AM17" s="106">
        <v>0</v>
      </c>
      <c r="AN17" s="106">
        <v>0</v>
      </c>
    </row>
    <row r="18" spans="2:50" hidden="1" outlineLevel="1" x14ac:dyDescent="0.25">
      <c r="B18" s="39" t="str">
        <v>Tertiary Direct Staff</v>
      </c>
      <c r="C18" s="3"/>
      <c r="D18" s="3"/>
      <c r="E18" s="106">
        <v>0</v>
      </c>
      <c r="F18" s="106">
        <v>0</v>
      </c>
      <c r="G18" s="106">
        <v>0</v>
      </c>
      <c r="H18" s="106">
        <v>0</v>
      </c>
      <c r="I18" s="106">
        <v>0</v>
      </c>
      <c r="J18" s="106">
        <v>0</v>
      </c>
      <c r="K18" s="106">
        <v>0</v>
      </c>
      <c r="L18" s="106">
        <v>0</v>
      </c>
      <c r="M18" s="106">
        <v>0</v>
      </c>
      <c r="N18" s="106">
        <v>0</v>
      </c>
      <c r="O18" s="106">
        <v>0</v>
      </c>
      <c r="P18" s="106">
        <v>0</v>
      </c>
      <c r="Q18" s="106">
        <v>0</v>
      </c>
      <c r="R18" s="106">
        <v>0</v>
      </c>
      <c r="S18" s="106">
        <v>0</v>
      </c>
      <c r="T18" s="106">
        <v>0</v>
      </c>
      <c r="U18" s="106">
        <v>0</v>
      </c>
      <c r="V18" s="106">
        <v>0</v>
      </c>
      <c r="W18" s="106">
        <v>0</v>
      </c>
      <c r="X18" s="106">
        <v>0</v>
      </c>
      <c r="Y18" s="106">
        <v>0</v>
      </c>
      <c r="Z18" s="106">
        <v>0</v>
      </c>
      <c r="AA18" s="106">
        <v>0</v>
      </c>
      <c r="AB18" s="106">
        <v>0</v>
      </c>
      <c r="AC18" s="106">
        <v>0</v>
      </c>
      <c r="AD18" s="106">
        <v>0</v>
      </c>
      <c r="AE18" s="106">
        <v>0</v>
      </c>
      <c r="AF18" s="106">
        <v>0</v>
      </c>
      <c r="AG18" s="106">
        <v>0</v>
      </c>
      <c r="AH18" s="106">
        <v>0</v>
      </c>
      <c r="AI18" s="106">
        <v>0</v>
      </c>
      <c r="AJ18" s="106">
        <v>0</v>
      </c>
      <c r="AK18" s="106">
        <v>0</v>
      </c>
      <c r="AL18" s="106">
        <v>0</v>
      </c>
      <c r="AM18" s="106">
        <v>0</v>
      </c>
      <c r="AN18" s="106">
        <v>0</v>
      </c>
    </row>
    <row r="19" spans="2:50" hidden="1" outlineLevel="1" x14ac:dyDescent="0.25">
      <c r="B19" s="39" t="str">
        <v>Quinary Direct Staff</v>
      </c>
      <c r="C19" s="3"/>
      <c r="D19" s="3"/>
      <c r="E19" s="106">
        <v>0</v>
      </c>
      <c r="F19" s="106">
        <v>0</v>
      </c>
      <c r="G19" s="106">
        <v>0</v>
      </c>
      <c r="H19" s="106">
        <v>0</v>
      </c>
      <c r="I19" s="106">
        <v>0</v>
      </c>
      <c r="J19" s="106">
        <v>0</v>
      </c>
      <c r="K19" s="106">
        <v>0</v>
      </c>
      <c r="L19" s="106">
        <v>0</v>
      </c>
      <c r="M19" s="106">
        <v>0</v>
      </c>
      <c r="N19" s="106">
        <v>0</v>
      </c>
      <c r="O19" s="106">
        <v>0</v>
      </c>
      <c r="P19" s="106">
        <v>0</v>
      </c>
      <c r="Q19" s="106">
        <v>0</v>
      </c>
      <c r="R19" s="106">
        <v>0</v>
      </c>
      <c r="S19" s="106">
        <v>0</v>
      </c>
      <c r="T19" s="106">
        <v>0</v>
      </c>
      <c r="U19" s="106">
        <v>0</v>
      </c>
      <c r="V19" s="106">
        <v>0</v>
      </c>
      <c r="W19" s="106">
        <v>0</v>
      </c>
      <c r="X19" s="106">
        <v>0</v>
      </c>
      <c r="Y19" s="106">
        <v>0</v>
      </c>
      <c r="Z19" s="106">
        <v>0</v>
      </c>
      <c r="AA19" s="106">
        <v>0</v>
      </c>
      <c r="AB19" s="106">
        <v>0</v>
      </c>
      <c r="AC19" s="106">
        <v>0</v>
      </c>
      <c r="AD19" s="106">
        <v>0</v>
      </c>
      <c r="AE19" s="106">
        <v>0</v>
      </c>
      <c r="AF19" s="106">
        <v>0</v>
      </c>
      <c r="AG19" s="106">
        <v>0</v>
      </c>
      <c r="AH19" s="106">
        <v>0</v>
      </c>
      <c r="AI19" s="106">
        <v>0</v>
      </c>
      <c r="AJ19" s="106">
        <v>0</v>
      </c>
      <c r="AK19" s="106">
        <v>0</v>
      </c>
      <c r="AL19" s="106">
        <v>0</v>
      </c>
      <c r="AM19" s="106">
        <v>0</v>
      </c>
      <c r="AN19" s="106">
        <v>0</v>
      </c>
    </row>
    <row r="20" spans="2:50" hidden="1" outlineLevel="1" x14ac:dyDescent="0.25">
      <c r="B20" s="39" t="str">
        <v>Quaternary Direct Staff</v>
      </c>
      <c r="C20" s="3"/>
      <c r="D20" s="3"/>
      <c r="E20" s="106">
        <v>0</v>
      </c>
      <c r="F20" s="106">
        <v>0</v>
      </c>
      <c r="G20" s="106">
        <v>0</v>
      </c>
      <c r="H20" s="106">
        <v>0</v>
      </c>
      <c r="I20" s="106">
        <v>0</v>
      </c>
      <c r="J20" s="106">
        <v>0</v>
      </c>
      <c r="K20" s="106">
        <v>0</v>
      </c>
      <c r="L20" s="106">
        <v>0</v>
      </c>
      <c r="M20" s="106">
        <v>0</v>
      </c>
      <c r="N20" s="106">
        <v>0</v>
      </c>
      <c r="O20" s="106">
        <v>0</v>
      </c>
      <c r="P20" s="106">
        <v>0</v>
      </c>
      <c r="Q20" s="106">
        <v>0</v>
      </c>
      <c r="R20" s="106">
        <v>0</v>
      </c>
      <c r="S20" s="106">
        <v>0</v>
      </c>
      <c r="T20" s="106">
        <v>0</v>
      </c>
      <c r="U20" s="106">
        <v>0</v>
      </c>
      <c r="V20" s="106">
        <v>0</v>
      </c>
      <c r="W20" s="106">
        <v>0</v>
      </c>
      <c r="X20" s="106">
        <v>0</v>
      </c>
      <c r="Y20" s="106">
        <v>0</v>
      </c>
      <c r="Z20" s="106">
        <v>0</v>
      </c>
      <c r="AA20" s="106">
        <v>0</v>
      </c>
      <c r="AB20" s="106">
        <v>0</v>
      </c>
      <c r="AC20" s="106">
        <v>0</v>
      </c>
      <c r="AD20" s="106">
        <v>0</v>
      </c>
      <c r="AE20" s="106">
        <v>0</v>
      </c>
      <c r="AF20" s="106">
        <v>0</v>
      </c>
      <c r="AG20" s="106">
        <v>0</v>
      </c>
      <c r="AH20" s="106">
        <v>0</v>
      </c>
      <c r="AI20" s="106">
        <v>0</v>
      </c>
      <c r="AJ20" s="106">
        <v>0</v>
      </c>
      <c r="AK20" s="106">
        <v>0</v>
      </c>
      <c r="AL20" s="106">
        <v>0</v>
      </c>
      <c r="AM20" s="106">
        <v>0</v>
      </c>
      <c r="AN20" s="106">
        <v>0</v>
      </c>
    </row>
    <row r="21" spans="2:50" collapsed="1" x14ac:dyDescent="0.25">
      <c r="B21" s="39" t="s">
        <v>389</v>
      </c>
      <c r="C21" s="3"/>
      <c r="D21" s="5"/>
      <c r="E21" s="117" cm="1">
        <f t="array" ref="E21:AN21">ROUND(_xlfn.BYCOL(_xlfn.CHOOSEROWS(_xlfn.ANCHORARRAY(E7),1,2),_xlfn.LAMBDA(_xlpm.col,SUM(_xlpm.col))),0)</f>
        <v>1</v>
      </c>
      <c r="F21" s="117">
        <v>2</v>
      </c>
      <c r="G21" s="117">
        <v>4</v>
      </c>
      <c r="H21" s="117">
        <v>5</v>
      </c>
      <c r="I21" s="117">
        <v>7</v>
      </c>
      <c r="J21" s="117">
        <v>8</v>
      </c>
      <c r="K21" s="117">
        <v>10</v>
      </c>
      <c r="L21" s="117">
        <v>11</v>
      </c>
      <c r="M21" s="117">
        <v>12</v>
      </c>
      <c r="N21" s="117">
        <v>14</v>
      </c>
      <c r="O21" s="117">
        <v>15</v>
      </c>
      <c r="P21" s="117">
        <v>17</v>
      </c>
      <c r="Q21" s="117">
        <v>17</v>
      </c>
      <c r="R21" s="117">
        <v>17</v>
      </c>
      <c r="S21" s="117">
        <v>17</v>
      </c>
      <c r="T21" s="117">
        <v>17</v>
      </c>
      <c r="U21" s="117">
        <v>17</v>
      </c>
      <c r="V21" s="117">
        <v>17</v>
      </c>
      <c r="W21" s="117">
        <v>17</v>
      </c>
      <c r="X21" s="117">
        <v>17</v>
      </c>
      <c r="Y21" s="117">
        <v>17</v>
      </c>
      <c r="Z21" s="117">
        <v>17</v>
      </c>
      <c r="AA21" s="117">
        <v>17</v>
      </c>
      <c r="AB21" s="117">
        <v>17</v>
      </c>
      <c r="AC21" s="117">
        <v>17</v>
      </c>
      <c r="AD21" s="117">
        <v>17</v>
      </c>
      <c r="AE21" s="117">
        <v>17</v>
      </c>
      <c r="AF21" s="117">
        <v>17</v>
      </c>
      <c r="AG21" s="117">
        <v>17</v>
      </c>
      <c r="AH21" s="117">
        <v>17</v>
      </c>
      <c r="AI21" s="117">
        <v>17</v>
      </c>
      <c r="AJ21" s="117">
        <v>17</v>
      </c>
      <c r="AK21" s="117">
        <v>17</v>
      </c>
      <c r="AL21" s="117">
        <v>17</v>
      </c>
      <c r="AM21" s="117">
        <v>17</v>
      </c>
      <c r="AN21" s="117">
        <v>17</v>
      </c>
    </row>
    <row r="22" spans="2:50" x14ac:dyDescent="0.25">
      <c r="B22" s="2" t="s">
        <v>394</v>
      </c>
      <c r="C22" s="3"/>
      <c r="D22" s="77">
        <f>MAX(_xlfn.ANCHORARRAY(E22))</f>
        <v>98.845941528409071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95.966933522727288</v>
      </c>
      <c r="F22" s="78">
        <v>95.966933522727288</v>
      </c>
      <c r="G22" s="78">
        <v>95.96693352272726</v>
      </c>
      <c r="H22" s="78">
        <v>95.966933522727288</v>
      </c>
      <c r="I22" s="78">
        <v>95.966933522727274</v>
      </c>
      <c r="J22" s="78">
        <v>95.96693352272726</v>
      </c>
      <c r="K22" s="78">
        <v>95.966933522727288</v>
      </c>
      <c r="L22" s="78">
        <v>95.966933522727288</v>
      </c>
      <c r="M22" s="78">
        <v>95.966933522727274</v>
      </c>
      <c r="N22" s="78">
        <v>95.966933522727274</v>
      </c>
      <c r="O22" s="78">
        <v>95.966933522727274</v>
      </c>
      <c r="P22" s="78">
        <v>95.96693352272726</v>
      </c>
      <c r="Q22" s="78">
        <v>98.845941528409071</v>
      </c>
      <c r="R22" s="78">
        <v>98.845941528409071</v>
      </c>
      <c r="S22" s="78">
        <v>98.845941528409071</v>
      </c>
      <c r="T22" s="78">
        <v>98.845941528409071</v>
      </c>
      <c r="U22" s="78">
        <v>98.845941528409071</v>
      </c>
      <c r="V22" s="78">
        <v>98.845941528409071</v>
      </c>
      <c r="W22" s="78">
        <v>98.845941528409071</v>
      </c>
      <c r="X22" s="78">
        <v>98.845941528409071</v>
      </c>
      <c r="Y22" s="78">
        <v>98.845941528409071</v>
      </c>
      <c r="Z22" s="78">
        <v>98.845941528409071</v>
      </c>
      <c r="AA22" s="78">
        <v>98.845941528409071</v>
      </c>
      <c r="AB22" s="78">
        <v>98.845941528409071</v>
      </c>
      <c r="AC22" s="78">
        <v>98.845941528409071</v>
      </c>
      <c r="AD22" s="78">
        <v>98.845941528409071</v>
      </c>
      <c r="AE22" s="78">
        <v>98.845941528409071</v>
      </c>
      <c r="AF22" s="78">
        <v>98.845941528409071</v>
      </c>
      <c r="AG22" s="78">
        <v>98.845941528409071</v>
      </c>
      <c r="AH22" s="78">
        <v>98.845941528409071</v>
      </c>
      <c r="AI22" s="78">
        <v>98.845941528409071</v>
      </c>
      <c r="AJ22" s="78">
        <v>98.845941528409071</v>
      </c>
      <c r="AK22" s="78">
        <v>98.845941528409071</v>
      </c>
      <c r="AL22" s="78">
        <v>98.845941528409071</v>
      </c>
      <c r="AM22" s="78">
        <v>98.845941528409071</v>
      </c>
      <c r="AN22" s="78">
        <v>98.845941528409071</v>
      </c>
    </row>
    <row r="23" spans="2:50" x14ac:dyDescent="0.25">
      <c r="B23" s="2" t="s">
        <v>53</v>
      </c>
      <c r="C23" s="3"/>
      <c r="D23" s="72"/>
      <c r="E23" s="52" cm="1">
        <f t="array" ref="E23:AN23">_xlfn.LET(_xlpm.site,$B$1&amp;"-"&amp;$C$1,_xlpm.locations,Base!$D$4:$BD$4,_xlpm.Customer,_xlfn.ANCHORARRAY(E1),_xlpm.hours,SUM(_xlfn.XLOOKUP(_xlpm.site,_xlpm.locations,Base!$D$74:$BD$78,0,0)),
_xlpm.collection,1-_xlfn.XLOOKUP(_xlpm.site,_xlpm.locations,Base!$D$26:$BD$26,0,0),
_xlpm.Customer*_xlpm.hours*_xlpm.collection*(52/12))</f>
        <v>103.25333333333332</v>
      </c>
      <c r="F23" s="52">
        <v>206.50666666666663</v>
      </c>
      <c r="G23" s="52">
        <v>361.38666666666671</v>
      </c>
      <c r="H23" s="52">
        <v>464.63999999999993</v>
      </c>
      <c r="I23" s="52">
        <v>567.89333333333332</v>
      </c>
      <c r="J23" s="52">
        <v>722.77333333333343</v>
      </c>
      <c r="K23" s="52">
        <v>826.02666666666653</v>
      </c>
      <c r="L23" s="52">
        <v>929.27999999999986</v>
      </c>
      <c r="M23" s="52">
        <v>1084.1599999999999</v>
      </c>
      <c r="N23" s="52">
        <v>1187.4133333333332</v>
      </c>
      <c r="O23" s="52">
        <v>1290.6666666666667</v>
      </c>
      <c r="P23" s="52">
        <v>1445.5466666666669</v>
      </c>
      <c r="Q23" s="52">
        <v>1445.5466666666669</v>
      </c>
      <c r="R23" s="52">
        <v>1445.5466666666669</v>
      </c>
      <c r="S23" s="52">
        <v>1445.5466666666669</v>
      </c>
      <c r="T23" s="52">
        <v>1445.5466666666669</v>
      </c>
      <c r="U23" s="52">
        <v>1445.5466666666669</v>
      </c>
      <c r="V23" s="52">
        <v>1445.5466666666669</v>
      </c>
      <c r="W23" s="52">
        <v>1445.5466666666669</v>
      </c>
      <c r="X23" s="52">
        <v>1445.5466666666669</v>
      </c>
      <c r="Y23" s="52">
        <v>1445.5466666666669</v>
      </c>
      <c r="Z23" s="52">
        <v>1445.5466666666669</v>
      </c>
      <c r="AA23" s="52">
        <v>1445.5466666666669</v>
      </c>
      <c r="AB23" s="52">
        <v>1445.5466666666669</v>
      </c>
      <c r="AC23" s="52">
        <v>1445.5466666666669</v>
      </c>
      <c r="AD23" s="52">
        <v>1445.5466666666669</v>
      </c>
      <c r="AE23" s="52">
        <v>1445.5466666666669</v>
      </c>
      <c r="AF23" s="52">
        <v>1445.5466666666669</v>
      </c>
      <c r="AG23" s="52">
        <v>1445.5466666666669</v>
      </c>
      <c r="AH23" s="52">
        <v>1445.5466666666669</v>
      </c>
      <c r="AI23" s="52">
        <v>1445.5466666666669</v>
      </c>
      <c r="AJ23" s="52">
        <v>1445.5466666666669</v>
      </c>
      <c r="AK23" s="52">
        <v>1445.5466666666669</v>
      </c>
      <c r="AL23" s="52">
        <v>1445.5466666666669</v>
      </c>
      <c r="AM23" s="52">
        <v>1445.5466666666669</v>
      </c>
      <c r="AN23" s="52">
        <v>1445.5466666666669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21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_xlfn.LET(_xlpm.site,$B$1&amp;"-"&amp;$C$1,_xlpm.locations,Base!$D$4:$BD$4,_xlpm.rates,Base!$D31:$BD31,_xlpm.hours,Base!$D74:$BD74,_xlpm.comp,_xlpm.rates*_xlpm.hours,_xlpm.Customer,_xlfn.ANCHORARRAY($E$1),
_xlpm.Customer_comp,_xlfn.XLOOKUP(_xlpm.site,_xlpm.locations,_xlpm.comp,0,0),_xlpm.ann_incr,_xlfn.XLOOKUP(YEAR(_xlfn.ANCHORARRAY($E$25)),Base!$BJ$4:$BL$4,Base!$BJ74:$BL74,0,0),
_xlpm.bad_debt,_xlfn.XLOOKUP(_xlpm.site,_xlpm.locations,Base!$D$28:$BD$28,0,0),_xlpm.Customer_comp*_xlpm.Customer*_xlpm.bad_debt*_xlpm.ann_incr*(52/12))</f>
        <v>7938.2024279999987</v>
      </c>
      <c r="F26" s="12">
        <v>15876.404855999997</v>
      </c>
      <c r="G26" s="12">
        <v>27783.708497999996</v>
      </c>
      <c r="H26" s="12">
        <v>35721.910925999997</v>
      </c>
      <c r="I26" s="12">
        <v>43660.113353999994</v>
      </c>
      <c r="J26" s="12">
        <v>55567.416995999993</v>
      </c>
      <c r="K26" s="12">
        <v>63505.61942399999</v>
      </c>
      <c r="L26" s="12">
        <v>71443.821851999994</v>
      </c>
      <c r="M26" s="12">
        <v>83351.125493999993</v>
      </c>
      <c r="N26" s="12">
        <v>91289.327921999997</v>
      </c>
      <c r="O26" s="12">
        <v>99227.530350000001</v>
      </c>
      <c r="P26" s="12">
        <v>111134.83399199999</v>
      </c>
      <c r="Q26" s="12">
        <v>114468.87901175997</v>
      </c>
      <c r="R26" s="12">
        <v>114468.87901175997</v>
      </c>
      <c r="S26" s="12">
        <v>114468.87901175997</v>
      </c>
      <c r="T26" s="12">
        <v>114468.87901175997</v>
      </c>
      <c r="U26" s="12">
        <v>114468.87901175997</v>
      </c>
      <c r="V26" s="12">
        <v>114468.87901175997</v>
      </c>
      <c r="W26" s="12">
        <v>114468.87901175997</v>
      </c>
      <c r="X26" s="12">
        <v>114468.87901175997</v>
      </c>
      <c r="Y26" s="12">
        <v>114468.87901175997</v>
      </c>
      <c r="Z26" s="12">
        <v>114468.87901175997</v>
      </c>
      <c r="AA26" s="12">
        <v>114468.87901175997</v>
      </c>
      <c r="AB26" s="12">
        <v>114468.87901175997</v>
      </c>
      <c r="AC26" s="12">
        <v>114468.87901175997</v>
      </c>
      <c r="AD26" s="12">
        <v>114468.87901175997</v>
      </c>
      <c r="AE26" s="12">
        <v>114468.87901175997</v>
      </c>
      <c r="AF26" s="12">
        <v>114468.87901175997</v>
      </c>
      <c r="AG26" s="12">
        <v>114468.87901175997</v>
      </c>
      <c r="AH26" s="12">
        <v>114468.87901175997</v>
      </c>
      <c r="AI26" s="12">
        <v>114468.87901175997</v>
      </c>
      <c r="AJ26" s="12">
        <v>114468.87901175997</v>
      </c>
      <c r="AK26" s="12">
        <v>114468.87901175997</v>
      </c>
      <c r="AL26" s="12">
        <v>114468.87901175997</v>
      </c>
      <c r="AM26" s="12">
        <v>114468.87901175997</v>
      </c>
      <c r="AN26" s="12">
        <v>114468.87901175997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_xlfn.LET(_xlpm.site,$B$1&amp;"-"&amp;$C$1,_xlpm.locations,Base!$D$4:$BD$4,_xlpm.rates,Base!$D32:$BD32,_xlpm.hours,Base!$D75:$BD75,_xlpm.comp,_xlpm.rates*_xlpm.hours,_xlpm.Customer,_xlfn.ANCHORARRAY($E$1),
_xlpm.Customer_comp,_xlfn.XLOOKUP(_xlpm.site,_xlpm.locations,_xlpm.comp,0,0),_xlpm.ann_incr,_xlfn.XLOOKUP(YEAR(_xlfn.ANCHORARRAY($E$25)),Base!$BJ$4:$BL$4,Base!$BJ75:$BL75,0,0),
_xlpm.bad_debt,_xlfn.XLOOKUP(_xlpm.site,_xlpm.locations,Base!$D$28:$BD$28,0,0),_xlpm.Customer_comp*_xlpm.Customer*_xlpm.bad_debt*_xlpm.ann_incr*(52/12))</f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12">
        <v>0</v>
      </c>
      <c r="AA27" s="12">
        <v>0</v>
      </c>
      <c r="AB27" s="12">
        <v>0</v>
      </c>
      <c r="AC27" s="12">
        <v>0</v>
      </c>
      <c r="AD27" s="12">
        <v>0</v>
      </c>
      <c r="AE27" s="12">
        <v>0</v>
      </c>
      <c r="AF27" s="12">
        <v>0</v>
      </c>
      <c r="AG27" s="12">
        <v>0</v>
      </c>
      <c r="AH27" s="12">
        <v>0</v>
      </c>
      <c r="AI27" s="12">
        <v>0</v>
      </c>
      <c r="AJ27" s="12">
        <v>0</v>
      </c>
      <c r="AK27" s="12">
        <v>0</v>
      </c>
      <c r="AL27" s="12">
        <v>0</v>
      </c>
      <c r="AM27" s="12">
        <v>0</v>
      </c>
      <c r="AN27" s="12">
        <v>0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_xlfn.LET(_xlpm.site,$B$1&amp;"-"&amp;$C$1,_xlpm.locations,Base!$D$4:$BD$4,_xlpm.rates,Base!$D33:$BD33,_xlpm.hours,Base!$D76:$BD76,_xlpm.comp,_xlpm.rates*_xlpm.hours,_xlpm.Customer,_xlfn.ANCHORARRAY($E$1),
_xlpm.Customer_comp,_xlfn.XLOOKUP(_xlpm.site,_xlpm.locations,_xlpm.comp,0,0),_xlpm.ann_incr,_xlfn.XLOOKUP(YEAR(_xlfn.ANCHORARRAY($E$25)),Base!$BJ$4:$BL$4,Base!$BJ76:$BL76,0,0),
_xlpm.bad_debt,_xlfn.XLOOKUP(_xlpm.site,_xlpm.locations,Base!$D$28:$BD$28,0,0),_xlpm.Customer_comp*_xlpm.Customer*_xlpm.bad_debt*_xlpm.ann_incr*(52/12))</f>
        <v>2070.8354159999999</v>
      </c>
      <c r="F28" s="12">
        <v>4141.6708319999998</v>
      </c>
      <c r="G28" s="12">
        <v>7247.9239560000005</v>
      </c>
      <c r="H28" s="12">
        <v>9318.7593719999986</v>
      </c>
      <c r="I28" s="12">
        <v>11389.594788</v>
      </c>
      <c r="J28" s="12">
        <v>14495.847912000001</v>
      </c>
      <c r="K28" s="12">
        <v>16566.683327999999</v>
      </c>
      <c r="L28" s="12">
        <v>18637.518743999997</v>
      </c>
      <c r="M28" s="12">
        <v>21743.771868</v>
      </c>
      <c r="N28" s="12">
        <v>23814.607284000002</v>
      </c>
      <c r="O28" s="12">
        <v>25885.442699999996</v>
      </c>
      <c r="P28" s="12">
        <v>28991.695824000002</v>
      </c>
      <c r="Q28" s="12">
        <v>29861.446698719999</v>
      </c>
      <c r="R28" s="12">
        <v>29861.446698719999</v>
      </c>
      <c r="S28" s="12">
        <v>29861.446698719999</v>
      </c>
      <c r="T28" s="12">
        <v>29861.446698719999</v>
      </c>
      <c r="U28" s="12">
        <v>29861.446698719999</v>
      </c>
      <c r="V28" s="12">
        <v>29861.446698719999</v>
      </c>
      <c r="W28" s="12">
        <v>29861.446698719999</v>
      </c>
      <c r="X28" s="12">
        <v>29861.446698719999</v>
      </c>
      <c r="Y28" s="12">
        <v>29861.446698719999</v>
      </c>
      <c r="Z28" s="12">
        <v>29861.446698719999</v>
      </c>
      <c r="AA28" s="12">
        <v>29861.446698719999</v>
      </c>
      <c r="AB28" s="12">
        <v>29861.446698719999</v>
      </c>
      <c r="AC28" s="12">
        <v>29861.446698719999</v>
      </c>
      <c r="AD28" s="12">
        <v>29861.446698719999</v>
      </c>
      <c r="AE28" s="12">
        <v>29861.446698719999</v>
      </c>
      <c r="AF28" s="12">
        <v>29861.446698719999</v>
      </c>
      <c r="AG28" s="12">
        <v>29861.446698719999</v>
      </c>
      <c r="AH28" s="12">
        <v>29861.446698719999</v>
      </c>
      <c r="AI28" s="12">
        <v>29861.446698719999</v>
      </c>
      <c r="AJ28" s="12">
        <v>29861.446698719999</v>
      </c>
      <c r="AK28" s="12">
        <v>29861.446698719999</v>
      </c>
      <c r="AL28" s="12">
        <v>29861.446698719999</v>
      </c>
      <c r="AM28" s="12">
        <v>29861.446698719999</v>
      </c>
      <c r="AN28" s="12">
        <v>29861.446698719999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_xlfn.LET(_xlpm.site,$B$1&amp;"-"&amp;$C$1,_xlpm.locations,Base!$D$4:$BD$4,_xlpm.rates,Base!$D34:$BD34,_xlpm.hours,Base!$D77:$BD77,_xlpm.comp,_xlpm.rates*_xlpm.hours,_xlpm.Customer,_xlfn.ANCHORARRAY($E$1),
_xlpm.Customer_comp,_xlfn.XLOOKUP(_xlpm.site,_xlpm.locations,_xlpm.comp,0,0),_xlpm.ann_incr,_xlfn.XLOOKUP(YEAR(_xlfn.ANCHORARRAY($E$25)),Base!$BJ$4:$BL$4,Base!$BJ77:$BL77,0,0),
_xlpm.bad_debt,_xlfn.XLOOKUP(_xlpm.site,_xlpm.locations,Base!$D$28:$BD$28,0,0),_xlpm.Customer_comp*_xlpm.Customer*_xlpm.bad_debt*_xlpm.ann_incr*(52/12))</f>
        <v>173.753736</v>
      </c>
      <c r="F29" s="12">
        <v>347.50747200000001</v>
      </c>
      <c r="G29" s="12">
        <v>608.13807600000007</v>
      </c>
      <c r="H29" s="12">
        <v>781.89181199999996</v>
      </c>
      <c r="I29" s="12">
        <v>955.64554799999996</v>
      </c>
      <c r="J29" s="12">
        <v>1216.2761520000001</v>
      </c>
      <c r="K29" s="12">
        <v>1390.029888</v>
      </c>
      <c r="L29" s="12">
        <v>1563.7836239999999</v>
      </c>
      <c r="M29" s="12">
        <v>1824.4142280000001</v>
      </c>
      <c r="N29" s="12">
        <v>1998.167964</v>
      </c>
      <c r="O29" s="12">
        <v>2171.9216999999999</v>
      </c>
      <c r="P29" s="12">
        <v>2432.5523040000003</v>
      </c>
      <c r="Q29" s="12">
        <v>2505.5288731199998</v>
      </c>
      <c r="R29" s="12">
        <v>2505.5288731199998</v>
      </c>
      <c r="S29" s="12">
        <v>2505.5288731199998</v>
      </c>
      <c r="T29" s="12">
        <v>2505.5288731199998</v>
      </c>
      <c r="U29" s="12">
        <v>2505.5288731199998</v>
      </c>
      <c r="V29" s="12">
        <v>2505.5288731199998</v>
      </c>
      <c r="W29" s="12">
        <v>2505.5288731199998</v>
      </c>
      <c r="X29" s="12">
        <v>2505.5288731199998</v>
      </c>
      <c r="Y29" s="12">
        <v>2505.5288731199998</v>
      </c>
      <c r="Z29" s="12">
        <v>2505.5288731199998</v>
      </c>
      <c r="AA29" s="12">
        <v>2505.5288731199998</v>
      </c>
      <c r="AB29" s="12">
        <v>2505.5288731199998</v>
      </c>
      <c r="AC29" s="12">
        <v>2505.5288731199998</v>
      </c>
      <c r="AD29" s="12">
        <v>2505.5288731199998</v>
      </c>
      <c r="AE29" s="12">
        <v>2505.5288731199998</v>
      </c>
      <c r="AF29" s="12">
        <v>2505.5288731199998</v>
      </c>
      <c r="AG29" s="12">
        <v>2505.5288731199998</v>
      </c>
      <c r="AH29" s="12">
        <v>2505.5288731199998</v>
      </c>
      <c r="AI29" s="12">
        <v>2505.5288731199998</v>
      </c>
      <c r="AJ29" s="12">
        <v>2505.5288731199998</v>
      </c>
      <c r="AK29" s="12">
        <v>2505.5288731199998</v>
      </c>
      <c r="AL29" s="12">
        <v>2505.5288731199998</v>
      </c>
      <c r="AM29" s="12">
        <v>2505.5288731199998</v>
      </c>
      <c r="AN29" s="12">
        <v>2505.5288731199998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_xlfn.LET(_xlpm.site,$B$1&amp;"-"&amp;$C$1,_xlpm.locations,Base!$D$4:$BD$4,_xlpm.rates,Base!$D35:$BD35,_xlpm.hours,Base!$D78:$BD78,_xlpm.comp,_xlpm.rates*_xlpm.hours,_xlpm.Customer,_xlfn.ANCHORARRAY($E$1),
_xlpm.Customer_comp,_xlfn.XLOOKUP(_xlpm.site,_xlpm.locations,_xlpm.comp,0,0),_xlpm.ann_incr,_xlfn.XLOOKUP(YEAR(_xlfn.ANCHORARRAY($E$25)),Base!$BJ$4:$BL$4,Base!$BJ78:$BL78,0,0),
_xlpm.bad_debt,_xlfn.XLOOKUP(_xlpm.site,_xlpm.locations,Base!$D$28:$BD$28,0,0),_xlpm.Customer_comp*_xlpm.Customer*_xlpm.bad_debt*_xlpm.ann_incr*(52/12))</f>
        <v>401.72140799999994</v>
      </c>
      <c r="F30" s="12">
        <v>803.44281599999988</v>
      </c>
      <c r="G30" s="12">
        <v>1406.0249279999998</v>
      </c>
      <c r="H30" s="12">
        <v>1807.7463359999999</v>
      </c>
      <c r="I30" s="12">
        <v>2209.467744</v>
      </c>
      <c r="J30" s="12">
        <v>2812.0498559999996</v>
      </c>
      <c r="K30" s="12">
        <v>3213.7712639999995</v>
      </c>
      <c r="L30" s="12">
        <v>3615.4926719999999</v>
      </c>
      <c r="M30" s="12">
        <v>4218.0747840000004</v>
      </c>
      <c r="N30" s="12">
        <v>4619.7961919999989</v>
      </c>
      <c r="O30" s="12">
        <v>5021.5175999999992</v>
      </c>
      <c r="P30" s="12">
        <v>5624.0997119999993</v>
      </c>
      <c r="Q30" s="12">
        <v>5792.8227033599987</v>
      </c>
      <c r="R30" s="12">
        <v>5792.8227033599987</v>
      </c>
      <c r="S30" s="12">
        <v>5792.8227033599987</v>
      </c>
      <c r="T30" s="12">
        <v>5792.8227033599987</v>
      </c>
      <c r="U30" s="12">
        <v>5792.8227033599987</v>
      </c>
      <c r="V30" s="12">
        <v>5792.8227033599987</v>
      </c>
      <c r="W30" s="12">
        <v>5792.8227033599987</v>
      </c>
      <c r="X30" s="12">
        <v>5792.8227033599987</v>
      </c>
      <c r="Y30" s="12">
        <v>5792.8227033599987</v>
      </c>
      <c r="Z30" s="12">
        <v>5792.8227033599987</v>
      </c>
      <c r="AA30" s="12">
        <v>5792.8227033599987</v>
      </c>
      <c r="AB30" s="12">
        <v>5792.8227033599987</v>
      </c>
      <c r="AC30" s="12">
        <v>5792.8227033599987</v>
      </c>
      <c r="AD30" s="12">
        <v>5792.8227033599987</v>
      </c>
      <c r="AE30" s="12">
        <v>5792.8227033599987</v>
      </c>
      <c r="AF30" s="12">
        <v>5792.8227033599987</v>
      </c>
      <c r="AG30" s="12">
        <v>5792.8227033599987</v>
      </c>
      <c r="AH30" s="12">
        <v>5792.8227033599987</v>
      </c>
      <c r="AI30" s="12">
        <v>5792.8227033599987</v>
      </c>
      <c r="AJ30" s="12">
        <v>5792.8227033599987</v>
      </c>
      <c r="AK30" s="12">
        <v>5792.8227033599987</v>
      </c>
      <c r="AL30" s="12">
        <v>5792.8227033599987</v>
      </c>
      <c r="AM30" s="12">
        <v>5792.8227033599987</v>
      </c>
      <c r="AN30" s="12">
        <v>5792.8227033599987</v>
      </c>
    </row>
    <row r="31" spans="2:50" x14ac:dyDescent="0.25">
      <c r="B31" s="39" t="str">
        <f>Base!B36</f>
        <v>Tertiary Direct Staff - Service A</v>
      </c>
      <c r="C31" s="4"/>
      <c r="E31" s="183" cm="1">
        <f t="array" ref="E31:AN31">_xlfn.LET(_xlpm.site,$B$1&amp;"-"&amp;$C$1,_xlpm.locations,Base!$D$4:$BD$4,_xlpm.rates,Base!$D36:$BD36,_xlpm.hours,Base!$D79:$BD79,_xlpm.comp,_xlpm.rates*_xlpm.hours,_xlpm.Customer,_xlfn.ANCHORARRAY($E$1)*0,
_xlpm.Customer_comp,_xlfn.XLOOKUP(_xlpm.site,_xlpm.locations,_xlpm.comp,0,0),_xlpm.ann_incr,_xlfn.XLOOKUP(YEAR(_xlfn.ANCHORARRAY($E$25)),Base!$BJ$4:$BL$4,Base!$BJ79:$BL79,0,0),
_xlpm.bad_debt,_xlfn.XLOOKUP(_xlpm.site,_xlpm.locations,Base!$D$28:$BD$28,0,0),_xlpm.Customer_comp*_xlpm.Customer*_xlpm.bad_debt*_xlpm.ann_incr*(52/12))</f>
        <v>0</v>
      </c>
      <c r="F31" s="183">
        <v>0</v>
      </c>
      <c r="G31" s="183">
        <v>0</v>
      </c>
      <c r="H31" s="183">
        <v>0</v>
      </c>
      <c r="I31" s="183">
        <v>0</v>
      </c>
      <c r="J31" s="183">
        <v>0</v>
      </c>
      <c r="K31" s="183">
        <v>0</v>
      </c>
      <c r="L31" s="183">
        <v>0</v>
      </c>
      <c r="M31" s="183">
        <v>0</v>
      </c>
      <c r="N31" s="183">
        <v>0</v>
      </c>
      <c r="O31" s="183">
        <v>0</v>
      </c>
      <c r="P31" s="183">
        <v>0</v>
      </c>
      <c r="Q31" s="183">
        <v>0</v>
      </c>
      <c r="R31" s="183">
        <v>0</v>
      </c>
      <c r="S31" s="183">
        <v>0</v>
      </c>
      <c r="T31" s="183">
        <v>0</v>
      </c>
      <c r="U31" s="183">
        <v>0</v>
      </c>
      <c r="V31" s="183">
        <v>0</v>
      </c>
      <c r="W31" s="183">
        <v>0</v>
      </c>
      <c r="X31" s="183">
        <v>0</v>
      </c>
      <c r="Y31" s="183">
        <v>0</v>
      </c>
      <c r="Z31" s="183">
        <v>0</v>
      </c>
      <c r="AA31" s="183">
        <v>0</v>
      </c>
      <c r="AB31" s="183">
        <v>0</v>
      </c>
      <c r="AC31" s="183">
        <v>0</v>
      </c>
      <c r="AD31" s="183">
        <v>0</v>
      </c>
      <c r="AE31" s="183">
        <v>0</v>
      </c>
      <c r="AF31" s="183">
        <v>0</v>
      </c>
      <c r="AG31" s="183">
        <v>0</v>
      </c>
      <c r="AH31" s="183">
        <v>0</v>
      </c>
      <c r="AI31" s="183">
        <v>0</v>
      </c>
      <c r="AJ31" s="183">
        <v>0</v>
      </c>
      <c r="AK31" s="183">
        <v>0</v>
      </c>
      <c r="AL31" s="183">
        <v>0</v>
      </c>
      <c r="AM31" s="183">
        <v>0</v>
      </c>
      <c r="AN31" s="183">
        <v>0</v>
      </c>
    </row>
    <row r="32" spans="2:50" x14ac:dyDescent="0.25">
      <c r="B32" s="39" t="str">
        <f>Base!B37</f>
        <v>Tertiary Direct Staff - Service B</v>
      </c>
      <c r="C32" s="4"/>
      <c r="E32" s="183" cm="1">
        <f t="array" ref="E32:AN32">_xlfn.LET(_xlpm.site,$B$1&amp;"-"&amp;$C$1,_xlpm.locations,Base!$D$4:$BD$4,_xlpm.rates,Base!$D37:$BD37,_xlpm.hours,Base!$D80:$BD80,_xlpm.comp,_xlpm.rates*_xlpm.hours,_xlpm.Customer,_xlfn.ANCHORARRAY($E$1)*0,
_xlpm.Customer_comp,_xlfn.XLOOKUP(_xlpm.site,_xlpm.locations,_xlpm.comp,0,0),_xlpm.ann_incr,_xlfn.XLOOKUP(YEAR(_xlfn.ANCHORARRAY($E$25)),Base!$BJ$4:$BL$4,Base!$BJ80:$BL80,0,0),
_xlpm.bad_debt,_xlfn.XLOOKUP(_xlpm.site,_xlpm.locations,Base!$D$28:$BD$28,0,0),_xlpm.Customer_comp*_xlpm.Customer*_xlpm.bad_debt*_xlpm.ann_incr*(52/12))</f>
        <v>0</v>
      </c>
      <c r="F32" s="183">
        <v>0</v>
      </c>
      <c r="G32" s="183">
        <v>0</v>
      </c>
      <c r="H32" s="183">
        <v>0</v>
      </c>
      <c r="I32" s="183">
        <v>0</v>
      </c>
      <c r="J32" s="183">
        <v>0</v>
      </c>
      <c r="K32" s="183">
        <v>0</v>
      </c>
      <c r="L32" s="183">
        <v>0</v>
      </c>
      <c r="M32" s="183">
        <v>0</v>
      </c>
      <c r="N32" s="183">
        <v>0</v>
      </c>
      <c r="O32" s="183">
        <v>0</v>
      </c>
      <c r="P32" s="183">
        <v>0</v>
      </c>
      <c r="Q32" s="183">
        <v>0</v>
      </c>
      <c r="R32" s="183">
        <v>0</v>
      </c>
      <c r="S32" s="183">
        <v>0</v>
      </c>
      <c r="T32" s="183">
        <v>0</v>
      </c>
      <c r="U32" s="183">
        <v>0</v>
      </c>
      <c r="V32" s="183">
        <v>0</v>
      </c>
      <c r="W32" s="183">
        <v>0</v>
      </c>
      <c r="X32" s="183">
        <v>0</v>
      </c>
      <c r="Y32" s="183">
        <v>0</v>
      </c>
      <c r="Z32" s="183">
        <v>0</v>
      </c>
      <c r="AA32" s="183">
        <v>0</v>
      </c>
      <c r="AB32" s="183">
        <v>0</v>
      </c>
      <c r="AC32" s="183">
        <v>0</v>
      </c>
      <c r="AD32" s="183">
        <v>0</v>
      </c>
      <c r="AE32" s="183">
        <v>0</v>
      </c>
      <c r="AF32" s="183">
        <v>0</v>
      </c>
      <c r="AG32" s="183">
        <v>0</v>
      </c>
      <c r="AH32" s="183">
        <v>0</v>
      </c>
      <c r="AI32" s="183">
        <v>0</v>
      </c>
      <c r="AJ32" s="183">
        <v>0</v>
      </c>
      <c r="AK32" s="183">
        <v>0</v>
      </c>
      <c r="AL32" s="183">
        <v>0</v>
      </c>
      <c r="AM32" s="183">
        <v>0</v>
      </c>
      <c r="AN32" s="183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_xlpm.Customer,_xlfn.ANCHORARRAY($E$2),_xlpm.ann_incr,_xlfn.XLOOKUP(YEAR(_xlfn.ANCHORARRAY($E$25)),Base!$BJ$4:$BL$4,Base!$BJ$81:$BL$81,0,0),
_xlpm.bad_debt,_xlfn.XLOOKUP(_xlpm.site,_xlpm.locations,Base!$D$28:$BD$28,0,0),
_xlpm.comp*_xlpm.bad_debt*_xlpm.ann_incr*(52/12))</f>
        <v>0</v>
      </c>
      <c r="F33" s="12">
        <v>0</v>
      </c>
      <c r="G33" s="12">
        <v>0</v>
      </c>
      <c r="H33" s="12">
        <v>0</v>
      </c>
      <c r="I33" s="12">
        <v>0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2">
        <v>0</v>
      </c>
      <c r="Y33" s="12">
        <v>0</v>
      </c>
      <c r="Z33" s="12">
        <v>0</v>
      </c>
      <c r="AA33" s="12">
        <v>0</v>
      </c>
      <c r="AB33" s="12">
        <v>0</v>
      </c>
      <c r="AC33" s="12">
        <v>0</v>
      </c>
      <c r="AD33" s="12">
        <v>0</v>
      </c>
      <c r="AE33" s="12">
        <v>0</v>
      </c>
      <c r="AF33" s="12">
        <v>0</v>
      </c>
      <c r="AG33" s="12">
        <v>0</v>
      </c>
      <c r="AH33" s="12">
        <v>0</v>
      </c>
      <c r="AI33" s="12">
        <v>0</v>
      </c>
      <c r="AJ33" s="12">
        <v>0</v>
      </c>
      <c r="AK33" s="12">
        <v>0</v>
      </c>
      <c r="AL33" s="12">
        <v>0</v>
      </c>
      <c r="AM33" s="12">
        <v>0</v>
      </c>
      <c r="AN33" s="12">
        <v>0</v>
      </c>
    </row>
    <row r="34" spans="2:40" x14ac:dyDescent="0.25">
      <c r="B34" s="39" t="str">
        <f>Base!B39</f>
        <v>Quinary Direct Staff - Service A</v>
      </c>
      <c r="C34" s="4"/>
      <c r="E34" s="183" cm="1">
        <f t="array" ref="E34:AN34">_xlfn.LET(_xlpm.site,$B$1&amp;"-"&amp;$C$1,_xlpm.locations,Base!$D$4:$BD$4,_xlpm.rates,Base!$D39:$BD39,_xlpm.hours,Base!$D82:$BD82,_xlpm.comp,_xlpm.rates*_xlpm.hours,_xlpm.Customer,_xlfn.ANCHORARRAY($E$1)*0,
_xlpm.Customer_comp,_xlfn.XLOOKUP(_xlpm.site,_xlpm.locations,_xlpm.comp,0,0),_xlpm.ann_incr,_xlfn.XLOOKUP(YEAR(_xlfn.ANCHORARRAY($E$25)),Base!$BJ$4:$BL$4,Base!$BJ82:$BL82,0,0),
_xlpm.bad_debt,_xlfn.XLOOKUP(_xlpm.site,_xlpm.locations,Base!$D$28:$BD$28,0,0),_xlpm.Customer_comp*_xlpm.Customer*_xlpm.bad_debt*_xlpm.ann_incr*(52/12))</f>
        <v>0</v>
      </c>
      <c r="F34" s="183">
        <v>0</v>
      </c>
      <c r="G34" s="183">
        <v>0</v>
      </c>
      <c r="H34" s="183">
        <v>0</v>
      </c>
      <c r="I34" s="183">
        <v>0</v>
      </c>
      <c r="J34" s="183">
        <v>0</v>
      </c>
      <c r="K34" s="183">
        <v>0</v>
      </c>
      <c r="L34" s="183">
        <v>0</v>
      </c>
      <c r="M34" s="183">
        <v>0</v>
      </c>
      <c r="N34" s="183">
        <v>0</v>
      </c>
      <c r="O34" s="183">
        <v>0</v>
      </c>
      <c r="P34" s="183">
        <v>0</v>
      </c>
      <c r="Q34" s="183">
        <v>0</v>
      </c>
      <c r="R34" s="183">
        <v>0</v>
      </c>
      <c r="S34" s="183">
        <v>0</v>
      </c>
      <c r="T34" s="183">
        <v>0</v>
      </c>
      <c r="U34" s="183">
        <v>0</v>
      </c>
      <c r="V34" s="183">
        <v>0</v>
      </c>
      <c r="W34" s="183">
        <v>0</v>
      </c>
      <c r="X34" s="183">
        <v>0</v>
      </c>
      <c r="Y34" s="183">
        <v>0</v>
      </c>
      <c r="Z34" s="183">
        <v>0</v>
      </c>
      <c r="AA34" s="183">
        <v>0</v>
      </c>
      <c r="AB34" s="183">
        <v>0</v>
      </c>
      <c r="AC34" s="183">
        <v>0</v>
      </c>
      <c r="AD34" s="183">
        <v>0</v>
      </c>
      <c r="AE34" s="183">
        <v>0</v>
      </c>
      <c r="AF34" s="183">
        <v>0</v>
      </c>
      <c r="AG34" s="183">
        <v>0</v>
      </c>
      <c r="AH34" s="183">
        <v>0</v>
      </c>
      <c r="AI34" s="183">
        <v>0</v>
      </c>
      <c r="AJ34" s="183">
        <v>0</v>
      </c>
      <c r="AK34" s="183">
        <v>0</v>
      </c>
      <c r="AL34" s="183">
        <v>0</v>
      </c>
      <c r="AM34" s="183">
        <v>0</v>
      </c>
      <c r="AN34" s="183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-1270.1415585599998</v>
      </c>
      <c r="F35" s="12">
        <v>-2540.2831171199996</v>
      </c>
      <c r="G35" s="12">
        <v>-4445.4954549599997</v>
      </c>
      <c r="H35" s="12">
        <v>-5715.6370135199995</v>
      </c>
      <c r="I35" s="12">
        <v>-6985.7785720799993</v>
      </c>
      <c r="J35" s="12">
        <v>-8890.9909099199995</v>
      </c>
      <c r="K35" s="12">
        <v>-10161.132468479998</v>
      </c>
      <c r="L35" s="12">
        <v>-11431.274027039999</v>
      </c>
      <c r="M35" s="12">
        <v>-13336.486364879996</v>
      </c>
      <c r="N35" s="12">
        <v>-14606.627923439997</v>
      </c>
      <c r="O35" s="12">
        <v>-15876.769482</v>
      </c>
      <c r="P35" s="12">
        <v>-17781.981819839999</v>
      </c>
      <c r="Q35" s="12">
        <v>-18315.441274435198</v>
      </c>
      <c r="R35" s="12">
        <v>-18315.441274435198</v>
      </c>
      <c r="S35" s="12">
        <v>-18315.441274435198</v>
      </c>
      <c r="T35" s="12">
        <v>-18315.441274435198</v>
      </c>
      <c r="U35" s="12">
        <v>-18315.441274435198</v>
      </c>
      <c r="V35" s="12">
        <v>-18315.441274435198</v>
      </c>
      <c r="W35" s="12">
        <v>-18315.441274435198</v>
      </c>
      <c r="X35" s="12">
        <v>-18315.441274435198</v>
      </c>
      <c r="Y35" s="12">
        <v>-18315.441274435198</v>
      </c>
      <c r="Z35" s="12">
        <v>-18315.441274435198</v>
      </c>
      <c r="AA35" s="12">
        <v>-18315.441274435198</v>
      </c>
      <c r="AB35" s="12">
        <v>-18315.441274435198</v>
      </c>
      <c r="AC35" s="12">
        <v>-18315.441274435198</v>
      </c>
      <c r="AD35" s="12">
        <v>-18315.441274435198</v>
      </c>
      <c r="AE35" s="12">
        <v>-18315.441274435198</v>
      </c>
      <c r="AF35" s="12">
        <v>-18315.441274435198</v>
      </c>
      <c r="AG35" s="12">
        <v>-18315.441274435198</v>
      </c>
      <c r="AH35" s="12">
        <v>-18315.441274435198</v>
      </c>
      <c r="AI35" s="12">
        <v>-18315.441274435198</v>
      </c>
      <c r="AJ35" s="12">
        <v>-18315.441274435198</v>
      </c>
      <c r="AK35" s="12">
        <v>-18315.441274435198</v>
      </c>
      <c r="AL35" s="12">
        <v>-18315.441274435198</v>
      </c>
      <c r="AM35" s="12">
        <v>-18315.441274435198</v>
      </c>
      <c r="AN35" s="12">
        <v>-18315.441274435198</v>
      </c>
    </row>
    <row r="36" spans="2:40" x14ac:dyDescent="0.25">
      <c r="B36" s="39" t="s">
        <v>261</v>
      </c>
      <c r="C36" s="15"/>
      <c r="E36" s="183" cm="1">
        <f t="array" ref="E36:AN36">_xlfn.BYCOL(_xlfn.ANCHORARRAY($E$25),_xlfn.LAMBDA(_xlpm.a,0))</f>
        <v>0</v>
      </c>
      <c r="F36" s="183">
        <v>0</v>
      </c>
      <c r="G36" s="183">
        <v>0</v>
      </c>
      <c r="H36" s="183">
        <v>0</v>
      </c>
      <c r="I36" s="183">
        <v>0</v>
      </c>
      <c r="J36" s="183">
        <v>0</v>
      </c>
      <c r="K36" s="183">
        <v>0</v>
      </c>
      <c r="L36" s="183">
        <v>0</v>
      </c>
      <c r="M36" s="183">
        <v>0</v>
      </c>
      <c r="N36" s="183">
        <v>0</v>
      </c>
      <c r="O36" s="183">
        <v>0</v>
      </c>
      <c r="P36" s="183">
        <v>0</v>
      </c>
      <c r="Q36" s="183">
        <v>0</v>
      </c>
      <c r="R36" s="183">
        <v>0</v>
      </c>
      <c r="S36" s="183">
        <v>0</v>
      </c>
      <c r="T36" s="183">
        <v>0</v>
      </c>
      <c r="U36" s="183">
        <v>0</v>
      </c>
      <c r="V36" s="183">
        <v>0</v>
      </c>
      <c r="W36" s="183">
        <v>0</v>
      </c>
      <c r="X36" s="183">
        <v>0</v>
      </c>
      <c r="Y36" s="183">
        <v>0</v>
      </c>
      <c r="Z36" s="183">
        <v>0</v>
      </c>
      <c r="AA36" s="183">
        <v>0</v>
      </c>
      <c r="AB36" s="183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271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9314.3714294399979</v>
      </c>
      <c r="F37" s="13">
        <v>18628.742858879996</v>
      </c>
      <c r="G37" s="13">
        <v>32600.30000304</v>
      </c>
      <c r="H37" s="13">
        <v>41914.671432479998</v>
      </c>
      <c r="I37" s="13">
        <v>51229.042861919996</v>
      </c>
      <c r="J37" s="13">
        <v>65200.60000608</v>
      </c>
      <c r="K37" s="13">
        <v>74514.971435519983</v>
      </c>
      <c r="L37" s="13">
        <v>83829.342864959995</v>
      </c>
      <c r="M37" s="13">
        <v>97800.900009119985</v>
      </c>
      <c r="N37" s="13">
        <v>107115.27143855998</v>
      </c>
      <c r="O37" s="13">
        <v>116429.642868</v>
      </c>
      <c r="P37" s="13">
        <v>130401.20001216</v>
      </c>
      <c r="Q37" s="13">
        <v>134313.23601252478</v>
      </c>
      <c r="R37" s="13">
        <v>134313.23601252478</v>
      </c>
      <c r="S37" s="13">
        <v>134313.23601252478</v>
      </c>
      <c r="T37" s="13">
        <v>134313.23601252478</v>
      </c>
      <c r="U37" s="13">
        <v>134313.23601252478</v>
      </c>
      <c r="V37" s="13">
        <v>134313.23601252478</v>
      </c>
      <c r="W37" s="13">
        <v>134313.23601252478</v>
      </c>
      <c r="X37" s="13">
        <v>134313.23601252478</v>
      </c>
      <c r="Y37" s="13">
        <v>134313.23601252478</v>
      </c>
      <c r="Z37" s="13">
        <v>134313.23601252478</v>
      </c>
      <c r="AA37" s="13">
        <v>134313.23601252478</v>
      </c>
      <c r="AB37" s="13">
        <v>134313.23601252478</v>
      </c>
      <c r="AC37" s="13">
        <v>134313.23601252478</v>
      </c>
      <c r="AD37" s="13">
        <v>134313.23601252478</v>
      </c>
      <c r="AE37" s="13">
        <v>134313.23601252478</v>
      </c>
      <c r="AF37" s="13">
        <v>134313.23601252478</v>
      </c>
      <c r="AG37" s="13">
        <v>134313.23601252478</v>
      </c>
      <c r="AH37" s="13">
        <v>134313.23601252478</v>
      </c>
      <c r="AI37" s="13">
        <v>134313.23601252478</v>
      </c>
      <c r="AJ37" s="13">
        <v>134313.23601252478</v>
      </c>
      <c r="AK37" s="13">
        <v>134313.23601252478</v>
      </c>
      <c r="AL37" s="13">
        <v>134313.23601252478</v>
      </c>
      <c r="AM37" s="13">
        <v>134313.23601252478</v>
      </c>
      <c r="AN37" s="13">
        <v>134313.23601252478</v>
      </c>
    </row>
    <row r="38" spans="2:40" x14ac:dyDescent="0.25">
      <c r="E38" s="67"/>
      <c r="F38" s="67"/>
    </row>
    <row r="39" spans="2:40" x14ac:dyDescent="0.25">
      <c r="B39" s="1" t="s">
        <v>118</v>
      </c>
    </row>
    <row r="40" spans="2:40" x14ac:dyDescent="0.25">
      <c r="B40" s="39" t="s">
        <v>23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13302.524511578773</v>
      </c>
      <c r="F40" s="12">
        <v>26467.871692601995</v>
      </c>
      <c r="G40" s="12">
        <v>33207.567397470157</v>
      </c>
      <c r="H40" s="12">
        <v>37940.909378493379</v>
      </c>
      <c r="I40" s="12">
        <v>42785.096690072169</v>
      </c>
      <c r="J40" s="12">
        <v>49471.629594940314</v>
      </c>
      <c r="K40" s="12">
        <v>54204.971575963536</v>
      </c>
      <c r="L40" s="12">
        <v>58885.150756986754</v>
      </c>
      <c r="M40" s="12">
        <v>65735.691792410478</v>
      </c>
      <c r="N40" s="12">
        <v>70415.870973433688</v>
      </c>
      <c r="O40" s="12">
        <v>74960.716821123584</v>
      </c>
      <c r="P40" s="12">
        <v>78425.960659325094</v>
      </c>
      <c r="Q40" s="12">
        <v>86547.668965257602</v>
      </c>
      <c r="R40" s="12">
        <v>86826.781205257605</v>
      </c>
      <c r="S40" s="12">
        <v>87047.414365257617</v>
      </c>
      <c r="T40" s="12">
        <v>87371.722525257617</v>
      </c>
      <c r="U40" s="12">
        <v>87650.834765257619</v>
      </c>
      <c r="V40" s="12">
        <v>87871.467925257602</v>
      </c>
      <c r="W40" s="12">
        <v>88254.255165257608</v>
      </c>
      <c r="X40" s="12">
        <v>88533.36740525761</v>
      </c>
      <c r="Y40" s="12">
        <v>88754.000565257607</v>
      </c>
      <c r="Z40" s="12">
        <v>88974.633725257605</v>
      </c>
      <c r="AA40" s="12">
        <v>89357.42096525761</v>
      </c>
      <c r="AB40" s="12">
        <v>89578.054125257622</v>
      </c>
      <c r="AC40" s="12">
        <v>98842.883001783382</v>
      </c>
      <c r="AD40" s="12">
        <v>98842.883001783382</v>
      </c>
      <c r="AE40" s="12">
        <v>98842.883001783382</v>
      </c>
      <c r="AF40" s="12">
        <v>98842.883001783382</v>
      </c>
      <c r="AG40" s="12">
        <v>98842.883001783382</v>
      </c>
      <c r="AH40" s="12">
        <v>98842.883001783382</v>
      </c>
      <c r="AI40" s="12">
        <v>98842.883001783382</v>
      </c>
      <c r="AJ40" s="12">
        <v>98842.883001783382</v>
      </c>
      <c r="AK40" s="12">
        <v>98842.883001783382</v>
      </c>
      <c r="AL40" s="12">
        <v>98842.883001783382</v>
      </c>
      <c r="AM40" s="12">
        <v>98842.883001783382</v>
      </c>
      <c r="AN40" s="12">
        <v>98842.883001783382</v>
      </c>
    </row>
    <row r="41" spans="2:40" x14ac:dyDescent="0.25">
      <c r="B41" s="39" t="s">
        <v>388</v>
      </c>
      <c r="C41" s="142">
        <f>_xlfn.XLOOKUP($B$1&amp;"-"&amp;$C$1,Base!$D$4:$BD$4,Base!$D$12:$BD$12,0,0)</f>
        <v>0</v>
      </c>
      <c r="E41" s="183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28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0</v>
      </c>
      <c r="AJ42" s="12">
        <v>0</v>
      </c>
      <c r="AK42" s="12">
        <v>0</v>
      </c>
      <c r="AL42" s="12">
        <v>0</v>
      </c>
      <c r="AM42" s="12">
        <v>0</v>
      </c>
      <c r="AN42" s="12">
        <v>0</v>
      </c>
    </row>
    <row r="43" spans="2:40" x14ac:dyDescent="0.25">
      <c r="B43" s="39" t="s">
        <v>31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0</v>
      </c>
      <c r="X43" s="12">
        <v>0</v>
      </c>
      <c r="Y43" s="12">
        <v>0</v>
      </c>
      <c r="Z43" s="12">
        <v>0</v>
      </c>
      <c r="AA43" s="12">
        <v>0</v>
      </c>
      <c r="AB43" s="12">
        <v>0</v>
      </c>
      <c r="AC43" s="12">
        <v>0</v>
      </c>
      <c r="AD43" s="12">
        <v>0</v>
      </c>
      <c r="AE43" s="12">
        <v>0</v>
      </c>
      <c r="AF43" s="12">
        <v>0</v>
      </c>
      <c r="AG43" s="12">
        <v>0</v>
      </c>
      <c r="AH43" s="12">
        <v>0</v>
      </c>
      <c r="AI43" s="12">
        <v>0</v>
      </c>
      <c r="AJ43" s="12">
        <v>0</v>
      </c>
      <c r="AK43" s="12">
        <v>0</v>
      </c>
      <c r="AL43" s="12">
        <v>0</v>
      </c>
      <c r="AM43" s="12">
        <v>0</v>
      </c>
      <c r="AN43" s="12">
        <v>0</v>
      </c>
    </row>
    <row r="44" spans="2:40" x14ac:dyDescent="0.25">
      <c r="B44" s="39" t="s">
        <v>34</v>
      </c>
      <c r="C44" s="96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357.15640000000002</v>
      </c>
      <c r="F44" s="12">
        <v>899.62980000000016</v>
      </c>
      <c r="G44" s="12">
        <v>929.95439999999996</v>
      </c>
      <c r="H44" s="12">
        <v>956.90960000000007</v>
      </c>
      <c r="I44" s="12">
        <v>987.2342000000001</v>
      </c>
      <c r="J44" s="12">
        <v>1014.1894000000001</v>
      </c>
      <c r="K44" s="12">
        <v>1041.1445999999999</v>
      </c>
      <c r="L44" s="12">
        <v>1064.7304000000001</v>
      </c>
      <c r="M44" s="12">
        <v>1098.4243999999999</v>
      </c>
      <c r="N44" s="12">
        <v>1122.0101999999999</v>
      </c>
      <c r="O44" s="12">
        <v>1142.2266</v>
      </c>
      <c r="P44" s="12">
        <v>1004.0812</v>
      </c>
      <c r="Q44" s="12">
        <v>1058.261152</v>
      </c>
      <c r="R44" s="12">
        <v>1072.2778559999999</v>
      </c>
      <c r="S44" s="12">
        <v>1082.7903840000001</v>
      </c>
      <c r="T44" s="12">
        <v>1096.8070880000002</v>
      </c>
      <c r="U44" s="12">
        <v>1110.8237920000001</v>
      </c>
      <c r="V44" s="12">
        <v>1121.3363200000001</v>
      </c>
      <c r="W44" s="12">
        <v>1138.8572000000001</v>
      </c>
      <c r="X44" s="12">
        <v>1152.873904</v>
      </c>
      <c r="Y44" s="12">
        <v>1163.386432</v>
      </c>
      <c r="Z44" s="12">
        <v>1173.8989600000002</v>
      </c>
      <c r="AA44" s="12">
        <v>1191.41984</v>
      </c>
      <c r="AB44" s="12">
        <v>1201.932368</v>
      </c>
      <c r="AC44" s="12">
        <v>1264.5870348800001</v>
      </c>
      <c r="AD44" s="12">
        <v>1264.5870348800001</v>
      </c>
      <c r="AE44" s="12">
        <v>1264.5870348800001</v>
      </c>
      <c r="AF44" s="12">
        <v>1264.5870348800001</v>
      </c>
      <c r="AG44" s="12">
        <v>1264.5870348800001</v>
      </c>
      <c r="AH44" s="12">
        <v>1264.5870348800001</v>
      </c>
      <c r="AI44" s="12">
        <v>1264.5870348800001</v>
      </c>
      <c r="AJ44" s="12">
        <v>1264.5870348800001</v>
      </c>
      <c r="AK44" s="12">
        <v>1264.5870348800001</v>
      </c>
      <c r="AL44" s="12">
        <v>1264.5870348800001</v>
      </c>
      <c r="AM44" s="12">
        <v>1264.5870348800001</v>
      </c>
      <c r="AN44" s="12">
        <v>1264.5870348800001</v>
      </c>
    </row>
    <row r="45" spans="2:40" x14ac:dyDescent="0.25">
      <c r="B45" s="39" t="s">
        <v>36</v>
      </c>
      <c r="C45" s="96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0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12">
        <v>0</v>
      </c>
      <c r="R45" s="12">
        <v>0</v>
      </c>
      <c r="S45" s="12">
        <v>0</v>
      </c>
      <c r="T45" s="12">
        <v>0</v>
      </c>
      <c r="U45" s="12">
        <v>0</v>
      </c>
      <c r="V45" s="12">
        <v>0</v>
      </c>
      <c r="W45" s="12">
        <v>0</v>
      </c>
      <c r="X45" s="12">
        <v>0</v>
      </c>
      <c r="Y45" s="12">
        <v>0</v>
      </c>
      <c r="Z45" s="12">
        <v>0</v>
      </c>
      <c r="AA45" s="12">
        <v>0</v>
      </c>
      <c r="AB45" s="12">
        <v>0</v>
      </c>
      <c r="AC45" s="12">
        <v>0</v>
      </c>
      <c r="AD45" s="12">
        <v>0</v>
      </c>
      <c r="AE45" s="12">
        <v>0</v>
      </c>
      <c r="AF45" s="12">
        <v>0</v>
      </c>
      <c r="AG45" s="12">
        <v>0</v>
      </c>
      <c r="AH45" s="12">
        <v>0</v>
      </c>
      <c r="AI45" s="12">
        <v>0</v>
      </c>
      <c r="AJ45" s="12">
        <v>0</v>
      </c>
      <c r="AK45" s="12">
        <v>0</v>
      </c>
      <c r="AL45" s="12">
        <v>0</v>
      </c>
      <c r="AM45" s="12">
        <v>0</v>
      </c>
      <c r="AN45" s="12">
        <v>0</v>
      </c>
    </row>
    <row r="46" spans="2:40" x14ac:dyDescent="0.25">
      <c r="B46" s="39" t="s">
        <v>38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2125</v>
      </c>
      <c r="F46" s="12">
        <v>2825</v>
      </c>
      <c r="G46" s="12">
        <v>3290</v>
      </c>
      <c r="H46" s="12">
        <v>3607.4999999999995</v>
      </c>
      <c r="I46" s="12">
        <v>3930.0000000000005</v>
      </c>
      <c r="J46" s="12">
        <v>4392.5</v>
      </c>
      <c r="K46" s="12">
        <v>4710</v>
      </c>
      <c r="L46" s="12">
        <v>5025</v>
      </c>
      <c r="M46" s="12">
        <v>5495</v>
      </c>
      <c r="N46" s="12">
        <v>5810.0000000000009</v>
      </c>
      <c r="O46" s="12">
        <v>6122.5</v>
      </c>
      <c r="P46" s="12">
        <v>6462.5</v>
      </c>
      <c r="Q46" s="12">
        <v>6601.9500000000007</v>
      </c>
      <c r="R46" s="12">
        <v>6612.1500000000005</v>
      </c>
      <c r="S46" s="12">
        <v>6619.8</v>
      </c>
      <c r="T46" s="12">
        <v>6630</v>
      </c>
      <c r="U46" s="12">
        <v>6640.2</v>
      </c>
      <c r="V46" s="12">
        <v>6647.85</v>
      </c>
      <c r="W46" s="12">
        <v>6660.5999999999995</v>
      </c>
      <c r="X46" s="12">
        <v>6670.8</v>
      </c>
      <c r="Y46" s="12">
        <v>6678.45</v>
      </c>
      <c r="Z46" s="12">
        <v>6686.1</v>
      </c>
      <c r="AA46" s="12">
        <v>6698.85</v>
      </c>
      <c r="AB46" s="12">
        <v>6706.5</v>
      </c>
      <c r="AC46" s="12">
        <v>6851.0339999999997</v>
      </c>
      <c r="AD46" s="12">
        <v>6851.0339999999997</v>
      </c>
      <c r="AE46" s="12">
        <v>6851.0339999999997</v>
      </c>
      <c r="AF46" s="12">
        <v>6851.0339999999997</v>
      </c>
      <c r="AG46" s="12">
        <v>6851.0339999999997</v>
      </c>
      <c r="AH46" s="12">
        <v>6851.0339999999997</v>
      </c>
      <c r="AI46" s="12">
        <v>6851.0339999999997</v>
      </c>
      <c r="AJ46" s="12">
        <v>6851.0339999999997</v>
      </c>
      <c r="AK46" s="12">
        <v>6851.0339999999997</v>
      </c>
      <c r="AL46" s="12">
        <v>6851.0339999999997</v>
      </c>
      <c r="AM46" s="12">
        <v>6851.0339999999997</v>
      </c>
      <c r="AN46" s="12">
        <v>6851.0339999999997</v>
      </c>
    </row>
    <row r="47" spans="2:40" x14ac:dyDescent="0.25">
      <c r="B47" s="39" t="s">
        <v>40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  <c r="O47" s="12">
        <v>0</v>
      </c>
      <c r="P47" s="12">
        <v>0</v>
      </c>
      <c r="Q47" s="12">
        <v>0</v>
      </c>
      <c r="R47" s="12">
        <v>0</v>
      </c>
      <c r="S47" s="12">
        <v>0</v>
      </c>
      <c r="T47" s="12">
        <v>0</v>
      </c>
      <c r="U47" s="12">
        <v>0</v>
      </c>
      <c r="V47" s="12">
        <v>0</v>
      </c>
      <c r="W47" s="12">
        <v>0</v>
      </c>
      <c r="X47" s="12">
        <v>0</v>
      </c>
      <c r="Y47" s="12">
        <v>0</v>
      </c>
      <c r="Z47" s="12">
        <v>0</v>
      </c>
      <c r="AA47" s="12">
        <v>0</v>
      </c>
      <c r="AB47" s="12">
        <v>0</v>
      </c>
      <c r="AC47" s="12">
        <v>0</v>
      </c>
      <c r="AD47" s="12">
        <v>0</v>
      </c>
      <c r="AE47" s="12">
        <v>0</v>
      </c>
      <c r="AF47" s="12">
        <v>0</v>
      </c>
      <c r="AG47" s="12">
        <v>0</v>
      </c>
      <c r="AH47" s="12">
        <v>0</v>
      </c>
      <c r="AI47" s="12">
        <v>0</v>
      </c>
      <c r="AJ47" s="12">
        <v>0</v>
      </c>
      <c r="AK47" s="12">
        <v>0</v>
      </c>
      <c r="AL47" s="12">
        <v>0</v>
      </c>
      <c r="AM47" s="12">
        <v>0</v>
      </c>
      <c r="AN47" s="12">
        <v>0</v>
      </c>
    </row>
    <row r="48" spans="2:40" x14ac:dyDescent="0.25">
      <c r="B48" s="39" t="s">
        <v>41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42</v>
      </c>
      <c r="E49" s="12">
        <f>'Corp.'!E$50*(E$37-(E31-E32-E34)*$C$35)/(SUM('MDA1:NCA9'!E$37)-SUM('MDA1:NCA9'!E$31)-SUM('MDA1:NCA9'!E$32)-SUM('MDA1:NCA9'!E$34))</f>
        <v>3087.4029978338745</v>
      </c>
      <c r="F49" s="12">
        <f>'Corp.'!F$50*(F$37-(F31-F32-F34)*$C$35)/(SUM('MDA1:NCA9'!F$37)-SUM('MDA1:NCA9'!F$31)-SUM('MDA1:NCA9'!F$32)-SUM('MDA1:NCA9'!F$34))</f>
        <v>5796.0033616668989</v>
      </c>
      <c r="G49" s="12">
        <f>'Corp.'!G$50*(G$37-(G31-G32-G34)*$C$35)/(SUM('MDA1:NCA9'!G$37)-SUM('MDA1:NCA9'!G$31)-SUM('MDA1:NCA9'!G$32)-SUM('MDA1:NCA9'!G$34))</f>
        <v>9231.3368599350943</v>
      </c>
      <c r="H49" s="12">
        <f>'Corp.'!H$50*(H$37-(H31-H32-H34)*$C$35)/(SUM('MDA1:NCA9'!H$37)-SUM('MDA1:NCA9'!H$31)-SUM('MDA1:NCA9'!H$32)-SUM('MDA1:NCA9'!H$34))</f>
        <v>10851.489892106805</v>
      </c>
      <c r="I49" s="12">
        <f>'Corp.'!I$50*(I$37-(I31-I32-I34)*$C$35)/(SUM('MDA1:NCA9'!I$37)-SUM('MDA1:NCA9'!I$31)-SUM('MDA1:NCA9'!I$32)-SUM('MDA1:NCA9'!I$34))</f>
        <v>12480.503013836767</v>
      </c>
      <c r="J49" s="12">
        <f>'Corp.'!J$50*(J$37-(J31-J32-J34)*$C$35)/(SUM('MDA1:NCA9'!J$37)-SUM('MDA1:NCA9'!J$31)-SUM('MDA1:NCA9'!J$32)-SUM('MDA1:NCA9'!J$34))</f>
        <v>14846.508588094526</v>
      </c>
      <c r="K49" s="12">
        <f>'Corp.'!K$50*(K$37-(K31-K32-K34)*$C$35)/(SUM('MDA1:NCA9'!K$37)-SUM('MDA1:NCA9'!K$31)-SUM('MDA1:NCA9'!K$32)-SUM('MDA1:NCA9'!K$34))</f>
        <v>15584.393234597414</v>
      </c>
      <c r="L49" s="12">
        <f>'Corp.'!L$50*(L$37-(L31-L32-L34)*$C$35)/(SUM('MDA1:NCA9'!L$37)-SUM('MDA1:NCA9'!L$31)-SUM('MDA1:NCA9'!L$32)-SUM('MDA1:NCA9'!L$34))</f>
        <v>16568.120272051463</v>
      </c>
      <c r="M49" s="12">
        <f>'Corp.'!M$50*(M$37-(M31-M32-M34)*$C$35)/(SUM('MDA1:NCA9'!M$37)-SUM('MDA1:NCA9'!M$31)-SUM('MDA1:NCA9'!M$32)-SUM('MDA1:NCA9'!M$34))</f>
        <v>18114.65910755084</v>
      </c>
      <c r="N49" s="12">
        <f>'Corp.'!N$50*(N$37-(N31-N32-N34)*$C$35)/(SUM('MDA1:NCA9'!N$37)-SUM('MDA1:NCA9'!N$31)-SUM('MDA1:NCA9'!N$32)-SUM('MDA1:NCA9'!N$34))</f>
        <v>18694.728741609244</v>
      </c>
      <c r="O49" s="12">
        <f>'Corp.'!O$50*(O$37-(O31-O32-O34)*$C$35)/(SUM('MDA1:NCA9'!O$37)-SUM('MDA1:NCA9'!O$31)-SUM('MDA1:NCA9'!O$32)-SUM('MDA1:NCA9'!O$34))</f>
        <v>19017.803175015306</v>
      </c>
      <c r="P49" s="12">
        <f>'Corp.'!P$50*(P$37-(P31-P32-P34)*$C$35)/(SUM('MDA1:NCA9'!P$37)-SUM('MDA1:NCA9'!P$31)-SUM('MDA1:NCA9'!P$32)-SUM('MDA1:NCA9'!P$34))</f>
        <v>20099.631602203695</v>
      </c>
      <c r="Q49" s="12">
        <f>'Corp.'!Q$50*(Q$37-(Q31-Q32-Q34)*$C$35)/(SUM('MDA1:NCA9'!Q$37)-SUM('MDA1:NCA9'!Q$31)-SUM('MDA1:NCA9'!Q$32)-SUM('MDA1:NCA9'!Q$34))</f>
        <v>20778.555495486478</v>
      </c>
      <c r="R49" s="12">
        <f>'Corp.'!R$50*(R$37-(R31-R32-R34)*$C$35)/(SUM('MDA1:NCA9'!R$37)-SUM('MDA1:NCA9'!R$31)-SUM('MDA1:NCA9'!R$32)-SUM('MDA1:NCA9'!R$34))</f>
        <v>19991.532083596005</v>
      </c>
      <c r="S49" s="12">
        <f>'Corp.'!S$50*(S$37-(S31-S32-S34)*$C$35)/(SUM('MDA1:NCA9'!S$37)-SUM('MDA1:NCA9'!S$31)-SUM('MDA1:NCA9'!S$32)-SUM('MDA1:NCA9'!S$34))</f>
        <v>19126.433930305579</v>
      </c>
      <c r="T49" s="12">
        <f>'Corp.'!T$50*(T$37-(T31-T32-T34)*$C$35)/(SUM('MDA1:NCA9'!T$37)-SUM('MDA1:NCA9'!T$31)-SUM('MDA1:NCA9'!T$32)-SUM('MDA1:NCA9'!T$34))</f>
        <v>18394.162815446343</v>
      </c>
      <c r="U49" s="12">
        <f>'Corp.'!U$50*(U$37-(U31-U32-U34)*$C$35)/(SUM('MDA1:NCA9'!U$37)-SUM('MDA1:NCA9'!U$31)-SUM('MDA1:NCA9'!U$32)-SUM('MDA1:NCA9'!U$34))</f>
        <v>17892.107972618982</v>
      </c>
      <c r="V49" s="12">
        <f>'Corp.'!V$50*(V$37-(V31-V32-V34)*$C$35)/(SUM('MDA1:NCA9'!V$37)-SUM('MDA1:NCA9'!V$31)-SUM('MDA1:NCA9'!V$32)-SUM('MDA1:NCA9'!V$34))</f>
        <v>17482.783844325179</v>
      </c>
      <c r="W49" s="12">
        <f>'Corp.'!W$50*(W$37-(W31-W32-W34)*$C$35)/(SUM('MDA1:NCA9'!W$37)-SUM('MDA1:NCA9'!W$31)-SUM('MDA1:NCA9'!W$32)-SUM('MDA1:NCA9'!W$34))</f>
        <v>16951.438230379637</v>
      </c>
      <c r="X49" s="12">
        <f>'Corp.'!X$50*(X$37-(X31-X32-X34)*$C$35)/(SUM('MDA1:NCA9'!X$37)-SUM('MDA1:NCA9'!X$31)-SUM('MDA1:NCA9'!X$32)-SUM('MDA1:NCA9'!X$34))</f>
        <v>16420.457178027606</v>
      </c>
      <c r="Y49" s="12">
        <f>'Corp.'!Y$50*(Y$37-(Y31-Y32-Y34)*$C$35)/(SUM('MDA1:NCA9'!Y$37)-SUM('MDA1:NCA9'!Y$31)-SUM('MDA1:NCA9'!Y$32)-SUM('MDA1:NCA9'!Y$34))</f>
        <v>16072.566506750734</v>
      </c>
      <c r="Z49" s="12">
        <f>'Corp.'!Z$50*(Z$37-(Z31-Z32-Z34)*$C$35)/(SUM('MDA1:NCA9'!Z$37)-SUM('MDA1:NCA9'!Z$31)-SUM('MDA1:NCA9'!Z$32)-SUM('MDA1:NCA9'!Z$34))</f>
        <v>15723.508935147693</v>
      </c>
      <c r="AA49" s="12">
        <f>'Corp.'!AA$50*(AA$37-(AA31-AA32-AA34)*$C$35)/(SUM('MDA1:NCA9'!AA$37)-SUM('MDA1:NCA9'!AA$31)-SUM('MDA1:NCA9'!AA$32)-SUM('MDA1:NCA9'!AA$34))</f>
        <v>15364.017056812398</v>
      </c>
      <c r="AB49" s="12">
        <f>'Corp.'!AB$50*(AB$37-(AB31-AB32-AB34)*$C$35)/(SUM('MDA1:NCA9'!AB$37)-SUM('MDA1:NCA9'!AB$31)-SUM('MDA1:NCA9'!AB$32)-SUM('MDA1:NCA9'!AB$34))</f>
        <v>15015.346206921966</v>
      </c>
      <c r="AC49" s="12">
        <f>'Corp.'!AC$50*(AC$37-(AC31-AC32-AC34)*$C$35)/(SUM('MDA1:NCA9'!AC$37)-SUM('MDA1:NCA9'!AC$31)-SUM('MDA1:NCA9'!AC$32)-SUM('MDA1:NCA9'!AC$34))</f>
        <v>16115.179476308747</v>
      </c>
      <c r="AD49" s="12">
        <f>'Corp.'!AD$50*(AD$37-(AD31-AD32-AD34)*$C$35)/(SUM('MDA1:NCA9'!AD$37)-SUM('MDA1:NCA9'!AD$31)-SUM('MDA1:NCA9'!AD$32)-SUM('MDA1:NCA9'!AD$34))</f>
        <v>15850.438051919531</v>
      </c>
      <c r="AE49" s="12">
        <f>'Corp.'!AE$50*(AE$37-(AE31-AE32-AE34)*$C$35)/(SUM('MDA1:NCA9'!AE$37)-SUM('MDA1:NCA9'!AE$31)-SUM('MDA1:NCA9'!AE$32)-SUM('MDA1:NCA9'!AE$34))</f>
        <v>15600.811947684746</v>
      </c>
      <c r="AF49" s="12">
        <f>'Corp.'!AF$50*(AF$37-(AF31-AF32-AF34)*$C$35)/(SUM('MDA1:NCA9'!AF$37)-SUM('MDA1:NCA9'!AF$31)-SUM('MDA1:NCA9'!AF$32)-SUM('MDA1:NCA9'!AF$34))</f>
        <v>15366.904104082902</v>
      </c>
      <c r="AG49" s="12">
        <f>'Corp.'!AG$50*(AG$37-(AG31-AG32-AG34)*$C$35)/(SUM('MDA1:NCA9'!AG$37)-SUM('MDA1:NCA9'!AG$31)-SUM('MDA1:NCA9'!AG$32)-SUM('MDA1:NCA9'!AG$34))</f>
        <v>15179.320895191939</v>
      </c>
      <c r="AH49" s="12">
        <f>'Corp.'!AH$50*(AH$37-(AH31-AH32-AH34)*$C$35)/(SUM('MDA1:NCA9'!AH$37)-SUM('MDA1:NCA9'!AH$31)-SUM('MDA1:NCA9'!AH$32)-SUM('MDA1:NCA9'!AH$34))</f>
        <v>14932.578939142235</v>
      </c>
      <c r="AI49" s="12">
        <f>'Corp.'!AI$50*(AI$37-(AI31-AI32-AI34)*$C$35)/(SUM('MDA1:NCA9'!AI$37)-SUM('MDA1:NCA9'!AI$31)-SUM('MDA1:NCA9'!AI$32)-SUM('MDA1:NCA9'!AI$34))</f>
        <v>14675.44495631403</v>
      </c>
      <c r="AJ49" s="12">
        <f>'Corp.'!AJ$50*(AJ$37-(AJ31-AJ32-AJ34)*$C$35)/(SUM('MDA1:NCA9'!AJ$37)-SUM('MDA1:NCA9'!AJ$31)-SUM('MDA1:NCA9'!AJ$32)-SUM('MDA1:NCA9'!AJ$34))</f>
        <v>14411.994692982713</v>
      </c>
      <c r="AK49" s="12">
        <f>'Corp.'!AK$50*(AK$37-(AK31-AK32-AK34)*$C$35)/(SUM('MDA1:NCA9'!AK$37)-SUM('MDA1:NCA9'!AK$31)-SUM('MDA1:NCA9'!AK$32)-SUM('MDA1:NCA9'!AK$34))</f>
        <v>14168.731124481432</v>
      </c>
      <c r="AL49" s="12">
        <f>'Corp.'!AL$50*(AL$37-(AL31-AL32-AL34)*$C$35)/(SUM('MDA1:NCA9'!AL$37)-SUM('MDA1:NCA9'!AL$31)-SUM('MDA1:NCA9'!AL$32)-SUM('MDA1:NCA9'!AL$34))</f>
        <v>13945.497700599339</v>
      </c>
      <c r="AM49" s="12">
        <f>'Corp.'!AM$50*(AM$37-(AM31-AM32-AM34)*$C$35)/(SUM('MDA1:NCA9'!AM$37)-SUM('MDA1:NCA9'!AM$31)-SUM('MDA1:NCA9'!AM$32)-SUM('MDA1:NCA9'!AM$34))</f>
        <v>13705.086432645785</v>
      </c>
      <c r="AN49" s="12">
        <f>'Corp.'!AN$50*(AN$37-(AN31-AN32-AN34)*$C$35)/(SUM('MDA1:NCA9'!AN$37)-SUM('MDA1:NCA9'!AN$31)-SUM('MDA1:NCA9'!AN$32)-SUM('MDA1:NCA9'!AN$34))</f>
        <v>13500.155467719662</v>
      </c>
    </row>
    <row r="50" spans="2:40" x14ac:dyDescent="0.25">
      <c r="B50" s="1" t="s">
        <v>272</v>
      </c>
      <c r="E50" s="13" cm="1">
        <f t="array" ref="E50:AN50">_xlfn.BYCOL(_xlfn.VSTACK(_xlfn.ANCHORARRAY(E40),_xlfn.ANCHORARRAY(E42),_xlfn.ANCHORARRAY(E43),_xlfn.ANCHORARRAY(E45),_xlfn.ANCHORARRAY(E46),_xlfn.ANCHORARRAY(E47),_xlfn.ANCHORARRAY(E48),_xlfn.HSTACK(E49:AN49)),_xlfn.LAMBDA(_xlpm.a,SUM(_xlpm.a)))</f>
        <v>18514.927509412646</v>
      </c>
      <c r="F50" s="13">
        <v>35088.875054268894</v>
      </c>
      <c r="G50" s="13">
        <v>45728.904257405251</v>
      </c>
      <c r="H50" s="13">
        <v>52399.899270600188</v>
      </c>
      <c r="I50" s="13">
        <v>59195.599703908934</v>
      </c>
      <c r="J50" s="13">
        <v>68710.63818303484</v>
      </c>
      <c r="K50" s="13">
        <v>74499.364810560946</v>
      </c>
      <c r="L50" s="13">
        <v>80478.271029038209</v>
      </c>
      <c r="M50" s="13">
        <v>89345.350899961311</v>
      </c>
      <c r="N50" s="13">
        <v>94920.599715042932</v>
      </c>
      <c r="O50" s="13">
        <v>100101.01999613889</v>
      </c>
      <c r="P50" s="13">
        <v>104988.09226152879</v>
      </c>
      <c r="Q50" s="13">
        <v>113928.17446074408</v>
      </c>
      <c r="R50" s="13">
        <v>113430.4632888536</v>
      </c>
      <c r="S50" s="13">
        <v>112793.64829556319</v>
      </c>
      <c r="T50" s="13">
        <v>112395.88534070396</v>
      </c>
      <c r="U50" s="13">
        <v>112183.14273787659</v>
      </c>
      <c r="V50" s="13">
        <v>112002.10176958279</v>
      </c>
      <c r="W50" s="13">
        <v>111866.29339563724</v>
      </c>
      <c r="X50" s="13">
        <v>111624.62458328521</v>
      </c>
      <c r="Y50" s="13">
        <v>111505.01707200834</v>
      </c>
      <c r="Z50" s="13">
        <v>111384.2426604053</v>
      </c>
      <c r="AA50" s="13">
        <v>111420.28802207002</v>
      </c>
      <c r="AB50" s="13">
        <v>111299.90033217959</v>
      </c>
      <c r="AC50" s="13">
        <v>121809.09647809213</v>
      </c>
      <c r="AD50" s="13">
        <v>121544.35505370291</v>
      </c>
      <c r="AE50" s="13">
        <v>121294.72894946813</v>
      </c>
      <c r="AF50" s="13">
        <v>121060.82110586629</v>
      </c>
      <c r="AG50" s="13">
        <v>120873.23789697532</v>
      </c>
      <c r="AH50" s="13">
        <v>120626.49594092561</v>
      </c>
      <c r="AI50" s="13">
        <v>120369.3619580974</v>
      </c>
      <c r="AJ50" s="13">
        <v>120105.9116947661</v>
      </c>
      <c r="AK50" s="13">
        <v>119862.64812626482</v>
      </c>
      <c r="AL50" s="13">
        <v>119639.41470238272</v>
      </c>
      <c r="AM50" s="13">
        <v>119399.00343442916</v>
      </c>
      <c r="AN50" s="13">
        <v>119194.07246950304</v>
      </c>
    </row>
    <row r="52" spans="2:40" x14ac:dyDescent="0.25">
      <c r="B52" s="1" t="s">
        <v>48</v>
      </c>
      <c r="E52" s="74">
        <f>E37-E50</f>
        <v>-9200.5560799726481</v>
      </c>
      <c r="F52" s="74">
        <f t="shared" ref="F52:AN52" si="0">F37-F50</f>
        <v>-16460.132195388898</v>
      </c>
      <c r="G52" s="74">
        <f t="shared" si="0"/>
        <v>-13128.604254365251</v>
      </c>
      <c r="H52" s="74">
        <f t="shared" si="0"/>
        <v>-10485.22783812019</v>
      </c>
      <c r="I52" s="74">
        <f t="shared" si="0"/>
        <v>-7966.5568419889387</v>
      </c>
      <c r="J52" s="74">
        <f t="shared" si="0"/>
        <v>-3510.0381769548403</v>
      </c>
      <c r="K52" s="74">
        <f t="shared" si="0"/>
        <v>15.606624959036708</v>
      </c>
      <c r="L52" s="74">
        <f t="shared" si="0"/>
        <v>3351.0718359217863</v>
      </c>
      <c r="M52" s="74">
        <f t="shared" si="0"/>
        <v>8455.5491091586737</v>
      </c>
      <c r="N52" s="74">
        <f t="shared" si="0"/>
        <v>12194.671723517051</v>
      </c>
      <c r="O52" s="74">
        <f t="shared" si="0"/>
        <v>16328.622871861109</v>
      </c>
      <c r="P52" s="74">
        <f t="shared" si="0"/>
        <v>25413.107750631214</v>
      </c>
      <c r="Q52" s="74">
        <f t="shared" si="0"/>
        <v>20385.061551780702</v>
      </c>
      <c r="R52" s="74">
        <f t="shared" si="0"/>
        <v>20882.77272367118</v>
      </c>
      <c r="S52" s="74">
        <f t="shared" si="0"/>
        <v>21519.587716961585</v>
      </c>
      <c r="T52" s="74">
        <f t="shared" si="0"/>
        <v>21917.350671820823</v>
      </c>
      <c r="U52" s="74">
        <f t="shared" si="0"/>
        <v>22130.093274648185</v>
      </c>
      <c r="V52" s="74">
        <f t="shared" si="0"/>
        <v>22311.134242941989</v>
      </c>
      <c r="W52" s="74">
        <f t="shared" si="0"/>
        <v>22446.942616887536</v>
      </c>
      <c r="X52" s="74">
        <f t="shared" si="0"/>
        <v>22688.611429239565</v>
      </c>
      <c r="Y52" s="74">
        <f t="shared" si="0"/>
        <v>22808.218940516439</v>
      </c>
      <c r="Z52" s="74">
        <f t="shared" si="0"/>
        <v>22928.993352119476</v>
      </c>
      <c r="AA52" s="74">
        <f t="shared" si="0"/>
        <v>22892.947990454762</v>
      </c>
      <c r="AB52" s="74">
        <f t="shared" si="0"/>
        <v>23013.33568034519</v>
      </c>
      <c r="AC52" s="74">
        <f t="shared" si="0"/>
        <v>12504.139534432645</v>
      </c>
      <c r="AD52" s="74">
        <f t="shared" si="0"/>
        <v>12768.880958821872</v>
      </c>
      <c r="AE52" s="74">
        <f t="shared" si="0"/>
        <v>13018.507063056648</v>
      </c>
      <c r="AF52" s="74">
        <f t="shared" si="0"/>
        <v>13252.414906658494</v>
      </c>
      <c r="AG52" s="74">
        <f t="shared" si="0"/>
        <v>13439.998115549461</v>
      </c>
      <c r="AH52" s="74">
        <f t="shared" si="0"/>
        <v>13686.740071599168</v>
      </c>
      <c r="AI52" s="74">
        <f t="shared" si="0"/>
        <v>13943.874054427375</v>
      </c>
      <c r="AJ52" s="74">
        <f t="shared" si="0"/>
        <v>14207.324317758685</v>
      </c>
      <c r="AK52" s="74">
        <f t="shared" si="0"/>
        <v>14450.587886259964</v>
      </c>
      <c r="AL52" s="74">
        <f t="shared" si="0"/>
        <v>14673.821310142055</v>
      </c>
      <c r="AM52" s="74">
        <f t="shared" si="0"/>
        <v>14914.232578095616</v>
      </c>
      <c r="AN52" s="74">
        <f t="shared" si="0"/>
        <v>15119.163543021743</v>
      </c>
    </row>
    <row r="53" spans="2:40" x14ac:dyDescent="0.25">
      <c r="E53" s="105">
        <f>IFERROR(E52/E37,"")</f>
        <v>-0.98778067308894157</v>
      </c>
      <c r="F53" s="105">
        <f t="shared" ref="F53:AN53" si="1">IFERROR(F52/F37,"")</f>
        <v>-0.88358792217385951</v>
      </c>
      <c r="G53" s="105">
        <f t="shared" si="1"/>
        <v>-0.40271421591644863</v>
      </c>
      <c r="H53" s="105">
        <f t="shared" si="1"/>
        <v>-0.25015650796668559</v>
      </c>
      <c r="I53" s="105">
        <f t="shared" si="1"/>
        <v>-0.1555086020924023</v>
      </c>
      <c r="J53" s="105">
        <f t="shared" si="1"/>
        <v>-5.3834445950306085E-2</v>
      </c>
      <c r="K53" s="105">
        <f t="shared" si="1"/>
        <v>2.0944280938954104E-4</v>
      </c>
      <c r="L53" s="105">
        <f t="shared" si="1"/>
        <v>3.9974926695059518E-2</v>
      </c>
      <c r="M53" s="105">
        <f t="shared" si="1"/>
        <v>8.6456761730926701E-2</v>
      </c>
      <c r="N53" s="105">
        <f t="shared" si="1"/>
        <v>0.11384624768945076</v>
      </c>
      <c r="O53" s="105">
        <f t="shared" si="1"/>
        <v>0.14024455001011546</v>
      </c>
      <c r="P53" s="105">
        <f t="shared" si="1"/>
        <v>0.19488400220443849</v>
      </c>
      <c r="Q53" s="105">
        <f t="shared" si="1"/>
        <v>0.15177254421805297</v>
      </c>
      <c r="R53" s="105">
        <f t="shared" si="1"/>
        <v>0.15547814454953532</v>
      </c>
      <c r="S53" s="105">
        <f t="shared" si="1"/>
        <v>0.16021941214308077</v>
      </c>
      <c r="T53" s="105">
        <f t="shared" si="1"/>
        <v>0.16318086975268037</v>
      </c>
      <c r="U53" s="105">
        <f t="shared" si="1"/>
        <v>0.1647647985533201</v>
      </c>
      <c r="V53" s="105">
        <f t="shared" si="1"/>
        <v>0.16611269972574755</v>
      </c>
      <c r="W53" s="105">
        <f t="shared" si="1"/>
        <v>0.16712383145019563</v>
      </c>
      <c r="X53" s="105">
        <f t="shared" si="1"/>
        <v>0.16892312405550142</v>
      </c>
      <c r="Y53" s="105">
        <f t="shared" si="1"/>
        <v>0.16981363577890091</v>
      </c>
      <c r="Z53" s="105">
        <f t="shared" si="1"/>
        <v>0.17071283540500309</v>
      </c>
      <c r="AA53" s="105">
        <f t="shared" si="1"/>
        <v>0.17044446750073078</v>
      </c>
      <c r="AB53" s="105">
        <f t="shared" si="1"/>
        <v>0.17134078787439225</v>
      </c>
      <c r="AC53" s="105">
        <f t="shared" si="1"/>
        <v>9.3096852593638854E-2</v>
      </c>
      <c r="AD53" s="105">
        <f t="shared" si="1"/>
        <v>9.506792731604774E-2</v>
      </c>
      <c r="AE53" s="105">
        <f t="shared" si="1"/>
        <v>9.6926464208208524E-2</v>
      </c>
      <c r="AF53" s="105">
        <f t="shared" si="1"/>
        <v>9.8667974207863621E-2</v>
      </c>
      <c r="AG53" s="105">
        <f t="shared" si="1"/>
        <v>0.10006458421042118</v>
      </c>
      <c r="AH53" s="105">
        <f t="shared" si="1"/>
        <v>0.10190164780426311</v>
      </c>
      <c r="AI53" s="105">
        <f t="shared" si="1"/>
        <v>0.10381608297433249</v>
      </c>
      <c r="AJ53" s="105">
        <f t="shared" si="1"/>
        <v>0.10577754463777378</v>
      </c>
      <c r="AK53" s="105">
        <f t="shared" si="1"/>
        <v>0.10758871065330031</v>
      </c>
      <c r="AL53" s="105">
        <f t="shared" si="1"/>
        <v>0.10925074658147402</v>
      </c>
      <c r="AM53" s="105">
        <f t="shared" si="1"/>
        <v>0.11104067641334214</v>
      </c>
      <c r="AN53" s="105">
        <f t="shared" si="1"/>
        <v>0.11256644536218212</v>
      </c>
    </row>
    <row r="55" spans="2:40" x14ac:dyDescent="0.25">
      <c r="B55" t="s">
        <v>57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0</v>
      </c>
      <c r="D55" s="12">
        <f>C55-SUM(_xlfn.ANCHORARRAY(E55))</f>
        <v>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</row>
    <row r="56" spans="2:40" x14ac:dyDescent="0.25">
      <c r="B56" t="s">
        <v>285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-1397.1557144159997</v>
      </c>
      <c r="F56" s="90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-1397.1557144159997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-1397.1557144159997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-1397.1557144159997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-1397.1557144159997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-1397.1557144159997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-2794.3114288319994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-4890.0450004559998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-6287.2007148719995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-7684.3564292879992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-9780.0900009119996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-11177.245715327997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-12574.401429743999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-14670.135001367997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-16067.290715783996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-17464.446430199998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-19560.180001823999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-20146.985401878715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-20146.985401878715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-20146.985401878715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-20146.985401878715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-20146.985401878715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-20146.985401878715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-20146.985401878715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-20146.985401878715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-20146.985401878715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-20146.985401878715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-20146.985401878715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-20146.985401878715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-20146.985401878715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-20146.985401878715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-20146.985401878715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-20146.985401878715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-20146.985401878715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-20146.985401878715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-20146.985401878715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276</v>
      </c>
      <c r="E58" s="13">
        <f>E37-E50-E55+E56</f>
        <v>-10597.711794388648</v>
      </c>
      <c r="F58" s="13">
        <f t="shared" ref="F58:AN58" si="2">F37-F50-F55+F56</f>
        <v>-17857.287909804898</v>
      </c>
      <c r="G58" s="13">
        <f t="shared" si="2"/>
        <v>-14525.759968781251</v>
      </c>
      <c r="H58" s="13">
        <f t="shared" si="2"/>
        <v>-11882.38355253619</v>
      </c>
      <c r="I58" s="13">
        <f t="shared" si="2"/>
        <v>-9363.7125564049384</v>
      </c>
      <c r="J58" s="13">
        <f t="shared" si="2"/>
        <v>-4907.19389137084</v>
      </c>
      <c r="K58" s="13">
        <f t="shared" si="2"/>
        <v>-2778.7048038729627</v>
      </c>
      <c r="L58" s="13">
        <f t="shared" si="2"/>
        <v>-1538.9731645342135</v>
      </c>
      <c r="M58" s="13">
        <f t="shared" si="2"/>
        <v>2168.3483942866742</v>
      </c>
      <c r="N58" s="13">
        <f t="shared" si="2"/>
        <v>4510.3152942290517</v>
      </c>
      <c r="O58" s="13">
        <f t="shared" si="2"/>
        <v>6548.5328709491096</v>
      </c>
      <c r="P58" s="13">
        <f t="shared" si="2"/>
        <v>14235.862035303217</v>
      </c>
      <c r="Q58" s="13">
        <f t="shared" si="2"/>
        <v>7810.6601220367029</v>
      </c>
      <c r="R58" s="13">
        <f t="shared" si="2"/>
        <v>6212.6377223031832</v>
      </c>
      <c r="S58" s="13">
        <f t="shared" si="2"/>
        <v>5452.2970011775888</v>
      </c>
      <c r="T58" s="13">
        <f t="shared" si="2"/>
        <v>4452.9042416208249</v>
      </c>
      <c r="U58" s="13">
        <f t="shared" si="2"/>
        <v>2569.9132728241857</v>
      </c>
      <c r="V58" s="13">
        <f t="shared" si="2"/>
        <v>2164.1488410632737</v>
      </c>
      <c r="W58" s="13">
        <f t="shared" si="2"/>
        <v>2299.9572150088206</v>
      </c>
      <c r="X58" s="13">
        <f t="shared" si="2"/>
        <v>2541.6260273608495</v>
      </c>
      <c r="Y58" s="13">
        <f t="shared" si="2"/>
        <v>2661.2335386377235</v>
      </c>
      <c r="Z58" s="13">
        <f t="shared" si="2"/>
        <v>2782.0079502407607</v>
      </c>
      <c r="AA58" s="13">
        <f t="shared" si="2"/>
        <v>2745.962588576047</v>
      </c>
      <c r="AB58" s="13">
        <f t="shared" si="2"/>
        <v>2866.3502784664743</v>
      </c>
      <c r="AC58" s="13">
        <f t="shared" si="2"/>
        <v>-7642.8458674460708</v>
      </c>
      <c r="AD58" s="13">
        <f t="shared" si="2"/>
        <v>-7378.1044430568436</v>
      </c>
      <c r="AE58" s="13">
        <f t="shared" si="2"/>
        <v>-7128.4783388220676</v>
      </c>
      <c r="AF58" s="13">
        <f t="shared" si="2"/>
        <v>-6894.5704952202213</v>
      </c>
      <c r="AG58" s="13">
        <f t="shared" si="2"/>
        <v>-6706.9872863292549</v>
      </c>
      <c r="AH58" s="13">
        <f t="shared" si="2"/>
        <v>-6460.2453302795475</v>
      </c>
      <c r="AI58" s="13">
        <f t="shared" si="2"/>
        <v>-6203.1113474513404</v>
      </c>
      <c r="AJ58" s="13">
        <f t="shared" si="2"/>
        <v>-5939.6610841200309</v>
      </c>
      <c r="AK58" s="13">
        <f t="shared" si="2"/>
        <v>-5696.3975156187516</v>
      </c>
      <c r="AL58" s="13">
        <f t="shared" si="2"/>
        <v>-5473.1640917366603</v>
      </c>
      <c r="AM58" s="13">
        <f t="shared" si="2"/>
        <v>-5232.7528237830993</v>
      </c>
      <c r="AN58" s="13">
        <f t="shared" si="2"/>
        <v>-5027.8218588569725</v>
      </c>
    </row>
    <row r="59" spans="2:40" x14ac:dyDescent="0.25">
      <c r="B59" t="s">
        <v>277</v>
      </c>
      <c r="E59" s="12" cm="1">
        <f t="array" ref="E59:AN59">_xlfn.SCAN(-D55,E58:AN58,_xlfn.LAMBDA(_xlpm.capex,_xlpm.fcf,_xlpm.capex+_xlpm.fcf))</f>
        <v>-10597.711794388648</v>
      </c>
      <c r="F59" s="12">
        <v>-28454.999704193546</v>
      </c>
      <c r="G59" s="12">
        <v>-42980.759672974797</v>
      </c>
      <c r="H59" s="12">
        <v>-54863.143225510983</v>
      </c>
      <c r="I59" s="12">
        <v>-64226.855781915918</v>
      </c>
      <c r="J59" s="12">
        <v>-69134.049673286761</v>
      </c>
      <c r="K59" s="12">
        <v>-71912.754477159731</v>
      </c>
      <c r="L59" s="12">
        <v>-73451.727641693942</v>
      </c>
      <c r="M59" s="12">
        <v>-71283.379247407269</v>
      </c>
      <c r="N59" s="12">
        <v>-66773.063953178222</v>
      </c>
      <c r="O59" s="12">
        <v>-60224.531082229114</v>
      </c>
      <c r="P59" s="12">
        <v>-45988.669046925897</v>
      </c>
      <c r="Q59" s="12">
        <v>-38178.008924889196</v>
      </c>
      <c r="R59" s="12">
        <v>-31965.371202586015</v>
      </c>
      <c r="S59" s="12">
        <v>-26513.074201408424</v>
      </c>
      <c r="T59" s="12">
        <v>-22060.1699597876</v>
      </c>
      <c r="U59" s="12">
        <v>-19490.256686963414</v>
      </c>
      <c r="V59" s="12">
        <v>-17326.10784590014</v>
      </c>
      <c r="W59" s="12">
        <v>-15026.150630891319</v>
      </c>
      <c r="X59" s="12">
        <v>-12484.52460353047</v>
      </c>
      <c r="Y59" s="12">
        <v>-9823.2910648927464</v>
      </c>
      <c r="Z59" s="12">
        <v>-7041.2831146519857</v>
      </c>
      <c r="AA59" s="12">
        <v>-4295.3205260759387</v>
      </c>
      <c r="AB59" s="12">
        <v>-1428.9702476094644</v>
      </c>
      <c r="AC59" s="12">
        <v>-9071.8161150555352</v>
      </c>
      <c r="AD59" s="12">
        <v>-16449.920558112379</v>
      </c>
      <c r="AE59" s="12">
        <v>-23578.398896934446</v>
      </c>
      <c r="AF59" s="12">
        <v>-30472.969392154668</v>
      </c>
      <c r="AG59" s="12">
        <v>-37179.956678483926</v>
      </c>
      <c r="AH59" s="12">
        <v>-43640.202008763474</v>
      </c>
      <c r="AI59" s="12">
        <v>-49843.313356214814</v>
      </c>
      <c r="AJ59" s="12">
        <v>-55782.974440334845</v>
      </c>
      <c r="AK59" s="12">
        <v>-61479.371955953597</v>
      </c>
      <c r="AL59" s="12">
        <v>-66952.536047690257</v>
      </c>
      <c r="AM59" s="12">
        <v>-72185.288871473356</v>
      </c>
      <c r="AN59" s="12">
        <v>-77213.110730330329</v>
      </c>
    </row>
    <row r="61" spans="2:40" x14ac:dyDescent="0.25">
      <c r="B61" s="1" t="s">
        <v>302</v>
      </c>
    </row>
    <row r="63" spans="2:40" x14ac:dyDescent="0.25">
      <c r="B63" s="39" t="s">
        <v>103</v>
      </c>
      <c r="E63" s="12" cm="1">
        <f t="array" ref="E63:AN63">_xlfn.LET(_xlpm.site,$B$1&amp;"-"&amp;$C$1,_xlpm.locations,Base!$D$4:$BD$4,_xlpm.rates,Base!$D$36:$BD$36,_xlpm.hours,Base!$D$79:$BD$79,_xlpm.comp,_xlpm.rates*_xlpm.hours,_xlpm.Customer,_xlfn.ANCHORARRAY($E$1),
_xlpm.Customer_comp,_xlfn.XLOOKUP(_xlpm.site,_xlpm.locations,_xlpm.comp,0,0),_xlpm.ann_incr,_xlfn.XLOOKUP(YEAR(_xlfn.ANCHORARRAY($E$25)),Base!$BJ$4:$BL$4,Base!$BJ$79:$BL$79,0,0),
_xlpm.bad_debt,_xlfn.XLOOKUP(_xlpm.site,_xlpm.locations,Base!$D$28:$BD$28,0,0),_xlpm.Customer_comp*_xlpm.Customer*_xlpm.bad_debt*_xlpm.ann_incr*(52/12)*(1-$C$35))</f>
        <v>0</v>
      </c>
      <c r="F63" s="12">
        <v>0</v>
      </c>
      <c r="G63" s="12">
        <v>0</v>
      </c>
      <c r="H63" s="12">
        <v>0</v>
      </c>
      <c r="I63" s="12">
        <v>0</v>
      </c>
      <c r="J63" s="12">
        <v>0</v>
      </c>
      <c r="K63" s="12">
        <v>0</v>
      </c>
      <c r="L63" s="12">
        <v>0</v>
      </c>
      <c r="M63" s="12">
        <v>0</v>
      </c>
      <c r="N63" s="12">
        <v>0</v>
      </c>
      <c r="O63" s="12">
        <v>0</v>
      </c>
      <c r="P63" s="12">
        <v>0</v>
      </c>
      <c r="Q63" s="12">
        <v>0</v>
      </c>
      <c r="R63" s="12">
        <v>0</v>
      </c>
      <c r="S63" s="12">
        <v>0</v>
      </c>
      <c r="T63" s="12">
        <v>0</v>
      </c>
      <c r="U63" s="12">
        <v>0</v>
      </c>
      <c r="V63" s="12">
        <v>0</v>
      </c>
      <c r="W63" s="12">
        <v>0</v>
      </c>
      <c r="X63" s="12">
        <v>0</v>
      </c>
      <c r="Y63" s="12">
        <v>0</v>
      </c>
      <c r="Z63" s="12">
        <v>0</v>
      </c>
      <c r="AA63" s="12">
        <v>0</v>
      </c>
      <c r="AB63" s="12">
        <v>0</v>
      </c>
      <c r="AC63" s="12">
        <v>0</v>
      </c>
      <c r="AD63" s="12">
        <v>0</v>
      </c>
      <c r="AE63" s="12">
        <v>0</v>
      </c>
      <c r="AF63" s="12">
        <v>0</v>
      </c>
      <c r="AG63" s="12">
        <v>0</v>
      </c>
      <c r="AH63" s="12">
        <v>0</v>
      </c>
      <c r="AI63" s="12">
        <v>0</v>
      </c>
      <c r="AJ63" s="12">
        <v>0</v>
      </c>
      <c r="AK63" s="12">
        <v>0</v>
      </c>
      <c r="AL63" s="12">
        <v>0</v>
      </c>
      <c r="AM63" s="12">
        <v>0</v>
      </c>
      <c r="AN63" s="12">
        <v>0</v>
      </c>
    </row>
    <row r="64" spans="2:40" x14ac:dyDescent="0.25">
      <c r="B64" s="39" t="s">
        <v>104</v>
      </c>
      <c r="E64" s="12" cm="1">
        <f t="array" ref="E64:AN64">_xlfn.LET(_xlpm.site,$B$1&amp;"-"&amp;$C$1,_xlpm.locations,Base!$D$4:$BD$4,_xlpm.rates,Base!$D$37:$BD$37,_xlpm.hours,Base!$D$80:$BD$80,_xlpm.comp,_xlpm.rates*_xlpm.hours,_xlpm.Customer,_xlfn.ANCHORARRAY($E$1),
_xlpm.Customer_comp,_xlfn.XLOOKUP(_xlpm.site,_xlpm.locations,_xlpm.comp,0,0),_xlpm.ann_incr,_xlfn.XLOOKUP(YEAR(_xlfn.ANCHORARRAY($E$25)),Base!$BJ$4:$BL$4,Base!$BJ$80:$BL$80,0,0),
_xlpm.bad_debt,_xlfn.XLOOKUP(_xlpm.site,_xlpm.locations,Base!$D$28:$BD$28,0,0),_xlpm.Customer_comp*_xlpm.Customer*_xlpm.bad_debt*_xlpm.ann_incr*(52/12)*(1-$C$35))</f>
        <v>0</v>
      </c>
      <c r="F64" s="12">
        <v>0</v>
      </c>
      <c r="G64" s="12">
        <v>0</v>
      </c>
      <c r="H64" s="12">
        <v>0</v>
      </c>
      <c r="I64" s="12">
        <v>0</v>
      </c>
      <c r="J64" s="12">
        <v>0</v>
      </c>
      <c r="K64" s="12">
        <v>0</v>
      </c>
      <c r="L64" s="12">
        <v>0</v>
      </c>
      <c r="M64" s="12">
        <v>0</v>
      </c>
      <c r="N64" s="12">
        <v>0</v>
      </c>
      <c r="O64" s="12">
        <v>0</v>
      </c>
      <c r="P64" s="12">
        <v>0</v>
      </c>
      <c r="Q64" s="12">
        <v>0</v>
      </c>
      <c r="R64" s="12">
        <v>0</v>
      </c>
      <c r="S64" s="12">
        <v>0</v>
      </c>
      <c r="T64" s="12">
        <v>0</v>
      </c>
      <c r="U64" s="12">
        <v>0</v>
      </c>
      <c r="V64" s="12">
        <v>0</v>
      </c>
      <c r="W64" s="12">
        <v>0</v>
      </c>
      <c r="X64" s="12">
        <v>0</v>
      </c>
      <c r="Y64" s="12">
        <v>0</v>
      </c>
      <c r="Z64" s="12">
        <v>0</v>
      </c>
      <c r="AA64" s="12">
        <v>0</v>
      </c>
      <c r="AB64" s="12">
        <v>0</v>
      </c>
      <c r="AC64" s="12">
        <v>0</v>
      </c>
      <c r="AD64" s="12">
        <v>0</v>
      </c>
      <c r="AE64" s="12">
        <v>0</v>
      </c>
      <c r="AF64" s="12">
        <v>0</v>
      </c>
      <c r="AG64" s="12">
        <v>0</v>
      </c>
      <c r="AH64" s="12">
        <v>0</v>
      </c>
      <c r="AI64" s="12">
        <v>0</v>
      </c>
      <c r="AJ64" s="12">
        <v>0</v>
      </c>
      <c r="AK64" s="12">
        <v>0</v>
      </c>
      <c r="AL64" s="12">
        <v>0</v>
      </c>
      <c r="AM64" s="12">
        <v>0</v>
      </c>
      <c r="AN64" s="12">
        <v>0</v>
      </c>
    </row>
    <row r="65" spans="2:40" x14ac:dyDescent="0.25">
      <c r="B65" s="39" t="s">
        <v>56</v>
      </c>
      <c r="E65" s="12" cm="1">
        <f t="array" ref="E65:AN65">_xlfn.LET(_xlpm.site,$B$1&amp;"-"&amp;$C$1,_xlpm.locations,Base!$D$4:$BD$4,_xlpm.rates,Base!$D$39:$BD$39,_xlpm.hours,Base!$D$82:$BD$82,_xlpm.comp,_xlpm.rates*_xlpm.hours,_xlpm.Customer,_xlfn.ANCHORARRAY($E$1),
_xlpm.Customer_comp,_xlfn.XLOOKUP(_xlpm.site,_xlpm.locations,_xlpm.comp,0,0),_xlpm.ann_incr,_xlfn.XLOOKUP(YEAR(_xlfn.ANCHORARRAY($E$25)),Base!$BJ$4:$BL$4,Base!$BJ$82:$BL$82,0,0),
_xlpm.bad_debt,_xlfn.XLOOKUP(_xlpm.site,_xlpm.locations,Base!$D$28:$BD$28,0,0),_xlpm.Customer_comp*_xlpm.Customer*_xlpm.bad_debt*_xlpm.ann_incr*(52/12)*(1-$C$35))</f>
        <v>0</v>
      </c>
      <c r="F65" s="12">
        <v>0</v>
      </c>
      <c r="G65" s="12">
        <v>0</v>
      </c>
      <c r="H65" s="12">
        <v>0</v>
      </c>
      <c r="I65" s="12">
        <v>0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  <c r="O65" s="12">
        <v>0</v>
      </c>
      <c r="P65" s="12">
        <v>0</v>
      </c>
      <c r="Q65" s="12">
        <v>0</v>
      </c>
      <c r="R65" s="12">
        <v>0</v>
      </c>
      <c r="S65" s="12">
        <v>0</v>
      </c>
      <c r="T65" s="12">
        <v>0</v>
      </c>
      <c r="U65" s="12">
        <v>0</v>
      </c>
      <c r="V65" s="12">
        <v>0</v>
      </c>
      <c r="W65" s="12">
        <v>0</v>
      </c>
      <c r="X65" s="12">
        <v>0</v>
      </c>
      <c r="Y65" s="12">
        <v>0</v>
      </c>
      <c r="Z65" s="12">
        <v>0</v>
      </c>
      <c r="AA65" s="12">
        <v>0</v>
      </c>
      <c r="AB65" s="12">
        <v>0</v>
      </c>
      <c r="AC65" s="12">
        <v>0</v>
      </c>
      <c r="AD65" s="12">
        <v>0</v>
      </c>
      <c r="AE65" s="12">
        <v>0</v>
      </c>
      <c r="AF65" s="12">
        <v>0</v>
      </c>
      <c r="AG65" s="12">
        <v>0</v>
      </c>
      <c r="AH65" s="12">
        <v>0</v>
      </c>
      <c r="AI65" s="12">
        <v>0</v>
      </c>
      <c r="AJ65" s="12">
        <v>0</v>
      </c>
      <c r="AK65" s="12">
        <v>0</v>
      </c>
      <c r="AL65" s="12">
        <v>0</v>
      </c>
      <c r="AM65" s="12">
        <v>0</v>
      </c>
      <c r="AN65" s="12">
        <v>0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303</v>
      </c>
      <c r="C67" s="12"/>
      <c r="E67" s="13" cm="1">
        <f t="array" ref="E67:AN67">_xlfn.BYCOL(_xlfn.VSTACK(_xlfn.ANCHORARRAY($E$63),_xlfn.ANCHORARRAY($E$64),_xlfn.ANCHORARRAY($E$65)),_xlfn.LAMBDA(_xlpm.a,SUM(_xlpm.a)))</f>
        <v>0</v>
      </c>
      <c r="F67" s="13">
        <v>0</v>
      </c>
      <c r="G67" s="13">
        <v>0</v>
      </c>
      <c r="H67" s="13">
        <v>0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  <c r="W67" s="13">
        <v>0</v>
      </c>
      <c r="X67" s="13">
        <v>0</v>
      </c>
      <c r="Y67" s="13">
        <v>0</v>
      </c>
      <c r="Z67" s="13">
        <v>0</v>
      </c>
      <c r="AA67" s="13">
        <v>0</v>
      </c>
      <c r="AB67" s="13">
        <v>0</v>
      </c>
      <c r="AC67" s="13">
        <v>0</v>
      </c>
      <c r="AD67" s="13">
        <v>0</v>
      </c>
      <c r="AE67" s="13">
        <v>0</v>
      </c>
      <c r="AF67" s="13">
        <v>0</v>
      </c>
      <c r="AG67" s="13">
        <v>0</v>
      </c>
      <c r="AH67" s="13">
        <v>0</v>
      </c>
      <c r="AI67" s="13">
        <v>0</v>
      </c>
      <c r="AJ67" s="13">
        <v>0</v>
      </c>
      <c r="AK67" s="13">
        <v>0</v>
      </c>
      <c r="AL67" s="13">
        <v>0</v>
      </c>
      <c r="AM67" s="13">
        <v>0</v>
      </c>
      <c r="AN67" s="13">
        <v>0</v>
      </c>
    </row>
    <row r="68" spans="2:40" x14ac:dyDescent="0.25">
      <c r="B68" s="39"/>
      <c r="C68" s="12"/>
    </row>
    <row r="69" spans="2:40" x14ac:dyDescent="0.25">
      <c r="B69" s="39" t="s">
        <v>304</v>
      </c>
      <c r="C69" s="12"/>
      <c r="E69" s="106" cm="1">
        <f t="array" ref="E69:AN70">_xlfn.LET(_xlpm.Customer_staff,_xlfn._xlws.FILTER(Base!$D$96:$BD$97,ISNUMBER(SEARCH($B$1&amp;"-"&amp;$C$1,Base!$D$4:$BD$4))),_xlpm.Customer,_xlfn.ANCHORARRAY($E$1),_xlpm.headcount,_xlpm.Customer/_xlpm.Customer_staff,
_xlpm.rounding,_xlfn.VSTACK(0,0),IFERROR(ROUND(_xlpm.headcount,_xlpm.rounding),0))</f>
        <v>0</v>
      </c>
      <c r="F69" s="106">
        <v>0</v>
      </c>
      <c r="G69" s="106">
        <v>0</v>
      </c>
      <c r="H69" s="106">
        <v>0</v>
      </c>
      <c r="I69" s="106">
        <v>0</v>
      </c>
      <c r="J69" s="106">
        <v>0</v>
      </c>
      <c r="K69" s="106">
        <v>0</v>
      </c>
      <c r="L69" s="106">
        <v>0</v>
      </c>
      <c r="M69" s="106">
        <v>0</v>
      </c>
      <c r="N69" s="106">
        <v>0</v>
      </c>
      <c r="O69" s="106">
        <v>0</v>
      </c>
      <c r="P69" s="106">
        <v>0</v>
      </c>
      <c r="Q69" s="106">
        <v>0</v>
      </c>
      <c r="R69" s="106">
        <v>0</v>
      </c>
      <c r="S69" s="106">
        <v>0</v>
      </c>
      <c r="T69" s="106">
        <v>0</v>
      </c>
      <c r="U69" s="106">
        <v>0</v>
      </c>
      <c r="V69" s="106">
        <v>0</v>
      </c>
      <c r="W69" s="106">
        <v>0</v>
      </c>
      <c r="X69" s="106">
        <v>0</v>
      </c>
      <c r="Y69" s="106">
        <v>0</v>
      </c>
      <c r="Z69" s="106">
        <v>0</v>
      </c>
      <c r="AA69" s="106">
        <v>0</v>
      </c>
      <c r="AB69" s="106">
        <v>0</v>
      </c>
      <c r="AC69" s="106">
        <v>0</v>
      </c>
      <c r="AD69" s="106">
        <v>0</v>
      </c>
      <c r="AE69" s="106">
        <v>0</v>
      </c>
      <c r="AF69" s="106">
        <v>0</v>
      </c>
      <c r="AG69" s="106">
        <v>0</v>
      </c>
      <c r="AH69" s="106">
        <v>0</v>
      </c>
      <c r="AI69" s="106">
        <v>0</v>
      </c>
      <c r="AJ69" s="106">
        <v>0</v>
      </c>
      <c r="AK69" s="106">
        <v>0</v>
      </c>
      <c r="AL69" s="106">
        <v>0</v>
      </c>
      <c r="AM69" s="106">
        <v>0</v>
      </c>
      <c r="AN69" s="106">
        <v>0</v>
      </c>
    </row>
    <row r="70" spans="2:40" x14ac:dyDescent="0.25">
      <c r="B70" s="39" t="s">
        <v>305</v>
      </c>
      <c r="C70" s="12"/>
      <c r="E70" s="106">
        <v>0</v>
      </c>
      <c r="F70" s="106">
        <v>0</v>
      </c>
      <c r="G70" s="106">
        <v>0</v>
      </c>
      <c r="H70" s="106">
        <v>0</v>
      </c>
      <c r="I70" s="106">
        <v>0</v>
      </c>
      <c r="J70" s="106">
        <v>0</v>
      </c>
      <c r="K70" s="106">
        <v>0</v>
      </c>
      <c r="L70" s="106">
        <v>0</v>
      </c>
      <c r="M70" s="106">
        <v>0</v>
      </c>
      <c r="N70" s="106">
        <v>0</v>
      </c>
      <c r="O70" s="106">
        <v>0</v>
      </c>
      <c r="P70" s="106">
        <v>0</v>
      </c>
      <c r="Q70" s="106">
        <v>0</v>
      </c>
      <c r="R70" s="106">
        <v>0</v>
      </c>
      <c r="S70" s="106">
        <v>0</v>
      </c>
      <c r="T70" s="106">
        <v>0</v>
      </c>
      <c r="U70" s="106">
        <v>0</v>
      </c>
      <c r="V70" s="106">
        <v>0</v>
      </c>
      <c r="W70" s="106">
        <v>0</v>
      </c>
      <c r="X70" s="106">
        <v>0</v>
      </c>
      <c r="Y70" s="106">
        <v>0</v>
      </c>
      <c r="Z70" s="106">
        <v>0</v>
      </c>
      <c r="AA70" s="106">
        <v>0</v>
      </c>
      <c r="AB70" s="106">
        <v>0</v>
      </c>
      <c r="AC70" s="106">
        <v>0</v>
      </c>
      <c r="AD70" s="106">
        <v>0</v>
      </c>
      <c r="AE70" s="106">
        <v>0</v>
      </c>
      <c r="AF70" s="106">
        <v>0</v>
      </c>
      <c r="AG70" s="106">
        <v>0</v>
      </c>
      <c r="AH70" s="106">
        <v>0</v>
      </c>
      <c r="AI70" s="106">
        <v>0</v>
      </c>
      <c r="AJ70" s="106">
        <v>0</v>
      </c>
      <c r="AK70" s="106">
        <v>0</v>
      </c>
      <c r="AL70" s="106">
        <v>0</v>
      </c>
      <c r="AM70" s="106">
        <v>0</v>
      </c>
      <c r="AN70" s="106">
        <v>0</v>
      </c>
    </row>
    <row r="71" spans="2:40" x14ac:dyDescent="0.25">
      <c r="B71" s="39"/>
      <c r="C71" s="12"/>
    </row>
    <row r="72" spans="2:40" x14ac:dyDescent="0.25">
      <c r="B72" s="39" t="s">
        <v>23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2.0976898876435652E-3</v>
      </c>
      <c r="F72" s="12">
        <v>4.1953797752871304E-3</v>
      </c>
      <c r="G72" s="12">
        <v>7.3419146067524805E-3</v>
      </c>
      <c r="H72" s="12">
        <v>9.4396044943960439E-3</v>
      </c>
      <c r="I72" s="12">
        <v>1.153729438203961E-2</v>
      </c>
      <c r="J72" s="12">
        <v>1.4683829213504961E-2</v>
      </c>
      <c r="K72" s="12">
        <v>1.6781519101148522E-2</v>
      </c>
      <c r="L72" s="12">
        <v>1.8879208988792088E-2</v>
      </c>
      <c r="M72" s="12">
        <v>2.2025743820257435E-2</v>
      </c>
      <c r="N72" s="12">
        <v>2.4123433707900998E-2</v>
      </c>
      <c r="O72" s="12">
        <v>2.6221123595544574E-2</v>
      </c>
      <c r="P72" s="12">
        <v>2.9367658427009922E-2</v>
      </c>
      <c r="Q72" s="12">
        <v>3.2304424269710912E-2</v>
      </c>
      <c r="R72" s="12">
        <v>3.2304424269710912E-2</v>
      </c>
      <c r="S72" s="12">
        <v>3.2304424269710912E-2</v>
      </c>
      <c r="T72" s="12">
        <v>3.2304424269710912E-2</v>
      </c>
      <c r="U72" s="12">
        <v>3.2304424269710912E-2</v>
      </c>
      <c r="V72" s="12">
        <v>3.2304424269710912E-2</v>
      </c>
      <c r="W72" s="12">
        <v>3.2304424269710912E-2</v>
      </c>
      <c r="X72" s="12">
        <v>3.2304424269710912E-2</v>
      </c>
      <c r="Y72" s="12">
        <v>3.2304424269710912E-2</v>
      </c>
      <c r="Z72" s="12">
        <v>3.2304424269710912E-2</v>
      </c>
      <c r="AA72" s="12">
        <v>3.2304424269710912E-2</v>
      </c>
      <c r="AB72" s="12">
        <v>3.2304424269710912E-2</v>
      </c>
      <c r="AC72" s="12">
        <v>3.5534866696682002E-2</v>
      </c>
      <c r="AD72" s="12">
        <v>3.5534866696682002E-2</v>
      </c>
      <c r="AE72" s="12">
        <v>3.5534866696682002E-2</v>
      </c>
      <c r="AF72" s="12">
        <v>3.5534866696682002E-2</v>
      </c>
      <c r="AG72" s="12">
        <v>3.5534866696682002E-2</v>
      </c>
      <c r="AH72" s="12">
        <v>3.5534866696682002E-2</v>
      </c>
      <c r="AI72" s="12">
        <v>3.5534866696682002E-2</v>
      </c>
      <c r="AJ72" s="12">
        <v>3.5534866696682002E-2</v>
      </c>
      <c r="AK72" s="12">
        <v>3.5534866696682002E-2</v>
      </c>
      <c r="AL72" s="12">
        <v>3.5534866696682002E-2</v>
      </c>
      <c r="AM72" s="12">
        <v>3.5534866696682002E-2</v>
      </c>
      <c r="AN72" s="12">
        <v>3.5534866696682002E-2</v>
      </c>
    </row>
    <row r="73" spans="2:40" x14ac:dyDescent="0.25">
      <c r="B73" s="39" t="s">
        <v>24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306</v>
      </c>
      <c r="E75" s="74" cm="1">
        <f t="array" ref="E75:AN75">_xlfn.ANCHORARRAY(E67)-_xlfn.ANCHORARRAY(E72)-_xlfn.ANCHORARRAY(E73)</f>
        <v>-2.0976898876435652E-3</v>
      </c>
      <c r="F75" s="74">
        <v>-4.1953797752871304E-3</v>
      </c>
      <c r="G75" s="74">
        <v>-7.3419146067524805E-3</v>
      </c>
      <c r="H75" s="74">
        <v>-9.4396044943960439E-3</v>
      </c>
      <c r="I75" s="74">
        <v>-1.153729438203961E-2</v>
      </c>
      <c r="J75" s="74">
        <v>-1.4683829213504961E-2</v>
      </c>
      <c r="K75" s="74">
        <v>-1.6781519101148522E-2</v>
      </c>
      <c r="L75" s="74">
        <v>-1.8879208988792088E-2</v>
      </c>
      <c r="M75" s="74">
        <v>-2.2025743820257435E-2</v>
      </c>
      <c r="N75" s="74">
        <v>-2.4123433707900998E-2</v>
      </c>
      <c r="O75" s="74">
        <v>-2.6221123595544574E-2</v>
      </c>
      <c r="P75" s="74">
        <v>-2.9367658427009922E-2</v>
      </c>
      <c r="Q75" s="74">
        <v>-3.2304424269710912E-2</v>
      </c>
      <c r="R75" s="74">
        <v>-3.2304424269710912E-2</v>
      </c>
      <c r="S75" s="74">
        <v>-3.2304424269710912E-2</v>
      </c>
      <c r="T75" s="74">
        <v>-3.2304424269710912E-2</v>
      </c>
      <c r="U75" s="74">
        <v>-3.2304424269710912E-2</v>
      </c>
      <c r="V75" s="74">
        <v>-3.2304424269710912E-2</v>
      </c>
      <c r="W75" s="74">
        <v>-3.2304424269710912E-2</v>
      </c>
      <c r="X75" s="74">
        <v>-3.2304424269710912E-2</v>
      </c>
      <c r="Y75" s="74">
        <v>-3.2304424269710912E-2</v>
      </c>
      <c r="Z75" s="74">
        <v>-3.2304424269710912E-2</v>
      </c>
      <c r="AA75" s="74">
        <v>-3.2304424269710912E-2</v>
      </c>
      <c r="AB75" s="74">
        <v>-3.2304424269710912E-2</v>
      </c>
      <c r="AC75" s="74">
        <v>-3.5534866696682002E-2</v>
      </c>
      <c r="AD75" s="74">
        <v>-3.5534866696682002E-2</v>
      </c>
      <c r="AE75" s="74">
        <v>-3.5534866696682002E-2</v>
      </c>
      <c r="AF75" s="74">
        <v>-3.5534866696682002E-2</v>
      </c>
      <c r="AG75" s="74">
        <v>-3.5534866696682002E-2</v>
      </c>
      <c r="AH75" s="74">
        <v>-3.5534866696682002E-2</v>
      </c>
      <c r="AI75" s="74">
        <v>-3.5534866696682002E-2</v>
      </c>
      <c r="AJ75" s="74">
        <v>-3.5534866696682002E-2</v>
      </c>
      <c r="AK75" s="74">
        <v>-3.5534866696682002E-2</v>
      </c>
      <c r="AL75" s="74">
        <v>-3.5534866696682002E-2</v>
      </c>
      <c r="AM75" s="74">
        <v>-3.5534866696682002E-2</v>
      </c>
      <c r="AN75" s="74">
        <v>-3.5534866696682002E-2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8E1832-2353-4DA2-AAA0-B4230A5F7CF1}">
  <dimension ref="A1:AX75"/>
  <sheetViews>
    <sheetView workbookViewId="0">
      <pane xSplit="4" ySplit="25" topLeftCell="E26" activePane="bottomRight" state="frozen"/>
      <selection activeCell="E63" sqref="E63:E65"/>
      <selection pane="topRight" activeCell="E63" sqref="E63:E65"/>
      <selection pane="bottomLeft" activeCell="E63" sqref="E63:E65"/>
      <selection pane="bottomRight" activeCell="E63" sqref="E63:E65"/>
    </sheetView>
  </sheetViews>
  <sheetFormatPr defaultRowHeight="15" outlineLevelRow="1" x14ac:dyDescent="0.25"/>
  <cols>
    <col min="2" max="2" width="24.5703125" bestFit="1" customWidth="1"/>
    <col min="3" max="3" width="10.7109375" bestFit="1" customWidth="1"/>
    <col min="4" max="4" width="10" bestFit="1" customWidth="1"/>
    <col min="5" max="5" width="11.42578125" bestFit="1" customWidth="1"/>
    <col min="6" max="6" width="11.7109375" bestFit="1" customWidth="1"/>
    <col min="7" max="13" width="12.28515625" bestFit="1" customWidth="1"/>
    <col min="14" max="18" width="11.5703125" bestFit="1" customWidth="1"/>
    <col min="19" max="40" width="12.5703125" bestFit="1" customWidth="1"/>
  </cols>
  <sheetData>
    <row r="1" spans="1:40" x14ac:dyDescent="0.25">
      <c r="A1" s="96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>2027</v>
      </c>
      <c r="B1" s="58" t="s">
        <v>79</v>
      </c>
      <c r="C1" s="16" t="s">
        <v>61</v>
      </c>
      <c r="D1" s="3" t="s">
        <v>307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IFERROR(_xlpm.kiddos,0))</f>
        <v>0</v>
      </c>
      <c r="F1" s="69">
        <v>0</v>
      </c>
      <c r="G1" s="69">
        <v>0</v>
      </c>
      <c r="H1" s="69">
        <v>0</v>
      </c>
      <c r="I1" s="69">
        <v>0</v>
      </c>
      <c r="J1" s="69">
        <v>0</v>
      </c>
      <c r="K1" s="69">
        <v>0</v>
      </c>
      <c r="L1" s="69">
        <v>0</v>
      </c>
      <c r="M1" s="69">
        <v>0</v>
      </c>
      <c r="N1" s="69">
        <v>0</v>
      </c>
      <c r="O1" s="69">
        <v>0</v>
      </c>
      <c r="P1" s="69">
        <v>0</v>
      </c>
      <c r="Q1" s="69">
        <v>0</v>
      </c>
      <c r="R1" s="69">
        <v>0</v>
      </c>
      <c r="S1" s="69">
        <v>0</v>
      </c>
      <c r="T1" s="69">
        <v>0</v>
      </c>
      <c r="U1" s="69">
        <v>0</v>
      </c>
      <c r="V1" s="69">
        <v>0</v>
      </c>
      <c r="W1" s="69">
        <v>0</v>
      </c>
      <c r="X1" s="69">
        <v>2</v>
      </c>
      <c r="Y1" s="69">
        <v>5</v>
      </c>
      <c r="Z1" s="69">
        <v>8</v>
      </c>
      <c r="AA1" s="69">
        <v>11</v>
      </c>
      <c r="AB1" s="69">
        <v>14</v>
      </c>
      <c r="AC1" s="69">
        <v>17</v>
      </c>
      <c r="AD1" s="69">
        <v>20</v>
      </c>
      <c r="AE1" s="69">
        <v>22</v>
      </c>
      <c r="AF1" s="69">
        <v>25</v>
      </c>
      <c r="AG1" s="69">
        <v>28</v>
      </c>
      <c r="AH1" s="69">
        <v>31</v>
      </c>
      <c r="AI1" s="69">
        <v>34</v>
      </c>
      <c r="AJ1" s="69">
        <v>37</v>
      </c>
      <c r="AK1" s="69">
        <v>40</v>
      </c>
      <c r="AL1" s="69">
        <v>40</v>
      </c>
      <c r="AM1" s="69">
        <v>40</v>
      </c>
      <c r="AN1" s="69">
        <v>40</v>
      </c>
    </row>
    <row r="2" spans="1:40" x14ac:dyDescent="0.25">
      <c r="A2" s="65"/>
      <c r="B2" s="3" t="str">
        <f>_xlfn.XLOOKUP($B$1&amp;"-"&amp;$C$1,Base!$D$4:$BD$4,Base!$D$2:$BD$2,"",0)</f>
        <v>Maryland</v>
      </c>
      <c r="C2" s="55"/>
      <c r="D2" s="55" t="s">
        <v>259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0</v>
      </c>
      <c r="F2" s="69">
        <v>0</v>
      </c>
      <c r="G2" s="69">
        <v>0</v>
      </c>
      <c r="H2" s="69">
        <v>0</v>
      </c>
      <c r="I2" s="69">
        <v>0</v>
      </c>
      <c r="J2" s="69">
        <v>0</v>
      </c>
      <c r="K2" s="69">
        <v>0</v>
      </c>
      <c r="L2" s="69">
        <v>0</v>
      </c>
      <c r="M2" s="69">
        <v>0</v>
      </c>
      <c r="N2" s="69">
        <v>0</v>
      </c>
      <c r="O2" s="69">
        <v>0</v>
      </c>
      <c r="P2" s="69">
        <v>0</v>
      </c>
      <c r="Q2" s="69">
        <v>0</v>
      </c>
      <c r="R2" s="69">
        <v>0</v>
      </c>
      <c r="S2" s="69">
        <v>0</v>
      </c>
      <c r="T2" s="69">
        <v>0</v>
      </c>
      <c r="U2" s="69">
        <v>0</v>
      </c>
      <c r="V2" s="69">
        <v>0</v>
      </c>
      <c r="W2" s="69">
        <v>0</v>
      </c>
      <c r="X2" s="69">
        <v>0</v>
      </c>
      <c r="Y2" s="69">
        <v>3.0238095238095237</v>
      </c>
      <c r="Z2" s="69">
        <v>3.1904761904761907</v>
      </c>
      <c r="AA2" s="69">
        <v>3.3571428571428572</v>
      </c>
      <c r="AB2" s="69">
        <v>3.5238095238095237</v>
      </c>
      <c r="AC2" s="69">
        <v>3.6904761904761907</v>
      </c>
      <c r="AD2" s="69">
        <v>3.8571428571428572</v>
      </c>
      <c r="AE2" s="69">
        <v>4.0238095238095237</v>
      </c>
      <c r="AF2" s="69">
        <v>4.1904761904761907</v>
      </c>
      <c r="AG2" s="69">
        <v>4.3571428571428577</v>
      </c>
      <c r="AH2" s="69">
        <v>4.5238095238095237</v>
      </c>
      <c r="AI2" s="69">
        <v>4.6904761904761907</v>
      </c>
      <c r="AJ2" s="69">
        <v>4.8571428571428577</v>
      </c>
      <c r="AK2" s="69">
        <v>2.1666666666666665</v>
      </c>
      <c r="AL2" s="69">
        <v>2.3333333333333335</v>
      </c>
      <c r="AM2" s="69">
        <v>2.5</v>
      </c>
      <c r="AN2" s="69">
        <v>2.6666666666666665</v>
      </c>
    </row>
    <row r="3" spans="1:40" x14ac:dyDescent="0.25">
      <c r="A3" s="65"/>
      <c r="B3" s="55"/>
      <c r="C3" s="55"/>
      <c r="D3" s="55" t="s">
        <v>62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_xlpm.months_since,DATEDIF(_xlpm.launchdate,_xlfn.ANCHORARRAY($E$25),"m"),_xlfn.BYCOL(_xlpm.months_since,_xlfn.LAMBDA(_xlpm.a,IFERROR(MIN(_xlpm.a/6,_xlpm.max_kiddos),0))))</f>
        <v>0</v>
      </c>
      <c r="F3" s="69">
        <v>0</v>
      </c>
      <c r="G3" s="69">
        <v>0</v>
      </c>
      <c r="H3" s="69">
        <v>0</v>
      </c>
      <c r="I3" s="69">
        <v>0</v>
      </c>
      <c r="J3" s="69">
        <v>0</v>
      </c>
      <c r="K3" s="69">
        <v>0</v>
      </c>
      <c r="L3" s="69">
        <v>0</v>
      </c>
      <c r="M3" s="69">
        <v>0</v>
      </c>
      <c r="N3" s="69">
        <v>0</v>
      </c>
      <c r="O3" s="69">
        <v>0</v>
      </c>
      <c r="P3" s="69">
        <v>0</v>
      </c>
      <c r="Q3" s="69">
        <v>0</v>
      </c>
      <c r="R3" s="69">
        <v>0</v>
      </c>
      <c r="S3" s="69">
        <v>0</v>
      </c>
      <c r="T3" s="69">
        <v>0</v>
      </c>
      <c r="U3" s="69">
        <v>0</v>
      </c>
      <c r="V3" s="69">
        <v>0</v>
      </c>
      <c r="W3" s="69">
        <v>0</v>
      </c>
      <c r="X3" s="69">
        <v>0</v>
      </c>
      <c r="Y3" s="69">
        <v>0.16666666666666666</v>
      </c>
      <c r="Z3" s="69">
        <v>0.33333333333333331</v>
      </c>
      <c r="AA3" s="69">
        <v>0.5</v>
      </c>
      <c r="AB3" s="69">
        <v>0.66666666666666663</v>
      </c>
      <c r="AC3" s="69">
        <v>0.83333333333333337</v>
      </c>
      <c r="AD3" s="69">
        <v>1</v>
      </c>
      <c r="AE3" s="69">
        <v>1.1666666666666667</v>
      </c>
      <c r="AF3" s="69">
        <v>1.3333333333333333</v>
      </c>
      <c r="AG3" s="69">
        <v>1.5</v>
      </c>
      <c r="AH3" s="69">
        <v>1.6666666666666667</v>
      </c>
      <c r="AI3" s="69">
        <v>1.8333333333333333</v>
      </c>
      <c r="AJ3" s="69">
        <v>2</v>
      </c>
      <c r="AK3" s="69">
        <v>2.1666666666666665</v>
      </c>
      <c r="AL3" s="69">
        <v>2.3333333333333335</v>
      </c>
      <c r="AM3" s="69">
        <v>2.5</v>
      </c>
      <c r="AN3" s="69">
        <v>2.6666666666666665</v>
      </c>
    </row>
    <row r="4" spans="1:40" x14ac:dyDescent="0.25">
      <c r="A4" s="65"/>
      <c r="B4" s="55"/>
      <c r="C4" s="55"/>
      <c r="D4" s="55" t="s">
        <v>260</v>
      </c>
      <c r="E4" s="69" cm="1">
        <f t="array" ref="E4:AN4">_xlfn.BYCOL(_xlfn.VSTACK(_xlfn.ANCHORARRAY($E$1),_xlfn.ANCHORARRAY($E$2)),_xlfn.LAMBDA(_xlpm.a,SUM(_xlpm.a)))</f>
        <v>0</v>
      </c>
      <c r="F4" s="69">
        <v>0</v>
      </c>
      <c r="G4" s="69">
        <v>0</v>
      </c>
      <c r="H4" s="69">
        <v>0</v>
      </c>
      <c r="I4" s="69">
        <v>0</v>
      </c>
      <c r="J4" s="69">
        <v>0</v>
      </c>
      <c r="K4" s="69">
        <v>0</v>
      </c>
      <c r="L4" s="69">
        <v>0</v>
      </c>
      <c r="M4" s="69">
        <v>0</v>
      </c>
      <c r="N4" s="69">
        <v>0</v>
      </c>
      <c r="O4" s="69">
        <v>0</v>
      </c>
      <c r="P4" s="69">
        <v>0</v>
      </c>
      <c r="Q4" s="69">
        <v>0</v>
      </c>
      <c r="R4" s="69">
        <v>0</v>
      </c>
      <c r="S4" s="69">
        <v>0</v>
      </c>
      <c r="T4" s="69">
        <v>0</v>
      </c>
      <c r="U4" s="69">
        <v>0</v>
      </c>
      <c r="V4" s="69">
        <v>0</v>
      </c>
      <c r="W4" s="69">
        <v>0</v>
      </c>
      <c r="X4" s="69">
        <v>2</v>
      </c>
      <c r="Y4" s="69">
        <v>8.0238095238095237</v>
      </c>
      <c r="Z4" s="69">
        <v>11.19047619047619</v>
      </c>
      <c r="AA4" s="69">
        <v>14.357142857142858</v>
      </c>
      <c r="AB4" s="69">
        <v>17.523809523809526</v>
      </c>
      <c r="AC4" s="69">
        <v>20.69047619047619</v>
      </c>
      <c r="AD4" s="69">
        <v>23.857142857142858</v>
      </c>
      <c r="AE4" s="69">
        <v>26.023809523809526</v>
      </c>
      <c r="AF4" s="69">
        <v>29.19047619047619</v>
      </c>
      <c r="AG4" s="69">
        <v>32.357142857142861</v>
      </c>
      <c r="AH4" s="69">
        <v>35.523809523809526</v>
      </c>
      <c r="AI4" s="69">
        <v>38.69047619047619</v>
      </c>
      <c r="AJ4" s="69">
        <v>41.857142857142861</v>
      </c>
      <c r="AK4" s="69">
        <v>42.166666666666664</v>
      </c>
      <c r="AL4" s="69">
        <v>42.333333333333336</v>
      </c>
      <c r="AM4" s="69">
        <v>42.5</v>
      </c>
      <c r="AN4" s="69">
        <v>42.666666666666664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107</v>
      </c>
      <c r="C6" s="3"/>
      <c r="D6" s="3"/>
      <c r="E6" s="66" cm="1">
        <f t="array" ref="E6:AN6">ROUND(_xlfn.BYCOL(_xlfn.ANCHORARRAY(E7),_xlfn.LAMBDA(_xlpm.a,SUM(_xlpm.a))),0)</f>
        <v>0</v>
      </c>
      <c r="F6" s="66">
        <v>0</v>
      </c>
      <c r="G6" s="66">
        <v>0</v>
      </c>
      <c r="H6" s="66">
        <v>0</v>
      </c>
      <c r="I6" s="66">
        <v>0</v>
      </c>
      <c r="J6" s="66">
        <v>0</v>
      </c>
      <c r="K6" s="66">
        <v>0</v>
      </c>
      <c r="L6" s="66">
        <v>0</v>
      </c>
      <c r="M6" s="66">
        <v>0</v>
      </c>
      <c r="N6" s="66">
        <v>0</v>
      </c>
      <c r="O6" s="66">
        <v>0</v>
      </c>
      <c r="P6" s="66">
        <v>0</v>
      </c>
      <c r="Q6" s="66">
        <v>0</v>
      </c>
      <c r="R6" s="66">
        <v>0</v>
      </c>
      <c r="S6" s="66">
        <v>0</v>
      </c>
      <c r="T6" s="66">
        <v>0</v>
      </c>
      <c r="U6" s="66">
        <v>0</v>
      </c>
      <c r="V6" s="66">
        <v>0</v>
      </c>
      <c r="W6" s="66">
        <v>0</v>
      </c>
      <c r="X6" s="66">
        <v>4</v>
      </c>
      <c r="Y6" s="66">
        <v>10</v>
      </c>
      <c r="Z6" s="66">
        <v>13</v>
      </c>
      <c r="AA6" s="66">
        <v>17</v>
      </c>
      <c r="AB6" s="66">
        <v>21</v>
      </c>
      <c r="AC6" s="66">
        <v>24</v>
      </c>
      <c r="AD6" s="66">
        <v>28</v>
      </c>
      <c r="AE6" s="66">
        <v>30</v>
      </c>
      <c r="AF6" s="66">
        <v>34</v>
      </c>
      <c r="AG6" s="66">
        <v>38</v>
      </c>
      <c r="AH6" s="66">
        <v>41</v>
      </c>
      <c r="AI6" s="66">
        <v>45</v>
      </c>
      <c r="AJ6" s="66">
        <v>49</v>
      </c>
      <c r="AK6" s="66">
        <v>52</v>
      </c>
      <c r="AL6" s="66">
        <v>52</v>
      </c>
      <c r="AM6" s="66">
        <v>52</v>
      </c>
      <c r="AN6" s="66">
        <v>52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1"/>
      <c r="E7" s="106" cm="1">
        <f t="array" ref="E7:AN20">_xlfn.LET(_xlpm.Customer_staff,_xlfn._xlws.FILTER(Base!$D$85:$BD$98,ISNUMBER(SEARCH($B$1&amp;"-"&amp;$C$1,Base!$D$4:$BD$4))),_xlpm.Customer,_xlfn.ANCHORARRAY($E$1),_xlpm.headcount,_xlpm.Customer/_xlpm.Customer_staff,
_xlpm.patient_staff,_xlfn.ANCHORARRAY($E$2)/_xlpm.Customer_staff,_xlpm.prim_staff_tr_rec,_xlfn.ANCHORARRAY($E$2)/_xlfn.CHOOSEROWS(_xlpm.Customer_staff,{7,8})+(_xlfn.ANCHORARRAY($E$1)*0.0055),_xlpm.rounding,_xlfn.VSTACK(2,2,0,0,2,2,2,2,2,2,2,0,0,0),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prim_staff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0</v>
      </c>
      <c r="F7" s="106">
        <v>0</v>
      </c>
      <c r="G7" s="106">
        <v>0</v>
      </c>
      <c r="H7" s="106">
        <v>0</v>
      </c>
      <c r="I7" s="106">
        <v>0</v>
      </c>
      <c r="J7" s="106">
        <v>0</v>
      </c>
      <c r="K7" s="106">
        <v>0</v>
      </c>
      <c r="L7" s="106">
        <v>0</v>
      </c>
      <c r="M7" s="106">
        <v>0</v>
      </c>
      <c r="N7" s="106">
        <v>0</v>
      </c>
      <c r="O7" s="106">
        <v>0</v>
      </c>
      <c r="P7" s="106">
        <v>0</v>
      </c>
      <c r="Q7" s="106">
        <v>0</v>
      </c>
      <c r="R7" s="106">
        <v>0</v>
      </c>
      <c r="S7" s="106">
        <v>0</v>
      </c>
      <c r="T7" s="106">
        <v>0</v>
      </c>
      <c r="U7" s="106">
        <v>0</v>
      </c>
      <c r="V7" s="106">
        <v>0</v>
      </c>
      <c r="W7" s="106">
        <v>0</v>
      </c>
      <c r="X7" s="106">
        <v>1.89</v>
      </c>
      <c r="Y7" s="106">
        <v>4.71</v>
      </c>
      <c r="Z7" s="106">
        <v>7.5299999999999994</v>
      </c>
      <c r="AA7" s="106">
        <v>10.36</v>
      </c>
      <c r="AB7" s="106">
        <v>13.18</v>
      </c>
      <c r="AC7" s="106">
        <v>16</v>
      </c>
      <c r="AD7" s="106">
        <v>18.830000000000002</v>
      </c>
      <c r="AE7" s="106">
        <v>20.71</v>
      </c>
      <c r="AF7" s="106">
        <v>23.53</v>
      </c>
      <c r="AG7" s="106">
        <v>26.360000000000003</v>
      </c>
      <c r="AH7" s="106">
        <v>29.180000000000003</v>
      </c>
      <c r="AI7" s="106">
        <v>32</v>
      </c>
      <c r="AJ7" s="106">
        <v>34.83</v>
      </c>
      <c r="AK7" s="106">
        <v>37.65</v>
      </c>
      <c r="AL7" s="106">
        <v>37.65</v>
      </c>
      <c r="AM7" s="106">
        <v>37.65</v>
      </c>
      <c r="AN7" s="106">
        <v>37.65</v>
      </c>
    </row>
    <row r="8" spans="1:40" hidden="1" outlineLevel="1" x14ac:dyDescent="0.25">
      <c r="B8" s="39" t="str">
        <v>Secondary Direct Staff</v>
      </c>
      <c r="C8" s="3"/>
      <c r="D8" s="3"/>
      <c r="E8" s="106">
        <v>0</v>
      </c>
      <c r="F8" s="106">
        <v>0</v>
      </c>
      <c r="G8" s="106">
        <v>0</v>
      </c>
      <c r="H8" s="106">
        <v>0</v>
      </c>
      <c r="I8" s="106">
        <v>0</v>
      </c>
      <c r="J8" s="106">
        <v>0</v>
      </c>
      <c r="K8" s="106">
        <v>0</v>
      </c>
      <c r="L8" s="106">
        <v>0</v>
      </c>
      <c r="M8" s="106">
        <v>0</v>
      </c>
      <c r="N8" s="106">
        <v>0</v>
      </c>
      <c r="O8" s="106">
        <v>0</v>
      </c>
      <c r="P8" s="106">
        <v>0</v>
      </c>
      <c r="Q8" s="106">
        <v>0</v>
      </c>
      <c r="R8" s="106">
        <v>0</v>
      </c>
      <c r="S8" s="106">
        <v>0</v>
      </c>
      <c r="T8" s="106">
        <v>0</v>
      </c>
      <c r="U8" s="106">
        <v>0</v>
      </c>
      <c r="V8" s="106">
        <v>0</v>
      </c>
      <c r="W8" s="106">
        <v>0</v>
      </c>
      <c r="X8" s="106">
        <v>0.29000000000000004</v>
      </c>
      <c r="Y8" s="106">
        <v>0.72</v>
      </c>
      <c r="Z8" s="106">
        <v>1.1499999999999999</v>
      </c>
      <c r="AA8" s="106">
        <v>1.58</v>
      </c>
      <c r="AB8" s="106">
        <v>2</v>
      </c>
      <c r="AC8" s="106">
        <v>2.4299999999999997</v>
      </c>
      <c r="AD8" s="106">
        <v>2.86</v>
      </c>
      <c r="AE8" s="106">
        <v>3.15</v>
      </c>
      <c r="AF8" s="106">
        <v>3.5799999999999996</v>
      </c>
      <c r="AG8" s="106">
        <v>4</v>
      </c>
      <c r="AH8" s="106">
        <v>4.43</v>
      </c>
      <c r="AI8" s="106">
        <v>4.8599999999999994</v>
      </c>
      <c r="AJ8" s="106">
        <v>5.29</v>
      </c>
      <c r="AK8" s="106">
        <v>5.72</v>
      </c>
      <c r="AL8" s="106">
        <v>5.72</v>
      </c>
      <c r="AM8" s="106">
        <v>5.72</v>
      </c>
      <c r="AN8" s="106">
        <v>5.72</v>
      </c>
    </row>
    <row r="9" spans="1:40" hidden="1" outlineLevel="1" x14ac:dyDescent="0.25">
      <c r="B9" s="39" t="str">
        <v>Center Manager</v>
      </c>
      <c r="C9" s="3"/>
      <c r="D9" s="3"/>
      <c r="E9" s="106">
        <v>0</v>
      </c>
      <c r="F9" s="106">
        <v>0</v>
      </c>
      <c r="G9" s="106">
        <v>0</v>
      </c>
      <c r="H9" s="106">
        <v>0</v>
      </c>
      <c r="I9" s="106">
        <v>0</v>
      </c>
      <c r="J9" s="106">
        <v>0</v>
      </c>
      <c r="K9" s="106">
        <v>0</v>
      </c>
      <c r="L9" s="106">
        <v>0</v>
      </c>
      <c r="M9" s="106">
        <v>0</v>
      </c>
      <c r="N9" s="106">
        <v>0</v>
      </c>
      <c r="O9" s="106">
        <v>0</v>
      </c>
      <c r="P9" s="106">
        <v>0</v>
      </c>
      <c r="Q9" s="106">
        <v>0</v>
      </c>
      <c r="R9" s="106">
        <v>0</v>
      </c>
      <c r="S9" s="106">
        <v>0</v>
      </c>
      <c r="T9" s="106">
        <v>0</v>
      </c>
      <c r="U9" s="106">
        <v>0</v>
      </c>
      <c r="V9" s="106">
        <v>0</v>
      </c>
      <c r="W9" s="106">
        <v>0</v>
      </c>
      <c r="X9" s="106">
        <v>1</v>
      </c>
      <c r="Y9" s="106">
        <v>1</v>
      </c>
      <c r="Z9" s="106">
        <v>1</v>
      </c>
      <c r="AA9" s="106">
        <v>1</v>
      </c>
      <c r="AB9" s="106">
        <v>1</v>
      </c>
      <c r="AC9" s="106">
        <v>1</v>
      </c>
      <c r="AD9" s="106">
        <v>1</v>
      </c>
      <c r="AE9" s="106">
        <v>1</v>
      </c>
      <c r="AF9" s="106">
        <v>1</v>
      </c>
      <c r="AG9" s="106">
        <v>1</v>
      </c>
      <c r="AH9" s="106">
        <v>1</v>
      </c>
      <c r="AI9" s="106">
        <v>1</v>
      </c>
      <c r="AJ9" s="106">
        <v>1</v>
      </c>
      <c r="AK9" s="106">
        <v>1</v>
      </c>
      <c r="AL9" s="106">
        <v>1</v>
      </c>
      <c r="AM9" s="106">
        <v>1</v>
      </c>
      <c r="AN9" s="106">
        <v>1</v>
      </c>
    </row>
    <row r="10" spans="1:40" hidden="1" outlineLevel="1" x14ac:dyDescent="0.25">
      <c r="B10" s="39" t="str">
        <v>Intake</v>
      </c>
      <c r="C10" s="3"/>
      <c r="D10" s="3"/>
      <c r="E10" s="106">
        <v>0</v>
      </c>
      <c r="F10" s="106">
        <v>0</v>
      </c>
      <c r="G10" s="106">
        <v>0</v>
      </c>
      <c r="H10" s="106">
        <v>0</v>
      </c>
      <c r="I10" s="106">
        <v>0</v>
      </c>
      <c r="J10" s="106">
        <v>0</v>
      </c>
      <c r="K10" s="106">
        <v>0</v>
      </c>
      <c r="L10" s="106">
        <v>0</v>
      </c>
      <c r="M10" s="106">
        <v>0</v>
      </c>
      <c r="N10" s="106">
        <v>0</v>
      </c>
      <c r="O10" s="106">
        <v>0</v>
      </c>
      <c r="P10" s="106">
        <v>0</v>
      </c>
      <c r="Q10" s="106">
        <v>0</v>
      </c>
      <c r="R10" s="106">
        <v>0</v>
      </c>
      <c r="S10" s="106">
        <v>0</v>
      </c>
      <c r="T10" s="106">
        <v>0</v>
      </c>
      <c r="U10" s="106">
        <v>0</v>
      </c>
      <c r="V10" s="106">
        <v>0</v>
      </c>
      <c r="W10" s="106">
        <v>0</v>
      </c>
      <c r="X10" s="106">
        <v>0</v>
      </c>
      <c r="Y10" s="106">
        <v>1</v>
      </c>
      <c r="Z10" s="106">
        <v>1</v>
      </c>
      <c r="AA10" s="106">
        <v>1</v>
      </c>
      <c r="AB10" s="106">
        <v>1</v>
      </c>
      <c r="AC10" s="106">
        <v>1</v>
      </c>
      <c r="AD10" s="106">
        <v>1</v>
      </c>
      <c r="AE10" s="106">
        <v>1</v>
      </c>
      <c r="AF10" s="106">
        <v>1</v>
      </c>
      <c r="AG10" s="106">
        <v>1</v>
      </c>
      <c r="AH10" s="106">
        <v>1</v>
      </c>
      <c r="AI10" s="106">
        <v>1</v>
      </c>
      <c r="AJ10" s="106">
        <v>1</v>
      </c>
      <c r="AK10" s="106">
        <v>1</v>
      </c>
      <c r="AL10" s="106">
        <v>1</v>
      </c>
      <c r="AM10" s="106">
        <v>1</v>
      </c>
      <c r="AN10" s="106">
        <v>1</v>
      </c>
    </row>
    <row r="11" spans="1:40" hidden="1" outlineLevel="1" x14ac:dyDescent="0.25">
      <c r="B11" s="39" t="str">
        <v>Scheduler</v>
      </c>
      <c r="C11" s="3"/>
      <c r="D11" s="3"/>
      <c r="E11" s="106">
        <v>0</v>
      </c>
      <c r="F11" s="106">
        <v>0</v>
      </c>
      <c r="G11" s="106">
        <v>0</v>
      </c>
      <c r="H11" s="106">
        <v>0</v>
      </c>
      <c r="I11" s="106">
        <v>0</v>
      </c>
      <c r="J11" s="106">
        <v>0</v>
      </c>
      <c r="K11" s="106">
        <v>0</v>
      </c>
      <c r="L11" s="106">
        <v>0</v>
      </c>
      <c r="M11" s="106">
        <v>0</v>
      </c>
      <c r="N11" s="106">
        <v>0</v>
      </c>
      <c r="O11" s="106">
        <v>0</v>
      </c>
      <c r="P11" s="106">
        <v>0</v>
      </c>
      <c r="Q11" s="106">
        <v>0</v>
      </c>
      <c r="R11" s="106">
        <v>0</v>
      </c>
      <c r="S11" s="106">
        <v>0</v>
      </c>
      <c r="T11" s="106">
        <v>0</v>
      </c>
      <c r="U11" s="106">
        <v>0</v>
      </c>
      <c r="V11" s="106">
        <v>0</v>
      </c>
      <c r="W11" s="106">
        <v>0</v>
      </c>
      <c r="X11" s="106">
        <v>0</v>
      </c>
      <c r="Y11" s="106">
        <v>0</v>
      </c>
      <c r="Z11" s="106">
        <v>0</v>
      </c>
      <c r="AA11" s="106">
        <v>0</v>
      </c>
      <c r="AB11" s="106">
        <v>0</v>
      </c>
      <c r="AC11" s="106">
        <v>0</v>
      </c>
      <c r="AD11" s="106">
        <v>0</v>
      </c>
      <c r="AE11" s="106">
        <v>0</v>
      </c>
      <c r="AF11" s="106">
        <v>0</v>
      </c>
      <c r="AG11" s="106">
        <v>0</v>
      </c>
      <c r="AH11" s="106">
        <v>0</v>
      </c>
      <c r="AI11" s="106">
        <v>0</v>
      </c>
      <c r="AJ11" s="106">
        <v>0</v>
      </c>
      <c r="AK11" s="106">
        <v>0</v>
      </c>
      <c r="AL11" s="106">
        <v>0</v>
      </c>
      <c r="AM11" s="106">
        <v>0</v>
      </c>
      <c r="AN11" s="106">
        <v>0</v>
      </c>
    </row>
    <row r="12" spans="1:40" hidden="1" outlineLevel="1" x14ac:dyDescent="0.25">
      <c r="B12" s="39" t="str">
        <v>Initial Consultation Expert</v>
      </c>
      <c r="C12" s="3"/>
      <c r="D12" s="3"/>
      <c r="E12" s="106">
        <v>0</v>
      </c>
      <c r="F12" s="106">
        <v>0</v>
      </c>
      <c r="G12" s="106">
        <v>0</v>
      </c>
      <c r="H12" s="106">
        <v>0</v>
      </c>
      <c r="I12" s="106">
        <v>0</v>
      </c>
      <c r="J12" s="106">
        <v>0</v>
      </c>
      <c r="K12" s="106">
        <v>0</v>
      </c>
      <c r="L12" s="106">
        <v>0</v>
      </c>
      <c r="M12" s="106">
        <v>0</v>
      </c>
      <c r="N12" s="106">
        <v>0</v>
      </c>
      <c r="O12" s="106">
        <v>0</v>
      </c>
      <c r="P12" s="106">
        <v>0</v>
      </c>
      <c r="Q12" s="106">
        <v>0</v>
      </c>
      <c r="R12" s="106">
        <v>0</v>
      </c>
      <c r="S12" s="106">
        <v>0</v>
      </c>
      <c r="T12" s="106">
        <v>0</v>
      </c>
      <c r="U12" s="106">
        <v>0</v>
      </c>
      <c r="V12" s="106">
        <v>0</v>
      </c>
      <c r="W12" s="106">
        <v>0</v>
      </c>
      <c r="X12" s="106">
        <v>0</v>
      </c>
      <c r="Y12" s="106">
        <v>0.24000000000000002</v>
      </c>
      <c r="Z12" s="106">
        <v>0.25</v>
      </c>
      <c r="AA12" s="106">
        <v>0.26</v>
      </c>
      <c r="AB12" s="106">
        <v>0.28000000000000003</v>
      </c>
      <c r="AC12" s="106">
        <v>0.29000000000000004</v>
      </c>
      <c r="AD12" s="106">
        <v>0.3</v>
      </c>
      <c r="AE12" s="106">
        <v>0.31</v>
      </c>
      <c r="AF12" s="106">
        <v>0.33</v>
      </c>
      <c r="AG12" s="106">
        <v>0.34</v>
      </c>
      <c r="AH12" s="106">
        <v>0.35000000000000003</v>
      </c>
      <c r="AI12" s="106">
        <v>0.37</v>
      </c>
      <c r="AJ12" s="106">
        <v>0.38</v>
      </c>
      <c r="AK12" s="106">
        <v>0.17</v>
      </c>
      <c r="AL12" s="106">
        <v>0.18000000000000002</v>
      </c>
      <c r="AM12" s="106">
        <v>0.2</v>
      </c>
      <c r="AN12" s="106">
        <v>0.21000000000000002</v>
      </c>
    </row>
    <row r="13" spans="1:40" hidden="1" outlineLevel="1" x14ac:dyDescent="0.25">
      <c r="B13" s="39" t="str">
        <v>Trainer</v>
      </c>
      <c r="C13" s="3"/>
      <c r="D13" s="3"/>
      <c r="E13" s="106">
        <v>0</v>
      </c>
      <c r="F13" s="106">
        <v>0</v>
      </c>
      <c r="G13" s="106">
        <v>0</v>
      </c>
      <c r="H13" s="106">
        <v>0</v>
      </c>
      <c r="I13" s="106">
        <v>0</v>
      </c>
      <c r="J13" s="106">
        <v>0</v>
      </c>
      <c r="K13" s="106">
        <v>0</v>
      </c>
      <c r="L13" s="106">
        <v>0</v>
      </c>
      <c r="M13" s="106">
        <v>0</v>
      </c>
      <c r="N13" s="106">
        <v>0</v>
      </c>
      <c r="O13" s="106">
        <v>0</v>
      </c>
      <c r="P13" s="106">
        <v>0</v>
      </c>
      <c r="Q13" s="106">
        <v>0</v>
      </c>
      <c r="R13" s="106">
        <v>0</v>
      </c>
      <c r="S13" s="106">
        <v>0</v>
      </c>
      <c r="T13" s="106">
        <v>0</v>
      </c>
      <c r="U13" s="106">
        <v>0</v>
      </c>
      <c r="V13" s="106">
        <v>0</v>
      </c>
      <c r="W13" s="106">
        <v>0</v>
      </c>
      <c r="X13" s="106">
        <v>0.02</v>
      </c>
      <c r="Y13" s="106">
        <v>0.33</v>
      </c>
      <c r="Z13" s="106">
        <v>0.37</v>
      </c>
      <c r="AA13" s="106">
        <v>0.4</v>
      </c>
      <c r="AB13" s="106">
        <v>0.43</v>
      </c>
      <c r="AC13" s="106">
        <v>0.47000000000000003</v>
      </c>
      <c r="AD13" s="106">
        <v>0.5</v>
      </c>
      <c r="AE13" s="106">
        <v>0.53</v>
      </c>
      <c r="AF13" s="106">
        <v>0.56000000000000005</v>
      </c>
      <c r="AG13" s="106">
        <v>0.59</v>
      </c>
      <c r="AH13" s="106">
        <v>0.63</v>
      </c>
      <c r="AI13" s="106">
        <v>0.66</v>
      </c>
      <c r="AJ13" s="106">
        <v>0.69000000000000006</v>
      </c>
      <c r="AK13" s="106">
        <v>0.44</v>
      </c>
      <c r="AL13" s="106">
        <v>0.46</v>
      </c>
      <c r="AM13" s="106">
        <v>0.47</v>
      </c>
      <c r="AN13" s="106">
        <v>0.49</v>
      </c>
    </row>
    <row r="14" spans="1:40" hidden="1" outlineLevel="1" x14ac:dyDescent="0.25">
      <c r="B14" s="39" t="str">
        <v>Recruiter</v>
      </c>
      <c r="C14" s="3"/>
      <c r="D14" s="3"/>
      <c r="E14" s="106">
        <v>0</v>
      </c>
      <c r="F14" s="106">
        <v>0</v>
      </c>
      <c r="G14" s="106">
        <v>0</v>
      </c>
      <c r="H14" s="106">
        <v>0</v>
      </c>
      <c r="I14" s="106">
        <v>0</v>
      </c>
      <c r="J14" s="106">
        <v>0</v>
      </c>
      <c r="K14" s="106">
        <v>0</v>
      </c>
      <c r="L14" s="106">
        <v>0</v>
      </c>
      <c r="M14" s="106">
        <v>0</v>
      </c>
      <c r="N14" s="106">
        <v>0</v>
      </c>
      <c r="O14" s="106">
        <v>0</v>
      </c>
      <c r="P14" s="106">
        <v>0</v>
      </c>
      <c r="Q14" s="106">
        <v>0</v>
      </c>
      <c r="R14" s="106">
        <v>0</v>
      </c>
      <c r="S14" s="106">
        <v>0</v>
      </c>
      <c r="T14" s="106">
        <v>0</v>
      </c>
      <c r="U14" s="106">
        <v>0</v>
      </c>
      <c r="V14" s="106">
        <v>0</v>
      </c>
      <c r="W14" s="106">
        <v>0</v>
      </c>
      <c r="X14" s="106">
        <v>0.02</v>
      </c>
      <c r="Y14" s="106">
        <v>0.18000000000000002</v>
      </c>
      <c r="Z14" s="106">
        <v>0.21000000000000002</v>
      </c>
      <c r="AA14" s="106">
        <v>0.23</v>
      </c>
      <c r="AB14" s="106">
        <v>0.26</v>
      </c>
      <c r="AC14" s="106">
        <v>0.28000000000000003</v>
      </c>
      <c r="AD14" s="106">
        <v>0.31</v>
      </c>
      <c r="AE14" s="106">
        <v>0.33</v>
      </c>
      <c r="AF14" s="106">
        <v>0.35000000000000003</v>
      </c>
      <c r="AG14" s="106">
        <v>0.38</v>
      </c>
      <c r="AH14" s="106">
        <v>0.4</v>
      </c>
      <c r="AI14" s="106">
        <v>0.43</v>
      </c>
      <c r="AJ14" s="106">
        <v>0.45</v>
      </c>
      <c r="AK14" s="106">
        <v>0.33</v>
      </c>
      <c r="AL14" s="106">
        <v>0.34</v>
      </c>
      <c r="AM14" s="106">
        <v>0.35000000000000003</v>
      </c>
      <c r="AN14" s="106">
        <v>0.36</v>
      </c>
    </row>
    <row r="15" spans="1:40" hidden="1" outlineLevel="1" x14ac:dyDescent="0.25">
      <c r="B15" s="39" t="str">
        <v>Center Director / Remote Site Director</v>
      </c>
      <c r="C15" s="3"/>
      <c r="D15" s="3"/>
      <c r="E15" s="106">
        <v>0</v>
      </c>
      <c r="F15" s="106">
        <v>0</v>
      </c>
      <c r="G15" s="106">
        <v>0</v>
      </c>
      <c r="H15" s="106">
        <v>0</v>
      </c>
      <c r="I15" s="106">
        <v>0</v>
      </c>
      <c r="J15" s="106">
        <v>0</v>
      </c>
      <c r="K15" s="106">
        <v>0</v>
      </c>
      <c r="L15" s="106">
        <v>0</v>
      </c>
      <c r="M15" s="106">
        <v>0</v>
      </c>
      <c r="N15" s="106">
        <v>0</v>
      </c>
      <c r="O15" s="106">
        <v>0</v>
      </c>
      <c r="P15" s="106">
        <v>0</v>
      </c>
      <c r="Q15" s="106">
        <v>0</v>
      </c>
      <c r="R15" s="106">
        <v>0</v>
      </c>
      <c r="S15" s="106">
        <v>0</v>
      </c>
      <c r="T15" s="106">
        <v>0</v>
      </c>
      <c r="U15" s="106">
        <v>0</v>
      </c>
      <c r="V15" s="106">
        <v>0</v>
      </c>
      <c r="W15" s="106">
        <v>0</v>
      </c>
      <c r="X15" s="106">
        <v>0.01</v>
      </c>
      <c r="Y15" s="106">
        <v>0.02</v>
      </c>
      <c r="Z15" s="106">
        <v>0.04</v>
      </c>
      <c r="AA15" s="106">
        <v>0.05</v>
      </c>
      <c r="AB15" s="106">
        <v>6.0000000000000005E-2</v>
      </c>
      <c r="AC15" s="106">
        <v>6.9999999999999993E-2</v>
      </c>
      <c r="AD15" s="106">
        <v>0.08</v>
      </c>
      <c r="AE15" s="106">
        <v>0.09</v>
      </c>
      <c r="AF15" s="106">
        <v>0.1</v>
      </c>
      <c r="AG15" s="106">
        <v>0.12</v>
      </c>
      <c r="AH15" s="106">
        <v>0.13</v>
      </c>
      <c r="AI15" s="106">
        <v>0.14000000000000001</v>
      </c>
      <c r="AJ15" s="106">
        <v>0.15000000000000002</v>
      </c>
      <c r="AK15" s="106">
        <v>0.16</v>
      </c>
      <c r="AL15" s="106">
        <v>0.16</v>
      </c>
      <c r="AM15" s="106">
        <v>0.16</v>
      </c>
      <c r="AN15" s="106">
        <v>0.16</v>
      </c>
    </row>
    <row r="16" spans="1:40" hidden="1" outlineLevel="1" x14ac:dyDescent="0.25">
      <c r="B16" s="39" t="str">
        <v>Center Marketing Outreach</v>
      </c>
      <c r="C16" s="3"/>
      <c r="D16" s="3"/>
      <c r="E16" s="106">
        <v>0</v>
      </c>
      <c r="F16" s="106">
        <v>0</v>
      </c>
      <c r="G16" s="106">
        <v>0</v>
      </c>
      <c r="H16" s="106">
        <v>0</v>
      </c>
      <c r="I16" s="106">
        <v>0</v>
      </c>
      <c r="J16" s="106">
        <v>0</v>
      </c>
      <c r="K16" s="106">
        <v>0</v>
      </c>
      <c r="L16" s="106">
        <v>0</v>
      </c>
      <c r="M16" s="106">
        <v>0</v>
      </c>
      <c r="N16" s="106">
        <v>0</v>
      </c>
      <c r="O16" s="106">
        <v>0</v>
      </c>
      <c r="P16" s="106">
        <v>0</v>
      </c>
      <c r="Q16" s="106">
        <v>0</v>
      </c>
      <c r="R16" s="106">
        <v>0</v>
      </c>
      <c r="S16" s="106">
        <v>0</v>
      </c>
      <c r="T16" s="106">
        <v>0</v>
      </c>
      <c r="U16" s="106">
        <v>0</v>
      </c>
      <c r="V16" s="106">
        <v>0</v>
      </c>
      <c r="W16" s="106">
        <v>0</v>
      </c>
      <c r="X16" s="106">
        <v>0.01</v>
      </c>
      <c r="Y16" s="106">
        <v>0.02</v>
      </c>
      <c r="Z16" s="106">
        <v>0.04</v>
      </c>
      <c r="AA16" s="106">
        <v>0.05</v>
      </c>
      <c r="AB16" s="106">
        <v>6.0000000000000005E-2</v>
      </c>
      <c r="AC16" s="106">
        <v>6.9999999999999993E-2</v>
      </c>
      <c r="AD16" s="106">
        <v>0.08</v>
      </c>
      <c r="AE16" s="106">
        <v>0.09</v>
      </c>
      <c r="AF16" s="106">
        <v>0.1</v>
      </c>
      <c r="AG16" s="106">
        <v>0.12</v>
      </c>
      <c r="AH16" s="106">
        <v>0.13</v>
      </c>
      <c r="AI16" s="106">
        <v>0.14000000000000001</v>
      </c>
      <c r="AJ16" s="106">
        <v>0.15000000000000002</v>
      </c>
      <c r="AK16" s="106">
        <v>0.16</v>
      </c>
      <c r="AL16" s="106">
        <v>0.16</v>
      </c>
      <c r="AM16" s="106">
        <v>0.16</v>
      </c>
      <c r="AN16" s="106">
        <v>0.16</v>
      </c>
    </row>
    <row r="17" spans="2:50" hidden="1" outlineLevel="1" x14ac:dyDescent="0.25">
      <c r="B17" s="39" t="str">
        <v>Primary Direct Staff Lead</v>
      </c>
      <c r="C17" s="3"/>
      <c r="D17" s="3"/>
      <c r="E17" s="106">
        <v>0</v>
      </c>
      <c r="F17" s="106">
        <v>0</v>
      </c>
      <c r="G17" s="106">
        <v>0</v>
      </c>
      <c r="H17" s="106">
        <v>0</v>
      </c>
      <c r="I17" s="106">
        <v>0</v>
      </c>
      <c r="J17" s="106">
        <v>0</v>
      </c>
      <c r="K17" s="106">
        <v>0</v>
      </c>
      <c r="L17" s="106">
        <v>0</v>
      </c>
      <c r="M17" s="106">
        <v>0</v>
      </c>
      <c r="N17" s="106">
        <v>0</v>
      </c>
      <c r="O17" s="106">
        <v>0</v>
      </c>
      <c r="P17" s="106">
        <v>0</v>
      </c>
      <c r="Q17" s="106">
        <v>0</v>
      </c>
      <c r="R17" s="106">
        <v>0</v>
      </c>
      <c r="S17" s="106">
        <v>0</v>
      </c>
      <c r="T17" s="106">
        <v>0</v>
      </c>
      <c r="U17" s="106">
        <v>0</v>
      </c>
      <c r="V17" s="106">
        <v>0</v>
      </c>
      <c r="W17" s="106">
        <v>0</v>
      </c>
      <c r="X17" s="106">
        <v>0.2</v>
      </c>
      <c r="Y17" s="106">
        <v>0.5</v>
      </c>
      <c r="Z17" s="106">
        <v>0.8</v>
      </c>
      <c r="AA17" s="106">
        <v>1.1000000000000001</v>
      </c>
      <c r="AB17" s="106">
        <v>1.4</v>
      </c>
      <c r="AC17" s="106">
        <v>1.7</v>
      </c>
      <c r="AD17" s="106">
        <v>2</v>
      </c>
      <c r="AE17" s="106">
        <v>2.2000000000000002</v>
      </c>
      <c r="AF17" s="106">
        <v>2.5</v>
      </c>
      <c r="AG17" s="106">
        <v>2.8</v>
      </c>
      <c r="AH17" s="106">
        <v>3.1</v>
      </c>
      <c r="AI17" s="106">
        <v>3.4</v>
      </c>
      <c r="AJ17" s="106">
        <v>3.7</v>
      </c>
      <c r="AK17" s="106">
        <v>4</v>
      </c>
      <c r="AL17" s="106">
        <v>4</v>
      </c>
      <c r="AM17" s="106">
        <v>4</v>
      </c>
      <c r="AN17" s="106">
        <v>4</v>
      </c>
    </row>
    <row r="18" spans="2:50" hidden="1" outlineLevel="1" x14ac:dyDescent="0.25">
      <c r="B18" s="39" t="str">
        <v>Tertiary Direct Staff</v>
      </c>
      <c r="C18" s="3"/>
      <c r="D18" s="3"/>
      <c r="E18" s="106">
        <v>0</v>
      </c>
      <c r="F18" s="106">
        <v>0</v>
      </c>
      <c r="G18" s="106">
        <v>0</v>
      </c>
      <c r="H18" s="106">
        <v>0</v>
      </c>
      <c r="I18" s="106">
        <v>0</v>
      </c>
      <c r="J18" s="106">
        <v>0</v>
      </c>
      <c r="K18" s="106">
        <v>0</v>
      </c>
      <c r="L18" s="106">
        <v>0</v>
      </c>
      <c r="M18" s="106">
        <v>0</v>
      </c>
      <c r="N18" s="106">
        <v>0</v>
      </c>
      <c r="O18" s="106">
        <v>0</v>
      </c>
      <c r="P18" s="106">
        <v>0</v>
      </c>
      <c r="Q18" s="106">
        <v>0</v>
      </c>
      <c r="R18" s="106">
        <v>0</v>
      </c>
      <c r="S18" s="106">
        <v>0</v>
      </c>
      <c r="T18" s="106">
        <v>0</v>
      </c>
      <c r="U18" s="106">
        <v>0</v>
      </c>
      <c r="V18" s="106">
        <v>0</v>
      </c>
      <c r="W18" s="106">
        <v>0</v>
      </c>
      <c r="X18" s="106">
        <v>0</v>
      </c>
      <c r="Y18" s="106">
        <v>0</v>
      </c>
      <c r="Z18" s="106">
        <v>0</v>
      </c>
      <c r="AA18" s="106">
        <v>0</v>
      </c>
      <c r="AB18" s="106">
        <v>0</v>
      </c>
      <c r="AC18" s="106">
        <v>0</v>
      </c>
      <c r="AD18" s="106">
        <v>0</v>
      </c>
      <c r="AE18" s="106">
        <v>0</v>
      </c>
      <c r="AF18" s="106">
        <v>0</v>
      </c>
      <c r="AG18" s="106">
        <v>0</v>
      </c>
      <c r="AH18" s="106">
        <v>0</v>
      </c>
      <c r="AI18" s="106">
        <v>0</v>
      </c>
      <c r="AJ18" s="106">
        <v>0</v>
      </c>
      <c r="AK18" s="106">
        <v>0</v>
      </c>
      <c r="AL18" s="106">
        <v>0</v>
      </c>
      <c r="AM18" s="106">
        <v>0</v>
      </c>
      <c r="AN18" s="106">
        <v>0</v>
      </c>
    </row>
    <row r="19" spans="2:50" hidden="1" outlineLevel="1" x14ac:dyDescent="0.25">
      <c r="B19" s="39" t="str">
        <v>Quinary Direct Staff</v>
      </c>
      <c r="C19" s="3"/>
      <c r="D19" s="3"/>
      <c r="E19" s="106">
        <v>0</v>
      </c>
      <c r="F19" s="106">
        <v>0</v>
      </c>
      <c r="G19" s="106">
        <v>0</v>
      </c>
      <c r="H19" s="106">
        <v>0</v>
      </c>
      <c r="I19" s="106">
        <v>0</v>
      </c>
      <c r="J19" s="106">
        <v>0</v>
      </c>
      <c r="K19" s="106">
        <v>0</v>
      </c>
      <c r="L19" s="106">
        <v>0</v>
      </c>
      <c r="M19" s="106">
        <v>0</v>
      </c>
      <c r="N19" s="106">
        <v>0</v>
      </c>
      <c r="O19" s="106">
        <v>0</v>
      </c>
      <c r="P19" s="106">
        <v>0</v>
      </c>
      <c r="Q19" s="106">
        <v>0</v>
      </c>
      <c r="R19" s="106">
        <v>0</v>
      </c>
      <c r="S19" s="106">
        <v>0</v>
      </c>
      <c r="T19" s="106">
        <v>0</v>
      </c>
      <c r="U19" s="106">
        <v>0</v>
      </c>
      <c r="V19" s="106">
        <v>0</v>
      </c>
      <c r="W19" s="106">
        <v>0</v>
      </c>
      <c r="X19" s="106">
        <v>0</v>
      </c>
      <c r="Y19" s="106">
        <v>0</v>
      </c>
      <c r="Z19" s="106">
        <v>0</v>
      </c>
      <c r="AA19" s="106">
        <v>0</v>
      </c>
      <c r="AB19" s="106">
        <v>0</v>
      </c>
      <c r="AC19" s="106">
        <v>0</v>
      </c>
      <c r="AD19" s="106">
        <v>0</v>
      </c>
      <c r="AE19" s="106">
        <v>0</v>
      </c>
      <c r="AF19" s="106">
        <v>0</v>
      </c>
      <c r="AG19" s="106">
        <v>0</v>
      </c>
      <c r="AH19" s="106">
        <v>0</v>
      </c>
      <c r="AI19" s="106">
        <v>0</v>
      </c>
      <c r="AJ19" s="106">
        <v>0</v>
      </c>
      <c r="AK19" s="106">
        <v>0</v>
      </c>
      <c r="AL19" s="106">
        <v>0</v>
      </c>
      <c r="AM19" s="106">
        <v>0</v>
      </c>
      <c r="AN19" s="106">
        <v>0</v>
      </c>
    </row>
    <row r="20" spans="2:50" hidden="1" outlineLevel="1" x14ac:dyDescent="0.25">
      <c r="B20" s="39" t="str">
        <v>Quaternary Direct Staff</v>
      </c>
      <c r="C20" s="3"/>
      <c r="D20" s="3"/>
      <c r="E20" s="106">
        <v>0</v>
      </c>
      <c r="F20" s="106">
        <v>0</v>
      </c>
      <c r="G20" s="106">
        <v>0</v>
      </c>
      <c r="H20" s="106">
        <v>0</v>
      </c>
      <c r="I20" s="106">
        <v>0</v>
      </c>
      <c r="J20" s="106">
        <v>0</v>
      </c>
      <c r="K20" s="106">
        <v>0</v>
      </c>
      <c r="L20" s="106">
        <v>0</v>
      </c>
      <c r="M20" s="106">
        <v>0</v>
      </c>
      <c r="N20" s="106">
        <v>0</v>
      </c>
      <c r="O20" s="106">
        <v>0</v>
      </c>
      <c r="P20" s="106">
        <v>0</v>
      </c>
      <c r="Q20" s="106">
        <v>0</v>
      </c>
      <c r="R20" s="106">
        <v>0</v>
      </c>
      <c r="S20" s="106">
        <v>0</v>
      </c>
      <c r="T20" s="106">
        <v>0</v>
      </c>
      <c r="U20" s="106">
        <v>0</v>
      </c>
      <c r="V20" s="106">
        <v>0</v>
      </c>
      <c r="W20" s="106">
        <v>0</v>
      </c>
      <c r="X20" s="106">
        <v>1</v>
      </c>
      <c r="Y20" s="106">
        <v>1</v>
      </c>
      <c r="Z20" s="106">
        <v>1</v>
      </c>
      <c r="AA20" s="106">
        <v>1</v>
      </c>
      <c r="AB20" s="106">
        <v>1</v>
      </c>
      <c r="AC20" s="106">
        <v>1</v>
      </c>
      <c r="AD20" s="106">
        <v>1</v>
      </c>
      <c r="AE20" s="106">
        <v>1</v>
      </c>
      <c r="AF20" s="106">
        <v>1</v>
      </c>
      <c r="AG20" s="106">
        <v>1</v>
      </c>
      <c r="AH20" s="106">
        <v>1</v>
      </c>
      <c r="AI20" s="106">
        <v>1</v>
      </c>
      <c r="AJ20" s="106">
        <v>1</v>
      </c>
      <c r="AK20" s="106">
        <v>1</v>
      </c>
      <c r="AL20" s="106">
        <v>1</v>
      </c>
      <c r="AM20" s="106">
        <v>1</v>
      </c>
      <c r="AN20" s="106">
        <v>1</v>
      </c>
    </row>
    <row r="21" spans="2:50" collapsed="1" x14ac:dyDescent="0.25">
      <c r="B21" s="39" t="s">
        <v>389</v>
      </c>
      <c r="C21" s="3"/>
      <c r="D21" s="5"/>
      <c r="E21" s="117" cm="1">
        <f t="array" ref="E21:AN21">ROUND(_xlfn.BYCOL(_xlfn.CHOOSEROWS(_xlfn.ANCHORARRAY(E7),1,2),_xlfn.LAMBDA(_xlpm.col,SUM(_xlpm.col))),0)</f>
        <v>0</v>
      </c>
      <c r="F21" s="117">
        <v>0</v>
      </c>
      <c r="G21" s="117">
        <v>0</v>
      </c>
      <c r="H21" s="117">
        <v>0</v>
      </c>
      <c r="I21" s="117">
        <v>0</v>
      </c>
      <c r="J21" s="117">
        <v>0</v>
      </c>
      <c r="K21" s="117">
        <v>0</v>
      </c>
      <c r="L21" s="117">
        <v>0</v>
      </c>
      <c r="M21" s="117">
        <v>0</v>
      </c>
      <c r="N21" s="117">
        <v>0</v>
      </c>
      <c r="O21" s="117">
        <v>0</v>
      </c>
      <c r="P21" s="117">
        <v>0</v>
      </c>
      <c r="Q21" s="117">
        <v>0</v>
      </c>
      <c r="R21" s="117">
        <v>0</v>
      </c>
      <c r="S21" s="117">
        <v>0</v>
      </c>
      <c r="T21" s="117">
        <v>0</v>
      </c>
      <c r="U21" s="117">
        <v>0</v>
      </c>
      <c r="V21" s="117">
        <v>0</v>
      </c>
      <c r="W21" s="117">
        <v>0</v>
      </c>
      <c r="X21" s="117">
        <v>2</v>
      </c>
      <c r="Y21" s="117">
        <v>5</v>
      </c>
      <c r="Z21" s="117">
        <v>9</v>
      </c>
      <c r="AA21" s="117">
        <v>12</v>
      </c>
      <c r="AB21" s="117">
        <v>15</v>
      </c>
      <c r="AC21" s="117">
        <v>18</v>
      </c>
      <c r="AD21" s="117">
        <v>22</v>
      </c>
      <c r="AE21" s="117">
        <v>24</v>
      </c>
      <c r="AF21" s="117">
        <v>27</v>
      </c>
      <c r="AG21" s="117">
        <v>30</v>
      </c>
      <c r="AH21" s="117">
        <v>34</v>
      </c>
      <c r="AI21" s="117">
        <v>37</v>
      </c>
      <c r="AJ21" s="117">
        <v>40</v>
      </c>
      <c r="AK21" s="117">
        <v>43</v>
      </c>
      <c r="AL21" s="117">
        <v>43</v>
      </c>
      <c r="AM21" s="117">
        <v>43</v>
      </c>
      <c r="AN21" s="117">
        <v>43</v>
      </c>
    </row>
    <row r="22" spans="2:50" x14ac:dyDescent="0.25">
      <c r="B22" s="2" t="s">
        <v>394</v>
      </c>
      <c r="C22" s="3"/>
      <c r="D22" s="77">
        <f>MAX(_xlfn.ANCHORARRAY(E22))</f>
        <v>95.980542519553097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0</v>
      </c>
      <c r="F22" s="78">
        <v>0</v>
      </c>
      <c r="G22" s="78">
        <v>0</v>
      </c>
      <c r="H22" s="78">
        <v>0</v>
      </c>
      <c r="I22" s="78">
        <v>0</v>
      </c>
      <c r="J22" s="78">
        <v>0</v>
      </c>
      <c r="K22" s="78">
        <v>0</v>
      </c>
      <c r="L22" s="78">
        <v>0</v>
      </c>
      <c r="M22" s="78">
        <v>0</v>
      </c>
      <c r="N22" s="78">
        <v>0</v>
      </c>
      <c r="O22" s="78">
        <v>0</v>
      </c>
      <c r="P22" s="78">
        <v>0</v>
      </c>
      <c r="Q22" s="78">
        <v>0</v>
      </c>
      <c r="R22" s="78">
        <v>0</v>
      </c>
      <c r="S22" s="78">
        <v>0</v>
      </c>
      <c r="T22" s="78">
        <v>0</v>
      </c>
      <c r="U22" s="78">
        <v>0</v>
      </c>
      <c r="V22" s="78">
        <v>0</v>
      </c>
      <c r="W22" s="78">
        <v>0</v>
      </c>
      <c r="X22" s="78">
        <v>95.980542519553097</v>
      </c>
      <c r="Y22" s="78">
        <v>95.980542519553097</v>
      </c>
      <c r="Z22" s="78">
        <v>95.980542519553097</v>
      </c>
      <c r="AA22" s="78">
        <v>95.980542519553097</v>
      </c>
      <c r="AB22" s="78">
        <v>95.980542519553097</v>
      </c>
      <c r="AC22" s="78">
        <v>95.980542519553097</v>
      </c>
      <c r="AD22" s="78">
        <v>95.980542519553097</v>
      </c>
      <c r="AE22" s="78">
        <v>95.980542519553097</v>
      </c>
      <c r="AF22" s="78">
        <v>95.980542519553083</v>
      </c>
      <c r="AG22" s="78">
        <v>95.980542519553097</v>
      </c>
      <c r="AH22" s="78">
        <v>95.980542519553097</v>
      </c>
      <c r="AI22" s="78">
        <v>95.980542519553097</v>
      </c>
      <c r="AJ22" s="78">
        <v>95.980542519553083</v>
      </c>
      <c r="AK22" s="78">
        <v>95.980542519553097</v>
      </c>
      <c r="AL22" s="78">
        <v>95.980542519553097</v>
      </c>
      <c r="AM22" s="78">
        <v>95.980542519553097</v>
      </c>
      <c r="AN22" s="78">
        <v>95.980542519553097</v>
      </c>
    </row>
    <row r="23" spans="2:50" x14ac:dyDescent="0.25">
      <c r="B23" s="2" t="s">
        <v>53</v>
      </c>
      <c r="C23" s="3"/>
      <c r="D23" s="72"/>
      <c r="E23" s="52" cm="1">
        <f t="array" ref="E23:AN23">_xlfn.LET(_xlpm.site,$B$1&amp;"-"&amp;$C$1,_xlpm.locations,Base!$D$4:$BD$4,_xlpm.Customer,_xlfn.ANCHORARRAY(E1),_xlpm.hours,SUM(_xlfn.XLOOKUP(_xlpm.site,_xlpm.locations,Base!$D$74:$BD$78,0,0)),
_xlpm.collection,1-_xlfn.XLOOKUP(_xlpm.site,_xlpm.locations,Base!$D$26:$BD$26,0,0),
_xlpm.Customer*_xlpm.hours*_xlpm.collection*(52/12))</f>
        <v>0</v>
      </c>
      <c r="F23" s="52">
        <v>0</v>
      </c>
      <c r="G23" s="52">
        <v>0</v>
      </c>
      <c r="H23" s="52">
        <v>0</v>
      </c>
      <c r="I23" s="52">
        <v>0</v>
      </c>
      <c r="J23" s="52">
        <v>0</v>
      </c>
      <c r="K23" s="52">
        <v>0</v>
      </c>
      <c r="L23" s="52">
        <v>0</v>
      </c>
      <c r="M23" s="52">
        <v>0</v>
      </c>
      <c r="N23" s="52">
        <v>0</v>
      </c>
      <c r="O23" s="52">
        <v>0</v>
      </c>
      <c r="P23" s="52">
        <v>0</v>
      </c>
      <c r="Q23" s="52">
        <v>0</v>
      </c>
      <c r="R23" s="52">
        <v>0</v>
      </c>
      <c r="S23" s="52">
        <v>0</v>
      </c>
      <c r="T23" s="52">
        <v>0</v>
      </c>
      <c r="U23" s="52">
        <v>0</v>
      </c>
      <c r="V23" s="52">
        <v>0</v>
      </c>
      <c r="W23" s="52">
        <v>0</v>
      </c>
      <c r="X23" s="52">
        <v>210.02666666666664</v>
      </c>
      <c r="Y23" s="52">
        <v>525.06666666666661</v>
      </c>
      <c r="Z23" s="52">
        <v>840.10666666666657</v>
      </c>
      <c r="AA23" s="52">
        <v>1155.1466666666665</v>
      </c>
      <c r="AB23" s="52">
        <v>1470.1866666666665</v>
      </c>
      <c r="AC23" s="52">
        <v>1785.2266666666665</v>
      </c>
      <c r="AD23" s="52">
        <v>2100.2666666666664</v>
      </c>
      <c r="AE23" s="52">
        <v>2310.2933333333331</v>
      </c>
      <c r="AF23" s="52">
        <v>2625.333333333333</v>
      </c>
      <c r="AG23" s="52">
        <v>2940.373333333333</v>
      </c>
      <c r="AH23" s="52">
        <v>3255.413333333333</v>
      </c>
      <c r="AI23" s="52">
        <v>3570.4533333333329</v>
      </c>
      <c r="AJ23" s="52">
        <v>3885.4933333333329</v>
      </c>
      <c r="AK23" s="52">
        <v>4200.5333333333328</v>
      </c>
      <c r="AL23" s="52">
        <v>4200.5333333333328</v>
      </c>
      <c r="AM23" s="52">
        <v>4200.5333333333328</v>
      </c>
      <c r="AN23" s="52">
        <v>4200.5333333333328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21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_xlfn.LET(_xlpm.site,$B$1&amp;"-"&amp;$C$1,_xlpm.locations,Base!$D$4:$BD$4,_xlpm.rates,Base!$D31:$BD31,_xlpm.hours,Base!$D74:$BD74,_xlpm.comp,_xlpm.rates*_xlpm.hours,_xlpm.Customer,_xlfn.ANCHORARRAY($E$1),
_xlpm.Customer_comp,_xlfn.XLOOKUP(_xlpm.site,_xlpm.locations,_xlpm.comp,0,0),_xlpm.ann_incr,_xlfn.XLOOKUP(YEAR(_xlfn.ANCHORARRAY($E$25)),Base!$BJ$4:$BL$4,Base!$BJ74:$BL74,0,0),
_xlpm.bad_debt,_xlfn.XLOOKUP(_xlpm.site,_xlpm.locations,Base!$D$28:$BD$28,0,0),_xlpm.Customer_comp*_xlpm.Customer*_xlpm.bad_debt*_xlpm.ann_incr*(52/12))</f>
        <v>0</v>
      </c>
      <c r="F26" s="12">
        <v>0</v>
      </c>
      <c r="G26" s="12">
        <v>0</v>
      </c>
      <c r="H26" s="12">
        <v>0</v>
      </c>
      <c r="I26" s="12">
        <v>0</v>
      </c>
      <c r="J26" s="12">
        <v>0</v>
      </c>
      <c r="K26" s="12">
        <v>0</v>
      </c>
      <c r="L26" s="12">
        <v>0</v>
      </c>
      <c r="M26" s="12">
        <v>0</v>
      </c>
      <c r="N26" s="12">
        <v>0</v>
      </c>
      <c r="O26" s="12">
        <v>0</v>
      </c>
      <c r="P26" s="12">
        <v>0</v>
      </c>
      <c r="Q26" s="12">
        <v>0</v>
      </c>
      <c r="R26" s="12">
        <v>0</v>
      </c>
      <c r="S26" s="12">
        <v>0</v>
      </c>
      <c r="T26" s="12">
        <v>0</v>
      </c>
      <c r="U26" s="12">
        <v>0</v>
      </c>
      <c r="V26" s="12">
        <v>0</v>
      </c>
      <c r="W26" s="12">
        <v>0</v>
      </c>
      <c r="X26" s="12">
        <v>15641.71017552</v>
      </c>
      <c r="Y26" s="12">
        <v>39104.275438800003</v>
      </c>
      <c r="Z26" s="12">
        <v>62566.84070208</v>
      </c>
      <c r="AA26" s="12">
        <v>86029.405965359998</v>
      </c>
      <c r="AB26" s="12">
        <v>109491.97122864</v>
      </c>
      <c r="AC26" s="12">
        <v>132954.53649192001</v>
      </c>
      <c r="AD26" s="12">
        <v>156417.10175520001</v>
      </c>
      <c r="AE26" s="12">
        <v>172058.81193072</v>
      </c>
      <c r="AF26" s="12">
        <v>195521.377194</v>
      </c>
      <c r="AG26" s="12">
        <v>218983.94245728001</v>
      </c>
      <c r="AH26" s="12">
        <v>242446.50772056004</v>
      </c>
      <c r="AI26" s="12">
        <v>265909.07298384001</v>
      </c>
      <c r="AJ26" s="12">
        <v>289371.63824712002</v>
      </c>
      <c r="AK26" s="12">
        <v>312834.20351040002</v>
      </c>
      <c r="AL26" s="12">
        <v>312834.20351040002</v>
      </c>
      <c r="AM26" s="12">
        <v>312834.20351040002</v>
      </c>
      <c r="AN26" s="12">
        <v>312834.20351040002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_xlfn.LET(_xlpm.site,$B$1&amp;"-"&amp;$C$1,_xlpm.locations,Base!$D$4:$BD$4,_xlpm.rates,Base!$D32:$BD32,_xlpm.hours,Base!$D75:$BD75,_xlpm.comp,_xlpm.rates*_xlpm.hours,_xlpm.Customer,_xlfn.ANCHORARRAY($E$1),
_xlpm.Customer_comp,_xlfn.XLOOKUP(_xlpm.site,_xlpm.locations,_xlpm.comp,0,0),_xlpm.ann_incr,_xlfn.XLOOKUP(YEAR(_xlfn.ANCHORARRAY($E$25)),Base!$BJ$4:$BL$4,Base!$BJ75:$BL75,0,0),
_xlpm.bad_debt,_xlfn.XLOOKUP(_xlpm.site,_xlpm.locations,Base!$D$28:$BD$28,0,0),_xlpm.Customer_comp*_xlpm.Customer*_xlpm.bad_debt*_xlpm.ann_incr*(52/12))</f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1032.5442483199997</v>
      </c>
      <c r="Y27" s="12">
        <v>2581.3606207999992</v>
      </c>
      <c r="Z27" s="12">
        <v>4130.1769932799989</v>
      </c>
      <c r="AA27" s="12">
        <v>5678.9933657599995</v>
      </c>
      <c r="AB27" s="12">
        <v>7227.8097382399992</v>
      </c>
      <c r="AC27" s="12">
        <v>8776.6261107199989</v>
      </c>
      <c r="AD27" s="12">
        <v>10325.442483199997</v>
      </c>
      <c r="AE27" s="12">
        <v>11357.986731519999</v>
      </c>
      <c r="AF27" s="12">
        <v>12906.803103999997</v>
      </c>
      <c r="AG27" s="12">
        <v>14455.619476479998</v>
      </c>
      <c r="AH27" s="12">
        <v>16004.435848959998</v>
      </c>
      <c r="AI27" s="12">
        <v>17553.252221439998</v>
      </c>
      <c r="AJ27" s="12">
        <v>19102.068593919998</v>
      </c>
      <c r="AK27" s="12">
        <v>20650.884966399994</v>
      </c>
      <c r="AL27" s="12">
        <v>20650.884966399994</v>
      </c>
      <c r="AM27" s="12">
        <v>20650.884966399994</v>
      </c>
      <c r="AN27" s="12">
        <v>20650.884966399994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_xlfn.LET(_xlpm.site,$B$1&amp;"-"&amp;$C$1,_xlpm.locations,Base!$D$4:$BD$4,_xlpm.rates,Base!$D33:$BD33,_xlpm.hours,Base!$D76:$BD76,_xlpm.comp,_xlpm.rates*_xlpm.hours,_xlpm.Customer,_xlfn.ANCHORARRAY($E$1),
_xlpm.Customer_comp,_xlfn.XLOOKUP(_xlpm.site,_xlpm.locations,_xlpm.comp,0,0),_xlpm.ann_incr,_xlfn.XLOOKUP(YEAR(_xlfn.ANCHORARRAY($E$25)),Base!$BJ$4:$BL$4,Base!$BJ76:$BL76,0,0),
_xlpm.bad_debt,_xlfn.XLOOKUP(_xlpm.site,_xlpm.locations,Base!$D$28:$BD$28,0,0),_xlpm.Customer_comp*_xlpm.Customer*_xlpm.bad_debt*_xlpm.ann_incr*(52/12))</f>
        <v>0</v>
      </c>
      <c r="F28" s="12">
        <v>0</v>
      </c>
      <c r="G28" s="12">
        <v>0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0</v>
      </c>
      <c r="N28" s="12">
        <v>0</v>
      </c>
      <c r="O28" s="12">
        <v>0</v>
      </c>
      <c r="P28" s="12">
        <v>0</v>
      </c>
      <c r="Q28" s="12">
        <v>0</v>
      </c>
      <c r="R28" s="12">
        <v>0</v>
      </c>
      <c r="S28" s="12">
        <v>0</v>
      </c>
      <c r="T28" s="12">
        <v>0</v>
      </c>
      <c r="U28" s="12">
        <v>0</v>
      </c>
      <c r="V28" s="12">
        <v>0</v>
      </c>
      <c r="W28" s="12">
        <v>0</v>
      </c>
      <c r="X28" s="12">
        <v>4265.9209569599998</v>
      </c>
      <c r="Y28" s="12">
        <v>10664.802392399999</v>
      </c>
      <c r="Z28" s="12">
        <v>17063.683827839999</v>
      </c>
      <c r="AA28" s="12">
        <v>23462.565263280005</v>
      </c>
      <c r="AB28" s="12">
        <v>29861.446698719999</v>
      </c>
      <c r="AC28" s="12">
        <v>36260.328134159994</v>
      </c>
      <c r="AD28" s="12">
        <v>42659.209569599996</v>
      </c>
      <c r="AE28" s="12">
        <v>46925.130526560009</v>
      </c>
      <c r="AF28" s="12">
        <v>53324.011961999997</v>
      </c>
      <c r="AG28" s="12">
        <v>59722.893397439999</v>
      </c>
      <c r="AH28" s="12">
        <v>66121.774832879993</v>
      </c>
      <c r="AI28" s="12">
        <v>72520.656268319988</v>
      </c>
      <c r="AJ28" s="12">
        <v>78919.537703759997</v>
      </c>
      <c r="AK28" s="12">
        <v>85318.419139199992</v>
      </c>
      <c r="AL28" s="12">
        <v>85318.419139199992</v>
      </c>
      <c r="AM28" s="12">
        <v>85318.419139199992</v>
      </c>
      <c r="AN28" s="12">
        <v>85318.419139199992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_xlfn.LET(_xlpm.site,$B$1&amp;"-"&amp;$C$1,_xlpm.locations,Base!$D$4:$BD$4,_xlpm.rates,Base!$D34:$BD34,_xlpm.hours,Base!$D77:$BD77,_xlpm.comp,_xlpm.rates*_xlpm.hours,_xlpm.Customer,_xlfn.ANCHORARRAY($E$1),
_xlpm.Customer_comp,_xlfn.XLOOKUP(_xlpm.site,_xlpm.locations,_xlpm.comp,0,0),_xlpm.ann_incr,_xlfn.XLOOKUP(YEAR(_xlfn.ANCHORARRAY($E$25)),Base!$BJ$4:$BL$4,Base!$BJ77:$BL77,0,0),
_xlpm.bad_debt,_xlfn.XLOOKUP(_xlpm.site,_xlpm.locations,Base!$D$28:$BD$28,0,0),_xlpm.Customer_comp*_xlpm.Customer*_xlpm.bad_debt*_xlpm.ann_incr*(52/12))</f>
        <v>0</v>
      </c>
      <c r="F29" s="12">
        <v>0</v>
      </c>
      <c r="G29" s="12">
        <v>0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0</v>
      </c>
      <c r="N29" s="12">
        <v>0</v>
      </c>
      <c r="O29" s="12">
        <v>0</v>
      </c>
      <c r="P29" s="12">
        <v>0</v>
      </c>
      <c r="Q29" s="12">
        <v>0</v>
      </c>
      <c r="R29" s="12">
        <v>0</v>
      </c>
      <c r="S29" s="12">
        <v>0</v>
      </c>
      <c r="T29" s="12">
        <v>0</v>
      </c>
      <c r="U29" s="12">
        <v>0</v>
      </c>
      <c r="V29" s="12">
        <v>0</v>
      </c>
      <c r="W29" s="12">
        <v>0</v>
      </c>
      <c r="X29" s="12">
        <v>178.96634807999999</v>
      </c>
      <c r="Y29" s="12">
        <v>447.41587020000009</v>
      </c>
      <c r="Z29" s="12">
        <v>715.86539231999996</v>
      </c>
      <c r="AA29" s="12">
        <v>984.31491443999994</v>
      </c>
      <c r="AB29" s="12">
        <v>1252.7644365599999</v>
      </c>
      <c r="AC29" s="12">
        <v>1521.2139586799999</v>
      </c>
      <c r="AD29" s="12">
        <v>1789.6634808000003</v>
      </c>
      <c r="AE29" s="12">
        <v>1968.6298288799999</v>
      </c>
      <c r="AF29" s="12">
        <v>2237.0793509999999</v>
      </c>
      <c r="AG29" s="12">
        <v>2505.5288731199998</v>
      </c>
      <c r="AH29" s="12">
        <v>2773.9783952399998</v>
      </c>
      <c r="AI29" s="12">
        <v>3042.4279173599998</v>
      </c>
      <c r="AJ29" s="12">
        <v>3310.8774394799998</v>
      </c>
      <c r="AK29" s="12">
        <v>3579.3269616000007</v>
      </c>
      <c r="AL29" s="12">
        <v>3579.3269616000007</v>
      </c>
      <c r="AM29" s="12">
        <v>3579.3269616000007</v>
      </c>
      <c r="AN29" s="12">
        <v>3579.3269616000007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_xlfn.LET(_xlpm.site,$B$1&amp;"-"&amp;$C$1,_xlpm.locations,Base!$D$4:$BD$4,_xlpm.rates,Base!$D35:$BD35,_xlpm.hours,Base!$D78:$BD78,_xlpm.comp,_xlpm.rates*_xlpm.hours,_xlpm.Customer,_xlfn.ANCHORARRAY($E$1),
_xlpm.Customer_comp,_xlfn.XLOOKUP(_xlpm.site,_xlpm.locations,_xlpm.comp,0,0),_xlpm.ann_incr,_xlfn.XLOOKUP(YEAR(_xlfn.ANCHORARRAY($E$25)),Base!$BJ$4:$BL$4,Base!$BJ78:$BL78,0,0),
_xlpm.bad_debt,_xlfn.XLOOKUP(_xlpm.site,_xlpm.locations,Base!$D$28:$BD$28,0,0),_xlpm.Customer_comp*_xlpm.Customer*_xlpm.bad_debt*_xlpm.ann_incr*(52/12))</f>
        <v>0</v>
      </c>
      <c r="F30" s="12">
        <v>0</v>
      </c>
      <c r="G30" s="12">
        <v>0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0</v>
      </c>
      <c r="N30" s="12">
        <v>0</v>
      </c>
      <c r="O30" s="12">
        <v>0</v>
      </c>
      <c r="P30" s="12">
        <v>0</v>
      </c>
      <c r="Q30" s="12">
        <v>0</v>
      </c>
      <c r="R30" s="12">
        <v>0</v>
      </c>
      <c r="S30" s="12">
        <v>0</v>
      </c>
      <c r="T30" s="12">
        <v>0</v>
      </c>
      <c r="U30" s="12">
        <v>0</v>
      </c>
      <c r="V30" s="12">
        <v>0</v>
      </c>
      <c r="W30" s="12">
        <v>0</v>
      </c>
      <c r="X30" s="12">
        <v>413.77305023999998</v>
      </c>
      <c r="Y30" s="12">
        <v>1034.4326255999999</v>
      </c>
      <c r="Z30" s="12">
        <v>1655.0922009599999</v>
      </c>
      <c r="AA30" s="12">
        <v>2275.7517763199999</v>
      </c>
      <c r="AB30" s="12">
        <v>2896.4113516799994</v>
      </c>
      <c r="AC30" s="12">
        <v>3517.0709270399998</v>
      </c>
      <c r="AD30" s="12">
        <v>4137.7305023999998</v>
      </c>
      <c r="AE30" s="12">
        <v>4551.5035526399997</v>
      </c>
      <c r="AF30" s="12">
        <v>5172.1631280000001</v>
      </c>
      <c r="AG30" s="12">
        <v>5792.8227033599987</v>
      </c>
      <c r="AH30" s="12">
        <v>6413.4822787199992</v>
      </c>
      <c r="AI30" s="12">
        <v>7034.1418540799996</v>
      </c>
      <c r="AJ30" s="12">
        <v>7654.80142944</v>
      </c>
      <c r="AK30" s="12">
        <v>8275.4610047999995</v>
      </c>
      <c r="AL30" s="12">
        <v>8275.4610047999995</v>
      </c>
      <c r="AM30" s="12">
        <v>8275.4610047999995</v>
      </c>
      <c r="AN30" s="12">
        <v>8275.4610047999995</v>
      </c>
    </row>
    <row r="31" spans="2:50" x14ac:dyDescent="0.25">
      <c r="B31" s="39" t="str">
        <f>Base!B36</f>
        <v>Tertiary Direct Staff - Service A</v>
      </c>
      <c r="C31" s="4"/>
      <c r="E31" s="183" cm="1">
        <f t="array" ref="E31:AN31">_xlfn.LET(_xlpm.site,$B$1&amp;"-"&amp;$C$1,_xlpm.locations,Base!$D$4:$BD$4,_xlpm.rates,Base!$D36:$BD36,_xlpm.hours,Base!$D79:$BD79,_xlpm.comp,_xlpm.rates*_xlpm.hours,_xlpm.Customer,_xlfn.ANCHORARRAY($E$1)*0,
_xlpm.Customer_comp,_xlfn.XLOOKUP(_xlpm.site,_xlpm.locations,_xlpm.comp,0,0),_xlpm.ann_incr,_xlfn.XLOOKUP(YEAR(_xlfn.ANCHORARRAY($E$25)),Base!$BJ$4:$BL$4,Base!$BJ79:$BL79,0,0),
_xlpm.bad_debt,_xlfn.XLOOKUP(_xlpm.site,_xlpm.locations,Base!$D$28:$BD$28,0,0),_xlpm.Customer_comp*_xlpm.Customer*_xlpm.bad_debt*_xlpm.ann_incr*(52/12))</f>
        <v>0</v>
      </c>
      <c r="F31" s="183">
        <v>0</v>
      </c>
      <c r="G31" s="183">
        <v>0</v>
      </c>
      <c r="H31" s="183">
        <v>0</v>
      </c>
      <c r="I31" s="183">
        <v>0</v>
      </c>
      <c r="J31" s="183">
        <v>0</v>
      </c>
      <c r="K31" s="183">
        <v>0</v>
      </c>
      <c r="L31" s="183">
        <v>0</v>
      </c>
      <c r="M31" s="183">
        <v>0</v>
      </c>
      <c r="N31" s="183">
        <v>0</v>
      </c>
      <c r="O31" s="183">
        <v>0</v>
      </c>
      <c r="P31" s="183">
        <v>0</v>
      </c>
      <c r="Q31" s="183">
        <v>0</v>
      </c>
      <c r="R31" s="183">
        <v>0</v>
      </c>
      <c r="S31" s="183">
        <v>0</v>
      </c>
      <c r="T31" s="183">
        <v>0</v>
      </c>
      <c r="U31" s="183">
        <v>0</v>
      </c>
      <c r="V31" s="183">
        <v>0</v>
      </c>
      <c r="W31" s="183">
        <v>0</v>
      </c>
      <c r="X31" s="183">
        <v>0</v>
      </c>
      <c r="Y31" s="183">
        <v>0</v>
      </c>
      <c r="Z31" s="183">
        <v>0</v>
      </c>
      <c r="AA31" s="183">
        <v>0</v>
      </c>
      <c r="AB31" s="183">
        <v>0</v>
      </c>
      <c r="AC31" s="183">
        <v>0</v>
      </c>
      <c r="AD31" s="183">
        <v>0</v>
      </c>
      <c r="AE31" s="183">
        <v>0</v>
      </c>
      <c r="AF31" s="183">
        <v>0</v>
      </c>
      <c r="AG31" s="183">
        <v>0</v>
      </c>
      <c r="AH31" s="183">
        <v>0</v>
      </c>
      <c r="AI31" s="183">
        <v>0</v>
      </c>
      <c r="AJ31" s="183">
        <v>0</v>
      </c>
      <c r="AK31" s="183">
        <v>0</v>
      </c>
      <c r="AL31" s="183">
        <v>0</v>
      </c>
      <c r="AM31" s="183">
        <v>0</v>
      </c>
      <c r="AN31" s="183">
        <v>0</v>
      </c>
    </row>
    <row r="32" spans="2:50" x14ac:dyDescent="0.25">
      <c r="B32" s="39" t="str">
        <f>Base!B37</f>
        <v>Tertiary Direct Staff - Service B</v>
      </c>
      <c r="C32" s="4"/>
      <c r="E32" s="183" cm="1">
        <f t="array" ref="E32:AN32">_xlfn.LET(_xlpm.site,$B$1&amp;"-"&amp;$C$1,_xlpm.locations,Base!$D$4:$BD$4,_xlpm.rates,Base!$D37:$BD37,_xlpm.hours,Base!$D80:$BD80,_xlpm.comp,_xlpm.rates*_xlpm.hours,_xlpm.Customer,_xlfn.ANCHORARRAY($E$1)*0,
_xlpm.Customer_comp,_xlfn.XLOOKUP(_xlpm.site,_xlpm.locations,_xlpm.comp,0,0),_xlpm.ann_incr,_xlfn.XLOOKUP(YEAR(_xlfn.ANCHORARRAY($E$25)),Base!$BJ$4:$BL$4,Base!$BJ80:$BL80,0,0),
_xlpm.bad_debt,_xlfn.XLOOKUP(_xlpm.site,_xlpm.locations,Base!$D$28:$BD$28,0,0),_xlpm.Customer_comp*_xlpm.Customer*_xlpm.bad_debt*_xlpm.ann_incr*(52/12))</f>
        <v>0</v>
      </c>
      <c r="F32" s="183">
        <v>0</v>
      </c>
      <c r="G32" s="183">
        <v>0</v>
      </c>
      <c r="H32" s="183">
        <v>0</v>
      </c>
      <c r="I32" s="183">
        <v>0</v>
      </c>
      <c r="J32" s="183">
        <v>0</v>
      </c>
      <c r="K32" s="183">
        <v>0</v>
      </c>
      <c r="L32" s="183">
        <v>0</v>
      </c>
      <c r="M32" s="183">
        <v>0</v>
      </c>
      <c r="N32" s="183">
        <v>0</v>
      </c>
      <c r="O32" s="183">
        <v>0</v>
      </c>
      <c r="P32" s="183">
        <v>0</v>
      </c>
      <c r="Q32" s="183">
        <v>0</v>
      </c>
      <c r="R32" s="183">
        <v>0</v>
      </c>
      <c r="S32" s="183">
        <v>0</v>
      </c>
      <c r="T32" s="183">
        <v>0</v>
      </c>
      <c r="U32" s="183">
        <v>0</v>
      </c>
      <c r="V32" s="183">
        <v>0</v>
      </c>
      <c r="W32" s="183">
        <v>0</v>
      </c>
      <c r="X32" s="183">
        <v>0</v>
      </c>
      <c r="Y32" s="183">
        <v>0</v>
      </c>
      <c r="Z32" s="183">
        <v>0</v>
      </c>
      <c r="AA32" s="183">
        <v>0</v>
      </c>
      <c r="AB32" s="183">
        <v>0</v>
      </c>
      <c r="AC32" s="183">
        <v>0</v>
      </c>
      <c r="AD32" s="183">
        <v>0</v>
      </c>
      <c r="AE32" s="183">
        <v>0</v>
      </c>
      <c r="AF32" s="183">
        <v>0</v>
      </c>
      <c r="AG32" s="183">
        <v>0</v>
      </c>
      <c r="AH32" s="183">
        <v>0</v>
      </c>
      <c r="AI32" s="183">
        <v>0</v>
      </c>
      <c r="AJ32" s="183">
        <v>0</v>
      </c>
      <c r="AK32" s="183">
        <v>0</v>
      </c>
      <c r="AL32" s="183">
        <v>0</v>
      </c>
      <c r="AM32" s="183">
        <v>0</v>
      </c>
      <c r="AN32" s="183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_xlpm.Customer,_xlfn.ANCHORARRAY($E$2),_xlpm.ann_incr,_xlfn.XLOOKUP(YEAR(_xlfn.ANCHORARRAY($E$25)),Base!$BJ$4:$BL$4,Base!$BJ$81:$BL$81,0,0),
_xlpm.bad_debt,_xlfn.XLOOKUP(_xlpm.site,_xlpm.locations,Base!$D$28:$BD$28,0,0),
_xlpm.comp*_xlpm.bad_debt*_xlpm.ann_incr*(52/12))</f>
        <v>0</v>
      </c>
      <c r="F33" s="12">
        <v>0</v>
      </c>
      <c r="G33" s="12">
        <v>0</v>
      </c>
      <c r="H33" s="12">
        <v>0</v>
      </c>
      <c r="I33" s="12">
        <v>0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2">
        <v>25837.730524666658</v>
      </c>
      <c r="Y33" s="12">
        <v>25837.730524666658</v>
      </c>
      <c r="Z33" s="12">
        <v>25837.730524666658</v>
      </c>
      <c r="AA33" s="12">
        <v>25837.730524666658</v>
      </c>
      <c r="AB33" s="12">
        <v>25837.730524666658</v>
      </c>
      <c r="AC33" s="12">
        <v>25837.730524666658</v>
      </c>
      <c r="AD33" s="12">
        <v>25837.730524666658</v>
      </c>
      <c r="AE33" s="12">
        <v>25837.730524666658</v>
      </c>
      <c r="AF33" s="12">
        <v>25837.730524666658</v>
      </c>
      <c r="AG33" s="12">
        <v>25837.730524666658</v>
      </c>
      <c r="AH33" s="12">
        <v>25837.730524666658</v>
      </c>
      <c r="AI33" s="12">
        <v>25837.730524666658</v>
      </c>
      <c r="AJ33" s="12">
        <v>25837.730524666658</v>
      </c>
      <c r="AK33" s="12">
        <v>25837.730524666658</v>
      </c>
      <c r="AL33" s="12">
        <v>25837.730524666658</v>
      </c>
      <c r="AM33" s="12">
        <v>25837.730524666658</v>
      </c>
      <c r="AN33" s="12">
        <v>25837.730524666658</v>
      </c>
    </row>
    <row r="34" spans="2:40" x14ac:dyDescent="0.25">
      <c r="B34" s="39" t="str">
        <f>Base!B39</f>
        <v>Quinary Direct Staff - Service A</v>
      </c>
      <c r="C34" s="4"/>
      <c r="E34" s="183" cm="1">
        <f t="array" ref="E34:AN34">_xlfn.LET(_xlpm.site,$B$1&amp;"-"&amp;$C$1,_xlpm.locations,Base!$D$4:$BD$4,_xlpm.rates,Base!$D39:$BD39,_xlpm.hours,Base!$D82:$BD82,_xlpm.comp,_xlpm.rates*_xlpm.hours,_xlpm.Customer,_xlfn.ANCHORARRAY($E$1)*0,
_xlpm.Customer_comp,_xlfn.XLOOKUP(_xlpm.site,_xlpm.locations,_xlpm.comp,0,0),_xlpm.ann_incr,_xlfn.XLOOKUP(YEAR(_xlfn.ANCHORARRAY($E$25)),Base!$BJ$4:$BL$4,Base!$BJ82:$BL82,0,0),
_xlpm.bad_debt,_xlfn.XLOOKUP(_xlpm.site,_xlpm.locations,Base!$D$28:$BD$28,0,0),_xlpm.Customer_comp*_xlpm.Customer*_xlpm.bad_debt*_xlpm.ann_incr*(52/12))</f>
        <v>0</v>
      </c>
      <c r="F34" s="183">
        <v>0</v>
      </c>
      <c r="G34" s="183">
        <v>0</v>
      </c>
      <c r="H34" s="183">
        <v>0</v>
      </c>
      <c r="I34" s="183">
        <v>0</v>
      </c>
      <c r="J34" s="183">
        <v>0</v>
      </c>
      <c r="K34" s="183">
        <v>0</v>
      </c>
      <c r="L34" s="183">
        <v>0</v>
      </c>
      <c r="M34" s="183">
        <v>0</v>
      </c>
      <c r="N34" s="183">
        <v>0</v>
      </c>
      <c r="O34" s="183">
        <v>0</v>
      </c>
      <c r="P34" s="183">
        <v>0</v>
      </c>
      <c r="Q34" s="183">
        <v>0</v>
      </c>
      <c r="R34" s="183">
        <v>0</v>
      </c>
      <c r="S34" s="183">
        <v>0</v>
      </c>
      <c r="T34" s="183">
        <v>0</v>
      </c>
      <c r="U34" s="183">
        <v>0</v>
      </c>
      <c r="V34" s="183">
        <v>0</v>
      </c>
      <c r="W34" s="183">
        <v>0</v>
      </c>
      <c r="X34" s="183">
        <v>0</v>
      </c>
      <c r="Y34" s="183">
        <v>0</v>
      </c>
      <c r="Z34" s="183">
        <v>0</v>
      </c>
      <c r="AA34" s="183">
        <v>0</v>
      </c>
      <c r="AB34" s="183">
        <v>0</v>
      </c>
      <c r="AC34" s="183">
        <v>0</v>
      </c>
      <c r="AD34" s="183">
        <v>0</v>
      </c>
      <c r="AE34" s="183">
        <v>0</v>
      </c>
      <c r="AF34" s="183">
        <v>0</v>
      </c>
      <c r="AG34" s="183">
        <v>0</v>
      </c>
      <c r="AH34" s="183">
        <v>0</v>
      </c>
      <c r="AI34" s="183">
        <v>0</v>
      </c>
      <c r="AJ34" s="183">
        <v>0</v>
      </c>
      <c r="AK34" s="183">
        <v>0</v>
      </c>
      <c r="AL34" s="183">
        <v>0</v>
      </c>
      <c r="AM34" s="183">
        <v>0</v>
      </c>
      <c r="AN34" s="183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0</v>
      </c>
      <c r="F35" s="12">
        <v>0</v>
      </c>
      <c r="G35" s="12">
        <v>0</v>
      </c>
      <c r="H35" s="12">
        <v>0</v>
      </c>
      <c r="I35" s="12">
        <v>0</v>
      </c>
      <c r="J35" s="12">
        <v>0</v>
      </c>
      <c r="K35" s="12">
        <v>0</v>
      </c>
      <c r="L35" s="12">
        <v>0</v>
      </c>
      <c r="M35" s="12">
        <v>0</v>
      </c>
      <c r="N35" s="12">
        <v>0</v>
      </c>
      <c r="O35" s="12">
        <v>0</v>
      </c>
      <c r="P35" s="12">
        <v>0</v>
      </c>
      <c r="Q35" s="12">
        <v>0</v>
      </c>
      <c r="R35" s="12">
        <v>0</v>
      </c>
      <c r="S35" s="12">
        <v>0</v>
      </c>
      <c r="T35" s="12">
        <v>0</v>
      </c>
      <c r="U35" s="12">
        <v>0</v>
      </c>
      <c r="V35" s="12">
        <v>0</v>
      </c>
      <c r="W35" s="12">
        <v>0</v>
      </c>
      <c r="X35" s="12">
        <v>-5684.4774364543991</v>
      </c>
      <c r="Y35" s="12">
        <v>-9560.4020966959979</v>
      </c>
      <c r="Z35" s="12">
        <v>-13436.3267569376</v>
      </c>
      <c r="AA35" s="12">
        <v>-17312.251417179199</v>
      </c>
      <c r="AB35" s="12">
        <v>-21188.176077420801</v>
      </c>
      <c r="AC35" s="12">
        <v>-25064.1007376624</v>
      </c>
      <c r="AD35" s="12">
        <v>-28940.025397903999</v>
      </c>
      <c r="AE35" s="12">
        <v>-31523.975171398397</v>
      </c>
      <c r="AF35" s="12">
        <v>-35399.899831639996</v>
      </c>
      <c r="AG35" s="12">
        <v>-39275.824491881605</v>
      </c>
      <c r="AH35" s="12">
        <v>-43151.7491521232</v>
      </c>
      <c r="AI35" s="12">
        <v>-47027.673812364803</v>
      </c>
      <c r="AJ35" s="12">
        <v>-50903.598472606398</v>
      </c>
      <c r="AK35" s="12">
        <v>-54779.523132848</v>
      </c>
      <c r="AL35" s="12">
        <v>-54779.523132848</v>
      </c>
      <c r="AM35" s="12">
        <v>-54779.523132848</v>
      </c>
      <c r="AN35" s="12">
        <v>-54779.523132848</v>
      </c>
    </row>
    <row r="36" spans="2:40" x14ac:dyDescent="0.25">
      <c r="B36" s="39" t="s">
        <v>261</v>
      </c>
      <c r="C36" s="15"/>
      <c r="E36" s="183" cm="1">
        <f t="array" ref="E36:AN36">_xlfn.BYCOL(_xlfn.ANCHORARRAY($E$25),_xlfn.LAMBDA(_xlpm.a,0))</f>
        <v>0</v>
      </c>
      <c r="F36" s="183">
        <v>0</v>
      </c>
      <c r="G36" s="183">
        <v>0</v>
      </c>
      <c r="H36" s="183">
        <v>0</v>
      </c>
      <c r="I36" s="183">
        <v>0</v>
      </c>
      <c r="J36" s="183">
        <v>0</v>
      </c>
      <c r="K36" s="183">
        <v>0</v>
      </c>
      <c r="L36" s="183">
        <v>0</v>
      </c>
      <c r="M36" s="183">
        <v>0</v>
      </c>
      <c r="N36" s="183">
        <v>0</v>
      </c>
      <c r="O36" s="183">
        <v>0</v>
      </c>
      <c r="P36" s="183">
        <v>0</v>
      </c>
      <c r="Q36" s="183">
        <v>0</v>
      </c>
      <c r="R36" s="183">
        <v>0</v>
      </c>
      <c r="S36" s="183">
        <v>0</v>
      </c>
      <c r="T36" s="183">
        <v>0</v>
      </c>
      <c r="U36" s="183">
        <v>0</v>
      </c>
      <c r="V36" s="183">
        <v>0</v>
      </c>
      <c r="W36" s="183">
        <v>0</v>
      </c>
      <c r="X36" s="183">
        <v>0</v>
      </c>
      <c r="Y36" s="183">
        <v>0</v>
      </c>
      <c r="Z36" s="183">
        <v>0</v>
      </c>
      <c r="AA36" s="183">
        <v>0</v>
      </c>
      <c r="AB36" s="183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271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0</v>
      </c>
      <c r="S37" s="13">
        <v>0</v>
      </c>
      <c r="T37" s="13">
        <v>0</v>
      </c>
      <c r="U37" s="13">
        <v>0</v>
      </c>
      <c r="V37" s="13">
        <v>0</v>
      </c>
      <c r="W37" s="13">
        <v>0</v>
      </c>
      <c r="X37" s="13">
        <v>40653.623619012258</v>
      </c>
      <c r="Y37" s="13">
        <v>67528.254754970665</v>
      </c>
      <c r="Z37" s="13">
        <v>94402.885890929057</v>
      </c>
      <c r="AA37" s="13">
        <v>121277.51702688746</v>
      </c>
      <c r="AB37" s="13">
        <v>148152.14816284587</v>
      </c>
      <c r="AC37" s="13">
        <v>175026.77929880426</v>
      </c>
      <c r="AD37" s="13">
        <v>201901.41043476266</v>
      </c>
      <c r="AE37" s="13">
        <v>219817.83119206826</v>
      </c>
      <c r="AF37" s="13">
        <v>246692.46232802665</v>
      </c>
      <c r="AG37" s="13">
        <v>273567.09346398507</v>
      </c>
      <c r="AH37" s="13">
        <v>300441.7245999435</v>
      </c>
      <c r="AI37" s="13">
        <v>327316.35573590186</v>
      </c>
      <c r="AJ37" s="13">
        <v>354190.98687186028</v>
      </c>
      <c r="AK37" s="13">
        <v>381065.6180078187</v>
      </c>
      <c r="AL37" s="13">
        <v>381065.6180078187</v>
      </c>
      <c r="AM37" s="13">
        <v>381065.6180078187</v>
      </c>
      <c r="AN37" s="13">
        <v>381065.6180078187</v>
      </c>
    </row>
    <row r="38" spans="2:40" x14ac:dyDescent="0.25">
      <c r="E38" s="67"/>
      <c r="F38" s="67"/>
    </row>
    <row r="39" spans="2:40" x14ac:dyDescent="0.25">
      <c r="B39" s="1" t="s">
        <v>118</v>
      </c>
    </row>
    <row r="40" spans="2:40" x14ac:dyDescent="0.25">
      <c r="B40" s="39" t="s">
        <v>23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0</v>
      </c>
      <c r="F40" s="12">
        <v>0</v>
      </c>
      <c r="G40" s="12">
        <v>0</v>
      </c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0</v>
      </c>
      <c r="N40" s="12">
        <v>0</v>
      </c>
      <c r="O40" s="12">
        <v>0</v>
      </c>
      <c r="P40" s="12">
        <v>0</v>
      </c>
      <c r="Q40" s="12">
        <v>0</v>
      </c>
      <c r="R40" s="12">
        <v>0</v>
      </c>
      <c r="S40" s="12">
        <v>0</v>
      </c>
      <c r="T40" s="12">
        <v>0</v>
      </c>
      <c r="U40" s="12">
        <v>0</v>
      </c>
      <c r="V40" s="12">
        <v>0</v>
      </c>
      <c r="W40" s="12">
        <v>0</v>
      </c>
      <c r="X40" s="12">
        <v>37345.562606491301</v>
      </c>
      <c r="Y40" s="12">
        <v>65078.216922894928</v>
      </c>
      <c r="Z40" s="12">
        <v>82977.436785965197</v>
      </c>
      <c r="AA40" s="12">
        <v>100588.2934090355</v>
      </c>
      <c r="AB40" s="12">
        <v>118223.28344543913</v>
      </c>
      <c r="AC40" s="12">
        <v>149442.34633002701</v>
      </c>
      <c r="AD40" s="12">
        <v>168878.61560340435</v>
      </c>
      <c r="AE40" s="12">
        <v>182025.56922521145</v>
      </c>
      <c r="AF40" s="12">
        <v>201472.01927725543</v>
      </c>
      <c r="AG40" s="12">
        <v>221024.08087196611</v>
      </c>
      <c r="AH40" s="12">
        <v>240420.81541201012</v>
      </c>
      <c r="AI40" s="12">
        <v>259931.59245205406</v>
      </c>
      <c r="AJ40" s="12">
        <v>279303.53473743139</v>
      </c>
      <c r="AK40" s="12">
        <v>293425.27379347541</v>
      </c>
      <c r="AL40" s="12">
        <v>293732.29725747538</v>
      </c>
      <c r="AM40" s="12">
        <v>294089.03623347537</v>
      </c>
      <c r="AN40" s="12">
        <v>294396.0596974754</v>
      </c>
    </row>
    <row r="41" spans="2:40" x14ac:dyDescent="0.25">
      <c r="B41" s="39" t="s">
        <v>388</v>
      </c>
      <c r="C41" s="142">
        <f>_xlfn.XLOOKUP($B$1&amp;"-"&amp;$C$1,Base!$D$4:$BD$4,Base!$D$12:$BD$12,0,0)</f>
        <v>0</v>
      </c>
      <c r="E41" s="183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28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14721.141100000001</v>
      </c>
      <c r="Y42" s="12">
        <v>14721.141100000001</v>
      </c>
      <c r="Z42" s="12">
        <v>14721.141100000001</v>
      </c>
      <c r="AA42" s="12">
        <v>14721.141100000001</v>
      </c>
      <c r="AB42" s="12">
        <v>14721.141100000001</v>
      </c>
      <c r="AC42" s="12">
        <v>15162.775333</v>
      </c>
      <c r="AD42" s="12">
        <v>15162.775333</v>
      </c>
      <c r="AE42" s="12">
        <v>15162.775333</v>
      </c>
      <c r="AF42" s="12">
        <v>15162.775333</v>
      </c>
      <c r="AG42" s="12">
        <v>15162.775333</v>
      </c>
      <c r="AH42" s="12">
        <v>15162.775333</v>
      </c>
      <c r="AI42" s="12">
        <v>15162.775333</v>
      </c>
      <c r="AJ42" s="12">
        <v>15162.775333</v>
      </c>
      <c r="AK42" s="12">
        <v>15162.775333</v>
      </c>
      <c r="AL42" s="12">
        <v>15162.775333</v>
      </c>
      <c r="AM42" s="12">
        <v>15162.775333</v>
      </c>
      <c r="AN42" s="12">
        <v>15162.775333</v>
      </c>
    </row>
    <row r="43" spans="2:40" x14ac:dyDescent="0.25">
      <c r="B43" s="39" t="s">
        <v>31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0</v>
      </c>
      <c r="X43" s="12">
        <v>5928</v>
      </c>
      <c r="Y43" s="12">
        <v>5928</v>
      </c>
      <c r="Z43" s="12">
        <v>5928</v>
      </c>
      <c r="AA43" s="12">
        <v>5928</v>
      </c>
      <c r="AB43" s="12">
        <v>5928</v>
      </c>
      <c r="AC43" s="12">
        <v>6165.1200000000008</v>
      </c>
      <c r="AD43" s="12">
        <v>6165.1200000000008</v>
      </c>
      <c r="AE43" s="12">
        <v>6165.1200000000008</v>
      </c>
      <c r="AF43" s="12">
        <v>6165.1200000000008</v>
      </c>
      <c r="AG43" s="12">
        <v>6165.1200000000008</v>
      </c>
      <c r="AH43" s="12">
        <v>6165.1200000000008</v>
      </c>
      <c r="AI43" s="12">
        <v>6165.1200000000008</v>
      </c>
      <c r="AJ43" s="12">
        <v>6165.1200000000008</v>
      </c>
      <c r="AK43" s="12">
        <v>6165.1200000000008</v>
      </c>
      <c r="AL43" s="12">
        <v>6165.1200000000008</v>
      </c>
      <c r="AM43" s="12">
        <v>6165.1200000000008</v>
      </c>
      <c r="AN43" s="12">
        <v>6165.1200000000008</v>
      </c>
    </row>
    <row r="44" spans="2:40" x14ac:dyDescent="0.25">
      <c r="B44" s="39" t="s">
        <v>34</v>
      </c>
      <c r="C44" s="96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  <c r="O44" s="12">
        <v>0</v>
      </c>
      <c r="P44" s="12">
        <v>0</v>
      </c>
      <c r="Q44" s="12">
        <v>0</v>
      </c>
      <c r="R44" s="12">
        <v>0</v>
      </c>
      <c r="S44" s="12">
        <v>0</v>
      </c>
      <c r="T44" s="12">
        <v>0</v>
      </c>
      <c r="U44" s="12">
        <v>0</v>
      </c>
      <c r="V44" s="12">
        <v>0</v>
      </c>
      <c r="W44" s="12">
        <v>0</v>
      </c>
      <c r="X44" s="12">
        <v>371.442656</v>
      </c>
      <c r="Y44" s="12">
        <v>977.66510400000016</v>
      </c>
      <c r="Z44" s="12">
        <v>1019.7152160000001</v>
      </c>
      <c r="AA44" s="12">
        <v>1047.7486239999998</v>
      </c>
      <c r="AB44" s="12">
        <v>1082.7903840000001</v>
      </c>
      <c r="AC44" s="12">
        <v>1158.90108672</v>
      </c>
      <c r="AD44" s="12">
        <v>1191.7001740800001</v>
      </c>
      <c r="AE44" s="12">
        <v>1220.8549184000001</v>
      </c>
      <c r="AF44" s="12">
        <v>1253.6540057600002</v>
      </c>
      <c r="AG44" s="12">
        <v>1293.7417792000001</v>
      </c>
      <c r="AH44" s="12">
        <v>1326.54086656</v>
      </c>
      <c r="AI44" s="12">
        <v>1362.9842969600004</v>
      </c>
      <c r="AJ44" s="12">
        <v>1392.1390412800001</v>
      </c>
      <c r="AK44" s="12">
        <v>1188.0558310400002</v>
      </c>
      <c r="AL44" s="12">
        <v>1202.6332032000003</v>
      </c>
      <c r="AM44" s="12">
        <v>1217.2105753600003</v>
      </c>
      <c r="AN44" s="12">
        <v>1231.7879475200002</v>
      </c>
    </row>
    <row r="45" spans="2:40" x14ac:dyDescent="0.25">
      <c r="B45" s="39" t="s">
        <v>36</v>
      </c>
      <c r="C45" s="96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0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12">
        <v>0</v>
      </c>
      <c r="R45" s="12">
        <v>0</v>
      </c>
      <c r="S45" s="12">
        <v>0</v>
      </c>
      <c r="T45" s="12">
        <v>0</v>
      </c>
      <c r="U45" s="12">
        <v>0</v>
      </c>
      <c r="V45" s="12">
        <v>0</v>
      </c>
      <c r="W45" s="12">
        <v>0</v>
      </c>
      <c r="X45" s="12">
        <v>4335</v>
      </c>
      <c r="Y45" s="12">
        <v>4335</v>
      </c>
      <c r="Z45" s="12">
        <v>4335</v>
      </c>
      <c r="AA45" s="12">
        <v>4335</v>
      </c>
      <c r="AB45" s="12">
        <v>4335</v>
      </c>
      <c r="AC45" s="12">
        <v>4421.7</v>
      </c>
      <c r="AD45" s="12">
        <v>4421.7</v>
      </c>
      <c r="AE45" s="12">
        <v>4421.7</v>
      </c>
      <c r="AF45" s="12">
        <v>4421.7</v>
      </c>
      <c r="AG45" s="12">
        <v>4421.7</v>
      </c>
      <c r="AH45" s="12">
        <v>4421.7</v>
      </c>
      <c r="AI45" s="12">
        <v>4421.7</v>
      </c>
      <c r="AJ45" s="12">
        <v>4421.7</v>
      </c>
      <c r="AK45" s="12">
        <v>4421.7</v>
      </c>
      <c r="AL45" s="12">
        <v>4421.7</v>
      </c>
      <c r="AM45" s="12">
        <v>4421.7</v>
      </c>
      <c r="AN45" s="12">
        <v>4421.7</v>
      </c>
    </row>
    <row r="46" spans="2:40" x14ac:dyDescent="0.25">
      <c r="B46" s="39" t="s">
        <v>38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0</v>
      </c>
      <c r="F46" s="12">
        <v>0</v>
      </c>
      <c r="G46" s="12">
        <v>0</v>
      </c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0</v>
      </c>
      <c r="N46" s="12">
        <v>0</v>
      </c>
      <c r="O46" s="12">
        <v>0</v>
      </c>
      <c r="P46" s="12">
        <v>0</v>
      </c>
      <c r="Q46" s="12">
        <v>0</v>
      </c>
      <c r="R46" s="12">
        <v>0</v>
      </c>
      <c r="S46" s="12">
        <v>0</v>
      </c>
      <c r="T46" s="12">
        <v>0</v>
      </c>
      <c r="U46" s="12">
        <v>0</v>
      </c>
      <c r="V46" s="12">
        <v>0</v>
      </c>
      <c r="W46" s="12">
        <v>0</v>
      </c>
      <c r="X46" s="12">
        <v>2723.3999999999996</v>
      </c>
      <c r="Y46" s="12">
        <v>4069.8</v>
      </c>
      <c r="Z46" s="12">
        <v>5005.6499999999996</v>
      </c>
      <c r="AA46" s="12">
        <v>5933.85</v>
      </c>
      <c r="AB46" s="12">
        <v>6862.0499999999993</v>
      </c>
      <c r="AC46" s="12">
        <v>7946.0550000000003</v>
      </c>
      <c r="AD46" s="12">
        <v>8895.42</v>
      </c>
      <c r="AE46" s="12">
        <v>9532.6649999999991</v>
      </c>
      <c r="AF46" s="12">
        <v>10479.429</v>
      </c>
      <c r="AG46" s="12">
        <v>11431.395</v>
      </c>
      <c r="AH46" s="12">
        <v>12378.159000000003</v>
      </c>
      <c r="AI46" s="12">
        <v>13327.523999999999</v>
      </c>
      <c r="AJ46" s="12">
        <v>14274.288</v>
      </c>
      <c r="AK46" s="12">
        <v>15051.986999999997</v>
      </c>
      <c r="AL46" s="12">
        <v>15062.391</v>
      </c>
      <c r="AM46" s="12">
        <v>15072.794999999998</v>
      </c>
      <c r="AN46" s="12">
        <v>15083.198999999999</v>
      </c>
    </row>
    <row r="47" spans="2:40" x14ac:dyDescent="0.25">
      <c r="B47" s="39" t="s">
        <v>40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  <c r="O47" s="12">
        <v>0</v>
      </c>
      <c r="P47" s="12">
        <v>0</v>
      </c>
      <c r="Q47" s="12">
        <v>0</v>
      </c>
      <c r="R47" s="12">
        <v>0</v>
      </c>
      <c r="S47" s="12">
        <v>0</v>
      </c>
      <c r="T47" s="12">
        <v>0</v>
      </c>
      <c r="U47" s="12">
        <v>0</v>
      </c>
      <c r="V47" s="12">
        <v>0</v>
      </c>
      <c r="W47" s="12">
        <v>0</v>
      </c>
      <c r="X47" s="12">
        <v>6037.5</v>
      </c>
      <c r="Y47" s="12">
        <v>6037.5</v>
      </c>
      <c r="Z47" s="12">
        <v>6037.5</v>
      </c>
      <c r="AA47" s="12">
        <v>6037.5</v>
      </c>
      <c r="AB47" s="12">
        <v>6037.5</v>
      </c>
      <c r="AC47" s="12">
        <v>6339.375</v>
      </c>
      <c r="AD47" s="12">
        <v>6339.375</v>
      </c>
      <c r="AE47" s="12">
        <v>6339.375</v>
      </c>
      <c r="AF47" s="12">
        <v>6339.375</v>
      </c>
      <c r="AG47" s="12">
        <v>6339.375</v>
      </c>
      <c r="AH47" s="12">
        <v>6339.375</v>
      </c>
      <c r="AI47" s="12">
        <v>6339.375</v>
      </c>
      <c r="AJ47" s="12">
        <v>6339.375</v>
      </c>
      <c r="AK47" s="12">
        <v>6339.375</v>
      </c>
      <c r="AL47" s="12">
        <v>6339.375</v>
      </c>
      <c r="AM47" s="12">
        <v>6339.375</v>
      </c>
      <c r="AN47" s="12">
        <v>6339.375</v>
      </c>
    </row>
    <row r="48" spans="2:40" x14ac:dyDescent="0.25">
      <c r="B48" s="39" t="s">
        <v>41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126877.11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42</v>
      </c>
      <c r="E49" s="12">
        <f>'Corp.'!E$50*(E$37-(E31-E32-E34)*$C$35)/(SUM('MDA1:NCA9'!E$37)-SUM('MDA1:NCA9'!E$31)-SUM('MDA1:NCA9'!E$32)-SUM('MDA1:NCA9'!E$34))</f>
        <v>0</v>
      </c>
      <c r="F49" s="12">
        <f>'Corp.'!F$50*(F$37-(F31-F32-F34)*$C$35)/(SUM('MDA1:NCA9'!F$37)-SUM('MDA1:NCA9'!F$31)-SUM('MDA1:NCA9'!F$32)-SUM('MDA1:NCA9'!F$34))</f>
        <v>0</v>
      </c>
      <c r="G49" s="12">
        <f>'Corp.'!G$50*(G$37-(G31-G32-G34)*$C$35)/(SUM('MDA1:NCA9'!G$37)-SUM('MDA1:NCA9'!G$31)-SUM('MDA1:NCA9'!G$32)-SUM('MDA1:NCA9'!G$34))</f>
        <v>0</v>
      </c>
      <c r="H49" s="12">
        <f>'Corp.'!H$50*(H$37-(H31-H32-H34)*$C$35)/(SUM('MDA1:NCA9'!H$37)-SUM('MDA1:NCA9'!H$31)-SUM('MDA1:NCA9'!H$32)-SUM('MDA1:NCA9'!H$34))</f>
        <v>0</v>
      </c>
      <c r="I49" s="12">
        <f>'Corp.'!I$50*(I$37-(I31-I32-I34)*$C$35)/(SUM('MDA1:NCA9'!I$37)-SUM('MDA1:NCA9'!I$31)-SUM('MDA1:NCA9'!I$32)-SUM('MDA1:NCA9'!I$34))</f>
        <v>0</v>
      </c>
      <c r="J49" s="12">
        <f>'Corp.'!J$50*(J$37-(J31-J32-J34)*$C$35)/(SUM('MDA1:NCA9'!J$37)-SUM('MDA1:NCA9'!J$31)-SUM('MDA1:NCA9'!J$32)-SUM('MDA1:NCA9'!J$34))</f>
        <v>0</v>
      </c>
      <c r="K49" s="12">
        <f>'Corp.'!K$50*(K$37-(K31-K32-K34)*$C$35)/(SUM('MDA1:NCA9'!K$37)-SUM('MDA1:NCA9'!K$31)-SUM('MDA1:NCA9'!K$32)-SUM('MDA1:NCA9'!K$34))</f>
        <v>0</v>
      </c>
      <c r="L49" s="12">
        <f>'Corp.'!L$50*(L$37-(L31-L32-L34)*$C$35)/(SUM('MDA1:NCA9'!L$37)-SUM('MDA1:NCA9'!L$31)-SUM('MDA1:NCA9'!L$32)-SUM('MDA1:NCA9'!L$34))</f>
        <v>0</v>
      </c>
      <c r="M49" s="12">
        <f>'Corp.'!M$50*(M$37-(M31-M32-M34)*$C$35)/(SUM('MDA1:NCA9'!M$37)-SUM('MDA1:NCA9'!M$31)-SUM('MDA1:NCA9'!M$32)-SUM('MDA1:NCA9'!M$34))</f>
        <v>0</v>
      </c>
      <c r="N49" s="12">
        <f>'Corp.'!N$50*(N$37-(N31-N32-N34)*$C$35)/(SUM('MDA1:NCA9'!N$37)-SUM('MDA1:NCA9'!N$31)-SUM('MDA1:NCA9'!N$32)-SUM('MDA1:NCA9'!N$34))</f>
        <v>0</v>
      </c>
      <c r="O49" s="12">
        <f>'Corp.'!O$50*(O$37-(O31-O32-O34)*$C$35)/(SUM('MDA1:NCA9'!O$37)-SUM('MDA1:NCA9'!O$31)-SUM('MDA1:NCA9'!O$32)-SUM('MDA1:NCA9'!O$34))</f>
        <v>0</v>
      </c>
      <c r="P49" s="12">
        <f>'Corp.'!P$50*(P$37-(P31-P32-P34)*$C$35)/(SUM('MDA1:NCA9'!P$37)-SUM('MDA1:NCA9'!P$31)-SUM('MDA1:NCA9'!P$32)-SUM('MDA1:NCA9'!P$34))</f>
        <v>0</v>
      </c>
      <c r="Q49" s="12">
        <f>'Corp.'!Q$50*(Q$37-(Q31-Q32-Q34)*$C$35)/(SUM('MDA1:NCA9'!Q$37)-SUM('MDA1:NCA9'!Q$31)-SUM('MDA1:NCA9'!Q$32)-SUM('MDA1:NCA9'!Q$34))</f>
        <v>0</v>
      </c>
      <c r="R49" s="12">
        <f>'Corp.'!R$50*(R$37-(R31-R32-R34)*$C$35)/(SUM('MDA1:NCA9'!R$37)-SUM('MDA1:NCA9'!R$31)-SUM('MDA1:NCA9'!R$32)-SUM('MDA1:NCA9'!R$34))</f>
        <v>0</v>
      </c>
      <c r="S49" s="12">
        <f>'Corp.'!S$50*(S$37-(S31-S32-S34)*$C$35)/(SUM('MDA1:NCA9'!S$37)-SUM('MDA1:NCA9'!S$31)-SUM('MDA1:NCA9'!S$32)-SUM('MDA1:NCA9'!S$34))</f>
        <v>0</v>
      </c>
      <c r="T49" s="12">
        <f>'Corp.'!T$50*(T$37-(T31-T32-T34)*$C$35)/(SUM('MDA1:NCA9'!T$37)-SUM('MDA1:NCA9'!T$31)-SUM('MDA1:NCA9'!T$32)-SUM('MDA1:NCA9'!T$34))</f>
        <v>0</v>
      </c>
      <c r="U49" s="12">
        <f>'Corp.'!U$50*(U$37-(U31-U32-U34)*$C$35)/(SUM('MDA1:NCA9'!U$37)-SUM('MDA1:NCA9'!U$31)-SUM('MDA1:NCA9'!U$32)-SUM('MDA1:NCA9'!U$34))</f>
        <v>0</v>
      </c>
      <c r="V49" s="12">
        <f>'Corp.'!V$50*(V$37-(V31-V32-V34)*$C$35)/(SUM('MDA1:NCA9'!V$37)-SUM('MDA1:NCA9'!V$31)-SUM('MDA1:NCA9'!V$32)-SUM('MDA1:NCA9'!V$34))</f>
        <v>0</v>
      </c>
      <c r="W49" s="12">
        <f>'Corp.'!W$50*(W$37-(W31-W32-W34)*$C$35)/(SUM('MDA1:NCA9'!W$37)-SUM('MDA1:NCA9'!W$31)-SUM('MDA1:NCA9'!W$32)-SUM('MDA1:NCA9'!W$34))</f>
        <v>0</v>
      </c>
      <c r="X49" s="12">
        <f>'Corp.'!X$50*(X$37-(X31-X32-X34)*$C$35)/(SUM('MDA1:NCA9'!X$37)-SUM('MDA1:NCA9'!X$31)-SUM('MDA1:NCA9'!X$32)-SUM('MDA1:NCA9'!X$34))</f>
        <v>4970.1064882793307</v>
      </c>
      <c r="Y49" s="12">
        <f>'Corp.'!Y$50*(Y$37-(Y31-Y32-Y34)*$C$35)/(SUM('MDA1:NCA9'!Y$37)-SUM('MDA1:NCA9'!Y$31)-SUM('MDA1:NCA9'!Y$32)-SUM('MDA1:NCA9'!Y$34))</f>
        <v>8080.7550905322742</v>
      </c>
      <c r="Z49" s="12">
        <f>'Corp.'!Z$50*(Z$37-(Z31-Z32-Z34)*$C$35)/(SUM('MDA1:NCA9'!Z$37)-SUM('MDA1:NCA9'!Z$31)-SUM('MDA1:NCA9'!Z$32)-SUM('MDA1:NCA9'!Z$34))</f>
        <v>11051.365180951601</v>
      </c>
      <c r="AA49" s="12">
        <f>'Corp.'!AA$50*(AA$37-(AA31-AA32-AA34)*$C$35)/(SUM('MDA1:NCA9'!AA$37)-SUM('MDA1:NCA9'!AA$31)-SUM('MDA1:NCA9'!AA$32)-SUM('MDA1:NCA9'!AA$34))</f>
        <v>13872.868345121255</v>
      </c>
      <c r="AB49" s="12">
        <f>'Corp.'!AB$50*(AB$37-(AB31-AB32-AB34)*$C$35)/(SUM('MDA1:NCA9'!AB$37)-SUM('MDA1:NCA9'!AB$31)-SUM('MDA1:NCA9'!AB$32)-SUM('MDA1:NCA9'!AB$34))</f>
        <v>16562.446576425929</v>
      </c>
      <c r="AC49" s="12">
        <f>'Corp.'!AC$50*(AC$37-(AC31-AC32-AC34)*$C$35)/(SUM('MDA1:NCA9'!AC$37)-SUM('MDA1:NCA9'!AC$31)-SUM('MDA1:NCA9'!AC$32)-SUM('MDA1:NCA9'!AC$34))</f>
        <v>21000.074492267388</v>
      </c>
      <c r="AD49" s="12">
        <f>'Corp.'!AD$50*(AD$37-(AD31-AD32-AD34)*$C$35)/(SUM('MDA1:NCA9'!AD$37)-SUM('MDA1:NCA9'!AD$31)-SUM('MDA1:NCA9'!AD$32)-SUM('MDA1:NCA9'!AD$34))</f>
        <v>23826.585478090652</v>
      </c>
      <c r="AE49" s="12">
        <f>'Corp.'!AE$50*(AE$37-(AE31-AE32-AE34)*$C$35)/(SUM('MDA1:NCA9'!AE$37)-SUM('MDA1:NCA9'!AE$31)-SUM('MDA1:NCA9'!AE$32)-SUM('MDA1:NCA9'!AE$34))</f>
        <v>25532.380493427911</v>
      </c>
      <c r="AF49" s="12">
        <f>'Corp.'!AF$50*(AF$37-(AF31-AF32-AF34)*$C$35)/(SUM('MDA1:NCA9'!AF$37)-SUM('MDA1:NCA9'!AF$31)-SUM('MDA1:NCA9'!AF$32)-SUM('MDA1:NCA9'!AF$34))</f>
        <v>28224.31745625849</v>
      </c>
      <c r="AG49" s="12">
        <f>'Corp.'!AG$50*(AG$37-(AG31-AG32-AG34)*$C$35)/(SUM('MDA1:NCA9'!AG$37)-SUM('MDA1:NCA9'!AG$31)-SUM('MDA1:NCA9'!AG$32)-SUM('MDA1:NCA9'!AG$34))</f>
        <v>30917.002831110152</v>
      </c>
      <c r="AH49" s="12">
        <f>'Corp.'!AH$50*(AH$37-(AH31-AH32-AH34)*$C$35)/(SUM('MDA1:NCA9'!AH$37)-SUM('MDA1:NCA9'!AH$31)-SUM('MDA1:NCA9'!AH$32)-SUM('MDA1:NCA9'!AH$34))</f>
        <v>33402.290812071056</v>
      </c>
      <c r="AI49" s="12">
        <f>'Corp.'!AI$50*(AI$37-(AI31-AI32-AI34)*$C$35)/(SUM('MDA1:NCA9'!AI$37)-SUM('MDA1:NCA9'!AI$31)-SUM('MDA1:NCA9'!AI$32)-SUM('MDA1:NCA9'!AI$34))</f>
        <v>35763.512997748039</v>
      </c>
      <c r="AJ49" s="12">
        <f>'Corp.'!AJ$50*(AJ$37-(AJ31-AJ32-AJ34)*$C$35)/(SUM('MDA1:NCA9'!AJ$37)-SUM('MDA1:NCA9'!AJ$31)-SUM('MDA1:NCA9'!AJ$32)-SUM('MDA1:NCA9'!AJ$34))</f>
        <v>38005.179345269848</v>
      </c>
      <c r="AK49" s="12">
        <f>'Corp.'!AK$50*(AK$37-(AK31-AK32-AK34)*$C$35)/(SUM('MDA1:NCA9'!AK$37)-SUM('MDA1:NCA9'!AK$31)-SUM('MDA1:NCA9'!AK$32)-SUM('MDA1:NCA9'!AK$34))</f>
        <v>40198.691079363569</v>
      </c>
      <c r="AL49" s="12">
        <f>'Corp.'!AL$50*(AL$37-(AL31-AL32-AL34)*$C$35)/(SUM('MDA1:NCA9'!AL$37)-SUM('MDA1:NCA9'!AL$31)-SUM('MDA1:NCA9'!AL$32)-SUM('MDA1:NCA9'!AL$34))</f>
        <v>39565.346331242843</v>
      </c>
      <c r="AM49" s="12">
        <f>'Corp.'!AM$50*(AM$37-(AM31-AM32-AM34)*$C$35)/(SUM('MDA1:NCA9'!AM$37)-SUM('MDA1:NCA9'!AM$31)-SUM('MDA1:NCA9'!AM$32)-SUM('MDA1:NCA9'!AM$34))</f>
        <v>38883.265613671414</v>
      </c>
      <c r="AN49" s="12">
        <f>'Corp.'!AN$50*(AN$37-(AN31-AN32-AN34)*$C$35)/(SUM('MDA1:NCA9'!AN$37)-SUM('MDA1:NCA9'!AN$31)-SUM('MDA1:NCA9'!AN$32)-SUM('MDA1:NCA9'!AN$34))</f>
        <v>38301.847526244572</v>
      </c>
    </row>
    <row r="50" spans="2:40" x14ac:dyDescent="0.25">
      <c r="B50" s="1" t="s">
        <v>272</v>
      </c>
      <c r="E50" s="13" cm="1">
        <f t="array" ref="E50:AN50">_xlfn.BYCOL(_xlfn.VSTACK(_xlfn.ANCHORARRAY(E40),_xlfn.ANCHORARRAY(E42),_xlfn.ANCHORARRAY(E43),_xlfn.ANCHORARRAY(E45),_xlfn.ANCHORARRAY(E46),_xlfn.ANCHORARRAY(E47),_xlfn.ANCHORARRAY(E48),_xlfn.HSTACK(E49:AN49)),_xlfn.LAMBDA(_xlpm.a,SUM(_xlpm.a)))</f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0</v>
      </c>
      <c r="Q50" s="13">
        <v>0</v>
      </c>
      <c r="R50" s="13">
        <v>0</v>
      </c>
      <c r="S50" s="13">
        <v>0</v>
      </c>
      <c r="T50" s="13">
        <v>0</v>
      </c>
      <c r="U50" s="13">
        <v>0</v>
      </c>
      <c r="V50" s="13">
        <v>126877.11</v>
      </c>
      <c r="W50" s="13">
        <v>0</v>
      </c>
      <c r="X50" s="13">
        <v>76060.710194770625</v>
      </c>
      <c r="Y50" s="13">
        <v>108250.4131134272</v>
      </c>
      <c r="Z50" s="13">
        <v>130056.0930669168</v>
      </c>
      <c r="AA50" s="13">
        <v>151416.65285415674</v>
      </c>
      <c r="AB50" s="13">
        <v>172669.42112186505</v>
      </c>
      <c r="AC50" s="13">
        <v>210477.4461552944</v>
      </c>
      <c r="AD50" s="13">
        <v>233689.59141449502</v>
      </c>
      <c r="AE50" s="13">
        <v>249179.58505163938</v>
      </c>
      <c r="AF50" s="13">
        <v>272264.73606651393</v>
      </c>
      <c r="AG50" s="13">
        <v>295461.44903607626</v>
      </c>
      <c r="AH50" s="13">
        <v>318290.23555708118</v>
      </c>
      <c r="AI50" s="13">
        <v>341111.59978280211</v>
      </c>
      <c r="AJ50" s="13">
        <v>363671.97241570125</v>
      </c>
      <c r="AK50" s="13">
        <v>380764.92220583902</v>
      </c>
      <c r="AL50" s="13">
        <v>380449.00492171821</v>
      </c>
      <c r="AM50" s="13">
        <v>380134.06718014675</v>
      </c>
      <c r="AN50" s="13">
        <v>379870.07655672001</v>
      </c>
    </row>
    <row r="52" spans="2:40" x14ac:dyDescent="0.25">
      <c r="B52" s="1" t="s">
        <v>48</v>
      </c>
      <c r="E52" s="74">
        <f>E37-E50</f>
        <v>0</v>
      </c>
      <c r="F52" s="74">
        <f t="shared" ref="F52:AN52" si="0">F37-F50</f>
        <v>0</v>
      </c>
      <c r="G52" s="74">
        <f t="shared" si="0"/>
        <v>0</v>
      </c>
      <c r="H52" s="74">
        <f t="shared" si="0"/>
        <v>0</v>
      </c>
      <c r="I52" s="74">
        <f t="shared" si="0"/>
        <v>0</v>
      </c>
      <c r="J52" s="74">
        <f t="shared" si="0"/>
        <v>0</v>
      </c>
      <c r="K52" s="74">
        <f t="shared" si="0"/>
        <v>0</v>
      </c>
      <c r="L52" s="74">
        <f t="shared" si="0"/>
        <v>0</v>
      </c>
      <c r="M52" s="74">
        <f t="shared" si="0"/>
        <v>0</v>
      </c>
      <c r="N52" s="74">
        <f t="shared" si="0"/>
        <v>0</v>
      </c>
      <c r="O52" s="74">
        <f t="shared" si="0"/>
        <v>0</v>
      </c>
      <c r="P52" s="74">
        <f t="shared" si="0"/>
        <v>0</v>
      </c>
      <c r="Q52" s="74">
        <f t="shared" si="0"/>
        <v>0</v>
      </c>
      <c r="R52" s="74">
        <f t="shared" si="0"/>
        <v>0</v>
      </c>
      <c r="S52" s="74">
        <f t="shared" si="0"/>
        <v>0</v>
      </c>
      <c r="T52" s="74">
        <f t="shared" si="0"/>
        <v>0</v>
      </c>
      <c r="U52" s="74">
        <f t="shared" si="0"/>
        <v>0</v>
      </c>
      <c r="V52" s="74">
        <f t="shared" si="0"/>
        <v>-126877.11</v>
      </c>
      <c r="W52" s="74">
        <f t="shared" si="0"/>
        <v>0</v>
      </c>
      <c r="X52" s="74">
        <f t="shared" si="0"/>
        <v>-35407.086575758367</v>
      </c>
      <c r="Y52" s="74">
        <f t="shared" si="0"/>
        <v>-40722.158358456538</v>
      </c>
      <c r="Z52" s="74">
        <f t="shared" si="0"/>
        <v>-35653.207175987744</v>
      </c>
      <c r="AA52" s="74">
        <f t="shared" si="0"/>
        <v>-30139.135827269274</v>
      </c>
      <c r="AB52" s="74">
        <f t="shared" si="0"/>
        <v>-24517.272959019174</v>
      </c>
      <c r="AC52" s="74">
        <f t="shared" si="0"/>
        <v>-35450.666856490134</v>
      </c>
      <c r="AD52" s="74">
        <f t="shared" si="0"/>
        <v>-31788.180979732366</v>
      </c>
      <c r="AE52" s="74">
        <f t="shared" si="0"/>
        <v>-29361.753859571123</v>
      </c>
      <c r="AF52" s="74">
        <f t="shared" si="0"/>
        <v>-25572.273738487274</v>
      </c>
      <c r="AG52" s="74">
        <f t="shared" si="0"/>
        <v>-21894.355572091183</v>
      </c>
      <c r="AH52" s="74">
        <f t="shared" si="0"/>
        <v>-17848.510957137682</v>
      </c>
      <c r="AI52" s="74">
        <f t="shared" si="0"/>
        <v>-13795.244046900247</v>
      </c>
      <c r="AJ52" s="74">
        <f t="shared" si="0"/>
        <v>-9480.9855438409722</v>
      </c>
      <c r="AK52" s="74">
        <f t="shared" si="0"/>
        <v>300.69580197968753</v>
      </c>
      <c r="AL52" s="74">
        <f t="shared" si="0"/>
        <v>616.61308610049309</v>
      </c>
      <c r="AM52" s="74">
        <f t="shared" si="0"/>
        <v>931.55082767194835</v>
      </c>
      <c r="AN52" s="74">
        <f t="shared" si="0"/>
        <v>1195.5414510986884</v>
      </c>
    </row>
    <row r="53" spans="2:40" x14ac:dyDescent="0.25">
      <c r="E53" s="105" t="str">
        <f>IFERROR(E52/E37,"")</f>
        <v/>
      </c>
      <c r="F53" s="105" t="str">
        <f t="shared" ref="F53:AN53" si="1">IFERROR(F52/F37,"")</f>
        <v/>
      </c>
      <c r="G53" s="105" t="str">
        <f t="shared" si="1"/>
        <v/>
      </c>
      <c r="H53" s="105" t="str">
        <f t="shared" si="1"/>
        <v/>
      </c>
      <c r="I53" s="105" t="str">
        <f t="shared" si="1"/>
        <v/>
      </c>
      <c r="J53" s="105" t="str">
        <f t="shared" si="1"/>
        <v/>
      </c>
      <c r="K53" s="105" t="str">
        <f t="shared" si="1"/>
        <v/>
      </c>
      <c r="L53" s="105" t="str">
        <f t="shared" si="1"/>
        <v/>
      </c>
      <c r="M53" s="105" t="str">
        <f t="shared" si="1"/>
        <v/>
      </c>
      <c r="N53" s="105" t="str">
        <f t="shared" si="1"/>
        <v/>
      </c>
      <c r="O53" s="105" t="str">
        <f t="shared" si="1"/>
        <v/>
      </c>
      <c r="P53" s="105" t="str">
        <f t="shared" si="1"/>
        <v/>
      </c>
      <c r="Q53" s="105" t="str">
        <f t="shared" si="1"/>
        <v/>
      </c>
      <c r="R53" s="105" t="str">
        <f t="shared" si="1"/>
        <v/>
      </c>
      <c r="S53" s="105" t="str">
        <f t="shared" si="1"/>
        <v/>
      </c>
      <c r="T53" s="105" t="str">
        <f t="shared" si="1"/>
        <v/>
      </c>
      <c r="U53" s="105" t="str">
        <f t="shared" si="1"/>
        <v/>
      </c>
      <c r="V53" s="105" t="str">
        <f t="shared" si="1"/>
        <v/>
      </c>
      <c r="W53" s="105" t="str">
        <f t="shared" si="1"/>
        <v/>
      </c>
      <c r="X53" s="105">
        <f t="shared" si="1"/>
        <v>-0.87094540224944983</v>
      </c>
      <c r="Y53" s="105">
        <f t="shared" si="1"/>
        <v>-0.60303880955044276</v>
      </c>
      <c r="Z53" s="105">
        <f t="shared" si="1"/>
        <v>-0.37767073368054283</v>
      </c>
      <c r="AA53" s="105">
        <f t="shared" si="1"/>
        <v>-0.24851379353839648</v>
      </c>
      <c r="AB53" s="105">
        <f t="shared" si="1"/>
        <v>-0.16548712430460527</v>
      </c>
      <c r="AC53" s="105">
        <f t="shared" si="1"/>
        <v>-0.20254424493505105</v>
      </c>
      <c r="AD53" s="105">
        <f t="shared" si="1"/>
        <v>-0.15744407585505005</v>
      </c>
      <c r="AE53" s="105">
        <f t="shared" si="1"/>
        <v>-0.13357312143579456</v>
      </c>
      <c r="AF53" s="105">
        <f t="shared" si="1"/>
        <v>-0.10366053951208228</v>
      </c>
      <c r="AG53" s="105">
        <f t="shared" si="1"/>
        <v>-8.0032855175885986E-2</v>
      </c>
      <c r="AH53" s="105">
        <f t="shared" si="1"/>
        <v>-5.9407563915777888E-2</v>
      </c>
      <c r="AI53" s="105">
        <f t="shared" si="1"/>
        <v>-4.2146516069704328E-2</v>
      </c>
      <c r="AJ53" s="105">
        <f t="shared" si="1"/>
        <v>-2.676800340848599E-2</v>
      </c>
      <c r="AK53" s="105">
        <f t="shared" si="1"/>
        <v>7.8909192477584749E-4</v>
      </c>
      <c r="AL53" s="105">
        <f t="shared" si="1"/>
        <v>1.6181283667734134E-3</v>
      </c>
      <c r="AM53" s="105">
        <f t="shared" si="1"/>
        <v>2.4445942736634791E-3</v>
      </c>
      <c r="AN53" s="105">
        <f t="shared" si="1"/>
        <v>3.1373637363267927E-3</v>
      </c>
    </row>
    <row r="55" spans="2:40" x14ac:dyDescent="0.25">
      <c r="B55" t="s">
        <v>57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786840</v>
      </c>
      <c r="D55" s="12">
        <f>C55-SUM(_xlfn.ANCHORARRAY(E55))</f>
        <v>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131140</v>
      </c>
      <c r="W55" s="12">
        <v>131140</v>
      </c>
      <c r="X55" s="12">
        <v>131140</v>
      </c>
      <c r="Y55" s="12">
        <v>131140</v>
      </c>
      <c r="Z55" s="12">
        <v>131140</v>
      </c>
      <c r="AA55" s="12">
        <v>131140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</row>
    <row r="56" spans="2:40" x14ac:dyDescent="0.25">
      <c r="B56" t="s">
        <v>285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0</v>
      </c>
      <c r="F56" s="90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0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0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0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0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-47787.889495094831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-52473.866098133811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-55816.111144374881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-59847.305814768632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-57607.753220105427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-64774.321523027655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-22222.82222442688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-26254.016894820637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-30285.211565214398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-32972.674678810239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-37003.869349203997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-41035.064019597761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-45066.258689991526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-49097.453360385276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276</v>
      </c>
      <c r="E58" s="13">
        <f>E37-E50-E55+E56</f>
        <v>0</v>
      </c>
      <c r="F58" s="13">
        <f t="shared" ref="F58:AN58" si="2">F37-F50-F55+F56</f>
        <v>0</v>
      </c>
      <c r="G58" s="13">
        <f t="shared" si="2"/>
        <v>0</v>
      </c>
      <c r="H58" s="13">
        <f t="shared" si="2"/>
        <v>0</v>
      </c>
      <c r="I58" s="13">
        <f t="shared" si="2"/>
        <v>0</v>
      </c>
      <c r="J58" s="13">
        <f t="shared" si="2"/>
        <v>0</v>
      </c>
      <c r="K58" s="13">
        <f t="shared" si="2"/>
        <v>0</v>
      </c>
      <c r="L58" s="13">
        <f t="shared" si="2"/>
        <v>0</v>
      </c>
      <c r="M58" s="13">
        <f t="shared" si="2"/>
        <v>0</v>
      </c>
      <c r="N58" s="13">
        <f t="shared" si="2"/>
        <v>0</v>
      </c>
      <c r="O58" s="13">
        <f t="shared" si="2"/>
        <v>0</v>
      </c>
      <c r="P58" s="13">
        <f t="shared" si="2"/>
        <v>0</v>
      </c>
      <c r="Q58" s="13">
        <f t="shared" si="2"/>
        <v>0</v>
      </c>
      <c r="R58" s="13">
        <f t="shared" si="2"/>
        <v>0</v>
      </c>
      <c r="S58" s="13">
        <f t="shared" si="2"/>
        <v>0</v>
      </c>
      <c r="T58" s="13">
        <f t="shared" si="2"/>
        <v>0</v>
      </c>
      <c r="U58" s="13">
        <f t="shared" si="2"/>
        <v>0</v>
      </c>
      <c r="V58" s="13">
        <f t="shared" si="2"/>
        <v>-258017.11</v>
      </c>
      <c r="W58" s="13">
        <f t="shared" si="2"/>
        <v>-131140</v>
      </c>
      <c r="X58" s="13">
        <f t="shared" si="2"/>
        <v>-166547.08657575835</v>
      </c>
      <c r="Y58" s="13">
        <f t="shared" si="2"/>
        <v>-171862.15835845654</v>
      </c>
      <c r="Z58" s="13">
        <f t="shared" si="2"/>
        <v>-166793.20717598774</v>
      </c>
      <c r="AA58" s="13">
        <f t="shared" si="2"/>
        <v>-209067.02532236412</v>
      </c>
      <c r="AB58" s="13">
        <f t="shared" si="2"/>
        <v>-76991.139057152992</v>
      </c>
      <c r="AC58" s="13">
        <f t="shared" si="2"/>
        <v>-91266.778000865015</v>
      </c>
      <c r="AD58" s="13">
        <f t="shared" si="2"/>
        <v>-91635.48679450099</v>
      </c>
      <c r="AE58" s="13">
        <f t="shared" si="2"/>
        <v>-86969.50707967655</v>
      </c>
      <c r="AF58" s="13">
        <f t="shared" si="2"/>
        <v>-90346.595261514929</v>
      </c>
      <c r="AG58" s="13">
        <f t="shared" si="2"/>
        <v>-44117.177796518066</v>
      </c>
      <c r="AH58" s="13">
        <f t="shared" si="2"/>
        <v>-44102.527851958323</v>
      </c>
      <c r="AI58" s="13">
        <f t="shared" si="2"/>
        <v>-44080.455612114645</v>
      </c>
      <c r="AJ58" s="13">
        <f t="shared" si="2"/>
        <v>-42453.660222651211</v>
      </c>
      <c r="AK58" s="13">
        <f t="shared" si="2"/>
        <v>-36703.173547224309</v>
      </c>
      <c r="AL58" s="13">
        <f t="shared" si="2"/>
        <v>-40418.450933497268</v>
      </c>
      <c r="AM58" s="13">
        <f t="shared" si="2"/>
        <v>-44134.707862319578</v>
      </c>
      <c r="AN58" s="13">
        <f t="shared" si="2"/>
        <v>-47901.911909286588</v>
      </c>
    </row>
    <row r="59" spans="2:40" x14ac:dyDescent="0.25">
      <c r="B59" t="s">
        <v>277</v>
      </c>
      <c r="E59" s="12" cm="1">
        <f t="array" ref="E59:AN59">_xlfn.SCAN(-D55,E58:AN58,_xlfn.LAMBDA(_xlpm.capex,_xlpm.fcf,_xlpm.capex+_xlpm.fcf))</f>
        <v>0</v>
      </c>
      <c r="F59" s="12">
        <v>0</v>
      </c>
      <c r="G59" s="12">
        <v>0</v>
      </c>
      <c r="H59" s="12">
        <v>0</v>
      </c>
      <c r="I59" s="12">
        <v>0</v>
      </c>
      <c r="J59" s="12">
        <v>0</v>
      </c>
      <c r="K59" s="12">
        <v>0</v>
      </c>
      <c r="L59" s="12">
        <v>0</v>
      </c>
      <c r="M59" s="12">
        <v>0</v>
      </c>
      <c r="N59" s="12">
        <v>0</v>
      </c>
      <c r="O59" s="12">
        <v>0</v>
      </c>
      <c r="P59" s="12">
        <v>0</v>
      </c>
      <c r="Q59" s="12">
        <v>0</v>
      </c>
      <c r="R59" s="12">
        <v>0</v>
      </c>
      <c r="S59" s="12">
        <v>0</v>
      </c>
      <c r="T59" s="12">
        <v>0</v>
      </c>
      <c r="U59" s="12">
        <v>0</v>
      </c>
      <c r="V59" s="12">
        <v>-258017.11</v>
      </c>
      <c r="W59" s="12">
        <v>-389157.11</v>
      </c>
      <c r="X59" s="12">
        <v>-555704.19657575828</v>
      </c>
      <c r="Y59" s="12">
        <v>-727566.35493421485</v>
      </c>
      <c r="Z59" s="12">
        <v>-894359.56211020262</v>
      </c>
      <c r="AA59" s="12">
        <v>-1103426.5874325668</v>
      </c>
      <c r="AB59" s="12">
        <v>-1180417.7264897197</v>
      </c>
      <c r="AC59" s="12">
        <v>-1271684.5044905846</v>
      </c>
      <c r="AD59" s="12">
        <v>-1363319.9912850857</v>
      </c>
      <c r="AE59" s="12">
        <v>-1450289.4983647622</v>
      </c>
      <c r="AF59" s="12">
        <v>-1540636.0936262771</v>
      </c>
      <c r="AG59" s="12">
        <v>-1584753.271422795</v>
      </c>
      <c r="AH59" s="12">
        <v>-1628855.7992747533</v>
      </c>
      <c r="AI59" s="12">
        <v>-1672936.2548868679</v>
      </c>
      <c r="AJ59" s="12">
        <v>-1715389.9151095191</v>
      </c>
      <c r="AK59" s="12">
        <v>-1752093.0886567435</v>
      </c>
      <c r="AL59" s="12">
        <v>-1792511.5395902407</v>
      </c>
      <c r="AM59" s="12">
        <v>-1836646.2474525603</v>
      </c>
      <c r="AN59" s="12">
        <v>-1884548.159361847</v>
      </c>
    </row>
    <row r="61" spans="2:40" x14ac:dyDescent="0.25">
      <c r="B61" s="1" t="s">
        <v>302</v>
      </c>
    </row>
    <row r="63" spans="2:40" x14ac:dyDescent="0.25">
      <c r="B63" s="39" t="s">
        <v>103</v>
      </c>
      <c r="E63" s="12" cm="1">
        <f t="array" ref="E63:AN63">_xlfn.LET(_xlpm.site,$B$1&amp;"-"&amp;$C$1,_xlpm.locations,Base!$D$4:$BD$4,_xlpm.rates,Base!$D$36:$BD$36,_xlpm.hours,Base!$D$79:$BD$79,_xlpm.comp,_xlpm.rates*_xlpm.hours,_xlpm.Customer,_xlfn.ANCHORARRAY($E$1),
_xlpm.Customer_comp,_xlfn.XLOOKUP(_xlpm.site,_xlpm.locations,_xlpm.comp,0,0),_xlpm.ann_incr,_xlfn.XLOOKUP(YEAR(_xlfn.ANCHORARRAY($E$25)),Base!$BJ$4:$BL$4,Base!$BJ$79:$BL$79,0,0),
_xlpm.bad_debt,_xlfn.XLOOKUP(_xlpm.site,_xlpm.locations,Base!$D$28:$BD$28,0,0),_xlpm.Customer_comp*_xlpm.Customer*_xlpm.bad_debt*_xlpm.ann_incr*(52/12)*(1-$C$35))</f>
        <v>0</v>
      </c>
      <c r="F63" s="12">
        <v>0</v>
      </c>
      <c r="G63" s="12">
        <v>0</v>
      </c>
      <c r="H63" s="12">
        <v>0</v>
      </c>
      <c r="I63" s="12">
        <v>0</v>
      </c>
      <c r="J63" s="12">
        <v>0</v>
      </c>
      <c r="K63" s="12">
        <v>0</v>
      </c>
      <c r="L63" s="12">
        <v>0</v>
      </c>
      <c r="M63" s="12">
        <v>0</v>
      </c>
      <c r="N63" s="12">
        <v>0</v>
      </c>
      <c r="O63" s="12">
        <v>0</v>
      </c>
      <c r="P63" s="12">
        <v>0</v>
      </c>
      <c r="Q63" s="12">
        <v>0</v>
      </c>
      <c r="R63" s="12">
        <v>0</v>
      </c>
      <c r="S63" s="12">
        <v>0</v>
      </c>
      <c r="T63" s="12">
        <v>0</v>
      </c>
      <c r="U63" s="12">
        <v>0</v>
      </c>
      <c r="V63" s="12">
        <v>0</v>
      </c>
      <c r="W63" s="12">
        <v>0</v>
      </c>
      <c r="X63" s="12">
        <v>916.49684352511963</v>
      </c>
      <c r="Y63" s="12">
        <v>2291.242108812799</v>
      </c>
      <c r="Z63" s="12">
        <v>3665.9873741004785</v>
      </c>
      <c r="AA63" s="12">
        <v>5040.7326393881585</v>
      </c>
      <c r="AB63" s="12">
        <v>6415.4779046758376</v>
      </c>
      <c r="AC63" s="12">
        <v>7790.2231699635167</v>
      </c>
      <c r="AD63" s="12">
        <v>9164.9684352511958</v>
      </c>
      <c r="AE63" s="12">
        <v>10081.465278776317</v>
      </c>
      <c r="AF63" s="12">
        <v>11456.210544063997</v>
      </c>
      <c r="AG63" s="12">
        <v>12830.955809351675</v>
      </c>
      <c r="AH63" s="12">
        <v>14205.701074639357</v>
      </c>
      <c r="AI63" s="12">
        <v>15580.446339927033</v>
      </c>
      <c r="AJ63" s="12">
        <v>16955.191605214713</v>
      </c>
      <c r="AK63" s="12">
        <v>18329.936870502392</v>
      </c>
      <c r="AL63" s="12">
        <v>18329.936870502392</v>
      </c>
      <c r="AM63" s="12">
        <v>18329.936870502392</v>
      </c>
      <c r="AN63" s="12">
        <v>18329.936870502392</v>
      </c>
    </row>
    <row r="64" spans="2:40" x14ac:dyDescent="0.25">
      <c r="B64" s="39" t="s">
        <v>104</v>
      </c>
      <c r="E64" s="12" cm="1">
        <f t="array" ref="E64:AN64">_xlfn.LET(_xlpm.site,$B$1&amp;"-"&amp;$C$1,_xlpm.locations,Base!$D$4:$BD$4,_xlpm.rates,Base!$D$37:$BD$37,_xlpm.hours,Base!$D$80:$BD$80,_xlpm.comp,_xlpm.rates*_xlpm.hours,_xlpm.Customer,_xlfn.ANCHORARRAY($E$1),
_xlpm.Customer_comp,_xlfn.XLOOKUP(_xlpm.site,_xlpm.locations,_xlpm.comp,0,0),_xlpm.ann_incr,_xlfn.XLOOKUP(YEAR(_xlfn.ANCHORARRAY($E$25)),Base!$BJ$4:$BL$4,Base!$BJ$80:$BL$80,0,0),
_xlpm.bad_debt,_xlfn.XLOOKUP(_xlpm.site,_xlpm.locations,Base!$D$28:$BD$28,0,0),_xlpm.Customer_comp*_xlpm.Customer*_xlpm.bad_debt*_xlpm.ann_incr*(52/12)*(1-$C$35))</f>
        <v>0</v>
      </c>
      <c r="F64" s="12">
        <v>0</v>
      </c>
      <c r="G64" s="12">
        <v>0</v>
      </c>
      <c r="H64" s="12">
        <v>0</v>
      </c>
      <c r="I64" s="12">
        <v>0</v>
      </c>
      <c r="J64" s="12">
        <v>0</v>
      </c>
      <c r="K64" s="12">
        <v>0</v>
      </c>
      <c r="L64" s="12">
        <v>0</v>
      </c>
      <c r="M64" s="12">
        <v>0</v>
      </c>
      <c r="N64" s="12">
        <v>0</v>
      </c>
      <c r="O64" s="12">
        <v>0</v>
      </c>
      <c r="P64" s="12">
        <v>0</v>
      </c>
      <c r="Q64" s="12">
        <v>0</v>
      </c>
      <c r="R64" s="12">
        <v>0</v>
      </c>
      <c r="S64" s="12">
        <v>0</v>
      </c>
      <c r="T64" s="12">
        <v>0</v>
      </c>
      <c r="U64" s="12">
        <v>0</v>
      </c>
      <c r="V64" s="12">
        <v>0</v>
      </c>
      <c r="W64" s="12">
        <v>0</v>
      </c>
      <c r="X64" s="12">
        <v>256.39874258943996</v>
      </c>
      <c r="Y64" s="12">
        <v>640.99685647359991</v>
      </c>
      <c r="Z64" s="12">
        <v>1025.5949703577598</v>
      </c>
      <c r="AA64" s="12">
        <v>1410.1930842419204</v>
      </c>
      <c r="AB64" s="12">
        <v>1794.7911981260802</v>
      </c>
      <c r="AC64" s="12">
        <v>2179.3893120102402</v>
      </c>
      <c r="AD64" s="12">
        <v>2563.9874258943996</v>
      </c>
      <c r="AE64" s="12">
        <v>2820.3861684838407</v>
      </c>
      <c r="AF64" s="12">
        <v>3204.9842823680005</v>
      </c>
      <c r="AG64" s="12">
        <v>3589.5823962521604</v>
      </c>
      <c r="AH64" s="12">
        <v>3974.1805101363202</v>
      </c>
      <c r="AI64" s="12">
        <v>4358.7786240204805</v>
      </c>
      <c r="AJ64" s="12">
        <v>4743.3767379046403</v>
      </c>
      <c r="AK64" s="12">
        <v>5127.9748517887992</v>
      </c>
      <c r="AL64" s="12">
        <v>5127.9748517887992</v>
      </c>
      <c r="AM64" s="12">
        <v>5127.9748517887992</v>
      </c>
      <c r="AN64" s="12">
        <v>5127.9748517887992</v>
      </c>
    </row>
    <row r="65" spans="2:40" x14ac:dyDescent="0.25">
      <c r="B65" s="39" t="s">
        <v>56</v>
      </c>
      <c r="E65" s="12" cm="1">
        <f t="array" ref="E65:AN65">_xlfn.LET(_xlpm.site,$B$1&amp;"-"&amp;$C$1,_xlpm.locations,Base!$D$4:$BD$4,_xlpm.rates,Base!$D$39:$BD$39,_xlpm.hours,Base!$D$82:$BD$82,_xlpm.comp,_xlpm.rates*_xlpm.hours,_xlpm.Customer,_xlfn.ANCHORARRAY($E$1),
_xlpm.Customer_comp,_xlfn.XLOOKUP(_xlpm.site,_xlpm.locations,_xlpm.comp,0,0),_xlpm.ann_incr,_xlfn.XLOOKUP(YEAR(_xlfn.ANCHORARRAY($E$25)),Base!$BJ$4:$BL$4,Base!$BJ$82:$BL$82,0,0),
_xlpm.bad_debt,_xlfn.XLOOKUP(_xlpm.site,_xlpm.locations,Base!$D$28:$BD$28,0,0),_xlpm.Customer_comp*_xlpm.Customer*_xlpm.bad_debt*_xlpm.ann_incr*(52/12)*(1-$C$35))</f>
        <v>0</v>
      </c>
      <c r="F65" s="12">
        <v>0</v>
      </c>
      <c r="G65" s="12">
        <v>0</v>
      </c>
      <c r="H65" s="12">
        <v>0</v>
      </c>
      <c r="I65" s="12">
        <v>0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  <c r="O65" s="12">
        <v>0</v>
      </c>
      <c r="P65" s="12">
        <v>0</v>
      </c>
      <c r="Q65" s="12">
        <v>0</v>
      </c>
      <c r="R65" s="12">
        <v>0</v>
      </c>
      <c r="S65" s="12">
        <v>0</v>
      </c>
      <c r="T65" s="12">
        <v>0</v>
      </c>
      <c r="U65" s="12">
        <v>0</v>
      </c>
      <c r="V65" s="12">
        <v>0</v>
      </c>
      <c r="W65" s="12">
        <v>0</v>
      </c>
      <c r="X65" s="12">
        <v>875.75412001791983</v>
      </c>
      <c r="Y65" s="12">
        <v>2189.3853000447994</v>
      </c>
      <c r="Z65" s="12">
        <v>3503.0164800716793</v>
      </c>
      <c r="AA65" s="12">
        <v>4816.6476600985588</v>
      </c>
      <c r="AB65" s="12">
        <v>6130.2788401254393</v>
      </c>
      <c r="AC65" s="12">
        <v>7443.9100201523179</v>
      </c>
      <c r="AD65" s="12">
        <v>8757.5412001791974</v>
      </c>
      <c r="AE65" s="12">
        <v>9633.2953201971177</v>
      </c>
      <c r="AF65" s="12">
        <v>10946.926500223999</v>
      </c>
      <c r="AG65" s="12">
        <v>12260.557680250879</v>
      </c>
      <c r="AH65" s="12">
        <v>13574.188860277758</v>
      </c>
      <c r="AI65" s="12">
        <v>14887.820040304636</v>
      </c>
      <c r="AJ65" s="12">
        <v>16201.451220331517</v>
      </c>
      <c r="AK65" s="12">
        <v>17515.082400358395</v>
      </c>
      <c r="AL65" s="12">
        <v>17515.082400358395</v>
      </c>
      <c r="AM65" s="12">
        <v>17515.082400358395</v>
      </c>
      <c r="AN65" s="12">
        <v>17515.082400358395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303</v>
      </c>
      <c r="C67" s="12"/>
      <c r="E67" s="13" cm="1">
        <f t="array" ref="E67:AN67">_xlfn.BYCOL(_xlfn.VSTACK(_xlfn.ANCHORARRAY($E$63),_xlfn.ANCHORARRAY($E$64),_xlfn.ANCHORARRAY($E$65)),_xlfn.LAMBDA(_xlpm.a,SUM(_xlpm.a)))</f>
        <v>0</v>
      </c>
      <c r="F67" s="13">
        <v>0</v>
      </c>
      <c r="G67" s="13">
        <v>0</v>
      </c>
      <c r="H67" s="13">
        <v>0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  <c r="W67" s="13">
        <v>0</v>
      </c>
      <c r="X67" s="13">
        <v>2048.6497061324794</v>
      </c>
      <c r="Y67" s="13">
        <v>5121.6242653311983</v>
      </c>
      <c r="Z67" s="13">
        <v>8194.5988245299177</v>
      </c>
      <c r="AA67" s="13">
        <v>11267.573383728639</v>
      </c>
      <c r="AB67" s="13">
        <v>14340.547942927358</v>
      </c>
      <c r="AC67" s="13">
        <v>17413.522502126074</v>
      </c>
      <c r="AD67" s="13">
        <v>20486.497061324793</v>
      </c>
      <c r="AE67" s="13">
        <v>22535.146767457278</v>
      </c>
      <c r="AF67" s="13">
        <v>25608.121326655997</v>
      </c>
      <c r="AG67" s="13">
        <v>28681.095885854716</v>
      </c>
      <c r="AH67" s="13">
        <v>31754.070445053436</v>
      </c>
      <c r="AI67" s="13">
        <v>34827.045004252148</v>
      </c>
      <c r="AJ67" s="13">
        <v>37900.019563450871</v>
      </c>
      <c r="AK67" s="13">
        <v>40972.994122649587</v>
      </c>
      <c r="AL67" s="13">
        <v>40972.994122649587</v>
      </c>
      <c r="AM67" s="13">
        <v>40972.994122649587</v>
      </c>
      <c r="AN67" s="13">
        <v>40972.994122649587</v>
      </c>
    </row>
    <row r="68" spans="2:40" x14ac:dyDescent="0.25">
      <c r="B68" s="39"/>
      <c r="C68" s="12"/>
    </row>
    <row r="69" spans="2:40" x14ac:dyDescent="0.25">
      <c r="B69" s="39" t="s">
        <v>304</v>
      </c>
      <c r="C69" s="12"/>
      <c r="E69" s="106" cm="1">
        <f t="array" ref="E69:AN70">_xlfn.LET(_xlpm.Customer_staff,_xlfn._xlws.FILTER(Base!$D$96:$BD$97,ISNUMBER(SEARCH($B$1&amp;"-"&amp;$C$1,Base!$D$4:$BD$4))),_xlpm.Customer,_xlfn.ANCHORARRAY($E$1),_xlpm.headcount,_xlpm.Customer/_xlpm.Customer_staff,
_xlpm.rounding,_xlfn.VSTACK(0,0),IFERROR(ROUND(_xlpm.headcount,_xlpm.rounding),0))</f>
        <v>0</v>
      </c>
      <c r="F69" s="106">
        <v>0</v>
      </c>
      <c r="G69" s="106">
        <v>0</v>
      </c>
      <c r="H69" s="106">
        <v>0</v>
      </c>
      <c r="I69" s="106">
        <v>0</v>
      </c>
      <c r="J69" s="106">
        <v>0</v>
      </c>
      <c r="K69" s="106">
        <v>0</v>
      </c>
      <c r="L69" s="106">
        <v>0</v>
      </c>
      <c r="M69" s="106">
        <v>0</v>
      </c>
      <c r="N69" s="106">
        <v>0</v>
      </c>
      <c r="O69" s="106">
        <v>0</v>
      </c>
      <c r="P69" s="106">
        <v>0</v>
      </c>
      <c r="Q69" s="106">
        <v>0</v>
      </c>
      <c r="R69" s="106">
        <v>0</v>
      </c>
      <c r="S69" s="106">
        <v>0</v>
      </c>
      <c r="T69" s="106">
        <v>0</v>
      </c>
      <c r="U69" s="106">
        <v>0</v>
      </c>
      <c r="V69" s="106">
        <v>0</v>
      </c>
      <c r="W69" s="106">
        <v>0</v>
      </c>
      <c r="X69" s="106">
        <v>0</v>
      </c>
      <c r="Y69" s="106">
        <v>0</v>
      </c>
      <c r="Z69" s="106">
        <v>0</v>
      </c>
      <c r="AA69" s="106">
        <v>0</v>
      </c>
      <c r="AB69" s="106">
        <v>0</v>
      </c>
      <c r="AC69" s="106">
        <v>0</v>
      </c>
      <c r="AD69" s="106">
        <v>0</v>
      </c>
      <c r="AE69" s="106">
        <v>1</v>
      </c>
      <c r="AF69" s="106">
        <v>1</v>
      </c>
      <c r="AG69" s="106">
        <v>1</v>
      </c>
      <c r="AH69" s="106">
        <v>1</v>
      </c>
      <c r="AI69" s="106">
        <v>1</v>
      </c>
      <c r="AJ69" s="106">
        <v>1</v>
      </c>
      <c r="AK69" s="106">
        <v>1</v>
      </c>
      <c r="AL69" s="106">
        <v>1</v>
      </c>
      <c r="AM69" s="106">
        <v>1</v>
      </c>
      <c r="AN69" s="106">
        <v>1</v>
      </c>
    </row>
    <row r="70" spans="2:40" x14ac:dyDescent="0.25">
      <c r="B70" s="39" t="s">
        <v>305</v>
      </c>
      <c r="C70" s="12"/>
      <c r="E70" s="106">
        <v>0</v>
      </c>
      <c r="F70" s="106">
        <v>0</v>
      </c>
      <c r="G70" s="106">
        <v>0</v>
      </c>
      <c r="H70" s="106">
        <v>0</v>
      </c>
      <c r="I70" s="106">
        <v>0</v>
      </c>
      <c r="J70" s="106">
        <v>0</v>
      </c>
      <c r="K70" s="106">
        <v>0</v>
      </c>
      <c r="L70" s="106">
        <v>0</v>
      </c>
      <c r="M70" s="106">
        <v>0</v>
      </c>
      <c r="N70" s="106">
        <v>0</v>
      </c>
      <c r="O70" s="106">
        <v>0</v>
      </c>
      <c r="P70" s="106">
        <v>0</v>
      </c>
      <c r="Q70" s="106">
        <v>0</v>
      </c>
      <c r="R70" s="106">
        <v>0</v>
      </c>
      <c r="S70" s="106">
        <v>0</v>
      </c>
      <c r="T70" s="106">
        <v>0</v>
      </c>
      <c r="U70" s="106">
        <v>0</v>
      </c>
      <c r="V70" s="106">
        <v>0</v>
      </c>
      <c r="W70" s="106">
        <v>0</v>
      </c>
      <c r="X70" s="106">
        <v>0</v>
      </c>
      <c r="Y70" s="106">
        <v>0</v>
      </c>
      <c r="Z70" s="106">
        <v>0</v>
      </c>
      <c r="AA70" s="106">
        <v>0</v>
      </c>
      <c r="AB70" s="106">
        <v>0</v>
      </c>
      <c r="AC70" s="106">
        <v>0</v>
      </c>
      <c r="AD70" s="106">
        <v>0</v>
      </c>
      <c r="AE70" s="106">
        <v>0</v>
      </c>
      <c r="AF70" s="106">
        <v>1</v>
      </c>
      <c r="AG70" s="106">
        <v>1</v>
      </c>
      <c r="AH70" s="106">
        <v>1</v>
      </c>
      <c r="AI70" s="106">
        <v>1</v>
      </c>
      <c r="AJ70" s="106">
        <v>1</v>
      </c>
      <c r="AK70" s="106">
        <v>1</v>
      </c>
      <c r="AL70" s="106">
        <v>1</v>
      </c>
      <c r="AM70" s="106">
        <v>1</v>
      </c>
      <c r="AN70" s="106">
        <v>1</v>
      </c>
    </row>
    <row r="71" spans="2:40" x14ac:dyDescent="0.25">
      <c r="B71" s="39"/>
      <c r="C71" s="12"/>
    </row>
    <row r="72" spans="2:40" x14ac:dyDescent="0.25">
      <c r="B72" s="39" t="s">
        <v>23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0</v>
      </c>
      <c r="F72" s="12">
        <v>0</v>
      </c>
      <c r="G72" s="12">
        <v>0</v>
      </c>
      <c r="H72" s="12">
        <v>0</v>
      </c>
      <c r="I72" s="12">
        <v>0</v>
      </c>
      <c r="J72" s="12">
        <v>0</v>
      </c>
      <c r="K72" s="12">
        <v>0</v>
      </c>
      <c r="L72" s="12">
        <v>0</v>
      </c>
      <c r="M72" s="12">
        <v>0</v>
      </c>
      <c r="N72" s="12">
        <v>0</v>
      </c>
      <c r="O72" s="12">
        <v>0</v>
      </c>
      <c r="P72" s="12">
        <v>0</v>
      </c>
      <c r="Q72" s="12">
        <v>0</v>
      </c>
      <c r="R72" s="12">
        <v>0</v>
      </c>
      <c r="S72" s="12">
        <v>0</v>
      </c>
      <c r="T72" s="12">
        <v>0</v>
      </c>
      <c r="U72" s="12">
        <v>0</v>
      </c>
      <c r="V72" s="12">
        <v>0</v>
      </c>
      <c r="W72" s="12">
        <v>0</v>
      </c>
      <c r="X72" s="12">
        <v>461.52787315796917</v>
      </c>
      <c r="Y72" s="12">
        <v>1153.8196828949231</v>
      </c>
      <c r="Z72" s="12">
        <v>1846.1114926318767</v>
      </c>
      <c r="AA72" s="12">
        <v>2538.4033023688321</v>
      </c>
      <c r="AB72" s="12">
        <v>3230.6951121057868</v>
      </c>
      <c r="AC72" s="12">
        <v>4315.2856140270133</v>
      </c>
      <c r="AD72" s="12">
        <v>5076.8066047376651</v>
      </c>
      <c r="AE72" s="12">
        <v>22287.327265211432</v>
      </c>
      <c r="AF72" s="12">
        <v>39751.688255922076</v>
      </c>
      <c r="AG72" s="12">
        <v>40513.20924663273</v>
      </c>
      <c r="AH72" s="12">
        <v>41274.730237343378</v>
      </c>
      <c r="AI72" s="12">
        <v>42036.251228054025</v>
      </c>
      <c r="AJ72" s="12">
        <v>42797.772218764672</v>
      </c>
      <c r="AK72" s="12">
        <v>43559.293209475334</v>
      </c>
      <c r="AL72" s="12">
        <v>43559.293209475334</v>
      </c>
      <c r="AM72" s="12">
        <v>43559.293209475334</v>
      </c>
      <c r="AN72" s="12">
        <v>43559.293209475334</v>
      </c>
    </row>
    <row r="73" spans="2:40" x14ac:dyDescent="0.25">
      <c r="B73" s="39" t="s">
        <v>24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306</v>
      </c>
      <c r="E75" s="74" cm="1">
        <f t="array" ref="E75:AN75">_xlfn.ANCHORARRAY(E67)-_xlfn.ANCHORARRAY(E72)-_xlfn.ANCHORARRAY(E73)</f>
        <v>0</v>
      </c>
      <c r="F75" s="74">
        <v>0</v>
      </c>
      <c r="G75" s="74">
        <v>0</v>
      </c>
      <c r="H75" s="74">
        <v>0</v>
      </c>
      <c r="I75" s="74">
        <v>0</v>
      </c>
      <c r="J75" s="74">
        <v>0</v>
      </c>
      <c r="K75" s="74">
        <v>0</v>
      </c>
      <c r="L75" s="74">
        <v>0</v>
      </c>
      <c r="M75" s="74">
        <v>0</v>
      </c>
      <c r="N75" s="74">
        <v>0</v>
      </c>
      <c r="O75" s="74">
        <v>0</v>
      </c>
      <c r="P75" s="74">
        <v>0</v>
      </c>
      <c r="Q75" s="74">
        <v>0</v>
      </c>
      <c r="R75" s="74">
        <v>0</v>
      </c>
      <c r="S75" s="74">
        <v>0</v>
      </c>
      <c r="T75" s="74">
        <v>0</v>
      </c>
      <c r="U75" s="74">
        <v>0</v>
      </c>
      <c r="V75" s="74">
        <v>0</v>
      </c>
      <c r="W75" s="74">
        <v>0</v>
      </c>
      <c r="X75" s="74">
        <v>1587.1218329745102</v>
      </c>
      <c r="Y75" s="74">
        <v>3967.8045824362753</v>
      </c>
      <c r="Z75" s="74">
        <v>6348.4873318980408</v>
      </c>
      <c r="AA75" s="74">
        <v>8729.1700813598072</v>
      </c>
      <c r="AB75" s="74">
        <v>11109.852830821572</v>
      </c>
      <c r="AC75" s="74">
        <v>13098.236888099062</v>
      </c>
      <c r="AD75" s="74">
        <v>15409.690456587128</v>
      </c>
      <c r="AE75" s="74">
        <v>247.8195022458458</v>
      </c>
      <c r="AF75" s="74">
        <v>-14143.566929266079</v>
      </c>
      <c r="AG75" s="74">
        <v>-11832.113360778014</v>
      </c>
      <c r="AH75" s="74">
        <v>-9520.6597922899418</v>
      </c>
      <c r="AI75" s="74">
        <v>-7209.2062238018771</v>
      </c>
      <c r="AJ75" s="74">
        <v>-4897.7526553138014</v>
      </c>
      <c r="AK75" s="74">
        <v>-2586.2990868257475</v>
      </c>
      <c r="AL75" s="74">
        <v>-2586.2990868257475</v>
      </c>
      <c r="AM75" s="74">
        <v>-2586.2990868257475</v>
      </c>
      <c r="AN75" s="74">
        <v>-2586.2990868257475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E4F90-F8DA-49CD-833C-31D7D0EB3090}">
  <dimension ref="A1:AX75"/>
  <sheetViews>
    <sheetView workbookViewId="0">
      <pane xSplit="4" ySplit="25" topLeftCell="E26" activePane="bottomRight" state="frozen"/>
      <selection activeCell="E63" sqref="E63:E65"/>
      <selection pane="topRight" activeCell="E63" sqref="E63:E65"/>
      <selection pane="bottomLeft" activeCell="E63" sqref="E63:E65"/>
      <selection pane="bottomRight" activeCell="E63" sqref="E63:E65"/>
    </sheetView>
  </sheetViews>
  <sheetFormatPr defaultRowHeight="15" outlineLevelRow="1" x14ac:dyDescent="0.25"/>
  <cols>
    <col min="2" max="2" width="24.5703125" bestFit="1" customWidth="1"/>
    <col min="3" max="3" width="10.7109375" bestFit="1" customWidth="1"/>
    <col min="4" max="4" width="10" bestFit="1" customWidth="1"/>
    <col min="5" max="5" width="11.42578125" bestFit="1" customWidth="1"/>
    <col min="6" max="6" width="11.7109375" bestFit="1" customWidth="1"/>
    <col min="7" max="13" width="12.28515625" bestFit="1" customWidth="1"/>
    <col min="14" max="18" width="11.5703125" bestFit="1" customWidth="1"/>
    <col min="19" max="40" width="12.5703125" bestFit="1" customWidth="1"/>
  </cols>
  <sheetData>
    <row r="1" spans="1:40" x14ac:dyDescent="0.25">
      <c r="A1" s="96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>2028</v>
      </c>
      <c r="B1" s="58" t="s">
        <v>80</v>
      </c>
      <c r="C1" s="16" t="s">
        <v>61</v>
      </c>
      <c r="D1" s="3" t="s">
        <v>307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IFERROR(_xlpm.kiddos,0))</f>
        <v>0</v>
      </c>
      <c r="F1" s="69">
        <v>0</v>
      </c>
      <c r="G1" s="69">
        <v>0</v>
      </c>
      <c r="H1" s="69">
        <v>0</v>
      </c>
      <c r="I1" s="69">
        <v>0</v>
      </c>
      <c r="J1" s="69">
        <v>0</v>
      </c>
      <c r="K1" s="69">
        <v>0</v>
      </c>
      <c r="L1" s="69">
        <v>0</v>
      </c>
      <c r="M1" s="69">
        <v>0</v>
      </c>
      <c r="N1" s="69">
        <v>0</v>
      </c>
      <c r="O1" s="69">
        <v>0</v>
      </c>
      <c r="P1" s="69">
        <v>0</v>
      </c>
      <c r="Q1" s="69">
        <v>0</v>
      </c>
      <c r="R1" s="69">
        <v>0</v>
      </c>
      <c r="S1" s="69">
        <v>0</v>
      </c>
      <c r="T1" s="69">
        <v>0</v>
      </c>
      <c r="U1" s="69">
        <v>0</v>
      </c>
      <c r="V1" s="69">
        <v>0</v>
      </c>
      <c r="W1" s="69">
        <v>0</v>
      </c>
      <c r="X1" s="69">
        <v>0</v>
      </c>
      <c r="Y1" s="69">
        <v>0</v>
      </c>
      <c r="Z1" s="69">
        <v>0</v>
      </c>
      <c r="AA1" s="69">
        <v>0</v>
      </c>
      <c r="AB1" s="69">
        <v>0</v>
      </c>
      <c r="AC1" s="69">
        <v>0</v>
      </c>
      <c r="AD1" s="69">
        <v>0</v>
      </c>
      <c r="AE1" s="69">
        <v>0</v>
      </c>
      <c r="AF1" s="69">
        <v>0</v>
      </c>
      <c r="AG1" s="69">
        <v>0</v>
      </c>
      <c r="AH1" s="69">
        <v>2</v>
      </c>
      <c r="AI1" s="69">
        <v>5</v>
      </c>
      <c r="AJ1" s="69">
        <v>8</v>
      </c>
      <c r="AK1" s="69">
        <v>11</v>
      </c>
      <c r="AL1" s="69">
        <v>14</v>
      </c>
      <c r="AM1" s="69">
        <v>17</v>
      </c>
      <c r="AN1" s="69">
        <v>20</v>
      </c>
    </row>
    <row r="2" spans="1:40" x14ac:dyDescent="0.25">
      <c r="A2" s="65"/>
      <c r="B2" s="3" t="str">
        <f>_xlfn.XLOOKUP($B$1&amp;"-"&amp;$C$1,Base!$D$4:$BD$4,Base!$D$2:$BD$2,"",0)</f>
        <v>Maryland</v>
      </c>
      <c r="C2" s="55"/>
      <c r="D2" s="55" t="s">
        <v>259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0</v>
      </c>
      <c r="F2" s="69">
        <v>0</v>
      </c>
      <c r="G2" s="69">
        <v>0</v>
      </c>
      <c r="H2" s="69">
        <v>0</v>
      </c>
      <c r="I2" s="69">
        <v>0</v>
      </c>
      <c r="J2" s="69">
        <v>0</v>
      </c>
      <c r="K2" s="69">
        <v>0</v>
      </c>
      <c r="L2" s="69">
        <v>0</v>
      </c>
      <c r="M2" s="69">
        <v>0</v>
      </c>
      <c r="N2" s="69">
        <v>0</v>
      </c>
      <c r="O2" s="69">
        <v>0</v>
      </c>
      <c r="P2" s="69">
        <v>0</v>
      </c>
      <c r="Q2" s="69">
        <v>0</v>
      </c>
      <c r="R2" s="69">
        <v>0</v>
      </c>
      <c r="S2" s="69">
        <v>0</v>
      </c>
      <c r="T2" s="69">
        <v>0</v>
      </c>
      <c r="U2" s="69">
        <v>0</v>
      </c>
      <c r="V2" s="69">
        <v>0</v>
      </c>
      <c r="W2" s="69">
        <v>0</v>
      </c>
      <c r="X2" s="69">
        <v>0</v>
      </c>
      <c r="Y2" s="69">
        <v>0</v>
      </c>
      <c r="Z2" s="69">
        <v>0</v>
      </c>
      <c r="AA2" s="69">
        <v>0</v>
      </c>
      <c r="AB2" s="69">
        <v>0</v>
      </c>
      <c r="AC2" s="69">
        <v>0</v>
      </c>
      <c r="AD2" s="69">
        <v>0</v>
      </c>
      <c r="AE2" s="69">
        <v>0</v>
      </c>
      <c r="AF2" s="69">
        <v>0</v>
      </c>
      <c r="AG2" s="69">
        <v>0</v>
      </c>
      <c r="AH2" s="69">
        <v>0</v>
      </c>
      <c r="AI2" s="69">
        <v>3.0238095238095237</v>
      </c>
      <c r="AJ2" s="69">
        <v>3.1904761904761907</v>
      </c>
      <c r="AK2" s="69">
        <v>3.3571428571428572</v>
      </c>
      <c r="AL2" s="69">
        <v>3.5238095238095237</v>
      </c>
      <c r="AM2" s="69">
        <v>3.6904761904761907</v>
      </c>
      <c r="AN2" s="69">
        <v>3.8571428571428572</v>
      </c>
    </row>
    <row r="3" spans="1:40" x14ac:dyDescent="0.25">
      <c r="A3" s="65"/>
      <c r="B3" s="55"/>
      <c r="C3" s="55"/>
      <c r="D3" s="55" t="s">
        <v>62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_xlpm.months_since,DATEDIF(_xlpm.launchdate,_xlfn.ANCHORARRAY($E$25),"m"),_xlfn.BYCOL(_xlpm.months_since,_xlfn.LAMBDA(_xlpm.a,IFERROR(MIN(_xlpm.a/6,_xlpm.max_kiddos),0))))</f>
        <v>0</v>
      </c>
      <c r="F3" s="69">
        <v>0</v>
      </c>
      <c r="G3" s="69">
        <v>0</v>
      </c>
      <c r="H3" s="69">
        <v>0</v>
      </c>
      <c r="I3" s="69">
        <v>0</v>
      </c>
      <c r="J3" s="69">
        <v>0</v>
      </c>
      <c r="K3" s="69">
        <v>0</v>
      </c>
      <c r="L3" s="69">
        <v>0</v>
      </c>
      <c r="M3" s="69">
        <v>0</v>
      </c>
      <c r="N3" s="69">
        <v>0</v>
      </c>
      <c r="O3" s="69">
        <v>0</v>
      </c>
      <c r="P3" s="69">
        <v>0</v>
      </c>
      <c r="Q3" s="69">
        <v>0</v>
      </c>
      <c r="R3" s="69">
        <v>0</v>
      </c>
      <c r="S3" s="69">
        <v>0</v>
      </c>
      <c r="T3" s="69">
        <v>0</v>
      </c>
      <c r="U3" s="69">
        <v>0</v>
      </c>
      <c r="V3" s="69">
        <v>0</v>
      </c>
      <c r="W3" s="69">
        <v>0</v>
      </c>
      <c r="X3" s="69">
        <v>0</v>
      </c>
      <c r="Y3" s="69">
        <v>0</v>
      </c>
      <c r="Z3" s="69">
        <v>0</v>
      </c>
      <c r="AA3" s="69">
        <v>0</v>
      </c>
      <c r="AB3" s="69">
        <v>0</v>
      </c>
      <c r="AC3" s="69">
        <v>0</v>
      </c>
      <c r="AD3" s="69">
        <v>0</v>
      </c>
      <c r="AE3" s="69">
        <v>0</v>
      </c>
      <c r="AF3" s="69">
        <v>0</v>
      </c>
      <c r="AG3" s="69">
        <v>0</v>
      </c>
      <c r="AH3" s="69">
        <v>0</v>
      </c>
      <c r="AI3" s="69">
        <v>0.16666666666666666</v>
      </c>
      <c r="AJ3" s="69">
        <v>0.33333333333333331</v>
      </c>
      <c r="AK3" s="69">
        <v>0.5</v>
      </c>
      <c r="AL3" s="69">
        <v>0.66666666666666663</v>
      </c>
      <c r="AM3" s="69">
        <v>0.83333333333333337</v>
      </c>
      <c r="AN3" s="69">
        <v>1</v>
      </c>
    </row>
    <row r="4" spans="1:40" x14ac:dyDescent="0.25">
      <c r="A4" s="65"/>
      <c r="B4" s="55"/>
      <c r="C4" s="55"/>
      <c r="D4" s="55" t="s">
        <v>260</v>
      </c>
      <c r="E4" s="69" cm="1">
        <f t="array" ref="E4:AN4">_xlfn.BYCOL(_xlfn.VSTACK(_xlfn.ANCHORARRAY($E$1),_xlfn.ANCHORARRAY($E$2)),_xlfn.LAMBDA(_xlpm.a,SUM(_xlpm.a)))</f>
        <v>0</v>
      </c>
      <c r="F4" s="69">
        <v>0</v>
      </c>
      <c r="G4" s="69">
        <v>0</v>
      </c>
      <c r="H4" s="69">
        <v>0</v>
      </c>
      <c r="I4" s="69">
        <v>0</v>
      </c>
      <c r="J4" s="69">
        <v>0</v>
      </c>
      <c r="K4" s="69">
        <v>0</v>
      </c>
      <c r="L4" s="69">
        <v>0</v>
      </c>
      <c r="M4" s="69">
        <v>0</v>
      </c>
      <c r="N4" s="69">
        <v>0</v>
      </c>
      <c r="O4" s="69">
        <v>0</v>
      </c>
      <c r="P4" s="69">
        <v>0</v>
      </c>
      <c r="Q4" s="69">
        <v>0</v>
      </c>
      <c r="R4" s="69">
        <v>0</v>
      </c>
      <c r="S4" s="69">
        <v>0</v>
      </c>
      <c r="T4" s="69">
        <v>0</v>
      </c>
      <c r="U4" s="69">
        <v>0</v>
      </c>
      <c r="V4" s="69">
        <v>0</v>
      </c>
      <c r="W4" s="69">
        <v>0</v>
      </c>
      <c r="X4" s="69">
        <v>0</v>
      </c>
      <c r="Y4" s="69">
        <v>0</v>
      </c>
      <c r="Z4" s="69">
        <v>0</v>
      </c>
      <c r="AA4" s="69">
        <v>0</v>
      </c>
      <c r="AB4" s="69">
        <v>0</v>
      </c>
      <c r="AC4" s="69">
        <v>0</v>
      </c>
      <c r="AD4" s="69">
        <v>0</v>
      </c>
      <c r="AE4" s="69">
        <v>0</v>
      </c>
      <c r="AF4" s="69">
        <v>0</v>
      </c>
      <c r="AG4" s="69">
        <v>0</v>
      </c>
      <c r="AH4" s="69">
        <v>2</v>
      </c>
      <c r="AI4" s="69">
        <v>8.0238095238095237</v>
      </c>
      <c r="AJ4" s="69">
        <v>11.19047619047619</v>
      </c>
      <c r="AK4" s="69">
        <v>14.357142857142858</v>
      </c>
      <c r="AL4" s="69">
        <v>17.523809523809526</v>
      </c>
      <c r="AM4" s="69">
        <v>20.69047619047619</v>
      </c>
      <c r="AN4" s="69">
        <v>23.857142857142858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107</v>
      </c>
      <c r="C6" s="3"/>
      <c r="D6" s="3"/>
      <c r="E6" s="66" cm="1">
        <f t="array" ref="E6:AN6">ROUND(_xlfn.BYCOL(_xlfn.ANCHORARRAY(E7),_xlfn.LAMBDA(_xlpm.a,SUM(_xlpm.a))),0)</f>
        <v>0</v>
      </c>
      <c r="F6" s="66">
        <v>0</v>
      </c>
      <c r="G6" s="66">
        <v>0</v>
      </c>
      <c r="H6" s="66">
        <v>0</v>
      </c>
      <c r="I6" s="66">
        <v>0</v>
      </c>
      <c r="J6" s="66">
        <v>0</v>
      </c>
      <c r="K6" s="66">
        <v>0</v>
      </c>
      <c r="L6" s="66">
        <v>0</v>
      </c>
      <c r="M6" s="66">
        <v>0</v>
      </c>
      <c r="N6" s="66">
        <v>0</v>
      </c>
      <c r="O6" s="66">
        <v>0</v>
      </c>
      <c r="P6" s="66">
        <v>0</v>
      </c>
      <c r="Q6" s="66">
        <v>0</v>
      </c>
      <c r="R6" s="66">
        <v>0</v>
      </c>
      <c r="S6" s="66">
        <v>0</v>
      </c>
      <c r="T6" s="66">
        <v>0</v>
      </c>
      <c r="U6" s="66">
        <v>0</v>
      </c>
      <c r="V6" s="66">
        <v>0</v>
      </c>
      <c r="W6" s="66">
        <v>0</v>
      </c>
      <c r="X6" s="66">
        <v>0</v>
      </c>
      <c r="Y6" s="66">
        <v>0</v>
      </c>
      <c r="Z6" s="66">
        <v>0</v>
      </c>
      <c r="AA6" s="66">
        <v>0</v>
      </c>
      <c r="AB6" s="66">
        <v>0</v>
      </c>
      <c r="AC6" s="66">
        <v>0</v>
      </c>
      <c r="AD6" s="66">
        <v>0</v>
      </c>
      <c r="AE6" s="66">
        <v>0</v>
      </c>
      <c r="AF6" s="66">
        <v>0</v>
      </c>
      <c r="AG6" s="66">
        <v>0</v>
      </c>
      <c r="AH6" s="66">
        <v>4</v>
      </c>
      <c r="AI6" s="66">
        <v>10</v>
      </c>
      <c r="AJ6" s="66">
        <v>13</v>
      </c>
      <c r="AK6" s="66">
        <v>17</v>
      </c>
      <c r="AL6" s="66">
        <v>21</v>
      </c>
      <c r="AM6" s="66">
        <v>24</v>
      </c>
      <c r="AN6" s="66">
        <v>28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1"/>
      <c r="E7" s="106" cm="1">
        <f t="array" ref="E7:AN20">_xlfn.LET(_xlpm.Customer_staff,_xlfn._xlws.FILTER(Base!$D$85:$BD$98,ISNUMBER(SEARCH($B$1&amp;"-"&amp;$C$1,Base!$D$4:$BD$4))),_xlpm.Customer,_xlfn.ANCHORARRAY($E$1),_xlpm.headcount,_xlpm.Customer/_xlpm.Customer_staff,
_xlpm.patient_staff,_xlfn.ANCHORARRAY($E$2)/_xlpm.Customer_staff,_xlpm.prim_staff_tr_rec,_xlfn.ANCHORARRAY($E$2)/_xlfn.CHOOSEROWS(_xlpm.Customer_staff,{7,8})+(_xlfn.ANCHORARRAY($E$1)*0.0055),_xlpm.rounding,_xlfn.VSTACK(2,2,0,0,2,2,2,2,2,2,2,0,0,0),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prim_staff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0</v>
      </c>
      <c r="F7" s="106">
        <v>0</v>
      </c>
      <c r="G7" s="106">
        <v>0</v>
      </c>
      <c r="H7" s="106">
        <v>0</v>
      </c>
      <c r="I7" s="106">
        <v>0</v>
      </c>
      <c r="J7" s="106">
        <v>0</v>
      </c>
      <c r="K7" s="106">
        <v>0</v>
      </c>
      <c r="L7" s="106">
        <v>0</v>
      </c>
      <c r="M7" s="106">
        <v>0</v>
      </c>
      <c r="N7" s="106">
        <v>0</v>
      </c>
      <c r="O7" s="106">
        <v>0</v>
      </c>
      <c r="P7" s="106">
        <v>0</v>
      </c>
      <c r="Q7" s="106">
        <v>0</v>
      </c>
      <c r="R7" s="106">
        <v>0</v>
      </c>
      <c r="S7" s="106">
        <v>0</v>
      </c>
      <c r="T7" s="106">
        <v>0</v>
      </c>
      <c r="U7" s="106">
        <v>0</v>
      </c>
      <c r="V7" s="106">
        <v>0</v>
      </c>
      <c r="W7" s="106">
        <v>0</v>
      </c>
      <c r="X7" s="106">
        <v>0</v>
      </c>
      <c r="Y7" s="106">
        <v>0</v>
      </c>
      <c r="Z7" s="106">
        <v>0</v>
      </c>
      <c r="AA7" s="106">
        <v>0</v>
      </c>
      <c r="AB7" s="106">
        <v>0</v>
      </c>
      <c r="AC7" s="106">
        <v>0</v>
      </c>
      <c r="AD7" s="106">
        <v>0</v>
      </c>
      <c r="AE7" s="106">
        <v>0</v>
      </c>
      <c r="AF7" s="106">
        <v>0</v>
      </c>
      <c r="AG7" s="106">
        <v>0</v>
      </c>
      <c r="AH7" s="106">
        <v>1.89</v>
      </c>
      <c r="AI7" s="106">
        <v>4.71</v>
      </c>
      <c r="AJ7" s="106">
        <v>7.5299999999999994</v>
      </c>
      <c r="AK7" s="106">
        <v>10.36</v>
      </c>
      <c r="AL7" s="106">
        <v>13.18</v>
      </c>
      <c r="AM7" s="106">
        <v>16</v>
      </c>
      <c r="AN7" s="106">
        <v>18.830000000000002</v>
      </c>
    </row>
    <row r="8" spans="1:40" hidden="1" outlineLevel="1" x14ac:dyDescent="0.25">
      <c r="B8" s="39" t="str">
        <v>Secondary Direct Staff</v>
      </c>
      <c r="C8" s="3"/>
      <c r="D8" s="3"/>
      <c r="E8" s="106">
        <v>0</v>
      </c>
      <c r="F8" s="106">
        <v>0</v>
      </c>
      <c r="G8" s="106">
        <v>0</v>
      </c>
      <c r="H8" s="106">
        <v>0</v>
      </c>
      <c r="I8" s="106">
        <v>0</v>
      </c>
      <c r="J8" s="106">
        <v>0</v>
      </c>
      <c r="K8" s="106">
        <v>0</v>
      </c>
      <c r="L8" s="106">
        <v>0</v>
      </c>
      <c r="M8" s="106">
        <v>0</v>
      </c>
      <c r="N8" s="106">
        <v>0</v>
      </c>
      <c r="O8" s="106">
        <v>0</v>
      </c>
      <c r="P8" s="106">
        <v>0</v>
      </c>
      <c r="Q8" s="106">
        <v>0</v>
      </c>
      <c r="R8" s="106">
        <v>0</v>
      </c>
      <c r="S8" s="106">
        <v>0</v>
      </c>
      <c r="T8" s="106">
        <v>0</v>
      </c>
      <c r="U8" s="106">
        <v>0</v>
      </c>
      <c r="V8" s="106">
        <v>0</v>
      </c>
      <c r="W8" s="106">
        <v>0</v>
      </c>
      <c r="X8" s="106">
        <v>0</v>
      </c>
      <c r="Y8" s="106">
        <v>0</v>
      </c>
      <c r="Z8" s="106">
        <v>0</v>
      </c>
      <c r="AA8" s="106">
        <v>0</v>
      </c>
      <c r="AB8" s="106">
        <v>0</v>
      </c>
      <c r="AC8" s="106">
        <v>0</v>
      </c>
      <c r="AD8" s="106">
        <v>0</v>
      </c>
      <c r="AE8" s="106">
        <v>0</v>
      </c>
      <c r="AF8" s="106">
        <v>0</v>
      </c>
      <c r="AG8" s="106">
        <v>0</v>
      </c>
      <c r="AH8" s="106">
        <v>0.29000000000000004</v>
      </c>
      <c r="AI8" s="106">
        <v>0.72</v>
      </c>
      <c r="AJ8" s="106">
        <v>1.1499999999999999</v>
      </c>
      <c r="AK8" s="106">
        <v>1.58</v>
      </c>
      <c r="AL8" s="106">
        <v>2</v>
      </c>
      <c r="AM8" s="106">
        <v>2.4299999999999997</v>
      </c>
      <c r="AN8" s="106">
        <v>2.86</v>
      </c>
    </row>
    <row r="9" spans="1:40" hidden="1" outlineLevel="1" x14ac:dyDescent="0.25">
      <c r="B9" s="39" t="str">
        <v>Center Manager</v>
      </c>
      <c r="C9" s="3"/>
      <c r="D9" s="3"/>
      <c r="E9" s="106">
        <v>0</v>
      </c>
      <c r="F9" s="106">
        <v>0</v>
      </c>
      <c r="G9" s="106">
        <v>0</v>
      </c>
      <c r="H9" s="106">
        <v>0</v>
      </c>
      <c r="I9" s="106">
        <v>0</v>
      </c>
      <c r="J9" s="106">
        <v>0</v>
      </c>
      <c r="K9" s="106">
        <v>0</v>
      </c>
      <c r="L9" s="106">
        <v>0</v>
      </c>
      <c r="M9" s="106">
        <v>0</v>
      </c>
      <c r="N9" s="106">
        <v>0</v>
      </c>
      <c r="O9" s="106">
        <v>0</v>
      </c>
      <c r="P9" s="106">
        <v>0</v>
      </c>
      <c r="Q9" s="106">
        <v>0</v>
      </c>
      <c r="R9" s="106">
        <v>0</v>
      </c>
      <c r="S9" s="106">
        <v>0</v>
      </c>
      <c r="T9" s="106">
        <v>0</v>
      </c>
      <c r="U9" s="106">
        <v>0</v>
      </c>
      <c r="V9" s="106">
        <v>0</v>
      </c>
      <c r="W9" s="106">
        <v>0</v>
      </c>
      <c r="X9" s="106">
        <v>0</v>
      </c>
      <c r="Y9" s="106">
        <v>0</v>
      </c>
      <c r="Z9" s="106">
        <v>0</v>
      </c>
      <c r="AA9" s="106">
        <v>0</v>
      </c>
      <c r="AB9" s="106">
        <v>0</v>
      </c>
      <c r="AC9" s="106">
        <v>0</v>
      </c>
      <c r="AD9" s="106">
        <v>0</v>
      </c>
      <c r="AE9" s="106">
        <v>0</v>
      </c>
      <c r="AF9" s="106">
        <v>0</v>
      </c>
      <c r="AG9" s="106">
        <v>0</v>
      </c>
      <c r="AH9" s="106">
        <v>1</v>
      </c>
      <c r="AI9" s="106">
        <v>1</v>
      </c>
      <c r="AJ9" s="106">
        <v>1</v>
      </c>
      <c r="AK9" s="106">
        <v>1</v>
      </c>
      <c r="AL9" s="106">
        <v>1</v>
      </c>
      <c r="AM9" s="106">
        <v>1</v>
      </c>
      <c r="AN9" s="106">
        <v>1</v>
      </c>
    </row>
    <row r="10" spans="1:40" hidden="1" outlineLevel="1" x14ac:dyDescent="0.25">
      <c r="B10" s="39" t="str">
        <v>Intake</v>
      </c>
      <c r="C10" s="3"/>
      <c r="D10" s="3"/>
      <c r="E10" s="106">
        <v>0</v>
      </c>
      <c r="F10" s="106">
        <v>0</v>
      </c>
      <c r="G10" s="106">
        <v>0</v>
      </c>
      <c r="H10" s="106">
        <v>0</v>
      </c>
      <c r="I10" s="106">
        <v>0</v>
      </c>
      <c r="J10" s="106">
        <v>0</v>
      </c>
      <c r="K10" s="106">
        <v>0</v>
      </c>
      <c r="L10" s="106">
        <v>0</v>
      </c>
      <c r="M10" s="106">
        <v>0</v>
      </c>
      <c r="N10" s="106">
        <v>0</v>
      </c>
      <c r="O10" s="106">
        <v>0</v>
      </c>
      <c r="P10" s="106">
        <v>0</v>
      </c>
      <c r="Q10" s="106">
        <v>0</v>
      </c>
      <c r="R10" s="106">
        <v>0</v>
      </c>
      <c r="S10" s="106">
        <v>0</v>
      </c>
      <c r="T10" s="106">
        <v>0</v>
      </c>
      <c r="U10" s="106">
        <v>0</v>
      </c>
      <c r="V10" s="106">
        <v>0</v>
      </c>
      <c r="W10" s="106">
        <v>0</v>
      </c>
      <c r="X10" s="106">
        <v>0</v>
      </c>
      <c r="Y10" s="106">
        <v>0</v>
      </c>
      <c r="Z10" s="106">
        <v>0</v>
      </c>
      <c r="AA10" s="106">
        <v>0</v>
      </c>
      <c r="AB10" s="106">
        <v>0</v>
      </c>
      <c r="AC10" s="106">
        <v>0</v>
      </c>
      <c r="AD10" s="106">
        <v>0</v>
      </c>
      <c r="AE10" s="106">
        <v>0</v>
      </c>
      <c r="AF10" s="106">
        <v>0</v>
      </c>
      <c r="AG10" s="106">
        <v>0</v>
      </c>
      <c r="AH10" s="106">
        <v>0</v>
      </c>
      <c r="AI10" s="106">
        <v>1</v>
      </c>
      <c r="AJ10" s="106">
        <v>1</v>
      </c>
      <c r="AK10" s="106">
        <v>1</v>
      </c>
      <c r="AL10" s="106">
        <v>1</v>
      </c>
      <c r="AM10" s="106">
        <v>1</v>
      </c>
      <c r="AN10" s="106">
        <v>1</v>
      </c>
    </row>
    <row r="11" spans="1:40" hidden="1" outlineLevel="1" x14ac:dyDescent="0.25">
      <c r="B11" s="39" t="str">
        <v>Scheduler</v>
      </c>
      <c r="C11" s="3"/>
      <c r="D11" s="3"/>
      <c r="E11" s="106">
        <v>0</v>
      </c>
      <c r="F11" s="106">
        <v>0</v>
      </c>
      <c r="G11" s="106">
        <v>0</v>
      </c>
      <c r="H11" s="106">
        <v>0</v>
      </c>
      <c r="I11" s="106">
        <v>0</v>
      </c>
      <c r="J11" s="106">
        <v>0</v>
      </c>
      <c r="K11" s="106">
        <v>0</v>
      </c>
      <c r="L11" s="106">
        <v>0</v>
      </c>
      <c r="M11" s="106">
        <v>0</v>
      </c>
      <c r="N11" s="106">
        <v>0</v>
      </c>
      <c r="O11" s="106">
        <v>0</v>
      </c>
      <c r="P11" s="106">
        <v>0</v>
      </c>
      <c r="Q11" s="106">
        <v>0</v>
      </c>
      <c r="R11" s="106">
        <v>0</v>
      </c>
      <c r="S11" s="106">
        <v>0</v>
      </c>
      <c r="T11" s="106">
        <v>0</v>
      </c>
      <c r="U11" s="106">
        <v>0</v>
      </c>
      <c r="V11" s="106">
        <v>0</v>
      </c>
      <c r="W11" s="106">
        <v>0</v>
      </c>
      <c r="X11" s="106">
        <v>0</v>
      </c>
      <c r="Y11" s="106">
        <v>0</v>
      </c>
      <c r="Z11" s="106">
        <v>0</v>
      </c>
      <c r="AA11" s="106">
        <v>0</v>
      </c>
      <c r="AB11" s="106">
        <v>0</v>
      </c>
      <c r="AC11" s="106">
        <v>0</v>
      </c>
      <c r="AD11" s="106">
        <v>0</v>
      </c>
      <c r="AE11" s="106">
        <v>0</v>
      </c>
      <c r="AF11" s="106">
        <v>0</v>
      </c>
      <c r="AG11" s="106">
        <v>0</v>
      </c>
      <c r="AH11" s="106">
        <v>0</v>
      </c>
      <c r="AI11" s="106">
        <v>0</v>
      </c>
      <c r="AJ11" s="106">
        <v>0</v>
      </c>
      <c r="AK11" s="106">
        <v>0</v>
      </c>
      <c r="AL11" s="106">
        <v>0</v>
      </c>
      <c r="AM11" s="106">
        <v>0</v>
      </c>
      <c r="AN11" s="106">
        <v>0</v>
      </c>
    </row>
    <row r="12" spans="1:40" hidden="1" outlineLevel="1" x14ac:dyDescent="0.25">
      <c r="B12" s="39" t="str">
        <v>Initial Consultation Expert</v>
      </c>
      <c r="C12" s="3"/>
      <c r="D12" s="3"/>
      <c r="E12" s="106">
        <v>0</v>
      </c>
      <c r="F12" s="106">
        <v>0</v>
      </c>
      <c r="G12" s="106">
        <v>0</v>
      </c>
      <c r="H12" s="106">
        <v>0</v>
      </c>
      <c r="I12" s="106">
        <v>0</v>
      </c>
      <c r="J12" s="106">
        <v>0</v>
      </c>
      <c r="K12" s="106">
        <v>0</v>
      </c>
      <c r="L12" s="106">
        <v>0</v>
      </c>
      <c r="M12" s="106">
        <v>0</v>
      </c>
      <c r="N12" s="106">
        <v>0</v>
      </c>
      <c r="O12" s="106">
        <v>0</v>
      </c>
      <c r="P12" s="106">
        <v>0</v>
      </c>
      <c r="Q12" s="106">
        <v>0</v>
      </c>
      <c r="R12" s="106">
        <v>0</v>
      </c>
      <c r="S12" s="106">
        <v>0</v>
      </c>
      <c r="T12" s="106">
        <v>0</v>
      </c>
      <c r="U12" s="106">
        <v>0</v>
      </c>
      <c r="V12" s="106">
        <v>0</v>
      </c>
      <c r="W12" s="106">
        <v>0</v>
      </c>
      <c r="X12" s="106">
        <v>0</v>
      </c>
      <c r="Y12" s="106">
        <v>0</v>
      </c>
      <c r="Z12" s="106">
        <v>0</v>
      </c>
      <c r="AA12" s="106">
        <v>0</v>
      </c>
      <c r="AB12" s="106">
        <v>0</v>
      </c>
      <c r="AC12" s="106">
        <v>0</v>
      </c>
      <c r="AD12" s="106">
        <v>0</v>
      </c>
      <c r="AE12" s="106">
        <v>0</v>
      </c>
      <c r="AF12" s="106">
        <v>0</v>
      </c>
      <c r="AG12" s="106">
        <v>0</v>
      </c>
      <c r="AH12" s="106">
        <v>0</v>
      </c>
      <c r="AI12" s="106">
        <v>0.24000000000000002</v>
      </c>
      <c r="AJ12" s="106">
        <v>0.25</v>
      </c>
      <c r="AK12" s="106">
        <v>0.26</v>
      </c>
      <c r="AL12" s="106">
        <v>0.28000000000000003</v>
      </c>
      <c r="AM12" s="106">
        <v>0.29000000000000004</v>
      </c>
      <c r="AN12" s="106">
        <v>0.3</v>
      </c>
    </row>
    <row r="13" spans="1:40" hidden="1" outlineLevel="1" x14ac:dyDescent="0.25">
      <c r="B13" s="39" t="str">
        <v>Trainer</v>
      </c>
      <c r="C13" s="3"/>
      <c r="D13" s="3"/>
      <c r="E13" s="106">
        <v>0</v>
      </c>
      <c r="F13" s="106">
        <v>0</v>
      </c>
      <c r="G13" s="106">
        <v>0</v>
      </c>
      <c r="H13" s="106">
        <v>0</v>
      </c>
      <c r="I13" s="106">
        <v>0</v>
      </c>
      <c r="J13" s="106">
        <v>0</v>
      </c>
      <c r="K13" s="106">
        <v>0</v>
      </c>
      <c r="L13" s="106">
        <v>0</v>
      </c>
      <c r="M13" s="106">
        <v>0</v>
      </c>
      <c r="N13" s="106">
        <v>0</v>
      </c>
      <c r="O13" s="106">
        <v>0</v>
      </c>
      <c r="P13" s="106">
        <v>0</v>
      </c>
      <c r="Q13" s="106">
        <v>0</v>
      </c>
      <c r="R13" s="106">
        <v>0</v>
      </c>
      <c r="S13" s="106">
        <v>0</v>
      </c>
      <c r="T13" s="106">
        <v>0</v>
      </c>
      <c r="U13" s="106">
        <v>0</v>
      </c>
      <c r="V13" s="106">
        <v>0</v>
      </c>
      <c r="W13" s="106">
        <v>0</v>
      </c>
      <c r="X13" s="106">
        <v>0</v>
      </c>
      <c r="Y13" s="106">
        <v>0</v>
      </c>
      <c r="Z13" s="106">
        <v>0</v>
      </c>
      <c r="AA13" s="106">
        <v>0</v>
      </c>
      <c r="AB13" s="106">
        <v>0</v>
      </c>
      <c r="AC13" s="106">
        <v>0</v>
      </c>
      <c r="AD13" s="106">
        <v>0</v>
      </c>
      <c r="AE13" s="106">
        <v>0</v>
      </c>
      <c r="AF13" s="106">
        <v>0</v>
      </c>
      <c r="AG13" s="106">
        <v>0</v>
      </c>
      <c r="AH13" s="106">
        <v>0.02</v>
      </c>
      <c r="AI13" s="106">
        <v>0.33</v>
      </c>
      <c r="AJ13" s="106">
        <v>0.37</v>
      </c>
      <c r="AK13" s="106">
        <v>0.4</v>
      </c>
      <c r="AL13" s="106">
        <v>0.43</v>
      </c>
      <c r="AM13" s="106">
        <v>0.47000000000000003</v>
      </c>
      <c r="AN13" s="106">
        <v>0.5</v>
      </c>
    </row>
    <row r="14" spans="1:40" hidden="1" outlineLevel="1" x14ac:dyDescent="0.25">
      <c r="B14" s="39" t="str">
        <v>Recruiter</v>
      </c>
      <c r="C14" s="3"/>
      <c r="D14" s="3"/>
      <c r="E14" s="106">
        <v>0</v>
      </c>
      <c r="F14" s="106">
        <v>0</v>
      </c>
      <c r="G14" s="106">
        <v>0</v>
      </c>
      <c r="H14" s="106">
        <v>0</v>
      </c>
      <c r="I14" s="106">
        <v>0</v>
      </c>
      <c r="J14" s="106">
        <v>0</v>
      </c>
      <c r="K14" s="106">
        <v>0</v>
      </c>
      <c r="L14" s="106">
        <v>0</v>
      </c>
      <c r="M14" s="106">
        <v>0</v>
      </c>
      <c r="N14" s="106">
        <v>0</v>
      </c>
      <c r="O14" s="106">
        <v>0</v>
      </c>
      <c r="P14" s="106">
        <v>0</v>
      </c>
      <c r="Q14" s="106">
        <v>0</v>
      </c>
      <c r="R14" s="106">
        <v>0</v>
      </c>
      <c r="S14" s="106">
        <v>0</v>
      </c>
      <c r="T14" s="106">
        <v>0</v>
      </c>
      <c r="U14" s="106">
        <v>0</v>
      </c>
      <c r="V14" s="106">
        <v>0</v>
      </c>
      <c r="W14" s="106">
        <v>0</v>
      </c>
      <c r="X14" s="106">
        <v>0</v>
      </c>
      <c r="Y14" s="106">
        <v>0</v>
      </c>
      <c r="Z14" s="106">
        <v>0</v>
      </c>
      <c r="AA14" s="106">
        <v>0</v>
      </c>
      <c r="AB14" s="106">
        <v>0</v>
      </c>
      <c r="AC14" s="106">
        <v>0</v>
      </c>
      <c r="AD14" s="106">
        <v>0</v>
      </c>
      <c r="AE14" s="106">
        <v>0</v>
      </c>
      <c r="AF14" s="106">
        <v>0</v>
      </c>
      <c r="AG14" s="106">
        <v>0</v>
      </c>
      <c r="AH14" s="106">
        <v>0.02</v>
      </c>
      <c r="AI14" s="106">
        <v>0.18000000000000002</v>
      </c>
      <c r="AJ14" s="106">
        <v>0.21000000000000002</v>
      </c>
      <c r="AK14" s="106">
        <v>0.23</v>
      </c>
      <c r="AL14" s="106">
        <v>0.26</v>
      </c>
      <c r="AM14" s="106">
        <v>0.28000000000000003</v>
      </c>
      <c r="AN14" s="106">
        <v>0.31</v>
      </c>
    </row>
    <row r="15" spans="1:40" hidden="1" outlineLevel="1" x14ac:dyDescent="0.25">
      <c r="B15" s="39" t="str">
        <v>Center Director / Remote Site Director</v>
      </c>
      <c r="C15" s="3"/>
      <c r="D15" s="3"/>
      <c r="E15" s="106">
        <v>0</v>
      </c>
      <c r="F15" s="106">
        <v>0</v>
      </c>
      <c r="G15" s="106">
        <v>0</v>
      </c>
      <c r="H15" s="106">
        <v>0</v>
      </c>
      <c r="I15" s="106">
        <v>0</v>
      </c>
      <c r="J15" s="106">
        <v>0</v>
      </c>
      <c r="K15" s="106">
        <v>0</v>
      </c>
      <c r="L15" s="106">
        <v>0</v>
      </c>
      <c r="M15" s="106">
        <v>0</v>
      </c>
      <c r="N15" s="106">
        <v>0</v>
      </c>
      <c r="O15" s="106">
        <v>0</v>
      </c>
      <c r="P15" s="106">
        <v>0</v>
      </c>
      <c r="Q15" s="106">
        <v>0</v>
      </c>
      <c r="R15" s="106">
        <v>0</v>
      </c>
      <c r="S15" s="106">
        <v>0</v>
      </c>
      <c r="T15" s="106">
        <v>0</v>
      </c>
      <c r="U15" s="106">
        <v>0</v>
      </c>
      <c r="V15" s="106">
        <v>0</v>
      </c>
      <c r="W15" s="106">
        <v>0</v>
      </c>
      <c r="X15" s="106">
        <v>0</v>
      </c>
      <c r="Y15" s="106">
        <v>0</v>
      </c>
      <c r="Z15" s="106">
        <v>0</v>
      </c>
      <c r="AA15" s="106">
        <v>0</v>
      </c>
      <c r="AB15" s="106">
        <v>0</v>
      </c>
      <c r="AC15" s="106">
        <v>0</v>
      </c>
      <c r="AD15" s="106">
        <v>0</v>
      </c>
      <c r="AE15" s="106">
        <v>0</v>
      </c>
      <c r="AF15" s="106">
        <v>0</v>
      </c>
      <c r="AG15" s="106">
        <v>0</v>
      </c>
      <c r="AH15" s="106">
        <v>0.01</v>
      </c>
      <c r="AI15" s="106">
        <v>0.02</v>
      </c>
      <c r="AJ15" s="106">
        <v>0.04</v>
      </c>
      <c r="AK15" s="106">
        <v>0.05</v>
      </c>
      <c r="AL15" s="106">
        <v>6.0000000000000005E-2</v>
      </c>
      <c r="AM15" s="106">
        <v>6.9999999999999993E-2</v>
      </c>
      <c r="AN15" s="106">
        <v>0.08</v>
      </c>
    </row>
    <row r="16" spans="1:40" hidden="1" outlineLevel="1" x14ac:dyDescent="0.25">
      <c r="B16" s="39" t="str">
        <v>Center Marketing Outreach</v>
      </c>
      <c r="C16" s="3"/>
      <c r="D16" s="3"/>
      <c r="E16" s="106">
        <v>0</v>
      </c>
      <c r="F16" s="106">
        <v>0</v>
      </c>
      <c r="G16" s="106">
        <v>0</v>
      </c>
      <c r="H16" s="106">
        <v>0</v>
      </c>
      <c r="I16" s="106">
        <v>0</v>
      </c>
      <c r="J16" s="106">
        <v>0</v>
      </c>
      <c r="K16" s="106">
        <v>0</v>
      </c>
      <c r="L16" s="106">
        <v>0</v>
      </c>
      <c r="M16" s="106">
        <v>0</v>
      </c>
      <c r="N16" s="106">
        <v>0</v>
      </c>
      <c r="O16" s="106">
        <v>0</v>
      </c>
      <c r="P16" s="106">
        <v>0</v>
      </c>
      <c r="Q16" s="106">
        <v>0</v>
      </c>
      <c r="R16" s="106">
        <v>0</v>
      </c>
      <c r="S16" s="106">
        <v>0</v>
      </c>
      <c r="T16" s="106">
        <v>0</v>
      </c>
      <c r="U16" s="106">
        <v>0</v>
      </c>
      <c r="V16" s="106">
        <v>0</v>
      </c>
      <c r="W16" s="106">
        <v>0</v>
      </c>
      <c r="X16" s="106">
        <v>0</v>
      </c>
      <c r="Y16" s="106">
        <v>0</v>
      </c>
      <c r="Z16" s="106">
        <v>0</v>
      </c>
      <c r="AA16" s="106">
        <v>0</v>
      </c>
      <c r="AB16" s="106">
        <v>0</v>
      </c>
      <c r="AC16" s="106">
        <v>0</v>
      </c>
      <c r="AD16" s="106">
        <v>0</v>
      </c>
      <c r="AE16" s="106">
        <v>0</v>
      </c>
      <c r="AF16" s="106">
        <v>0</v>
      </c>
      <c r="AG16" s="106">
        <v>0</v>
      </c>
      <c r="AH16" s="106">
        <v>0.01</v>
      </c>
      <c r="AI16" s="106">
        <v>0.02</v>
      </c>
      <c r="AJ16" s="106">
        <v>0.04</v>
      </c>
      <c r="AK16" s="106">
        <v>0.05</v>
      </c>
      <c r="AL16" s="106">
        <v>6.0000000000000005E-2</v>
      </c>
      <c r="AM16" s="106">
        <v>6.9999999999999993E-2</v>
      </c>
      <c r="AN16" s="106">
        <v>0.08</v>
      </c>
    </row>
    <row r="17" spans="2:50" hidden="1" outlineLevel="1" x14ac:dyDescent="0.25">
      <c r="B17" s="39" t="str">
        <v>Primary Direct Staff Lead</v>
      </c>
      <c r="C17" s="3"/>
      <c r="D17" s="3"/>
      <c r="E17" s="106">
        <v>0</v>
      </c>
      <c r="F17" s="106">
        <v>0</v>
      </c>
      <c r="G17" s="106">
        <v>0</v>
      </c>
      <c r="H17" s="106">
        <v>0</v>
      </c>
      <c r="I17" s="106">
        <v>0</v>
      </c>
      <c r="J17" s="106">
        <v>0</v>
      </c>
      <c r="K17" s="106">
        <v>0</v>
      </c>
      <c r="L17" s="106">
        <v>0</v>
      </c>
      <c r="M17" s="106">
        <v>0</v>
      </c>
      <c r="N17" s="106">
        <v>0</v>
      </c>
      <c r="O17" s="106">
        <v>0</v>
      </c>
      <c r="P17" s="106">
        <v>0</v>
      </c>
      <c r="Q17" s="106">
        <v>0</v>
      </c>
      <c r="R17" s="106">
        <v>0</v>
      </c>
      <c r="S17" s="106">
        <v>0</v>
      </c>
      <c r="T17" s="106">
        <v>0</v>
      </c>
      <c r="U17" s="106">
        <v>0</v>
      </c>
      <c r="V17" s="106">
        <v>0</v>
      </c>
      <c r="W17" s="106">
        <v>0</v>
      </c>
      <c r="X17" s="106">
        <v>0</v>
      </c>
      <c r="Y17" s="106">
        <v>0</v>
      </c>
      <c r="Z17" s="106">
        <v>0</v>
      </c>
      <c r="AA17" s="106">
        <v>0</v>
      </c>
      <c r="AB17" s="106">
        <v>0</v>
      </c>
      <c r="AC17" s="106">
        <v>0</v>
      </c>
      <c r="AD17" s="106">
        <v>0</v>
      </c>
      <c r="AE17" s="106">
        <v>0</v>
      </c>
      <c r="AF17" s="106">
        <v>0</v>
      </c>
      <c r="AG17" s="106">
        <v>0</v>
      </c>
      <c r="AH17" s="106">
        <v>0.2</v>
      </c>
      <c r="AI17" s="106">
        <v>0.5</v>
      </c>
      <c r="AJ17" s="106">
        <v>0.8</v>
      </c>
      <c r="AK17" s="106">
        <v>1.1000000000000001</v>
      </c>
      <c r="AL17" s="106">
        <v>1.4</v>
      </c>
      <c r="AM17" s="106">
        <v>1.7</v>
      </c>
      <c r="AN17" s="106">
        <v>2</v>
      </c>
    </row>
    <row r="18" spans="2:50" hidden="1" outlineLevel="1" x14ac:dyDescent="0.25">
      <c r="B18" s="39" t="str">
        <v>Tertiary Direct Staff</v>
      </c>
      <c r="C18" s="3"/>
      <c r="D18" s="3"/>
      <c r="E18" s="106">
        <v>0</v>
      </c>
      <c r="F18" s="106">
        <v>0</v>
      </c>
      <c r="G18" s="106">
        <v>0</v>
      </c>
      <c r="H18" s="106">
        <v>0</v>
      </c>
      <c r="I18" s="106">
        <v>0</v>
      </c>
      <c r="J18" s="106">
        <v>0</v>
      </c>
      <c r="K18" s="106">
        <v>0</v>
      </c>
      <c r="L18" s="106">
        <v>0</v>
      </c>
      <c r="M18" s="106">
        <v>0</v>
      </c>
      <c r="N18" s="106">
        <v>0</v>
      </c>
      <c r="O18" s="106">
        <v>0</v>
      </c>
      <c r="P18" s="106">
        <v>0</v>
      </c>
      <c r="Q18" s="106">
        <v>0</v>
      </c>
      <c r="R18" s="106">
        <v>0</v>
      </c>
      <c r="S18" s="106">
        <v>0</v>
      </c>
      <c r="T18" s="106">
        <v>0</v>
      </c>
      <c r="U18" s="106">
        <v>0</v>
      </c>
      <c r="V18" s="106">
        <v>0</v>
      </c>
      <c r="W18" s="106">
        <v>0</v>
      </c>
      <c r="X18" s="106">
        <v>0</v>
      </c>
      <c r="Y18" s="106">
        <v>0</v>
      </c>
      <c r="Z18" s="106">
        <v>0</v>
      </c>
      <c r="AA18" s="106">
        <v>0</v>
      </c>
      <c r="AB18" s="106">
        <v>0</v>
      </c>
      <c r="AC18" s="106">
        <v>0</v>
      </c>
      <c r="AD18" s="106">
        <v>0</v>
      </c>
      <c r="AE18" s="106">
        <v>0</v>
      </c>
      <c r="AF18" s="106">
        <v>0</v>
      </c>
      <c r="AG18" s="106">
        <v>0</v>
      </c>
      <c r="AH18" s="106">
        <v>0</v>
      </c>
      <c r="AI18" s="106">
        <v>0</v>
      </c>
      <c r="AJ18" s="106">
        <v>0</v>
      </c>
      <c r="AK18" s="106">
        <v>0</v>
      </c>
      <c r="AL18" s="106">
        <v>0</v>
      </c>
      <c r="AM18" s="106">
        <v>0</v>
      </c>
      <c r="AN18" s="106">
        <v>0</v>
      </c>
    </row>
    <row r="19" spans="2:50" hidden="1" outlineLevel="1" x14ac:dyDescent="0.25">
      <c r="B19" s="39" t="str">
        <v>Quinary Direct Staff</v>
      </c>
      <c r="C19" s="3"/>
      <c r="D19" s="3"/>
      <c r="E19" s="106">
        <v>0</v>
      </c>
      <c r="F19" s="106">
        <v>0</v>
      </c>
      <c r="G19" s="106">
        <v>0</v>
      </c>
      <c r="H19" s="106">
        <v>0</v>
      </c>
      <c r="I19" s="106">
        <v>0</v>
      </c>
      <c r="J19" s="106">
        <v>0</v>
      </c>
      <c r="K19" s="106">
        <v>0</v>
      </c>
      <c r="L19" s="106">
        <v>0</v>
      </c>
      <c r="M19" s="106">
        <v>0</v>
      </c>
      <c r="N19" s="106">
        <v>0</v>
      </c>
      <c r="O19" s="106">
        <v>0</v>
      </c>
      <c r="P19" s="106">
        <v>0</v>
      </c>
      <c r="Q19" s="106">
        <v>0</v>
      </c>
      <c r="R19" s="106">
        <v>0</v>
      </c>
      <c r="S19" s="106">
        <v>0</v>
      </c>
      <c r="T19" s="106">
        <v>0</v>
      </c>
      <c r="U19" s="106">
        <v>0</v>
      </c>
      <c r="V19" s="106">
        <v>0</v>
      </c>
      <c r="W19" s="106">
        <v>0</v>
      </c>
      <c r="X19" s="106">
        <v>0</v>
      </c>
      <c r="Y19" s="106">
        <v>0</v>
      </c>
      <c r="Z19" s="106">
        <v>0</v>
      </c>
      <c r="AA19" s="106">
        <v>0</v>
      </c>
      <c r="AB19" s="106">
        <v>0</v>
      </c>
      <c r="AC19" s="106">
        <v>0</v>
      </c>
      <c r="AD19" s="106">
        <v>0</v>
      </c>
      <c r="AE19" s="106">
        <v>0</v>
      </c>
      <c r="AF19" s="106">
        <v>0</v>
      </c>
      <c r="AG19" s="106">
        <v>0</v>
      </c>
      <c r="AH19" s="106">
        <v>0</v>
      </c>
      <c r="AI19" s="106">
        <v>0</v>
      </c>
      <c r="AJ19" s="106">
        <v>0</v>
      </c>
      <c r="AK19" s="106">
        <v>0</v>
      </c>
      <c r="AL19" s="106">
        <v>0</v>
      </c>
      <c r="AM19" s="106">
        <v>0</v>
      </c>
      <c r="AN19" s="106">
        <v>0</v>
      </c>
    </row>
    <row r="20" spans="2:50" hidden="1" outlineLevel="1" x14ac:dyDescent="0.25">
      <c r="B20" s="39" t="str">
        <v>Quaternary Direct Staff</v>
      </c>
      <c r="C20" s="3"/>
      <c r="D20" s="3"/>
      <c r="E20" s="106">
        <v>0</v>
      </c>
      <c r="F20" s="106">
        <v>0</v>
      </c>
      <c r="G20" s="106">
        <v>0</v>
      </c>
      <c r="H20" s="106">
        <v>0</v>
      </c>
      <c r="I20" s="106">
        <v>0</v>
      </c>
      <c r="J20" s="106">
        <v>0</v>
      </c>
      <c r="K20" s="106">
        <v>0</v>
      </c>
      <c r="L20" s="106">
        <v>0</v>
      </c>
      <c r="M20" s="106">
        <v>0</v>
      </c>
      <c r="N20" s="106">
        <v>0</v>
      </c>
      <c r="O20" s="106">
        <v>0</v>
      </c>
      <c r="P20" s="106">
        <v>0</v>
      </c>
      <c r="Q20" s="106">
        <v>0</v>
      </c>
      <c r="R20" s="106">
        <v>0</v>
      </c>
      <c r="S20" s="106">
        <v>0</v>
      </c>
      <c r="T20" s="106">
        <v>0</v>
      </c>
      <c r="U20" s="106">
        <v>0</v>
      </c>
      <c r="V20" s="106">
        <v>0</v>
      </c>
      <c r="W20" s="106">
        <v>0</v>
      </c>
      <c r="X20" s="106">
        <v>0</v>
      </c>
      <c r="Y20" s="106">
        <v>0</v>
      </c>
      <c r="Z20" s="106">
        <v>0</v>
      </c>
      <c r="AA20" s="106">
        <v>0</v>
      </c>
      <c r="AB20" s="106">
        <v>0</v>
      </c>
      <c r="AC20" s="106">
        <v>0</v>
      </c>
      <c r="AD20" s="106">
        <v>0</v>
      </c>
      <c r="AE20" s="106">
        <v>0</v>
      </c>
      <c r="AF20" s="106">
        <v>0</v>
      </c>
      <c r="AG20" s="106">
        <v>0</v>
      </c>
      <c r="AH20" s="106">
        <v>1</v>
      </c>
      <c r="AI20" s="106">
        <v>1</v>
      </c>
      <c r="AJ20" s="106">
        <v>1</v>
      </c>
      <c r="AK20" s="106">
        <v>1</v>
      </c>
      <c r="AL20" s="106">
        <v>1</v>
      </c>
      <c r="AM20" s="106">
        <v>1</v>
      </c>
      <c r="AN20" s="106">
        <v>1</v>
      </c>
    </row>
    <row r="21" spans="2:50" collapsed="1" x14ac:dyDescent="0.25">
      <c r="B21" s="39" t="s">
        <v>389</v>
      </c>
      <c r="C21" s="3"/>
      <c r="D21" s="5"/>
      <c r="E21" s="117" cm="1">
        <f t="array" ref="E21:AN21">ROUND(_xlfn.BYCOL(_xlfn.CHOOSEROWS(_xlfn.ANCHORARRAY(E7),1,2),_xlfn.LAMBDA(_xlpm.col,SUM(_xlpm.col))),0)</f>
        <v>0</v>
      </c>
      <c r="F21" s="117">
        <v>0</v>
      </c>
      <c r="G21" s="117">
        <v>0</v>
      </c>
      <c r="H21" s="117">
        <v>0</v>
      </c>
      <c r="I21" s="117">
        <v>0</v>
      </c>
      <c r="J21" s="117">
        <v>0</v>
      </c>
      <c r="K21" s="117">
        <v>0</v>
      </c>
      <c r="L21" s="117">
        <v>0</v>
      </c>
      <c r="M21" s="117">
        <v>0</v>
      </c>
      <c r="N21" s="117">
        <v>0</v>
      </c>
      <c r="O21" s="117">
        <v>0</v>
      </c>
      <c r="P21" s="117">
        <v>0</v>
      </c>
      <c r="Q21" s="117">
        <v>0</v>
      </c>
      <c r="R21" s="117">
        <v>0</v>
      </c>
      <c r="S21" s="117">
        <v>0</v>
      </c>
      <c r="T21" s="117">
        <v>0</v>
      </c>
      <c r="U21" s="117">
        <v>0</v>
      </c>
      <c r="V21" s="117">
        <v>0</v>
      </c>
      <c r="W21" s="117">
        <v>0</v>
      </c>
      <c r="X21" s="117">
        <v>0</v>
      </c>
      <c r="Y21" s="117">
        <v>0</v>
      </c>
      <c r="Z21" s="117">
        <v>0</v>
      </c>
      <c r="AA21" s="117">
        <v>0</v>
      </c>
      <c r="AB21" s="117">
        <v>0</v>
      </c>
      <c r="AC21" s="117">
        <v>0</v>
      </c>
      <c r="AD21" s="117">
        <v>0</v>
      </c>
      <c r="AE21" s="117">
        <v>0</v>
      </c>
      <c r="AF21" s="117">
        <v>0</v>
      </c>
      <c r="AG21" s="117">
        <v>0</v>
      </c>
      <c r="AH21" s="117">
        <v>2</v>
      </c>
      <c r="AI21" s="117">
        <v>5</v>
      </c>
      <c r="AJ21" s="117">
        <v>9</v>
      </c>
      <c r="AK21" s="117">
        <v>12</v>
      </c>
      <c r="AL21" s="117">
        <v>15</v>
      </c>
      <c r="AM21" s="117">
        <v>18</v>
      </c>
      <c r="AN21" s="117">
        <v>22</v>
      </c>
    </row>
    <row r="22" spans="2:50" x14ac:dyDescent="0.25">
      <c r="B22" s="2" t="s">
        <v>394</v>
      </c>
      <c r="C22" s="3"/>
      <c r="D22" s="77">
        <f>MAX(_xlfn.ANCHORARRAY(E22))</f>
        <v>95.980542519553097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0</v>
      </c>
      <c r="F22" s="78">
        <v>0</v>
      </c>
      <c r="G22" s="78">
        <v>0</v>
      </c>
      <c r="H22" s="78">
        <v>0</v>
      </c>
      <c r="I22" s="78">
        <v>0</v>
      </c>
      <c r="J22" s="78">
        <v>0</v>
      </c>
      <c r="K22" s="78">
        <v>0</v>
      </c>
      <c r="L22" s="78">
        <v>0</v>
      </c>
      <c r="M22" s="78">
        <v>0</v>
      </c>
      <c r="N22" s="78">
        <v>0</v>
      </c>
      <c r="O22" s="78">
        <v>0</v>
      </c>
      <c r="P22" s="78">
        <v>0</v>
      </c>
      <c r="Q22" s="78">
        <v>0</v>
      </c>
      <c r="R22" s="78">
        <v>0</v>
      </c>
      <c r="S22" s="78">
        <v>0</v>
      </c>
      <c r="T22" s="78">
        <v>0</v>
      </c>
      <c r="U22" s="78">
        <v>0</v>
      </c>
      <c r="V22" s="78">
        <v>0</v>
      </c>
      <c r="W22" s="78">
        <v>0</v>
      </c>
      <c r="X22" s="78">
        <v>0</v>
      </c>
      <c r="Y22" s="78">
        <v>0</v>
      </c>
      <c r="Z22" s="78">
        <v>0</v>
      </c>
      <c r="AA22" s="78">
        <v>0</v>
      </c>
      <c r="AB22" s="78">
        <v>0</v>
      </c>
      <c r="AC22" s="78">
        <v>0</v>
      </c>
      <c r="AD22" s="78">
        <v>0</v>
      </c>
      <c r="AE22" s="78">
        <v>0</v>
      </c>
      <c r="AF22" s="78">
        <v>0</v>
      </c>
      <c r="AG22" s="78">
        <v>0</v>
      </c>
      <c r="AH22" s="78">
        <v>95.980542519553097</v>
      </c>
      <c r="AI22" s="78">
        <v>95.980542519553097</v>
      </c>
      <c r="AJ22" s="78">
        <v>95.980542519553097</v>
      </c>
      <c r="AK22" s="78">
        <v>95.980542519553097</v>
      </c>
      <c r="AL22" s="78">
        <v>95.980542519553097</v>
      </c>
      <c r="AM22" s="78">
        <v>95.980542519553097</v>
      </c>
      <c r="AN22" s="78">
        <v>95.980542519553097</v>
      </c>
    </row>
    <row r="23" spans="2:50" x14ac:dyDescent="0.25">
      <c r="B23" s="2" t="s">
        <v>53</v>
      </c>
      <c r="C23" s="3"/>
      <c r="D23" s="72"/>
      <c r="E23" s="52" cm="1">
        <f t="array" ref="E23:AN23">_xlfn.LET(_xlpm.site,$B$1&amp;"-"&amp;$C$1,_xlpm.locations,Base!$D$4:$BD$4,_xlpm.Customer,_xlfn.ANCHORARRAY(E1),_xlpm.hours,SUM(_xlfn.XLOOKUP(_xlpm.site,_xlpm.locations,Base!$D$74:$BD$78,0,0)),
_xlpm.collection,1-_xlfn.XLOOKUP(_xlpm.site,_xlpm.locations,Base!$D$26:$BD$26,0,0),
_xlpm.Customer*_xlpm.hours*_xlpm.collection*(52/12))</f>
        <v>0</v>
      </c>
      <c r="F23" s="52">
        <v>0</v>
      </c>
      <c r="G23" s="52">
        <v>0</v>
      </c>
      <c r="H23" s="52">
        <v>0</v>
      </c>
      <c r="I23" s="52">
        <v>0</v>
      </c>
      <c r="J23" s="52">
        <v>0</v>
      </c>
      <c r="K23" s="52">
        <v>0</v>
      </c>
      <c r="L23" s="52">
        <v>0</v>
      </c>
      <c r="M23" s="52">
        <v>0</v>
      </c>
      <c r="N23" s="52">
        <v>0</v>
      </c>
      <c r="O23" s="52">
        <v>0</v>
      </c>
      <c r="P23" s="52">
        <v>0</v>
      </c>
      <c r="Q23" s="52">
        <v>0</v>
      </c>
      <c r="R23" s="52">
        <v>0</v>
      </c>
      <c r="S23" s="52">
        <v>0</v>
      </c>
      <c r="T23" s="52">
        <v>0</v>
      </c>
      <c r="U23" s="52">
        <v>0</v>
      </c>
      <c r="V23" s="52">
        <v>0</v>
      </c>
      <c r="W23" s="52">
        <v>0</v>
      </c>
      <c r="X23" s="52">
        <v>0</v>
      </c>
      <c r="Y23" s="52">
        <v>0</v>
      </c>
      <c r="Z23" s="52">
        <v>0</v>
      </c>
      <c r="AA23" s="52">
        <v>0</v>
      </c>
      <c r="AB23" s="52">
        <v>0</v>
      </c>
      <c r="AC23" s="52">
        <v>0</v>
      </c>
      <c r="AD23" s="52">
        <v>0</v>
      </c>
      <c r="AE23" s="52">
        <v>0</v>
      </c>
      <c r="AF23" s="52">
        <v>0</v>
      </c>
      <c r="AG23" s="52">
        <v>0</v>
      </c>
      <c r="AH23" s="52">
        <v>210.02666666666664</v>
      </c>
      <c r="AI23" s="52">
        <v>525.06666666666661</v>
      </c>
      <c r="AJ23" s="52">
        <v>840.10666666666657</v>
      </c>
      <c r="AK23" s="52">
        <v>1155.1466666666665</v>
      </c>
      <c r="AL23" s="52">
        <v>1470.1866666666665</v>
      </c>
      <c r="AM23" s="52">
        <v>1785.2266666666665</v>
      </c>
      <c r="AN23" s="52">
        <v>2100.2666666666664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21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_xlfn.LET(_xlpm.site,$B$1&amp;"-"&amp;$C$1,_xlpm.locations,Base!$D$4:$BD$4,_xlpm.rates,Base!$D31:$BD31,_xlpm.hours,Base!$D74:$BD74,_xlpm.comp,_xlpm.rates*_xlpm.hours,_xlpm.Customer,_xlfn.ANCHORARRAY($E$1),
_xlpm.Customer_comp,_xlfn.XLOOKUP(_xlpm.site,_xlpm.locations,_xlpm.comp,0,0),_xlpm.ann_incr,_xlfn.XLOOKUP(YEAR(_xlfn.ANCHORARRAY($E$25)),Base!$BJ$4:$BL$4,Base!$BJ74:$BL74,0,0),
_xlpm.bad_debt,_xlfn.XLOOKUP(_xlpm.site,_xlpm.locations,Base!$D$28:$BD$28,0,0),_xlpm.Customer_comp*_xlpm.Customer*_xlpm.bad_debt*_xlpm.ann_incr*(52/12))</f>
        <v>0</v>
      </c>
      <c r="F26" s="12">
        <v>0</v>
      </c>
      <c r="G26" s="12">
        <v>0</v>
      </c>
      <c r="H26" s="12">
        <v>0</v>
      </c>
      <c r="I26" s="12">
        <v>0</v>
      </c>
      <c r="J26" s="12">
        <v>0</v>
      </c>
      <c r="K26" s="12">
        <v>0</v>
      </c>
      <c r="L26" s="12">
        <v>0</v>
      </c>
      <c r="M26" s="12">
        <v>0</v>
      </c>
      <c r="N26" s="12">
        <v>0</v>
      </c>
      <c r="O26" s="12">
        <v>0</v>
      </c>
      <c r="P26" s="12">
        <v>0</v>
      </c>
      <c r="Q26" s="12">
        <v>0</v>
      </c>
      <c r="R26" s="12">
        <v>0</v>
      </c>
      <c r="S26" s="12">
        <v>0</v>
      </c>
      <c r="T26" s="12">
        <v>0</v>
      </c>
      <c r="U26" s="12">
        <v>0</v>
      </c>
      <c r="V26" s="12">
        <v>0</v>
      </c>
      <c r="W26" s="12">
        <v>0</v>
      </c>
      <c r="X26" s="12">
        <v>0</v>
      </c>
      <c r="Y26" s="12">
        <v>0</v>
      </c>
      <c r="Z26" s="12">
        <v>0</v>
      </c>
      <c r="AA26" s="12">
        <v>0</v>
      </c>
      <c r="AB26" s="12">
        <v>0</v>
      </c>
      <c r="AC26" s="12">
        <v>0</v>
      </c>
      <c r="AD26" s="12">
        <v>0</v>
      </c>
      <c r="AE26" s="12">
        <v>0</v>
      </c>
      <c r="AF26" s="12">
        <v>0</v>
      </c>
      <c r="AG26" s="12">
        <v>0</v>
      </c>
      <c r="AH26" s="12">
        <v>15641.71017552</v>
      </c>
      <c r="AI26" s="12">
        <v>39104.275438800003</v>
      </c>
      <c r="AJ26" s="12">
        <v>62566.84070208</v>
      </c>
      <c r="AK26" s="12">
        <v>86029.405965359998</v>
      </c>
      <c r="AL26" s="12">
        <v>109491.97122864</v>
      </c>
      <c r="AM26" s="12">
        <v>132954.53649192001</v>
      </c>
      <c r="AN26" s="12">
        <v>156417.10175520001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_xlfn.LET(_xlpm.site,$B$1&amp;"-"&amp;$C$1,_xlpm.locations,Base!$D$4:$BD$4,_xlpm.rates,Base!$D32:$BD32,_xlpm.hours,Base!$D75:$BD75,_xlpm.comp,_xlpm.rates*_xlpm.hours,_xlpm.Customer,_xlfn.ANCHORARRAY($E$1),
_xlpm.Customer_comp,_xlfn.XLOOKUP(_xlpm.site,_xlpm.locations,_xlpm.comp,0,0),_xlpm.ann_incr,_xlfn.XLOOKUP(YEAR(_xlfn.ANCHORARRAY($E$25)),Base!$BJ$4:$BL$4,Base!$BJ75:$BL75,0,0),
_xlpm.bad_debt,_xlfn.XLOOKUP(_xlpm.site,_xlpm.locations,Base!$D$28:$BD$28,0,0),_xlpm.Customer_comp*_xlpm.Customer*_xlpm.bad_debt*_xlpm.ann_incr*(52/12))</f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12">
        <v>0</v>
      </c>
      <c r="AA27" s="12">
        <v>0</v>
      </c>
      <c r="AB27" s="12">
        <v>0</v>
      </c>
      <c r="AC27" s="12">
        <v>0</v>
      </c>
      <c r="AD27" s="12">
        <v>0</v>
      </c>
      <c r="AE27" s="12">
        <v>0</v>
      </c>
      <c r="AF27" s="12">
        <v>0</v>
      </c>
      <c r="AG27" s="12">
        <v>0</v>
      </c>
      <c r="AH27" s="12">
        <v>1032.5442483199997</v>
      </c>
      <c r="AI27" s="12">
        <v>2581.3606207999992</v>
      </c>
      <c r="AJ27" s="12">
        <v>4130.1769932799989</v>
      </c>
      <c r="AK27" s="12">
        <v>5678.9933657599995</v>
      </c>
      <c r="AL27" s="12">
        <v>7227.8097382399992</v>
      </c>
      <c r="AM27" s="12">
        <v>8776.6261107199989</v>
      </c>
      <c r="AN27" s="12">
        <v>10325.442483199997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_xlfn.LET(_xlpm.site,$B$1&amp;"-"&amp;$C$1,_xlpm.locations,Base!$D$4:$BD$4,_xlpm.rates,Base!$D33:$BD33,_xlpm.hours,Base!$D76:$BD76,_xlpm.comp,_xlpm.rates*_xlpm.hours,_xlpm.Customer,_xlfn.ANCHORARRAY($E$1),
_xlpm.Customer_comp,_xlfn.XLOOKUP(_xlpm.site,_xlpm.locations,_xlpm.comp,0,0),_xlpm.ann_incr,_xlfn.XLOOKUP(YEAR(_xlfn.ANCHORARRAY($E$25)),Base!$BJ$4:$BL$4,Base!$BJ76:$BL76,0,0),
_xlpm.bad_debt,_xlfn.XLOOKUP(_xlpm.site,_xlpm.locations,Base!$D$28:$BD$28,0,0),_xlpm.Customer_comp*_xlpm.Customer*_xlpm.bad_debt*_xlpm.ann_incr*(52/12))</f>
        <v>0</v>
      </c>
      <c r="F28" s="12">
        <v>0</v>
      </c>
      <c r="G28" s="12">
        <v>0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0</v>
      </c>
      <c r="N28" s="12">
        <v>0</v>
      </c>
      <c r="O28" s="12">
        <v>0</v>
      </c>
      <c r="P28" s="12">
        <v>0</v>
      </c>
      <c r="Q28" s="12">
        <v>0</v>
      </c>
      <c r="R28" s="12">
        <v>0</v>
      </c>
      <c r="S28" s="12">
        <v>0</v>
      </c>
      <c r="T28" s="12">
        <v>0</v>
      </c>
      <c r="U28" s="12">
        <v>0</v>
      </c>
      <c r="V28" s="12">
        <v>0</v>
      </c>
      <c r="W28" s="12">
        <v>0</v>
      </c>
      <c r="X28" s="12">
        <v>0</v>
      </c>
      <c r="Y28" s="12">
        <v>0</v>
      </c>
      <c r="Z28" s="12">
        <v>0</v>
      </c>
      <c r="AA28" s="12">
        <v>0</v>
      </c>
      <c r="AB28" s="12">
        <v>0</v>
      </c>
      <c r="AC28" s="12">
        <v>0</v>
      </c>
      <c r="AD28" s="12">
        <v>0</v>
      </c>
      <c r="AE28" s="12">
        <v>0</v>
      </c>
      <c r="AF28" s="12">
        <v>0</v>
      </c>
      <c r="AG28" s="12">
        <v>0</v>
      </c>
      <c r="AH28" s="12">
        <v>4265.9209569599998</v>
      </c>
      <c r="AI28" s="12">
        <v>10664.802392399999</v>
      </c>
      <c r="AJ28" s="12">
        <v>17063.683827839999</v>
      </c>
      <c r="AK28" s="12">
        <v>23462.565263280005</v>
      </c>
      <c r="AL28" s="12">
        <v>29861.446698719999</v>
      </c>
      <c r="AM28" s="12">
        <v>36260.328134159994</v>
      </c>
      <c r="AN28" s="12">
        <v>42659.209569599996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_xlfn.LET(_xlpm.site,$B$1&amp;"-"&amp;$C$1,_xlpm.locations,Base!$D$4:$BD$4,_xlpm.rates,Base!$D34:$BD34,_xlpm.hours,Base!$D77:$BD77,_xlpm.comp,_xlpm.rates*_xlpm.hours,_xlpm.Customer,_xlfn.ANCHORARRAY($E$1),
_xlpm.Customer_comp,_xlfn.XLOOKUP(_xlpm.site,_xlpm.locations,_xlpm.comp,0,0),_xlpm.ann_incr,_xlfn.XLOOKUP(YEAR(_xlfn.ANCHORARRAY($E$25)),Base!$BJ$4:$BL$4,Base!$BJ77:$BL77,0,0),
_xlpm.bad_debt,_xlfn.XLOOKUP(_xlpm.site,_xlpm.locations,Base!$D$28:$BD$28,0,0),_xlpm.Customer_comp*_xlpm.Customer*_xlpm.bad_debt*_xlpm.ann_incr*(52/12))</f>
        <v>0</v>
      </c>
      <c r="F29" s="12">
        <v>0</v>
      </c>
      <c r="G29" s="12">
        <v>0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0</v>
      </c>
      <c r="N29" s="12">
        <v>0</v>
      </c>
      <c r="O29" s="12">
        <v>0</v>
      </c>
      <c r="P29" s="12">
        <v>0</v>
      </c>
      <c r="Q29" s="12">
        <v>0</v>
      </c>
      <c r="R29" s="12">
        <v>0</v>
      </c>
      <c r="S29" s="12">
        <v>0</v>
      </c>
      <c r="T29" s="12">
        <v>0</v>
      </c>
      <c r="U29" s="12">
        <v>0</v>
      </c>
      <c r="V29" s="12">
        <v>0</v>
      </c>
      <c r="W29" s="12">
        <v>0</v>
      </c>
      <c r="X29" s="12">
        <v>0</v>
      </c>
      <c r="Y29" s="12">
        <v>0</v>
      </c>
      <c r="Z29" s="12">
        <v>0</v>
      </c>
      <c r="AA29" s="12">
        <v>0</v>
      </c>
      <c r="AB29" s="12">
        <v>0</v>
      </c>
      <c r="AC29" s="12">
        <v>0</v>
      </c>
      <c r="AD29" s="12">
        <v>0</v>
      </c>
      <c r="AE29" s="12">
        <v>0</v>
      </c>
      <c r="AF29" s="12">
        <v>0</v>
      </c>
      <c r="AG29" s="12">
        <v>0</v>
      </c>
      <c r="AH29" s="12">
        <v>178.96634807999999</v>
      </c>
      <c r="AI29" s="12">
        <v>447.41587020000009</v>
      </c>
      <c r="AJ29" s="12">
        <v>715.86539231999996</v>
      </c>
      <c r="AK29" s="12">
        <v>984.31491443999994</v>
      </c>
      <c r="AL29" s="12">
        <v>1252.7644365599999</v>
      </c>
      <c r="AM29" s="12">
        <v>1521.2139586799999</v>
      </c>
      <c r="AN29" s="12">
        <v>1789.6634808000003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_xlfn.LET(_xlpm.site,$B$1&amp;"-"&amp;$C$1,_xlpm.locations,Base!$D$4:$BD$4,_xlpm.rates,Base!$D35:$BD35,_xlpm.hours,Base!$D78:$BD78,_xlpm.comp,_xlpm.rates*_xlpm.hours,_xlpm.Customer,_xlfn.ANCHORARRAY($E$1),
_xlpm.Customer_comp,_xlfn.XLOOKUP(_xlpm.site,_xlpm.locations,_xlpm.comp,0,0),_xlpm.ann_incr,_xlfn.XLOOKUP(YEAR(_xlfn.ANCHORARRAY($E$25)),Base!$BJ$4:$BL$4,Base!$BJ78:$BL78,0,0),
_xlpm.bad_debt,_xlfn.XLOOKUP(_xlpm.site,_xlpm.locations,Base!$D$28:$BD$28,0,0),_xlpm.Customer_comp*_xlpm.Customer*_xlpm.bad_debt*_xlpm.ann_incr*(52/12))</f>
        <v>0</v>
      </c>
      <c r="F30" s="12">
        <v>0</v>
      </c>
      <c r="G30" s="12">
        <v>0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0</v>
      </c>
      <c r="N30" s="12">
        <v>0</v>
      </c>
      <c r="O30" s="12">
        <v>0</v>
      </c>
      <c r="P30" s="12">
        <v>0</v>
      </c>
      <c r="Q30" s="12">
        <v>0</v>
      </c>
      <c r="R30" s="12">
        <v>0</v>
      </c>
      <c r="S30" s="12">
        <v>0</v>
      </c>
      <c r="T30" s="12">
        <v>0</v>
      </c>
      <c r="U30" s="12">
        <v>0</v>
      </c>
      <c r="V30" s="12">
        <v>0</v>
      </c>
      <c r="W30" s="12">
        <v>0</v>
      </c>
      <c r="X30" s="12">
        <v>0</v>
      </c>
      <c r="Y30" s="12">
        <v>0</v>
      </c>
      <c r="Z30" s="12">
        <v>0</v>
      </c>
      <c r="AA30" s="12">
        <v>0</v>
      </c>
      <c r="AB30" s="12">
        <v>0</v>
      </c>
      <c r="AC30" s="12">
        <v>0</v>
      </c>
      <c r="AD30" s="12">
        <v>0</v>
      </c>
      <c r="AE30" s="12">
        <v>0</v>
      </c>
      <c r="AF30" s="12">
        <v>0</v>
      </c>
      <c r="AG30" s="12">
        <v>0</v>
      </c>
      <c r="AH30" s="12">
        <v>413.77305023999998</v>
      </c>
      <c r="AI30" s="12">
        <v>1034.4326255999999</v>
      </c>
      <c r="AJ30" s="12">
        <v>1655.0922009599999</v>
      </c>
      <c r="AK30" s="12">
        <v>2275.7517763199999</v>
      </c>
      <c r="AL30" s="12">
        <v>2896.4113516799994</v>
      </c>
      <c r="AM30" s="12">
        <v>3517.0709270399998</v>
      </c>
      <c r="AN30" s="12">
        <v>4137.7305023999998</v>
      </c>
    </row>
    <row r="31" spans="2:50" x14ac:dyDescent="0.25">
      <c r="B31" s="39" t="str">
        <f>Base!B36</f>
        <v>Tertiary Direct Staff - Service A</v>
      </c>
      <c r="C31" s="4"/>
      <c r="E31" s="183" cm="1">
        <f t="array" ref="E31:AN31">_xlfn.LET(_xlpm.site,$B$1&amp;"-"&amp;$C$1,_xlpm.locations,Base!$D$4:$BD$4,_xlpm.rates,Base!$D36:$BD36,_xlpm.hours,Base!$D79:$BD79,_xlpm.comp,_xlpm.rates*_xlpm.hours,_xlpm.Customer,_xlfn.ANCHORARRAY($E$1)*0,
_xlpm.Customer_comp,_xlfn.XLOOKUP(_xlpm.site,_xlpm.locations,_xlpm.comp,0,0),_xlpm.ann_incr,_xlfn.XLOOKUP(YEAR(_xlfn.ANCHORARRAY($E$25)),Base!$BJ$4:$BL$4,Base!$BJ79:$BL79,0,0),
_xlpm.bad_debt,_xlfn.XLOOKUP(_xlpm.site,_xlpm.locations,Base!$D$28:$BD$28,0,0),_xlpm.Customer_comp*_xlpm.Customer*_xlpm.bad_debt*_xlpm.ann_incr*(52/12))</f>
        <v>0</v>
      </c>
      <c r="F31" s="183">
        <v>0</v>
      </c>
      <c r="G31" s="183">
        <v>0</v>
      </c>
      <c r="H31" s="183">
        <v>0</v>
      </c>
      <c r="I31" s="183">
        <v>0</v>
      </c>
      <c r="J31" s="183">
        <v>0</v>
      </c>
      <c r="K31" s="183">
        <v>0</v>
      </c>
      <c r="L31" s="183">
        <v>0</v>
      </c>
      <c r="M31" s="183">
        <v>0</v>
      </c>
      <c r="N31" s="183">
        <v>0</v>
      </c>
      <c r="O31" s="183">
        <v>0</v>
      </c>
      <c r="P31" s="183">
        <v>0</v>
      </c>
      <c r="Q31" s="183">
        <v>0</v>
      </c>
      <c r="R31" s="183">
        <v>0</v>
      </c>
      <c r="S31" s="183">
        <v>0</v>
      </c>
      <c r="T31" s="183">
        <v>0</v>
      </c>
      <c r="U31" s="183">
        <v>0</v>
      </c>
      <c r="V31" s="183">
        <v>0</v>
      </c>
      <c r="W31" s="183">
        <v>0</v>
      </c>
      <c r="X31" s="183">
        <v>0</v>
      </c>
      <c r="Y31" s="183">
        <v>0</v>
      </c>
      <c r="Z31" s="183">
        <v>0</v>
      </c>
      <c r="AA31" s="183">
        <v>0</v>
      </c>
      <c r="AB31" s="183">
        <v>0</v>
      </c>
      <c r="AC31" s="183">
        <v>0</v>
      </c>
      <c r="AD31" s="183">
        <v>0</v>
      </c>
      <c r="AE31" s="183">
        <v>0</v>
      </c>
      <c r="AF31" s="183">
        <v>0</v>
      </c>
      <c r="AG31" s="183">
        <v>0</v>
      </c>
      <c r="AH31" s="183">
        <v>0</v>
      </c>
      <c r="AI31" s="183">
        <v>0</v>
      </c>
      <c r="AJ31" s="183">
        <v>0</v>
      </c>
      <c r="AK31" s="183">
        <v>0</v>
      </c>
      <c r="AL31" s="183">
        <v>0</v>
      </c>
      <c r="AM31" s="183">
        <v>0</v>
      </c>
      <c r="AN31" s="183">
        <v>0</v>
      </c>
    </row>
    <row r="32" spans="2:50" x14ac:dyDescent="0.25">
      <c r="B32" s="39" t="str">
        <f>Base!B37</f>
        <v>Tertiary Direct Staff - Service B</v>
      </c>
      <c r="C32" s="4"/>
      <c r="E32" s="183" cm="1">
        <f t="array" ref="E32:AN32">_xlfn.LET(_xlpm.site,$B$1&amp;"-"&amp;$C$1,_xlpm.locations,Base!$D$4:$BD$4,_xlpm.rates,Base!$D37:$BD37,_xlpm.hours,Base!$D80:$BD80,_xlpm.comp,_xlpm.rates*_xlpm.hours,_xlpm.Customer,_xlfn.ANCHORARRAY($E$1)*0,
_xlpm.Customer_comp,_xlfn.XLOOKUP(_xlpm.site,_xlpm.locations,_xlpm.comp,0,0),_xlpm.ann_incr,_xlfn.XLOOKUP(YEAR(_xlfn.ANCHORARRAY($E$25)),Base!$BJ$4:$BL$4,Base!$BJ80:$BL80,0,0),
_xlpm.bad_debt,_xlfn.XLOOKUP(_xlpm.site,_xlpm.locations,Base!$D$28:$BD$28,0,0),_xlpm.Customer_comp*_xlpm.Customer*_xlpm.bad_debt*_xlpm.ann_incr*(52/12))</f>
        <v>0</v>
      </c>
      <c r="F32" s="183">
        <v>0</v>
      </c>
      <c r="G32" s="183">
        <v>0</v>
      </c>
      <c r="H32" s="183">
        <v>0</v>
      </c>
      <c r="I32" s="183">
        <v>0</v>
      </c>
      <c r="J32" s="183">
        <v>0</v>
      </c>
      <c r="K32" s="183">
        <v>0</v>
      </c>
      <c r="L32" s="183">
        <v>0</v>
      </c>
      <c r="M32" s="183">
        <v>0</v>
      </c>
      <c r="N32" s="183">
        <v>0</v>
      </c>
      <c r="O32" s="183">
        <v>0</v>
      </c>
      <c r="P32" s="183">
        <v>0</v>
      </c>
      <c r="Q32" s="183">
        <v>0</v>
      </c>
      <c r="R32" s="183">
        <v>0</v>
      </c>
      <c r="S32" s="183">
        <v>0</v>
      </c>
      <c r="T32" s="183">
        <v>0</v>
      </c>
      <c r="U32" s="183">
        <v>0</v>
      </c>
      <c r="V32" s="183">
        <v>0</v>
      </c>
      <c r="W32" s="183">
        <v>0</v>
      </c>
      <c r="X32" s="183">
        <v>0</v>
      </c>
      <c r="Y32" s="183">
        <v>0</v>
      </c>
      <c r="Z32" s="183">
        <v>0</v>
      </c>
      <c r="AA32" s="183">
        <v>0</v>
      </c>
      <c r="AB32" s="183">
        <v>0</v>
      </c>
      <c r="AC32" s="183">
        <v>0</v>
      </c>
      <c r="AD32" s="183">
        <v>0</v>
      </c>
      <c r="AE32" s="183">
        <v>0</v>
      </c>
      <c r="AF32" s="183">
        <v>0</v>
      </c>
      <c r="AG32" s="183">
        <v>0</v>
      </c>
      <c r="AH32" s="183">
        <v>0</v>
      </c>
      <c r="AI32" s="183">
        <v>0</v>
      </c>
      <c r="AJ32" s="183">
        <v>0</v>
      </c>
      <c r="AK32" s="183">
        <v>0</v>
      </c>
      <c r="AL32" s="183">
        <v>0</v>
      </c>
      <c r="AM32" s="183">
        <v>0</v>
      </c>
      <c r="AN32" s="183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_xlpm.Customer,_xlfn.ANCHORARRAY($E$2),_xlpm.ann_incr,_xlfn.XLOOKUP(YEAR(_xlfn.ANCHORARRAY($E$25)),Base!$BJ$4:$BL$4,Base!$BJ$81:$BL$81,0,0),
_xlpm.bad_debt,_xlfn.XLOOKUP(_xlpm.site,_xlpm.locations,Base!$D$28:$BD$28,0,0),
_xlpm.comp*_xlpm.bad_debt*_xlpm.ann_incr*(52/12))</f>
        <v>0</v>
      </c>
      <c r="F33" s="12">
        <v>0</v>
      </c>
      <c r="G33" s="12">
        <v>0</v>
      </c>
      <c r="H33" s="12">
        <v>0</v>
      </c>
      <c r="I33" s="12">
        <v>0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2">
        <v>0</v>
      </c>
      <c r="Y33" s="12">
        <v>0</v>
      </c>
      <c r="Z33" s="12">
        <v>0</v>
      </c>
      <c r="AA33" s="12">
        <v>0</v>
      </c>
      <c r="AB33" s="12">
        <v>0</v>
      </c>
      <c r="AC33" s="12">
        <v>0</v>
      </c>
      <c r="AD33" s="12">
        <v>0</v>
      </c>
      <c r="AE33" s="12">
        <v>0</v>
      </c>
      <c r="AF33" s="12">
        <v>0</v>
      </c>
      <c r="AG33" s="12">
        <v>0</v>
      </c>
      <c r="AH33" s="12">
        <v>25837.730524666658</v>
      </c>
      <c r="AI33" s="12">
        <v>25837.730524666658</v>
      </c>
      <c r="AJ33" s="12">
        <v>25837.730524666658</v>
      </c>
      <c r="AK33" s="12">
        <v>25837.730524666658</v>
      </c>
      <c r="AL33" s="12">
        <v>25837.730524666658</v>
      </c>
      <c r="AM33" s="12">
        <v>25837.730524666658</v>
      </c>
      <c r="AN33" s="12">
        <v>25837.730524666658</v>
      </c>
    </row>
    <row r="34" spans="2:40" x14ac:dyDescent="0.25">
      <c r="B34" s="39" t="str">
        <f>Base!B39</f>
        <v>Quinary Direct Staff - Service A</v>
      </c>
      <c r="C34" s="4"/>
      <c r="E34" s="183" cm="1">
        <f t="array" ref="E34:AN34">_xlfn.LET(_xlpm.site,$B$1&amp;"-"&amp;$C$1,_xlpm.locations,Base!$D$4:$BD$4,_xlpm.rates,Base!$D39:$BD39,_xlpm.hours,Base!$D82:$BD82,_xlpm.comp,_xlpm.rates*_xlpm.hours,_xlpm.Customer,_xlfn.ANCHORARRAY($E$1)*0,
_xlpm.Customer_comp,_xlfn.XLOOKUP(_xlpm.site,_xlpm.locations,_xlpm.comp,0,0),_xlpm.ann_incr,_xlfn.XLOOKUP(YEAR(_xlfn.ANCHORARRAY($E$25)),Base!$BJ$4:$BL$4,Base!$BJ82:$BL82,0,0),
_xlpm.bad_debt,_xlfn.XLOOKUP(_xlpm.site,_xlpm.locations,Base!$D$28:$BD$28,0,0),_xlpm.Customer_comp*_xlpm.Customer*_xlpm.bad_debt*_xlpm.ann_incr*(52/12))</f>
        <v>0</v>
      </c>
      <c r="F34" s="183">
        <v>0</v>
      </c>
      <c r="G34" s="183">
        <v>0</v>
      </c>
      <c r="H34" s="183">
        <v>0</v>
      </c>
      <c r="I34" s="183">
        <v>0</v>
      </c>
      <c r="J34" s="183">
        <v>0</v>
      </c>
      <c r="K34" s="183">
        <v>0</v>
      </c>
      <c r="L34" s="183">
        <v>0</v>
      </c>
      <c r="M34" s="183">
        <v>0</v>
      </c>
      <c r="N34" s="183">
        <v>0</v>
      </c>
      <c r="O34" s="183">
        <v>0</v>
      </c>
      <c r="P34" s="183">
        <v>0</v>
      </c>
      <c r="Q34" s="183">
        <v>0</v>
      </c>
      <c r="R34" s="183">
        <v>0</v>
      </c>
      <c r="S34" s="183">
        <v>0</v>
      </c>
      <c r="T34" s="183">
        <v>0</v>
      </c>
      <c r="U34" s="183">
        <v>0</v>
      </c>
      <c r="V34" s="183">
        <v>0</v>
      </c>
      <c r="W34" s="183">
        <v>0</v>
      </c>
      <c r="X34" s="183">
        <v>0</v>
      </c>
      <c r="Y34" s="183">
        <v>0</v>
      </c>
      <c r="Z34" s="183">
        <v>0</v>
      </c>
      <c r="AA34" s="183">
        <v>0</v>
      </c>
      <c r="AB34" s="183">
        <v>0</v>
      </c>
      <c r="AC34" s="183">
        <v>0</v>
      </c>
      <c r="AD34" s="183">
        <v>0</v>
      </c>
      <c r="AE34" s="183">
        <v>0</v>
      </c>
      <c r="AF34" s="183">
        <v>0</v>
      </c>
      <c r="AG34" s="183">
        <v>0</v>
      </c>
      <c r="AH34" s="183">
        <v>0</v>
      </c>
      <c r="AI34" s="183">
        <v>0</v>
      </c>
      <c r="AJ34" s="183">
        <v>0</v>
      </c>
      <c r="AK34" s="183">
        <v>0</v>
      </c>
      <c r="AL34" s="183">
        <v>0</v>
      </c>
      <c r="AM34" s="183">
        <v>0</v>
      </c>
      <c r="AN34" s="183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0</v>
      </c>
      <c r="F35" s="12">
        <v>0</v>
      </c>
      <c r="G35" s="12">
        <v>0</v>
      </c>
      <c r="H35" s="12">
        <v>0</v>
      </c>
      <c r="I35" s="12">
        <v>0</v>
      </c>
      <c r="J35" s="12">
        <v>0</v>
      </c>
      <c r="K35" s="12">
        <v>0</v>
      </c>
      <c r="L35" s="12">
        <v>0</v>
      </c>
      <c r="M35" s="12">
        <v>0</v>
      </c>
      <c r="N35" s="12">
        <v>0</v>
      </c>
      <c r="O35" s="12">
        <v>0</v>
      </c>
      <c r="P35" s="12">
        <v>0</v>
      </c>
      <c r="Q35" s="12">
        <v>0</v>
      </c>
      <c r="R35" s="12">
        <v>0</v>
      </c>
      <c r="S35" s="12">
        <v>0</v>
      </c>
      <c r="T35" s="12">
        <v>0</v>
      </c>
      <c r="U35" s="12">
        <v>0</v>
      </c>
      <c r="V35" s="12">
        <v>0</v>
      </c>
      <c r="W35" s="12">
        <v>0</v>
      </c>
      <c r="X35" s="12">
        <v>0</v>
      </c>
      <c r="Y35" s="12">
        <v>0</v>
      </c>
      <c r="Z35" s="12">
        <v>0</v>
      </c>
      <c r="AA35" s="12">
        <v>0</v>
      </c>
      <c r="AB35" s="12">
        <v>0</v>
      </c>
      <c r="AC35" s="12">
        <v>0</v>
      </c>
      <c r="AD35" s="12">
        <v>0</v>
      </c>
      <c r="AE35" s="12">
        <v>0</v>
      </c>
      <c r="AF35" s="12">
        <v>0</v>
      </c>
      <c r="AG35" s="12">
        <v>0</v>
      </c>
      <c r="AH35" s="12">
        <v>-5684.4774364543991</v>
      </c>
      <c r="AI35" s="12">
        <v>-9560.4020966959979</v>
      </c>
      <c r="AJ35" s="12">
        <v>-13436.3267569376</v>
      </c>
      <c r="AK35" s="12">
        <v>-17312.251417179199</v>
      </c>
      <c r="AL35" s="12">
        <v>-21188.176077420801</v>
      </c>
      <c r="AM35" s="12">
        <v>-25064.1007376624</v>
      </c>
      <c r="AN35" s="12">
        <v>-28940.025397903999</v>
      </c>
    </row>
    <row r="36" spans="2:40" x14ac:dyDescent="0.25">
      <c r="B36" s="39" t="s">
        <v>261</v>
      </c>
      <c r="C36" s="15"/>
      <c r="E36" s="183" cm="1">
        <f t="array" ref="E36:AN36">_xlfn.BYCOL(_xlfn.ANCHORARRAY($E$25),_xlfn.LAMBDA(_xlpm.a,0))</f>
        <v>0</v>
      </c>
      <c r="F36" s="183">
        <v>0</v>
      </c>
      <c r="G36" s="183">
        <v>0</v>
      </c>
      <c r="H36" s="183">
        <v>0</v>
      </c>
      <c r="I36" s="183">
        <v>0</v>
      </c>
      <c r="J36" s="183">
        <v>0</v>
      </c>
      <c r="K36" s="183">
        <v>0</v>
      </c>
      <c r="L36" s="183">
        <v>0</v>
      </c>
      <c r="M36" s="183">
        <v>0</v>
      </c>
      <c r="N36" s="183">
        <v>0</v>
      </c>
      <c r="O36" s="183">
        <v>0</v>
      </c>
      <c r="P36" s="183">
        <v>0</v>
      </c>
      <c r="Q36" s="183">
        <v>0</v>
      </c>
      <c r="R36" s="183">
        <v>0</v>
      </c>
      <c r="S36" s="183">
        <v>0</v>
      </c>
      <c r="T36" s="183">
        <v>0</v>
      </c>
      <c r="U36" s="183">
        <v>0</v>
      </c>
      <c r="V36" s="183">
        <v>0</v>
      </c>
      <c r="W36" s="183">
        <v>0</v>
      </c>
      <c r="X36" s="183">
        <v>0</v>
      </c>
      <c r="Y36" s="183">
        <v>0</v>
      </c>
      <c r="Z36" s="183">
        <v>0</v>
      </c>
      <c r="AA36" s="183">
        <v>0</v>
      </c>
      <c r="AB36" s="183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271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0</v>
      </c>
      <c r="S37" s="13">
        <v>0</v>
      </c>
      <c r="T37" s="13">
        <v>0</v>
      </c>
      <c r="U37" s="13">
        <v>0</v>
      </c>
      <c r="V37" s="13">
        <v>0</v>
      </c>
      <c r="W37" s="13">
        <v>0</v>
      </c>
      <c r="X37" s="13">
        <v>0</v>
      </c>
      <c r="Y37" s="13">
        <v>0</v>
      </c>
      <c r="Z37" s="13">
        <v>0</v>
      </c>
      <c r="AA37" s="13">
        <v>0</v>
      </c>
      <c r="AB37" s="13">
        <v>0</v>
      </c>
      <c r="AC37" s="13">
        <v>0</v>
      </c>
      <c r="AD37" s="13">
        <v>0</v>
      </c>
      <c r="AE37" s="13">
        <v>0</v>
      </c>
      <c r="AF37" s="13">
        <v>0</v>
      </c>
      <c r="AG37" s="13">
        <v>0</v>
      </c>
      <c r="AH37" s="13">
        <v>40653.623619012258</v>
      </c>
      <c r="AI37" s="13">
        <v>67528.254754970665</v>
      </c>
      <c r="AJ37" s="13">
        <v>94402.885890929057</v>
      </c>
      <c r="AK37" s="13">
        <v>121277.51702688746</v>
      </c>
      <c r="AL37" s="13">
        <v>148152.14816284587</v>
      </c>
      <c r="AM37" s="13">
        <v>175026.77929880426</v>
      </c>
      <c r="AN37" s="13">
        <v>201901.41043476266</v>
      </c>
    </row>
    <row r="38" spans="2:40" x14ac:dyDescent="0.25">
      <c r="E38" s="67"/>
      <c r="F38" s="67"/>
    </row>
    <row r="39" spans="2:40" x14ac:dyDescent="0.25">
      <c r="B39" s="1" t="s">
        <v>118</v>
      </c>
    </row>
    <row r="40" spans="2:40" x14ac:dyDescent="0.25">
      <c r="B40" s="39" t="s">
        <v>23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0</v>
      </c>
      <c r="F40" s="12">
        <v>0</v>
      </c>
      <c r="G40" s="12">
        <v>0</v>
      </c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0</v>
      </c>
      <c r="N40" s="12">
        <v>0</v>
      </c>
      <c r="O40" s="12">
        <v>0</v>
      </c>
      <c r="P40" s="12">
        <v>0</v>
      </c>
      <c r="Q40" s="12">
        <v>0</v>
      </c>
      <c r="R40" s="12">
        <v>0</v>
      </c>
      <c r="S40" s="12">
        <v>0</v>
      </c>
      <c r="T40" s="12">
        <v>0</v>
      </c>
      <c r="U40" s="12">
        <v>0</v>
      </c>
      <c r="V40" s="12">
        <v>0</v>
      </c>
      <c r="W40" s="12">
        <v>0</v>
      </c>
      <c r="X40" s="12">
        <v>0</v>
      </c>
      <c r="Y40" s="12">
        <v>0</v>
      </c>
      <c r="Z40" s="12">
        <v>0</v>
      </c>
      <c r="AA40" s="12">
        <v>0</v>
      </c>
      <c r="AB40" s="12">
        <v>0</v>
      </c>
      <c r="AC40" s="12">
        <v>0</v>
      </c>
      <c r="AD40" s="12">
        <v>0</v>
      </c>
      <c r="AE40" s="12">
        <v>0</v>
      </c>
      <c r="AF40" s="12">
        <v>0</v>
      </c>
      <c r="AG40" s="12">
        <v>0</v>
      </c>
      <c r="AH40" s="12">
        <v>41080.118867140438</v>
      </c>
      <c r="AI40" s="12">
        <v>71586.038615184429</v>
      </c>
      <c r="AJ40" s="12">
        <v>91275.180464561723</v>
      </c>
      <c r="AK40" s="12">
        <v>110647.12274993905</v>
      </c>
      <c r="AL40" s="12">
        <v>130045.61178998304</v>
      </c>
      <c r="AM40" s="12">
        <v>149442.34633002701</v>
      </c>
      <c r="AN40" s="12">
        <v>168878.61560340435</v>
      </c>
    </row>
    <row r="41" spans="2:40" x14ac:dyDescent="0.25">
      <c r="B41" s="39" t="s">
        <v>388</v>
      </c>
      <c r="C41" s="142">
        <f>_xlfn.XLOOKUP($B$1&amp;"-"&amp;$C$1,Base!$D$4:$BD$4,Base!$D$12:$BD$12,0,0)</f>
        <v>0</v>
      </c>
      <c r="E41" s="183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28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15162.775333</v>
      </c>
      <c r="AI42" s="12">
        <v>15162.775333</v>
      </c>
      <c r="AJ42" s="12">
        <v>15162.775333</v>
      </c>
      <c r="AK42" s="12">
        <v>15162.775333</v>
      </c>
      <c r="AL42" s="12">
        <v>15162.775333</v>
      </c>
      <c r="AM42" s="12">
        <v>15162.775333</v>
      </c>
      <c r="AN42" s="12">
        <v>15162.775333</v>
      </c>
    </row>
    <row r="43" spans="2:40" x14ac:dyDescent="0.25">
      <c r="B43" s="39" t="s">
        <v>31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0</v>
      </c>
      <c r="X43" s="12">
        <v>0</v>
      </c>
      <c r="Y43" s="12">
        <v>0</v>
      </c>
      <c r="Z43" s="12">
        <v>0</v>
      </c>
      <c r="AA43" s="12">
        <v>0</v>
      </c>
      <c r="AB43" s="12">
        <v>0</v>
      </c>
      <c r="AC43" s="12">
        <v>0</v>
      </c>
      <c r="AD43" s="12">
        <v>0</v>
      </c>
      <c r="AE43" s="12">
        <v>0</v>
      </c>
      <c r="AF43" s="12">
        <v>0</v>
      </c>
      <c r="AG43" s="12">
        <v>0</v>
      </c>
      <c r="AH43" s="12">
        <v>6165.1200000000008</v>
      </c>
      <c r="AI43" s="12">
        <v>6165.1200000000008</v>
      </c>
      <c r="AJ43" s="12">
        <v>6165.1200000000008</v>
      </c>
      <c r="AK43" s="12">
        <v>6165.1200000000008</v>
      </c>
      <c r="AL43" s="12">
        <v>6165.1200000000008</v>
      </c>
      <c r="AM43" s="12">
        <v>6165.1200000000008</v>
      </c>
      <c r="AN43" s="12">
        <v>6165.1200000000008</v>
      </c>
    </row>
    <row r="44" spans="2:40" x14ac:dyDescent="0.25">
      <c r="B44" s="39" t="s">
        <v>34</v>
      </c>
      <c r="C44" s="96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  <c r="O44" s="12">
        <v>0</v>
      </c>
      <c r="P44" s="12">
        <v>0</v>
      </c>
      <c r="Q44" s="12">
        <v>0</v>
      </c>
      <c r="R44" s="12">
        <v>0</v>
      </c>
      <c r="S44" s="12">
        <v>0</v>
      </c>
      <c r="T44" s="12">
        <v>0</v>
      </c>
      <c r="U44" s="12">
        <v>0</v>
      </c>
      <c r="V44" s="12">
        <v>0</v>
      </c>
      <c r="W44" s="12">
        <v>0</v>
      </c>
      <c r="X44" s="12">
        <v>0</v>
      </c>
      <c r="Y44" s="12">
        <v>0</v>
      </c>
      <c r="Z44" s="12">
        <v>0</v>
      </c>
      <c r="AA44" s="12">
        <v>0</v>
      </c>
      <c r="AB44" s="12">
        <v>0</v>
      </c>
      <c r="AC44" s="12">
        <v>0</v>
      </c>
      <c r="AD44" s="12">
        <v>0</v>
      </c>
      <c r="AE44" s="12">
        <v>0</v>
      </c>
      <c r="AF44" s="12">
        <v>0</v>
      </c>
      <c r="AG44" s="12">
        <v>0</v>
      </c>
      <c r="AH44" s="12">
        <v>386.30036224000008</v>
      </c>
      <c r="AI44" s="12">
        <v>1016.7717081600003</v>
      </c>
      <c r="AJ44" s="12">
        <v>1060.5038246400002</v>
      </c>
      <c r="AK44" s="12">
        <v>1089.6585689599999</v>
      </c>
      <c r="AL44" s="12">
        <v>1126.1019993600005</v>
      </c>
      <c r="AM44" s="12">
        <v>1158.90108672</v>
      </c>
      <c r="AN44" s="12">
        <v>1191.7001740800001</v>
      </c>
    </row>
    <row r="45" spans="2:40" x14ac:dyDescent="0.25">
      <c r="B45" s="39" t="s">
        <v>36</v>
      </c>
      <c r="C45" s="96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0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12">
        <v>0</v>
      </c>
      <c r="R45" s="12">
        <v>0</v>
      </c>
      <c r="S45" s="12">
        <v>0</v>
      </c>
      <c r="T45" s="12">
        <v>0</v>
      </c>
      <c r="U45" s="12">
        <v>0</v>
      </c>
      <c r="V45" s="12">
        <v>0</v>
      </c>
      <c r="W45" s="12">
        <v>0</v>
      </c>
      <c r="X45" s="12">
        <v>0</v>
      </c>
      <c r="Y45" s="12">
        <v>0</v>
      </c>
      <c r="Z45" s="12">
        <v>0</v>
      </c>
      <c r="AA45" s="12">
        <v>0</v>
      </c>
      <c r="AB45" s="12">
        <v>0</v>
      </c>
      <c r="AC45" s="12">
        <v>0</v>
      </c>
      <c r="AD45" s="12">
        <v>0</v>
      </c>
      <c r="AE45" s="12">
        <v>0</v>
      </c>
      <c r="AF45" s="12">
        <v>0</v>
      </c>
      <c r="AG45" s="12">
        <v>0</v>
      </c>
      <c r="AH45" s="12">
        <v>4421.7</v>
      </c>
      <c r="AI45" s="12">
        <v>4421.7</v>
      </c>
      <c r="AJ45" s="12">
        <v>4421.7</v>
      </c>
      <c r="AK45" s="12">
        <v>4421.7</v>
      </c>
      <c r="AL45" s="12">
        <v>4421.7</v>
      </c>
      <c r="AM45" s="12">
        <v>4421.7</v>
      </c>
      <c r="AN45" s="12">
        <v>4421.7</v>
      </c>
    </row>
    <row r="46" spans="2:40" x14ac:dyDescent="0.25">
      <c r="B46" s="39" t="s">
        <v>38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0</v>
      </c>
      <c r="F46" s="12">
        <v>0</v>
      </c>
      <c r="G46" s="12">
        <v>0</v>
      </c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0</v>
      </c>
      <c r="N46" s="12">
        <v>0</v>
      </c>
      <c r="O46" s="12">
        <v>0</v>
      </c>
      <c r="P46" s="12">
        <v>0</v>
      </c>
      <c r="Q46" s="12">
        <v>0</v>
      </c>
      <c r="R46" s="12">
        <v>0</v>
      </c>
      <c r="S46" s="12">
        <v>0</v>
      </c>
      <c r="T46" s="12">
        <v>0</v>
      </c>
      <c r="U46" s="12">
        <v>0</v>
      </c>
      <c r="V46" s="12">
        <v>0</v>
      </c>
      <c r="W46" s="12">
        <v>0</v>
      </c>
      <c r="X46" s="12">
        <v>0</v>
      </c>
      <c r="Y46" s="12">
        <v>0</v>
      </c>
      <c r="Z46" s="12">
        <v>0</v>
      </c>
      <c r="AA46" s="12">
        <v>0</v>
      </c>
      <c r="AB46" s="12">
        <v>0</v>
      </c>
      <c r="AC46" s="12">
        <v>0</v>
      </c>
      <c r="AD46" s="12">
        <v>0</v>
      </c>
      <c r="AE46" s="12">
        <v>0</v>
      </c>
      <c r="AF46" s="12">
        <v>0</v>
      </c>
      <c r="AG46" s="12">
        <v>0</v>
      </c>
      <c r="AH46" s="12">
        <v>2777.8679999999999</v>
      </c>
      <c r="AI46" s="12">
        <v>4151.1959999999999</v>
      </c>
      <c r="AJ46" s="12">
        <v>5105.7629999999999</v>
      </c>
      <c r="AK46" s="12">
        <v>6052.527</v>
      </c>
      <c r="AL46" s="12">
        <v>6999.2909999999993</v>
      </c>
      <c r="AM46" s="12">
        <v>7946.0550000000003</v>
      </c>
      <c r="AN46" s="12">
        <v>8895.42</v>
      </c>
    </row>
    <row r="47" spans="2:40" x14ac:dyDescent="0.25">
      <c r="B47" s="39" t="s">
        <v>40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  <c r="O47" s="12">
        <v>0</v>
      </c>
      <c r="P47" s="12">
        <v>0</v>
      </c>
      <c r="Q47" s="12">
        <v>0</v>
      </c>
      <c r="R47" s="12">
        <v>0</v>
      </c>
      <c r="S47" s="12">
        <v>0</v>
      </c>
      <c r="T47" s="12">
        <v>0</v>
      </c>
      <c r="U47" s="12">
        <v>0</v>
      </c>
      <c r="V47" s="12">
        <v>0</v>
      </c>
      <c r="W47" s="12">
        <v>0</v>
      </c>
      <c r="X47" s="12">
        <v>0</v>
      </c>
      <c r="Y47" s="12">
        <v>0</v>
      </c>
      <c r="Z47" s="12">
        <v>0</v>
      </c>
      <c r="AA47" s="12">
        <v>0</v>
      </c>
      <c r="AB47" s="12">
        <v>0</v>
      </c>
      <c r="AC47" s="12">
        <v>0</v>
      </c>
      <c r="AD47" s="12">
        <v>0</v>
      </c>
      <c r="AE47" s="12">
        <v>0</v>
      </c>
      <c r="AF47" s="12">
        <v>0</v>
      </c>
      <c r="AG47" s="12">
        <v>0</v>
      </c>
      <c r="AH47" s="12">
        <v>6339.375</v>
      </c>
      <c r="AI47" s="12">
        <v>6339.375</v>
      </c>
      <c r="AJ47" s="12">
        <v>6339.375</v>
      </c>
      <c r="AK47" s="12">
        <v>6339.375</v>
      </c>
      <c r="AL47" s="12">
        <v>6339.375</v>
      </c>
      <c r="AM47" s="12">
        <v>6339.375</v>
      </c>
      <c r="AN47" s="12">
        <v>6339.375</v>
      </c>
    </row>
    <row r="48" spans="2:40" x14ac:dyDescent="0.25">
      <c r="B48" s="39" t="s">
        <v>41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126877.11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42</v>
      </c>
      <c r="E49" s="12">
        <f>'Corp.'!E$50*(E$37-(E31-E32-E34)*$C$35)/(SUM('MDA1:NCA9'!E$37)-SUM('MDA1:NCA9'!E$31)-SUM('MDA1:NCA9'!E$32)-SUM('MDA1:NCA9'!E$34))</f>
        <v>0</v>
      </c>
      <c r="F49" s="12">
        <f>'Corp.'!F$50*(F$37-(F31-F32-F34)*$C$35)/(SUM('MDA1:NCA9'!F$37)-SUM('MDA1:NCA9'!F$31)-SUM('MDA1:NCA9'!F$32)-SUM('MDA1:NCA9'!F$34))</f>
        <v>0</v>
      </c>
      <c r="G49" s="12">
        <f>'Corp.'!G$50*(G$37-(G31-G32-G34)*$C$35)/(SUM('MDA1:NCA9'!G$37)-SUM('MDA1:NCA9'!G$31)-SUM('MDA1:NCA9'!G$32)-SUM('MDA1:NCA9'!G$34))</f>
        <v>0</v>
      </c>
      <c r="H49" s="12">
        <f>'Corp.'!H$50*(H$37-(H31-H32-H34)*$C$35)/(SUM('MDA1:NCA9'!H$37)-SUM('MDA1:NCA9'!H$31)-SUM('MDA1:NCA9'!H$32)-SUM('MDA1:NCA9'!H$34))</f>
        <v>0</v>
      </c>
      <c r="I49" s="12">
        <f>'Corp.'!I$50*(I$37-(I31-I32-I34)*$C$35)/(SUM('MDA1:NCA9'!I$37)-SUM('MDA1:NCA9'!I$31)-SUM('MDA1:NCA9'!I$32)-SUM('MDA1:NCA9'!I$34))</f>
        <v>0</v>
      </c>
      <c r="J49" s="12">
        <f>'Corp.'!J$50*(J$37-(J31-J32-J34)*$C$35)/(SUM('MDA1:NCA9'!J$37)-SUM('MDA1:NCA9'!J$31)-SUM('MDA1:NCA9'!J$32)-SUM('MDA1:NCA9'!J$34))</f>
        <v>0</v>
      </c>
      <c r="K49" s="12">
        <f>'Corp.'!K$50*(K$37-(K31-K32-K34)*$C$35)/(SUM('MDA1:NCA9'!K$37)-SUM('MDA1:NCA9'!K$31)-SUM('MDA1:NCA9'!K$32)-SUM('MDA1:NCA9'!K$34))</f>
        <v>0</v>
      </c>
      <c r="L49" s="12">
        <f>'Corp.'!L$50*(L$37-(L31-L32-L34)*$C$35)/(SUM('MDA1:NCA9'!L$37)-SUM('MDA1:NCA9'!L$31)-SUM('MDA1:NCA9'!L$32)-SUM('MDA1:NCA9'!L$34))</f>
        <v>0</v>
      </c>
      <c r="M49" s="12">
        <f>'Corp.'!M$50*(M$37-(M31-M32-M34)*$C$35)/(SUM('MDA1:NCA9'!M$37)-SUM('MDA1:NCA9'!M$31)-SUM('MDA1:NCA9'!M$32)-SUM('MDA1:NCA9'!M$34))</f>
        <v>0</v>
      </c>
      <c r="N49" s="12">
        <f>'Corp.'!N$50*(N$37-(N31-N32-N34)*$C$35)/(SUM('MDA1:NCA9'!N$37)-SUM('MDA1:NCA9'!N$31)-SUM('MDA1:NCA9'!N$32)-SUM('MDA1:NCA9'!N$34))</f>
        <v>0</v>
      </c>
      <c r="O49" s="12">
        <f>'Corp.'!O$50*(O$37-(O31-O32-O34)*$C$35)/(SUM('MDA1:NCA9'!O$37)-SUM('MDA1:NCA9'!O$31)-SUM('MDA1:NCA9'!O$32)-SUM('MDA1:NCA9'!O$34))</f>
        <v>0</v>
      </c>
      <c r="P49" s="12">
        <f>'Corp.'!P$50*(P$37-(P31-P32-P34)*$C$35)/(SUM('MDA1:NCA9'!P$37)-SUM('MDA1:NCA9'!P$31)-SUM('MDA1:NCA9'!P$32)-SUM('MDA1:NCA9'!P$34))</f>
        <v>0</v>
      </c>
      <c r="Q49" s="12">
        <f>'Corp.'!Q$50*(Q$37-(Q31-Q32-Q34)*$C$35)/(SUM('MDA1:NCA9'!Q$37)-SUM('MDA1:NCA9'!Q$31)-SUM('MDA1:NCA9'!Q$32)-SUM('MDA1:NCA9'!Q$34))</f>
        <v>0</v>
      </c>
      <c r="R49" s="12">
        <f>'Corp.'!R$50*(R$37-(R31-R32-R34)*$C$35)/(SUM('MDA1:NCA9'!R$37)-SUM('MDA1:NCA9'!R$31)-SUM('MDA1:NCA9'!R$32)-SUM('MDA1:NCA9'!R$34))</f>
        <v>0</v>
      </c>
      <c r="S49" s="12">
        <f>'Corp.'!S$50*(S$37-(S31-S32-S34)*$C$35)/(SUM('MDA1:NCA9'!S$37)-SUM('MDA1:NCA9'!S$31)-SUM('MDA1:NCA9'!S$32)-SUM('MDA1:NCA9'!S$34))</f>
        <v>0</v>
      </c>
      <c r="T49" s="12">
        <f>'Corp.'!T$50*(T$37-(T31-T32-T34)*$C$35)/(SUM('MDA1:NCA9'!T$37)-SUM('MDA1:NCA9'!T$31)-SUM('MDA1:NCA9'!T$32)-SUM('MDA1:NCA9'!T$34))</f>
        <v>0</v>
      </c>
      <c r="U49" s="12">
        <f>'Corp.'!U$50*(U$37-(U31-U32-U34)*$C$35)/(SUM('MDA1:NCA9'!U$37)-SUM('MDA1:NCA9'!U$31)-SUM('MDA1:NCA9'!U$32)-SUM('MDA1:NCA9'!U$34))</f>
        <v>0</v>
      </c>
      <c r="V49" s="12">
        <f>'Corp.'!V$50*(V$37-(V31-V32-V34)*$C$35)/(SUM('MDA1:NCA9'!V$37)-SUM('MDA1:NCA9'!V$31)-SUM('MDA1:NCA9'!V$32)-SUM('MDA1:NCA9'!V$34))</f>
        <v>0</v>
      </c>
      <c r="W49" s="12">
        <f>'Corp.'!W$50*(W$37-(W31-W32-W34)*$C$35)/(SUM('MDA1:NCA9'!W$37)-SUM('MDA1:NCA9'!W$31)-SUM('MDA1:NCA9'!W$32)-SUM('MDA1:NCA9'!W$34))</f>
        <v>0</v>
      </c>
      <c r="X49" s="12">
        <f>'Corp.'!X$50*(X$37-(X31-X32-X34)*$C$35)/(SUM('MDA1:NCA9'!X$37)-SUM('MDA1:NCA9'!X$31)-SUM('MDA1:NCA9'!X$32)-SUM('MDA1:NCA9'!X$34))</f>
        <v>0</v>
      </c>
      <c r="Y49" s="12">
        <f>'Corp.'!Y$50*(Y$37-(Y31-Y32-Y34)*$C$35)/(SUM('MDA1:NCA9'!Y$37)-SUM('MDA1:NCA9'!Y$31)-SUM('MDA1:NCA9'!Y$32)-SUM('MDA1:NCA9'!Y$34))</f>
        <v>0</v>
      </c>
      <c r="Z49" s="12">
        <f>'Corp.'!Z$50*(Z$37-(Z31-Z32-Z34)*$C$35)/(SUM('MDA1:NCA9'!Z$37)-SUM('MDA1:NCA9'!Z$31)-SUM('MDA1:NCA9'!Z$32)-SUM('MDA1:NCA9'!Z$34))</f>
        <v>0</v>
      </c>
      <c r="AA49" s="12">
        <f>'Corp.'!AA$50*(AA$37-(AA31-AA32-AA34)*$C$35)/(SUM('MDA1:NCA9'!AA$37)-SUM('MDA1:NCA9'!AA$31)-SUM('MDA1:NCA9'!AA$32)-SUM('MDA1:NCA9'!AA$34))</f>
        <v>0</v>
      </c>
      <c r="AB49" s="12">
        <f>'Corp.'!AB$50*(AB$37-(AB31-AB32-AB34)*$C$35)/(SUM('MDA1:NCA9'!AB$37)-SUM('MDA1:NCA9'!AB$31)-SUM('MDA1:NCA9'!AB$32)-SUM('MDA1:NCA9'!AB$34))</f>
        <v>0</v>
      </c>
      <c r="AC49" s="12">
        <f>'Corp.'!AC$50*(AC$37-(AC31-AC32-AC34)*$C$35)/(SUM('MDA1:NCA9'!AC$37)-SUM('MDA1:NCA9'!AC$31)-SUM('MDA1:NCA9'!AC$32)-SUM('MDA1:NCA9'!AC$34))</f>
        <v>0</v>
      </c>
      <c r="AD49" s="12">
        <f>'Corp.'!AD$50*(AD$37-(AD31-AD32-AD34)*$C$35)/(SUM('MDA1:NCA9'!AD$37)-SUM('MDA1:NCA9'!AD$31)-SUM('MDA1:NCA9'!AD$32)-SUM('MDA1:NCA9'!AD$34))</f>
        <v>0</v>
      </c>
      <c r="AE49" s="12">
        <f>'Corp.'!AE$50*(AE$37-(AE31-AE32-AE34)*$C$35)/(SUM('MDA1:NCA9'!AE$37)-SUM('MDA1:NCA9'!AE$31)-SUM('MDA1:NCA9'!AE$32)-SUM('MDA1:NCA9'!AE$34))</f>
        <v>0</v>
      </c>
      <c r="AF49" s="12">
        <f>'Corp.'!AF$50*(AF$37-(AF31-AF32-AF34)*$C$35)/(SUM('MDA1:NCA9'!AF$37)-SUM('MDA1:NCA9'!AF$31)-SUM('MDA1:NCA9'!AF$32)-SUM('MDA1:NCA9'!AF$34))</f>
        <v>0</v>
      </c>
      <c r="AG49" s="12">
        <f>'Corp.'!AG$50*(AG$37-(AG31-AG32-AG34)*$C$35)/(SUM('MDA1:NCA9'!AG$37)-SUM('MDA1:NCA9'!AG$31)-SUM('MDA1:NCA9'!AG$32)-SUM('MDA1:NCA9'!AG$34))</f>
        <v>0</v>
      </c>
      <c r="AH49" s="12">
        <f>'Corp.'!AH$50*(AH$37-(AH31-AH32-AH34)*$C$35)/(SUM('MDA1:NCA9'!AH$37)-SUM('MDA1:NCA9'!AH$31)-SUM('MDA1:NCA9'!AH$32)-SUM('MDA1:NCA9'!AH$34))</f>
        <v>4519.7588999826403</v>
      </c>
      <c r="AI49" s="12">
        <f>'Corp.'!AI$50*(AI$37-(AI31-AI32-AI34)*$C$35)/(SUM('MDA1:NCA9'!AI$37)-SUM('MDA1:NCA9'!AI$31)-SUM('MDA1:NCA9'!AI$32)-SUM('MDA1:NCA9'!AI$34))</f>
        <v>7378.3285629430538</v>
      </c>
      <c r="AJ49" s="12">
        <f>'Corp.'!AJ$50*(AJ$37-(AJ31-AJ32-AJ34)*$C$35)/(SUM('MDA1:NCA9'!AJ$37)-SUM('MDA1:NCA9'!AJ$31)-SUM('MDA1:NCA9'!AJ$32)-SUM('MDA1:NCA9'!AJ$34))</f>
        <v>10129.55931115718</v>
      </c>
      <c r="AK49" s="12">
        <f>'Corp.'!AK$50*(AK$37-(AK31-AK32-AK34)*$C$35)/(SUM('MDA1:NCA9'!AK$37)-SUM('MDA1:NCA9'!AK$31)-SUM('MDA1:NCA9'!AK$32)-SUM('MDA1:NCA9'!AK$34))</f>
        <v>12793.590424985745</v>
      </c>
      <c r="AL49" s="12">
        <f>'Corp.'!AL$50*(AL$37-(AL31-AL32-AL34)*$C$35)/(SUM('MDA1:NCA9'!AL$37)-SUM('MDA1:NCA9'!AL$31)-SUM('MDA1:NCA9'!AL$32)-SUM('MDA1:NCA9'!AL$34))</f>
        <v>15382.366644424819</v>
      </c>
      <c r="AM49" s="12">
        <f>'Corp.'!AM$50*(AM$37-(AM31-AM32-AM34)*$C$35)/(SUM('MDA1:NCA9'!AM$37)-SUM('MDA1:NCA9'!AM$31)-SUM('MDA1:NCA9'!AM$32)-SUM('MDA1:NCA9'!AM$34))</f>
        <v>17859.424800799567</v>
      </c>
      <c r="AN49" s="12">
        <f>'Corp.'!AN$50*(AN$37-(AN31-AN32-AN34)*$C$35)/(SUM('MDA1:NCA9'!AN$37)-SUM('MDA1:NCA9'!AN$31)-SUM('MDA1:NCA9'!AN$32)-SUM('MDA1:NCA9'!AN$34))</f>
        <v>20293.610004057977</v>
      </c>
    </row>
    <row r="50" spans="2:40" x14ac:dyDescent="0.25">
      <c r="B50" s="1" t="s">
        <v>272</v>
      </c>
      <c r="E50" s="13" cm="1">
        <f t="array" ref="E50:AN50">_xlfn.BYCOL(_xlfn.VSTACK(_xlfn.ANCHORARRAY(E40),_xlfn.ANCHORARRAY(E42),_xlfn.ANCHORARRAY(E43),_xlfn.ANCHORARRAY(E45),_xlfn.ANCHORARRAY(E46),_xlfn.ANCHORARRAY(E47),_xlfn.ANCHORARRAY(E48),_xlfn.HSTACK(E49:AN49)),_xlfn.LAMBDA(_xlpm.a,SUM(_xlpm.a)))</f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0</v>
      </c>
      <c r="Q50" s="13">
        <v>0</v>
      </c>
      <c r="R50" s="13">
        <v>0</v>
      </c>
      <c r="S50" s="13">
        <v>0</v>
      </c>
      <c r="T50" s="13">
        <v>0</v>
      </c>
      <c r="U50" s="13">
        <v>0</v>
      </c>
      <c r="V50" s="13">
        <v>0</v>
      </c>
      <c r="W50" s="13">
        <v>0</v>
      </c>
      <c r="X50" s="13">
        <v>0</v>
      </c>
      <c r="Y50" s="13">
        <v>0</v>
      </c>
      <c r="Z50" s="13">
        <v>0</v>
      </c>
      <c r="AA50" s="13">
        <v>0</v>
      </c>
      <c r="AB50" s="13">
        <v>0</v>
      </c>
      <c r="AC50" s="13">
        <v>0</v>
      </c>
      <c r="AD50" s="13">
        <v>0</v>
      </c>
      <c r="AE50" s="13">
        <v>0</v>
      </c>
      <c r="AF50" s="13">
        <v>126877.11</v>
      </c>
      <c r="AG50" s="13">
        <v>0</v>
      </c>
      <c r="AH50" s="13">
        <v>80466.716100123085</v>
      </c>
      <c r="AI50" s="13">
        <v>115204.53351112746</v>
      </c>
      <c r="AJ50" s="13">
        <v>138599.4731087189</v>
      </c>
      <c r="AK50" s="13">
        <v>161582.21050792481</v>
      </c>
      <c r="AL50" s="13">
        <v>184516.23976740788</v>
      </c>
      <c r="AM50" s="13">
        <v>207336.79646382658</v>
      </c>
      <c r="AN50" s="13">
        <v>230156.61594046233</v>
      </c>
    </row>
    <row r="52" spans="2:40" x14ac:dyDescent="0.25">
      <c r="B52" s="1" t="s">
        <v>48</v>
      </c>
      <c r="E52" s="74">
        <f>E37-E50</f>
        <v>0</v>
      </c>
      <c r="F52" s="74">
        <f t="shared" ref="F52:AN52" si="0">F37-F50</f>
        <v>0</v>
      </c>
      <c r="G52" s="74">
        <f t="shared" si="0"/>
        <v>0</v>
      </c>
      <c r="H52" s="74">
        <f t="shared" si="0"/>
        <v>0</v>
      </c>
      <c r="I52" s="74">
        <f t="shared" si="0"/>
        <v>0</v>
      </c>
      <c r="J52" s="74">
        <f t="shared" si="0"/>
        <v>0</v>
      </c>
      <c r="K52" s="74">
        <f t="shared" si="0"/>
        <v>0</v>
      </c>
      <c r="L52" s="74">
        <f t="shared" si="0"/>
        <v>0</v>
      </c>
      <c r="M52" s="74">
        <f t="shared" si="0"/>
        <v>0</v>
      </c>
      <c r="N52" s="74">
        <f t="shared" si="0"/>
        <v>0</v>
      </c>
      <c r="O52" s="74">
        <f t="shared" si="0"/>
        <v>0</v>
      </c>
      <c r="P52" s="74">
        <f t="shared" si="0"/>
        <v>0</v>
      </c>
      <c r="Q52" s="74">
        <f t="shared" si="0"/>
        <v>0</v>
      </c>
      <c r="R52" s="74">
        <f t="shared" si="0"/>
        <v>0</v>
      </c>
      <c r="S52" s="74">
        <f t="shared" si="0"/>
        <v>0</v>
      </c>
      <c r="T52" s="74">
        <f t="shared" si="0"/>
        <v>0</v>
      </c>
      <c r="U52" s="74">
        <f t="shared" si="0"/>
        <v>0</v>
      </c>
      <c r="V52" s="74">
        <f t="shared" si="0"/>
        <v>0</v>
      </c>
      <c r="W52" s="74">
        <f t="shared" si="0"/>
        <v>0</v>
      </c>
      <c r="X52" s="74">
        <f t="shared" si="0"/>
        <v>0</v>
      </c>
      <c r="Y52" s="74">
        <f t="shared" si="0"/>
        <v>0</v>
      </c>
      <c r="Z52" s="74">
        <f t="shared" si="0"/>
        <v>0</v>
      </c>
      <c r="AA52" s="74">
        <f t="shared" si="0"/>
        <v>0</v>
      </c>
      <c r="AB52" s="74">
        <f t="shared" si="0"/>
        <v>0</v>
      </c>
      <c r="AC52" s="74">
        <f t="shared" si="0"/>
        <v>0</v>
      </c>
      <c r="AD52" s="74">
        <f t="shared" si="0"/>
        <v>0</v>
      </c>
      <c r="AE52" s="74">
        <f t="shared" si="0"/>
        <v>0</v>
      </c>
      <c r="AF52" s="74">
        <f t="shared" si="0"/>
        <v>-126877.11</v>
      </c>
      <c r="AG52" s="74">
        <f t="shared" si="0"/>
        <v>0</v>
      </c>
      <c r="AH52" s="74">
        <f t="shared" si="0"/>
        <v>-39813.092481110827</v>
      </c>
      <c r="AI52" s="74">
        <f t="shared" si="0"/>
        <v>-47676.278756156797</v>
      </c>
      <c r="AJ52" s="74">
        <f t="shared" si="0"/>
        <v>-44196.587217789842</v>
      </c>
      <c r="AK52" s="74">
        <f t="shared" si="0"/>
        <v>-40304.69348103735</v>
      </c>
      <c r="AL52" s="74">
        <f t="shared" si="0"/>
        <v>-36364.091604562011</v>
      </c>
      <c r="AM52" s="74">
        <f t="shared" si="0"/>
        <v>-32310.01716502232</v>
      </c>
      <c r="AN52" s="74">
        <f t="shared" si="0"/>
        <v>-28255.205505699676</v>
      </c>
    </row>
    <row r="53" spans="2:40" x14ac:dyDescent="0.25">
      <c r="E53" s="105" t="str">
        <f>IFERROR(E52/E37,"")</f>
        <v/>
      </c>
      <c r="F53" s="105" t="str">
        <f t="shared" ref="F53:AN53" si="1">IFERROR(F52/F37,"")</f>
        <v/>
      </c>
      <c r="G53" s="105" t="str">
        <f t="shared" si="1"/>
        <v/>
      </c>
      <c r="H53" s="105" t="str">
        <f t="shared" si="1"/>
        <v/>
      </c>
      <c r="I53" s="105" t="str">
        <f t="shared" si="1"/>
        <v/>
      </c>
      <c r="J53" s="105" t="str">
        <f t="shared" si="1"/>
        <v/>
      </c>
      <c r="K53" s="105" t="str">
        <f t="shared" si="1"/>
        <v/>
      </c>
      <c r="L53" s="105" t="str">
        <f t="shared" si="1"/>
        <v/>
      </c>
      <c r="M53" s="105" t="str">
        <f t="shared" si="1"/>
        <v/>
      </c>
      <c r="N53" s="105" t="str">
        <f t="shared" si="1"/>
        <v/>
      </c>
      <c r="O53" s="105" t="str">
        <f t="shared" si="1"/>
        <v/>
      </c>
      <c r="P53" s="105" t="str">
        <f t="shared" si="1"/>
        <v/>
      </c>
      <c r="Q53" s="105" t="str">
        <f t="shared" si="1"/>
        <v/>
      </c>
      <c r="R53" s="105" t="str">
        <f t="shared" si="1"/>
        <v/>
      </c>
      <c r="S53" s="105" t="str">
        <f t="shared" si="1"/>
        <v/>
      </c>
      <c r="T53" s="105" t="str">
        <f t="shared" si="1"/>
        <v/>
      </c>
      <c r="U53" s="105" t="str">
        <f t="shared" si="1"/>
        <v/>
      </c>
      <c r="V53" s="105" t="str">
        <f t="shared" si="1"/>
        <v/>
      </c>
      <c r="W53" s="105" t="str">
        <f t="shared" si="1"/>
        <v/>
      </c>
      <c r="X53" s="105" t="str">
        <f t="shared" si="1"/>
        <v/>
      </c>
      <c r="Y53" s="105" t="str">
        <f t="shared" si="1"/>
        <v/>
      </c>
      <c r="Z53" s="105" t="str">
        <f t="shared" si="1"/>
        <v/>
      </c>
      <c r="AA53" s="105" t="str">
        <f t="shared" si="1"/>
        <v/>
      </c>
      <c r="AB53" s="105" t="str">
        <f t="shared" si="1"/>
        <v/>
      </c>
      <c r="AC53" s="105" t="str">
        <f t="shared" si="1"/>
        <v/>
      </c>
      <c r="AD53" s="105" t="str">
        <f t="shared" si="1"/>
        <v/>
      </c>
      <c r="AE53" s="105" t="str">
        <f t="shared" si="1"/>
        <v/>
      </c>
      <c r="AF53" s="105" t="str">
        <f t="shared" si="1"/>
        <v/>
      </c>
      <c r="AG53" s="105" t="str">
        <f t="shared" si="1"/>
        <v/>
      </c>
      <c r="AH53" s="105">
        <f t="shared" si="1"/>
        <v>-0.97932457028238085</v>
      </c>
      <c r="AI53" s="105">
        <f t="shared" si="1"/>
        <v>-0.70601970877453202</v>
      </c>
      <c r="AJ53" s="105">
        <f t="shared" si="1"/>
        <v>-0.46816987426479284</v>
      </c>
      <c r="AK53" s="105">
        <f t="shared" si="1"/>
        <v>-0.33233442165625571</v>
      </c>
      <c r="AL53" s="105">
        <f t="shared" si="1"/>
        <v>-0.24545099112968197</v>
      </c>
      <c r="AM53" s="105">
        <f t="shared" si="1"/>
        <v>-0.18460042111534788</v>
      </c>
      <c r="AN53" s="105">
        <f t="shared" si="1"/>
        <v>-0.13994555780891563</v>
      </c>
    </row>
    <row r="55" spans="2:40" x14ac:dyDescent="0.25">
      <c r="B55" t="s">
        <v>57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786840</v>
      </c>
      <c r="D55" s="12">
        <f>C55-SUM(_xlfn.ANCHORARRAY(E55))</f>
        <v>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131140</v>
      </c>
      <c r="AG55" s="12">
        <v>131140</v>
      </c>
      <c r="AH55" s="12">
        <v>131140</v>
      </c>
      <c r="AI55" s="12">
        <v>131140</v>
      </c>
      <c r="AJ55" s="12">
        <v>131140</v>
      </c>
      <c r="AK55" s="12">
        <v>131140</v>
      </c>
      <c r="AL55" s="12">
        <v>0</v>
      </c>
      <c r="AM55" s="12">
        <v>0</v>
      </c>
      <c r="AN55" s="12">
        <v>0</v>
      </c>
    </row>
    <row r="56" spans="2:40" x14ac:dyDescent="0.25">
      <c r="B56" t="s">
        <v>285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0</v>
      </c>
      <c r="F56" s="90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0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0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0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0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-47787.889495094831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-52473.866098133811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-55816.111144374881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-59847.305814768632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276</v>
      </c>
      <c r="E58" s="13">
        <f>E37-E50-E55+E56</f>
        <v>0</v>
      </c>
      <c r="F58" s="13">
        <f t="shared" ref="F58:AN58" si="2">F37-F50-F55+F56</f>
        <v>0</v>
      </c>
      <c r="G58" s="13">
        <f t="shared" si="2"/>
        <v>0</v>
      </c>
      <c r="H58" s="13">
        <f t="shared" si="2"/>
        <v>0</v>
      </c>
      <c r="I58" s="13">
        <f t="shared" si="2"/>
        <v>0</v>
      </c>
      <c r="J58" s="13">
        <f t="shared" si="2"/>
        <v>0</v>
      </c>
      <c r="K58" s="13">
        <f t="shared" si="2"/>
        <v>0</v>
      </c>
      <c r="L58" s="13">
        <f t="shared" si="2"/>
        <v>0</v>
      </c>
      <c r="M58" s="13">
        <f t="shared" si="2"/>
        <v>0</v>
      </c>
      <c r="N58" s="13">
        <f t="shared" si="2"/>
        <v>0</v>
      </c>
      <c r="O58" s="13">
        <f t="shared" si="2"/>
        <v>0</v>
      </c>
      <c r="P58" s="13">
        <f t="shared" si="2"/>
        <v>0</v>
      </c>
      <c r="Q58" s="13">
        <f t="shared" si="2"/>
        <v>0</v>
      </c>
      <c r="R58" s="13">
        <f t="shared" si="2"/>
        <v>0</v>
      </c>
      <c r="S58" s="13">
        <f t="shared" si="2"/>
        <v>0</v>
      </c>
      <c r="T58" s="13">
        <f t="shared" si="2"/>
        <v>0</v>
      </c>
      <c r="U58" s="13">
        <f t="shared" si="2"/>
        <v>0</v>
      </c>
      <c r="V58" s="13">
        <f t="shared" si="2"/>
        <v>0</v>
      </c>
      <c r="W58" s="13">
        <f t="shared" si="2"/>
        <v>0</v>
      </c>
      <c r="X58" s="13">
        <f t="shared" si="2"/>
        <v>0</v>
      </c>
      <c r="Y58" s="13">
        <f t="shared" si="2"/>
        <v>0</v>
      </c>
      <c r="Z58" s="13">
        <f t="shared" si="2"/>
        <v>0</v>
      </c>
      <c r="AA58" s="13">
        <f t="shared" si="2"/>
        <v>0</v>
      </c>
      <c r="AB58" s="13">
        <f t="shared" si="2"/>
        <v>0</v>
      </c>
      <c r="AC58" s="13">
        <f t="shared" si="2"/>
        <v>0</v>
      </c>
      <c r="AD58" s="13">
        <f t="shared" si="2"/>
        <v>0</v>
      </c>
      <c r="AE58" s="13">
        <f t="shared" si="2"/>
        <v>0</v>
      </c>
      <c r="AF58" s="13">
        <f t="shared" si="2"/>
        <v>-258017.11</v>
      </c>
      <c r="AG58" s="13">
        <f t="shared" si="2"/>
        <v>-131140</v>
      </c>
      <c r="AH58" s="13">
        <f t="shared" si="2"/>
        <v>-170953.09248111083</v>
      </c>
      <c r="AI58" s="13">
        <f t="shared" si="2"/>
        <v>-178816.2787561568</v>
      </c>
      <c r="AJ58" s="13">
        <f t="shared" si="2"/>
        <v>-175336.58721778984</v>
      </c>
      <c r="AK58" s="13">
        <f t="shared" si="2"/>
        <v>-219232.58297613217</v>
      </c>
      <c r="AL58" s="13">
        <f t="shared" si="2"/>
        <v>-88837.957702695829</v>
      </c>
      <c r="AM58" s="13">
        <f t="shared" si="2"/>
        <v>-88126.128309397202</v>
      </c>
      <c r="AN58" s="13">
        <f t="shared" si="2"/>
        <v>-88102.5113204683</v>
      </c>
    </row>
    <row r="59" spans="2:40" x14ac:dyDescent="0.25">
      <c r="B59" t="s">
        <v>277</v>
      </c>
      <c r="E59" s="12" cm="1">
        <f t="array" ref="E59:AN59">_xlfn.SCAN(-D55,E58:AN58,_xlfn.LAMBDA(_xlpm.capex,_xlpm.fcf,_xlpm.capex+_xlpm.fcf))</f>
        <v>0</v>
      </c>
      <c r="F59" s="12">
        <v>0</v>
      </c>
      <c r="G59" s="12">
        <v>0</v>
      </c>
      <c r="H59" s="12">
        <v>0</v>
      </c>
      <c r="I59" s="12">
        <v>0</v>
      </c>
      <c r="J59" s="12">
        <v>0</v>
      </c>
      <c r="K59" s="12">
        <v>0</v>
      </c>
      <c r="L59" s="12">
        <v>0</v>
      </c>
      <c r="M59" s="12">
        <v>0</v>
      </c>
      <c r="N59" s="12">
        <v>0</v>
      </c>
      <c r="O59" s="12">
        <v>0</v>
      </c>
      <c r="P59" s="12">
        <v>0</v>
      </c>
      <c r="Q59" s="12">
        <v>0</v>
      </c>
      <c r="R59" s="12">
        <v>0</v>
      </c>
      <c r="S59" s="12">
        <v>0</v>
      </c>
      <c r="T59" s="12">
        <v>0</v>
      </c>
      <c r="U59" s="12">
        <v>0</v>
      </c>
      <c r="V59" s="12">
        <v>0</v>
      </c>
      <c r="W59" s="12">
        <v>0</v>
      </c>
      <c r="X59" s="12">
        <v>0</v>
      </c>
      <c r="Y59" s="12">
        <v>0</v>
      </c>
      <c r="Z59" s="12">
        <v>0</v>
      </c>
      <c r="AA59" s="12">
        <v>0</v>
      </c>
      <c r="AB59" s="12">
        <v>0</v>
      </c>
      <c r="AC59" s="12">
        <v>0</v>
      </c>
      <c r="AD59" s="12">
        <v>0</v>
      </c>
      <c r="AE59" s="12">
        <v>0</v>
      </c>
      <c r="AF59" s="12">
        <v>-258017.11</v>
      </c>
      <c r="AG59" s="12">
        <v>-389157.11</v>
      </c>
      <c r="AH59" s="12">
        <v>-560110.20248111081</v>
      </c>
      <c r="AI59" s="12">
        <v>-738926.48123726761</v>
      </c>
      <c r="AJ59" s="12">
        <v>-914263.06845505745</v>
      </c>
      <c r="AK59" s="12">
        <v>-1133495.6514311896</v>
      </c>
      <c r="AL59" s="12">
        <v>-1222333.6091338855</v>
      </c>
      <c r="AM59" s="12">
        <v>-1310459.7374432827</v>
      </c>
      <c r="AN59" s="12">
        <v>-1398562.248763751</v>
      </c>
    </row>
    <row r="61" spans="2:40" x14ac:dyDescent="0.25">
      <c r="B61" s="1" t="s">
        <v>302</v>
      </c>
    </row>
    <row r="63" spans="2:40" x14ac:dyDescent="0.25">
      <c r="B63" s="39" t="s">
        <v>103</v>
      </c>
      <c r="E63" s="12" cm="1">
        <f t="array" ref="E63:AN63">_xlfn.LET(_xlpm.site,$B$1&amp;"-"&amp;$C$1,_xlpm.locations,Base!$D$4:$BD$4,_xlpm.rates,Base!$D$36:$BD$36,_xlpm.hours,Base!$D$79:$BD$79,_xlpm.comp,_xlpm.rates*_xlpm.hours,_xlpm.Customer,_xlfn.ANCHORARRAY($E$1),
_xlpm.Customer_comp,_xlfn.XLOOKUP(_xlpm.site,_xlpm.locations,_xlpm.comp,0,0),_xlpm.ann_incr,_xlfn.XLOOKUP(YEAR(_xlfn.ANCHORARRAY($E$25)),Base!$BJ$4:$BL$4,Base!$BJ$79:$BL$79,0,0),
_xlpm.bad_debt,_xlfn.XLOOKUP(_xlpm.site,_xlpm.locations,Base!$D$28:$BD$28,0,0),_xlpm.Customer_comp*_xlpm.Customer*_xlpm.bad_debt*_xlpm.ann_incr*(52/12)*(1-$C$35))</f>
        <v>0</v>
      </c>
      <c r="F63" s="12">
        <v>0</v>
      </c>
      <c r="G63" s="12">
        <v>0</v>
      </c>
      <c r="H63" s="12">
        <v>0</v>
      </c>
      <c r="I63" s="12">
        <v>0</v>
      </c>
      <c r="J63" s="12">
        <v>0</v>
      </c>
      <c r="K63" s="12">
        <v>0</v>
      </c>
      <c r="L63" s="12">
        <v>0</v>
      </c>
      <c r="M63" s="12">
        <v>0</v>
      </c>
      <c r="N63" s="12">
        <v>0</v>
      </c>
      <c r="O63" s="12">
        <v>0</v>
      </c>
      <c r="P63" s="12">
        <v>0</v>
      </c>
      <c r="Q63" s="12">
        <v>0</v>
      </c>
      <c r="R63" s="12">
        <v>0</v>
      </c>
      <c r="S63" s="12">
        <v>0</v>
      </c>
      <c r="T63" s="12">
        <v>0</v>
      </c>
      <c r="U63" s="12">
        <v>0</v>
      </c>
      <c r="V63" s="12">
        <v>0</v>
      </c>
      <c r="W63" s="12">
        <v>0</v>
      </c>
      <c r="X63" s="12">
        <v>0</v>
      </c>
      <c r="Y63" s="12">
        <v>0</v>
      </c>
      <c r="Z63" s="12">
        <v>0</v>
      </c>
      <c r="AA63" s="12">
        <v>0</v>
      </c>
      <c r="AB63" s="12">
        <v>0</v>
      </c>
      <c r="AC63" s="12">
        <v>0</v>
      </c>
      <c r="AD63" s="12">
        <v>0</v>
      </c>
      <c r="AE63" s="12">
        <v>0</v>
      </c>
      <c r="AF63" s="12">
        <v>0</v>
      </c>
      <c r="AG63" s="12">
        <v>0</v>
      </c>
      <c r="AH63" s="12">
        <v>916.49684352511963</v>
      </c>
      <c r="AI63" s="12">
        <v>2291.242108812799</v>
      </c>
      <c r="AJ63" s="12">
        <v>3665.9873741004785</v>
      </c>
      <c r="AK63" s="12">
        <v>5040.7326393881585</v>
      </c>
      <c r="AL63" s="12">
        <v>6415.4779046758376</v>
      </c>
      <c r="AM63" s="12">
        <v>7790.2231699635167</v>
      </c>
      <c r="AN63" s="12">
        <v>9164.9684352511958</v>
      </c>
    </row>
    <row r="64" spans="2:40" x14ac:dyDescent="0.25">
      <c r="B64" s="39" t="s">
        <v>104</v>
      </c>
      <c r="E64" s="12" cm="1">
        <f t="array" ref="E64:AN64">_xlfn.LET(_xlpm.site,$B$1&amp;"-"&amp;$C$1,_xlpm.locations,Base!$D$4:$BD$4,_xlpm.rates,Base!$D$37:$BD$37,_xlpm.hours,Base!$D$80:$BD$80,_xlpm.comp,_xlpm.rates*_xlpm.hours,_xlpm.Customer,_xlfn.ANCHORARRAY($E$1),
_xlpm.Customer_comp,_xlfn.XLOOKUP(_xlpm.site,_xlpm.locations,_xlpm.comp,0,0),_xlpm.ann_incr,_xlfn.XLOOKUP(YEAR(_xlfn.ANCHORARRAY($E$25)),Base!$BJ$4:$BL$4,Base!$BJ$80:$BL$80,0,0),
_xlpm.bad_debt,_xlfn.XLOOKUP(_xlpm.site,_xlpm.locations,Base!$D$28:$BD$28,0,0),_xlpm.Customer_comp*_xlpm.Customer*_xlpm.bad_debt*_xlpm.ann_incr*(52/12)*(1-$C$35))</f>
        <v>0</v>
      </c>
      <c r="F64" s="12">
        <v>0</v>
      </c>
      <c r="G64" s="12">
        <v>0</v>
      </c>
      <c r="H64" s="12">
        <v>0</v>
      </c>
      <c r="I64" s="12">
        <v>0</v>
      </c>
      <c r="J64" s="12">
        <v>0</v>
      </c>
      <c r="K64" s="12">
        <v>0</v>
      </c>
      <c r="L64" s="12">
        <v>0</v>
      </c>
      <c r="M64" s="12">
        <v>0</v>
      </c>
      <c r="N64" s="12">
        <v>0</v>
      </c>
      <c r="O64" s="12">
        <v>0</v>
      </c>
      <c r="P64" s="12">
        <v>0</v>
      </c>
      <c r="Q64" s="12">
        <v>0</v>
      </c>
      <c r="R64" s="12">
        <v>0</v>
      </c>
      <c r="S64" s="12">
        <v>0</v>
      </c>
      <c r="T64" s="12">
        <v>0</v>
      </c>
      <c r="U64" s="12">
        <v>0</v>
      </c>
      <c r="V64" s="12">
        <v>0</v>
      </c>
      <c r="W64" s="12">
        <v>0</v>
      </c>
      <c r="X64" s="12">
        <v>0</v>
      </c>
      <c r="Y64" s="12">
        <v>0</v>
      </c>
      <c r="Z64" s="12">
        <v>0</v>
      </c>
      <c r="AA64" s="12">
        <v>0</v>
      </c>
      <c r="AB64" s="12">
        <v>0</v>
      </c>
      <c r="AC64" s="12">
        <v>0</v>
      </c>
      <c r="AD64" s="12">
        <v>0</v>
      </c>
      <c r="AE64" s="12">
        <v>0</v>
      </c>
      <c r="AF64" s="12">
        <v>0</v>
      </c>
      <c r="AG64" s="12">
        <v>0</v>
      </c>
      <c r="AH64" s="12">
        <v>256.39874258943996</v>
      </c>
      <c r="AI64" s="12">
        <v>640.99685647359991</v>
      </c>
      <c r="AJ64" s="12">
        <v>1025.5949703577598</v>
      </c>
      <c r="AK64" s="12">
        <v>1410.1930842419204</v>
      </c>
      <c r="AL64" s="12">
        <v>1794.7911981260802</v>
      </c>
      <c r="AM64" s="12">
        <v>2179.3893120102402</v>
      </c>
      <c r="AN64" s="12">
        <v>2563.9874258943996</v>
      </c>
    </row>
    <row r="65" spans="2:40" x14ac:dyDescent="0.25">
      <c r="B65" s="39" t="s">
        <v>56</v>
      </c>
      <c r="E65" s="12" cm="1">
        <f t="array" ref="E65:AN65">_xlfn.LET(_xlpm.site,$B$1&amp;"-"&amp;$C$1,_xlpm.locations,Base!$D$4:$BD$4,_xlpm.rates,Base!$D$39:$BD$39,_xlpm.hours,Base!$D$82:$BD$82,_xlpm.comp,_xlpm.rates*_xlpm.hours,_xlpm.Customer,_xlfn.ANCHORARRAY($E$1),
_xlpm.Customer_comp,_xlfn.XLOOKUP(_xlpm.site,_xlpm.locations,_xlpm.comp,0,0),_xlpm.ann_incr,_xlfn.XLOOKUP(YEAR(_xlfn.ANCHORARRAY($E$25)),Base!$BJ$4:$BL$4,Base!$BJ$82:$BL$82,0,0),
_xlpm.bad_debt,_xlfn.XLOOKUP(_xlpm.site,_xlpm.locations,Base!$D$28:$BD$28,0,0),_xlpm.Customer_comp*_xlpm.Customer*_xlpm.bad_debt*_xlpm.ann_incr*(52/12)*(1-$C$35))</f>
        <v>0</v>
      </c>
      <c r="F65" s="12">
        <v>0</v>
      </c>
      <c r="G65" s="12">
        <v>0</v>
      </c>
      <c r="H65" s="12">
        <v>0</v>
      </c>
      <c r="I65" s="12">
        <v>0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  <c r="O65" s="12">
        <v>0</v>
      </c>
      <c r="P65" s="12">
        <v>0</v>
      </c>
      <c r="Q65" s="12">
        <v>0</v>
      </c>
      <c r="R65" s="12">
        <v>0</v>
      </c>
      <c r="S65" s="12">
        <v>0</v>
      </c>
      <c r="T65" s="12">
        <v>0</v>
      </c>
      <c r="U65" s="12">
        <v>0</v>
      </c>
      <c r="V65" s="12">
        <v>0</v>
      </c>
      <c r="W65" s="12">
        <v>0</v>
      </c>
      <c r="X65" s="12">
        <v>0</v>
      </c>
      <c r="Y65" s="12">
        <v>0</v>
      </c>
      <c r="Z65" s="12">
        <v>0</v>
      </c>
      <c r="AA65" s="12">
        <v>0</v>
      </c>
      <c r="AB65" s="12">
        <v>0</v>
      </c>
      <c r="AC65" s="12">
        <v>0</v>
      </c>
      <c r="AD65" s="12">
        <v>0</v>
      </c>
      <c r="AE65" s="12">
        <v>0</v>
      </c>
      <c r="AF65" s="12">
        <v>0</v>
      </c>
      <c r="AG65" s="12">
        <v>0</v>
      </c>
      <c r="AH65" s="12">
        <v>875.75412001791983</v>
      </c>
      <c r="AI65" s="12">
        <v>2189.3853000447994</v>
      </c>
      <c r="AJ65" s="12">
        <v>3503.0164800716793</v>
      </c>
      <c r="AK65" s="12">
        <v>4816.6476600985588</v>
      </c>
      <c r="AL65" s="12">
        <v>6130.2788401254393</v>
      </c>
      <c r="AM65" s="12">
        <v>7443.9100201523179</v>
      </c>
      <c r="AN65" s="12">
        <v>8757.5412001791974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303</v>
      </c>
      <c r="C67" s="12"/>
      <c r="E67" s="13" cm="1">
        <f t="array" ref="E67:AN67">_xlfn.BYCOL(_xlfn.VSTACK(_xlfn.ANCHORARRAY($E$63),_xlfn.ANCHORARRAY($E$64),_xlfn.ANCHORARRAY($E$65)),_xlfn.LAMBDA(_xlpm.a,SUM(_xlpm.a)))</f>
        <v>0</v>
      </c>
      <c r="F67" s="13">
        <v>0</v>
      </c>
      <c r="G67" s="13">
        <v>0</v>
      </c>
      <c r="H67" s="13">
        <v>0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  <c r="W67" s="13">
        <v>0</v>
      </c>
      <c r="X67" s="13">
        <v>0</v>
      </c>
      <c r="Y67" s="13">
        <v>0</v>
      </c>
      <c r="Z67" s="13">
        <v>0</v>
      </c>
      <c r="AA67" s="13">
        <v>0</v>
      </c>
      <c r="AB67" s="13">
        <v>0</v>
      </c>
      <c r="AC67" s="13">
        <v>0</v>
      </c>
      <c r="AD67" s="13">
        <v>0</v>
      </c>
      <c r="AE67" s="13">
        <v>0</v>
      </c>
      <c r="AF67" s="13">
        <v>0</v>
      </c>
      <c r="AG67" s="13">
        <v>0</v>
      </c>
      <c r="AH67" s="13">
        <v>2048.6497061324794</v>
      </c>
      <c r="AI67" s="13">
        <v>5121.6242653311983</v>
      </c>
      <c r="AJ67" s="13">
        <v>8194.5988245299177</v>
      </c>
      <c r="AK67" s="13">
        <v>11267.573383728639</v>
      </c>
      <c r="AL67" s="13">
        <v>14340.547942927358</v>
      </c>
      <c r="AM67" s="13">
        <v>17413.522502126074</v>
      </c>
      <c r="AN67" s="13">
        <v>20486.497061324793</v>
      </c>
    </row>
    <row r="68" spans="2:40" x14ac:dyDescent="0.25">
      <c r="B68" s="39"/>
      <c r="C68" s="12"/>
    </row>
    <row r="69" spans="2:40" x14ac:dyDescent="0.25">
      <c r="B69" s="39" t="s">
        <v>304</v>
      </c>
      <c r="C69" s="12"/>
      <c r="E69" s="106" cm="1">
        <f t="array" ref="E69:AN70">_xlfn.LET(_xlpm.Customer_staff,_xlfn._xlws.FILTER(Base!$D$96:$BD$97,ISNUMBER(SEARCH($B$1&amp;"-"&amp;$C$1,Base!$D$4:$BD$4))),_xlpm.Customer,_xlfn.ANCHORARRAY($E$1),_xlpm.headcount,_xlpm.Customer/_xlpm.Customer_staff,
_xlpm.rounding,_xlfn.VSTACK(0,0),IFERROR(ROUND(_xlpm.headcount,_xlpm.rounding),0))</f>
        <v>0</v>
      </c>
      <c r="F69" s="106">
        <v>0</v>
      </c>
      <c r="G69" s="106">
        <v>0</v>
      </c>
      <c r="H69" s="106">
        <v>0</v>
      </c>
      <c r="I69" s="106">
        <v>0</v>
      </c>
      <c r="J69" s="106">
        <v>0</v>
      </c>
      <c r="K69" s="106">
        <v>0</v>
      </c>
      <c r="L69" s="106">
        <v>0</v>
      </c>
      <c r="M69" s="106">
        <v>0</v>
      </c>
      <c r="N69" s="106">
        <v>0</v>
      </c>
      <c r="O69" s="106">
        <v>0</v>
      </c>
      <c r="P69" s="106">
        <v>0</v>
      </c>
      <c r="Q69" s="106">
        <v>0</v>
      </c>
      <c r="R69" s="106">
        <v>0</v>
      </c>
      <c r="S69" s="106">
        <v>0</v>
      </c>
      <c r="T69" s="106">
        <v>0</v>
      </c>
      <c r="U69" s="106">
        <v>0</v>
      </c>
      <c r="V69" s="106">
        <v>0</v>
      </c>
      <c r="W69" s="106">
        <v>0</v>
      </c>
      <c r="X69" s="106">
        <v>0</v>
      </c>
      <c r="Y69" s="106">
        <v>0</v>
      </c>
      <c r="Z69" s="106">
        <v>0</v>
      </c>
      <c r="AA69" s="106">
        <v>0</v>
      </c>
      <c r="AB69" s="106">
        <v>0</v>
      </c>
      <c r="AC69" s="106">
        <v>0</v>
      </c>
      <c r="AD69" s="106">
        <v>0</v>
      </c>
      <c r="AE69" s="106">
        <v>0</v>
      </c>
      <c r="AF69" s="106">
        <v>0</v>
      </c>
      <c r="AG69" s="106">
        <v>0</v>
      </c>
      <c r="AH69" s="106">
        <v>0</v>
      </c>
      <c r="AI69" s="106">
        <v>0</v>
      </c>
      <c r="AJ69" s="106">
        <v>0</v>
      </c>
      <c r="AK69" s="106">
        <v>0</v>
      </c>
      <c r="AL69" s="106">
        <v>0</v>
      </c>
      <c r="AM69" s="106">
        <v>0</v>
      </c>
      <c r="AN69" s="106">
        <v>0</v>
      </c>
    </row>
    <row r="70" spans="2:40" x14ac:dyDescent="0.25">
      <c r="B70" s="39" t="s">
        <v>305</v>
      </c>
      <c r="C70" s="12"/>
      <c r="E70" s="106">
        <v>0</v>
      </c>
      <c r="F70" s="106">
        <v>0</v>
      </c>
      <c r="G70" s="106">
        <v>0</v>
      </c>
      <c r="H70" s="106">
        <v>0</v>
      </c>
      <c r="I70" s="106">
        <v>0</v>
      </c>
      <c r="J70" s="106">
        <v>0</v>
      </c>
      <c r="K70" s="106">
        <v>0</v>
      </c>
      <c r="L70" s="106">
        <v>0</v>
      </c>
      <c r="M70" s="106">
        <v>0</v>
      </c>
      <c r="N70" s="106">
        <v>0</v>
      </c>
      <c r="O70" s="106">
        <v>0</v>
      </c>
      <c r="P70" s="106">
        <v>0</v>
      </c>
      <c r="Q70" s="106">
        <v>0</v>
      </c>
      <c r="R70" s="106">
        <v>0</v>
      </c>
      <c r="S70" s="106">
        <v>0</v>
      </c>
      <c r="T70" s="106">
        <v>0</v>
      </c>
      <c r="U70" s="106">
        <v>0</v>
      </c>
      <c r="V70" s="106">
        <v>0</v>
      </c>
      <c r="W70" s="106">
        <v>0</v>
      </c>
      <c r="X70" s="106">
        <v>0</v>
      </c>
      <c r="Y70" s="106">
        <v>0</v>
      </c>
      <c r="Z70" s="106">
        <v>0</v>
      </c>
      <c r="AA70" s="106">
        <v>0</v>
      </c>
      <c r="AB70" s="106">
        <v>0</v>
      </c>
      <c r="AC70" s="106">
        <v>0</v>
      </c>
      <c r="AD70" s="106">
        <v>0</v>
      </c>
      <c r="AE70" s="106">
        <v>0</v>
      </c>
      <c r="AF70" s="106">
        <v>0</v>
      </c>
      <c r="AG70" s="106">
        <v>0</v>
      </c>
      <c r="AH70" s="106">
        <v>0</v>
      </c>
      <c r="AI70" s="106">
        <v>0</v>
      </c>
      <c r="AJ70" s="106">
        <v>0</v>
      </c>
      <c r="AK70" s="106">
        <v>0</v>
      </c>
      <c r="AL70" s="106">
        <v>0</v>
      </c>
      <c r="AM70" s="106">
        <v>0</v>
      </c>
      <c r="AN70" s="106">
        <v>0</v>
      </c>
    </row>
    <row r="71" spans="2:40" x14ac:dyDescent="0.25">
      <c r="B71" s="39"/>
      <c r="C71" s="12"/>
    </row>
    <row r="72" spans="2:40" x14ac:dyDescent="0.25">
      <c r="B72" s="39" t="s">
        <v>23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0</v>
      </c>
      <c r="F72" s="12">
        <v>0</v>
      </c>
      <c r="G72" s="12">
        <v>0</v>
      </c>
      <c r="H72" s="12">
        <v>0</v>
      </c>
      <c r="I72" s="12">
        <v>0</v>
      </c>
      <c r="J72" s="12">
        <v>0</v>
      </c>
      <c r="K72" s="12">
        <v>0</v>
      </c>
      <c r="L72" s="12">
        <v>0</v>
      </c>
      <c r="M72" s="12">
        <v>0</v>
      </c>
      <c r="N72" s="12">
        <v>0</v>
      </c>
      <c r="O72" s="12">
        <v>0</v>
      </c>
      <c r="P72" s="12">
        <v>0</v>
      </c>
      <c r="Q72" s="12">
        <v>0</v>
      </c>
      <c r="R72" s="12">
        <v>0</v>
      </c>
      <c r="S72" s="12">
        <v>0</v>
      </c>
      <c r="T72" s="12">
        <v>0</v>
      </c>
      <c r="U72" s="12">
        <v>0</v>
      </c>
      <c r="V72" s="12">
        <v>0</v>
      </c>
      <c r="W72" s="12">
        <v>0</v>
      </c>
      <c r="X72" s="12">
        <v>0</v>
      </c>
      <c r="Y72" s="12">
        <v>0</v>
      </c>
      <c r="Z72" s="12">
        <v>0</v>
      </c>
      <c r="AA72" s="12">
        <v>0</v>
      </c>
      <c r="AB72" s="12">
        <v>0</v>
      </c>
      <c r="AC72" s="12">
        <v>0</v>
      </c>
      <c r="AD72" s="12">
        <v>0</v>
      </c>
      <c r="AE72" s="12">
        <v>0</v>
      </c>
      <c r="AF72" s="12">
        <v>0</v>
      </c>
      <c r="AG72" s="12">
        <v>0</v>
      </c>
      <c r="AH72" s="12">
        <v>507.6806604737663</v>
      </c>
      <c r="AI72" s="12">
        <v>1269.2016511844163</v>
      </c>
      <c r="AJ72" s="12">
        <v>2030.7226418950652</v>
      </c>
      <c r="AK72" s="12">
        <v>2792.243632605715</v>
      </c>
      <c r="AL72" s="12">
        <v>3553.7646233163646</v>
      </c>
      <c r="AM72" s="12">
        <v>4315.2856140270133</v>
      </c>
      <c r="AN72" s="12">
        <v>5076.8066047376651</v>
      </c>
    </row>
    <row r="73" spans="2:40" x14ac:dyDescent="0.25">
      <c r="B73" s="39" t="s">
        <v>24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306</v>
      </c>
      <c r="E75" s="74" cm="1">
        <f t="array" ref="E75:AN75">_xlfn.ANCHORARRAY(E67)-_xlfn.ANCHORARRAY(E72)-_xlfn.ANCHORARRAY(E73)</f>
        <v>0</v>
      </c>
      <c r="F75" s="74">
        <v>0</v>
      </c>
      <c r="G75" s="74">
        <v>0</v>
      </c>
      <c r="H75" s="74">
        <v>0</v>
      </c>
      <c r="I75" s="74">
        <v>0</v>
      </c>
      <c r="J75" s="74">
        <v>0</v>
      </c>
      <c r="K75" s="74">
        <v>0</v>
      </c>
      <c r="L75" s="74">
        <v>0</v>
      </c>
      <c r="M75" s="74">
        <v>0</v>
      </c>
      <c r="N75" s="74">
        <v>0</v>
      </c>
      <c r="O75" s="74">
        <v>0</v>
      </c>
      <c r="P75" s="74">
        <v>0</v>
      </c>
      <c r="Q75" s="74">
        <v>0</v>
      </c>
      <c r="R75" s="74">
        <v>0</v>
      </c>
      <c r="S75" s="74">
        <v>0</v>
      </c>
      <c r="T75" s="74">
        <v>0</v>
      </c>
      <c r="U75" s="74">
        <v>0</v>
      </c>
      <c r="V75" s="74">
        <v>0</v>
      </c>
      <c r="W75" s="74">
        <v>0</v>
      </c>
      <c r="X75" s="74">
        <v>0</v>
      </c>
      <c r="Y75" s="74">
        <v>0</v>
      </c>
      <c r="Z75" s="74">
        <v>0</v>
      </c>
      <c r="AA75" s="74">
        <v>0</v>
      </c>
      <c r="AB75" s="74">
        <v>0</v>
      </c>
      <c r="AC75" s="74">
        <v>0</v>
      </c>
      <c r="AD75" s="74">
        <v>0</v>
      </c>
      <c r="AE75" s="74">
        <v>0</v>
      </c>
      <c r="AF75" s="74">
        <v>0</v>
      </c>
      <c r="AG75" s="74">
        <v>0</v>
      </c>
      <c r="AH75" s="74">
        <v>1540.9690456587132</v>
      </c>
      <c r="AI75" s="74">
        <v>3852.4226141467821</v>
      </c>
      <c r="AJ75" s="74">
        <v>6163.8761826348527</v>
      </c>
      <c r="AK75" s="74">
        <v>8475.3297511229248</v>
      </c>
      <c r="AL75" s="74">
        <v>10786.783319610993</v>
      </c>
      <c r="AM75" s="74">
        <v>13098.236888099062</v>
      </c>
      <c r="AN75" s="74">
        <v>15409.690456587128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9910B1-308F-4B95-BD4D-0633489D7712}">
  <dimension ref="A1:AX75"/>
  <sheetViews>
    <sheetView workbookViewId="0">
      <pane xSplit="4" ySplit="25" topLeftCell="E26" activePane="bottomRight" state="frozen"/>
      <selection activeCell="E63" sqref="E63:E65"/>
      <selection pane="topRight" activeCell="E63" sqref="E63:E65"/>
      <selection pane="bottomLeft" activeCell="E63" sqref="E63:E65"/>
      <selection pane="bottomRight" activeCell="E63" sqref="E63:E65"/>
    </sheetView>
  </sheetViews>
  <sheetFormatPr defaultRowHeight="15" outlineLevelRow="1" x14ac:dyDescent="0.25"/>
  <cols>
    <col min="2" max="2" width="24.5703125" bestFit="1" customWidth="1"/>
    <col min="3" max="3" width="11.5703125" bestFit="1" customWidth="1"/>
    <col min="4" max="4" width="10" bestFit="1" customWidth="1"/>
    <col min="5" max="6" width="11.5703125" bestFit="1" customWidth="1"/>
    <col min="7" max="13" width="12.28515625" bestFit="1" customWidth="1"/>
    <col min="14" max="18" width="11.5703125" bestFit="1" customWidth="1"/>
    <col min="19" max="40" width="12.5703125" bestFit="1" customWidth="1"/>
  </cols>
  <sheetData>
    <row r="1" spans="1:40" x14ac:dyDescent="0.25">
      <c r="A1" s="96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>2026</v>
      </c>
      <c r="B1" s="58" t="s">
        <v>81</v>
      </c>
      <c r="C1" s="16" t="s">
        <v>61</v>
      </c>
      <c r="D1" s="3" t="s">
        <v>307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IFERROR(_xlpm.kiddos,0))</f>
        <v>0</v>
      </c>
      <c r="F1" s="69">
        <v>0</v>
      </c>
      <c r="G1" s="69">
        <v>0</v>
      </c>
      <c r="H1" s="69">
        <v>0</v>
      </c>
      <c r="I1" s="69">
        <v>0</v>
      </c>
      <c r="J1" s="69">
        <v>3</v>
      </c>
      <c r="K1" s="69">
        <v>6</v>
      </c>
      <c r="L1" s="69">
        <v>9</v>
      </c>
      <c r="M1" s="69">
        <v>12</v>
      </c>
      <c r="N1" s="69">
        <v>15</v>
      </c>
      <c r="O1" s="69">
        <v>18</v>
      </c>
      <c r="P1" s="69">
        <v>21</v>
      </c>
      <c r="Q1" s="69">
        <v>24</v>
      </c>
      <c r="R1" s="69">
        <v>27</v>
      </c>
      <c r="S1" s="69">
        <v>30</v>
      </c>
      <c r="T1" s="69">
        <v>33</v>
      </c>
      <c r="U1" s="69">
        <v>36</v>
      </c>
      <c r="V1" s="69">
        <v>39</v>
      </c>
      <c r="W1" s="69">
        <v>42</v>
      </c>
      <c r="X1" s="69">
        <v>42</v>
      </c>
      <c r="Y1" s="69">
        <v>42</v>
      </c>
      <c r="Z1" s="69">
        <v>42</v>
      </c>
      <c r="AA1" s="69">
        <v>42</v>
      </c>
      <c r="AB1" s="69">
        <v>42</v>
      </c>
      <c r="AC1" s="69">
        <v>42</v>
      </c>
      <c r="AD1" s="69">
        <v>42</v>
      </c>
      <c r="AE1" s="69">
        <v>42</v>
      </c>
      <c r="AF1" s="69">
        <v>42</v>
      </c>
      <c r="AG1" s="69">
        <v>42</v>
      </c>
      <c r="AH1" s="69">
        <v>42</v>
      </c>
      <c r="AI1" s="69">
        <v>42</v>
      </c>
      <c r="AJ1" s="69">
        <v>42</v>
      </c>
      <c r="AK1" s="69">
        <v>42</v>
      </c>
      <c r="AL1" s="69">
        <v>42</v>
      </c>
      <c r="AM1" s="69">
        <v>42</v>
      </c>
      <c r="AN1" s="69">
        <v>42</v>
      </c>
    </row>
    <row r="2" spans="1:40" x14ac:dyDescent="0.25">
      <c r="A2" s="65"/>
      <c r="B2" s="3" t="str">
        <f>_xlfn.XLOOKUP($B$1&amp;"-"&amp;$C$1,Base!$D$4:$BD$4,Base!$D$2:$BD$2,"",0)</f>
        <v>North Carolina</v>
      </c>
      <c r="C2" s="55"/>
      <c r="D2" s="55" t="s">
        <v>259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0</v>
      </c>
      <c r="F2" s="69">
        <v>0</v>
      </c>
      <c r="G2" s="69">
        <v>0</v>
      </c>
      <c r="H2" s="69">
        <v>0</v>
      </c>
      <c r="I2" s="69">
        <v>0</v>
      </c>
      <c r="J2" s="69">
        <v>0</v>
      </c>
      <c r="K2" s="69">
        <v>3.1666666666666665</v>
      </c>
      <c r="L2" s="69">
        <v>3.3333333333333335</v>
      </c>
      <c r="M2" s="69">
        <v>3.5</v>
      </c>
      <c r="N2" s="69">
        <v>3.6666666666666665</v>
      </c>
      <c r="O2" s="69">
        <v>3.8333333333333335</v>
      </c>
      <c r="P2" s="69">
        <v>4</v>
      </c>
      <c r="Q2" s="69">
        <v>4.166666666666667</v>
      </c>
      <c r="R2" s="69">
        <v>4.333333333333333</v>
      </c>
      <c r="S2" s="69">
        <v>4.5</v>
      </c>
      <c r="T2" s="69">
        <v>4.666666666666667</v>
      </c>
      <c r="U2" s="69">
        <v>4.833333333333333</v>
      </c>
      <c r="V2" s="69">
        <v>5</v>
      </c>
      <c r="W2" s="69">
        <v>2.1666666666666665</v>
      </c>
      <c r="X2" s="69">
        <v>2.3333333333333335</v>
      </c>
      <c r="Y2" s="69">
        <v>2.5</v>
      </c>
      <c r="Z2" s="69">
        <v>2.6666666666666665</v>
      </c>
      <c r="AA2" s="69">
        <v>2.8333333333333335</v>
      </c>
      <c r="AB2" s="69">
        <v>3</v>
      </c>
      <c r="AC2" s="69">
        <v>3.1666666666666665</v>
      </c>
      <c r="AD2" s="69">
        <v>3.3333333333333335</v>
      </c>
      <c r="AE2" s="69">
        <v>3.5</v>
      </c>
      <c r="AF2" s="69">
        <v>3.6666666666666665</v>
      </c>
      <c r="AG2" s="69">
        <v>3.8333333333333335</v>
      </c>
      <c r="AH2" s="69">
        <v>4</v>
      </c>
      <c r="AI2" s="69">
        <v>4</v>
      </c>
      <c r="AJ2" s="69">
        <v>4</v>
      </c>
      <c r="AK2" s="69">
        <v>4</v>
      </c>
      <c r="AL2" s="69">
        <v>4</v>
      </c>
      <c r="AM2" s="69">
        <v>4</v>
      </c>
      <c r="AN2" s="69">
        <v>4</v>
      </c>
    </row>
    <row r="3" spans="1:40" x14ac:dyDescent="0.25">
      <c r="A3" s="65"/>
      <c r="B3" s="55"/>
      <c r="C3" s="55"/>
      <c r="D3" s="55" t="s">
        <v>62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_xlpm.months_since,DATEDIF(_xlpm.launchdate,_xlfn.ANCHORARRAY($E$25),"m"),_xlfn.BYCOL(_xlpm.months_since,_xlfn.LAMBDA(_xlpm.a,IFERROR(MIN(_xlpm.a/6,_xlpm.max_kiddos),0))))</f>
        <v>0</v>
      </c>
      <c r="F3" s="69">
        <v>0</v>
      </c>
      <c r="G3" s="69">
        <v>0</v>
      </c>
      <c r="H3" s="69">
        <v>0</v>
      </c>
      <c r="I3" s="69">
        <v>0</v>
      </c>
      <c r="J3" s="69">
        <v>0</v>
      </c>
      <c r="K3" s="69">
        <v>0.16666666666666666</v>
      </c>
      <c r="L3" s="69">
        <v>0.33333333333333331</v>
      </c>
      <c r="M3" s="69">
        <v>0.5</v>
      </c>
      <c r="N3" s="69">
        <v>0.66666666666666663</v>
      </c>
      <c r="O3" s="69">
        <v>0.83333333333333337</v>
      </c>
      <c r="P3" s="69">
        <v>1</v>
      </c>
      <c r="Q3" s="69">
        <v>1.1666666666666667</v>
      </c>
      <c r="R3" s="69">
        <v>1.3333333333333333</v>
      </c>
      <c r="S3" s="69">
        <v>1.5</v>
      </c>
      <c r="T3" s="69">
        <v>1.6666666666666667</v>
      </c>
      <c r="U3" s="69">
        <v>1.8333333333333333</v>
      </c>
      <c r="V3" s="69">
        <v>2</v>
      </c>
      <c r="W3" s="69">
        <v>2.1666666666666665</v>
      </c>
      <c r="X3" s="69">
        <v>2.3333333333333335</v>
      </c>
      <c r="Y3" s="69">
        <v>2.5</v>
      </c>
      <c r="Z3" s="69">
        <v>2.6666666666666665</v>
      </c>
      <c r="AA3" s="69">
        <v>2.8333333333333335</v>
      </c>
      <c r="AB3" s="69">
        <v>3</v>
      </c>
      <c r="AC3" s="69">
        <v>3.1666666666666665</v>
      </c>
      <c r="AD3" s="69">
        <v>3.3333333333333335</v>
      </c>
      <c r="AE3" s="69">
        <v>3.5</v>
      </c>
      <c r="AF3" s="69">
        <v>3.6666666666666665</v>
      </c>
      <c r="AG3" s="69">
        <v>3.8333333333333335</v>
      </c>
      <c r="AH3" s="69">
        <v>4</v>
      </c>
      <c r="AI3" s="69">
        <v>4</v>
      </c>
      <c r="AJ3" s="69">
        <v>4</v>
      </c>
      <c r="AK3" s="69">
        <v>4</v>
      </c>
      <c r="AL3" s="69">
        <v>4</v>
      </c>
      <c r="AM3" s="69">
        <v>4</v>
      </c>
      <c r="AN3" s="69">
        <v>4</v>
      </c>
    </row>
    <row r="4" spans="1:40" x14ac:dyDescent="0.25">
      <c r="A4" s="65"/>
      <c r="B4" s="55"/>
      <c r="C4" s="55"/>
      <c r="D4" s="55" t="s">
        <v>260</v>
      </c>
      <c r="E4" s="69" cm="1">
        <f t="array" ref="E4:AN4">_xlfn.BYCOL(_xlfn.VSTACK(_xlfn.ANCHORARRAY($E$1),_xlfn.ANCHORARRAY($E$2)),_xlfn.LAMBDA(_xlpm.a,SUM(_xlpm.a)))</f>
        <v>0</v>
      </c>
      <c r="F4" s="69">
        <v>0</v>
      </c>
      <c r="G4" s="69">
        <v>0</v>
      </c>
      <c r="H4" s="69">
        <v>0</v>
      </c>
      <c r="I4" s="69">
        <v>0</v>
      </c>
      <c r="J4" s="69">
        <v>3</v>
      </c>
      <c r="K4" s="69">
        <v>9.1666666666666661</v>
      </c>
      <c r="L4" s="69">
        <v>12.333333333333334</v>
      </c>
      <c r="M4" s="69">
        <v>15.5</v>
      </c>
      <c r="N4" s="69">
        <v>18.666666666666668</v>
      </c>
      <c r="O4" s="69">
        <v>21.833333333333332</v>
      </c>
      <c r="P4" s="69">
        <v>25</v>
      </c>
      <c r="Q4" s="69">
        <v>28.166666666666668</v>
      </c>
      <c r="R4" s="69">
        <v>31.333333333333332</v>
      </c>
      <c r="S4" s="69">
        <v>34.5</v>
      </c>
      <c r="T4" s="69">
        <v>37.666666666666664</v>
      </c>
      <c r="U4" s="69">
        <v>40.833333333333336</v>
      </c>
      <c r="V4" s="69">
        <v>44</v>
      </c>
      <c r="W4" s="69">
        <v>44.166666666666664</v>
      </c>
      <c r="X4" s="69">
        <v>44.333333333333336</v>
      </c>
      <c r="Y4" s="69">
        <v>44.5</v>
      </c>
      <c r="Z4" s="69">
        <v>44.666666666666664</v>
      </c>
      <c r="AA4" s="69">
        <v>44.833333333333336</v>
      </c>
      <c r="AB4" s="69">
        <v>45</v>
      </c>
      <c r="AC4" s="69">
        <v>45.166666666666664</v>
      </c>
      <c r="AD4" s="69">
        <v>45.333333333333336</v>
      </c>
      <c r="AE4" s="69">
        <v>45.5</v>
      </c>
      <c r="AF4" s="69">
        <v>45.666666666666664</v>
      </c>
      <c r="AG4" s="69">
        <v>45.833333333333336</v>
      </c>
      <c r="AH4" s="69">
        <v>46</v>
      </c>
      <c r="AI4" s="69">
        <v>46</v>
      </c>
      <c r="AJ4" s="69">
        <v>46</v>
      </c>
      <c r="AK4" s="69">
        <v>46</v>
      </c>
      <c r="AL4" s="69">
        <v>46</v>
      </c>
      <c r="AM4" s="69">
        <v>46</v>
      </c>
      <c r="AN4" s="69">
        <v>46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107</v>
      </c>
      <c r="C6" s="3"/>
      <c r="D6" s="3"/>
      <c r="E6" s="66" cm="1">
        <f t="array" ref="E6:AN6">ROUND(_xlfn.BYCOL(_xlfn.ANCHORARRAY(E7),_xlfn.LAMBDA(_xlpm.a,SUM(_xlpm.a))),0)</f>
        <v>0</v>
      </c>
      <c r="F6" s="66">
        <v>0</v>
      </c>
      <c r="G6" s="66">
        <v>0</v>
      </c>
      <c r="H6" s="66">
        <v>0</v>
      </c>
      <c r="I6" s="66">
        <v>0</v>
      </c>
      <c r="J6" s="66">
        <v>6</v>
      </c>
      <c r="K6" s="66">
        <v>11</v>
      </c>
      <c r="L6" s="66">
        <v>15</v>
      </c>
      <c r="M6" s="66">
        <v>18</v>
      </c>
      <c r="N6" s="66">
        <v>22</v>
      </c>
      <c r="O6" s="66">
        <v>26</v>
      </c>
      <c r="P6" s="66">
        <v>29</v>
      </c>
      <c r="Q6" s="66">
        <v>33</v>
      </c>
      <c r="R6" s="66">
        <v>37</v>
      </c>
      <c r="S6" s="66">
        <v>40</v>
      </c>
      <c r="T6" s="66">
        <v>44</v>
      </c>
      <c r="U6" s="66">
        <v>47</v>
      </c>
      <c r="V6" s="66">
        <v>51</v>
      </c>
      <c r="W6" s="66">
        <v>54</v>
      </c>
      <c r="X6" s="66">
        <v>54</v>
      </c>
      <c r="Y6" s="66">
        <v>54</v>
      </c>
      <c r="Z6" s="66">
        <v>54</v>
      </c>
      <c r="AA6" s="66">
        <v>54</v>
      </c>
      <c r="AB6" s="66">
        <v>54</v>
      </c>
      <c r="AC6" s="66">
        <v>54</v>
      </c>
      <c r="AD6" s="66">
        <v>54</v>
      </c>
      <c r="AE6" s="66">
        <v>54</v>
      </c>
      <c r="AF6" s="66">
        <v>54</v>
      </c>
      <c r="AG6" s="66">
        <v>54</v>
      </c>
      <c r="AH6" s="66">
        <v>54</v>
      </c>
      <c r="AI6" s="66">
        <v>54</v>
      </c>
      <c r="AJ6" s="66">
        <v>54</v>
      </c>
      <c r="AK6" s="66">
        <v>54</v>
      </c>
      <c r="AL6" s="66">
        <v>54</v>
      </c>
      <c r="AM6" s="66">
        <v>54</v>
      </c>
      <c r="AN6" s="66">
        <v>54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1"/>
      <c r="E7" s="106" cm="1">
        <f t="array" ref="E7:AN20">_xlfn.LET(_xlpm.Customer_staff,_xlfn._xlws.FILTER(Base!$D$85:$BD$98,ISNUMBER(SEARCH($B$1&amp;"-"&amp;$C$1,Base!$D$4:$BD$4))),_xlpm.Customer,_xlfn.ANCHORARRAY($E$1),_xlpm.headcount,_xlpm.Customer/_xlpm.Customer_staff,
_xlpm.patient_staff,_xlfn.ANCHORARRAY($E$2)/_xlpm.Customer_staff,_xlpm.prim_staff_tr_rec,_xlfn.ANCHORARRAY($E$2)/_xlfn.CHOOSEROWS(_xlpm.Customer_staff,{7,8})+(_xlfn.ANCHORARRAY($E$1)*0.0055),_xlpm.rounding,_xlfn.VSTACK(2,2,0,0,2,2,2,2,2,2,2,0,0,0),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prim_staff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0</v>
      </c>
      <c r="F7" s="106">
        <v>0</v>
      </c>
      <c r="G7" s="106">
        <v>0</v>
      </c>
      <c r="H7" s="106">
        <v>0</v>
      </c>
      <c r="I7" s="106">
        <v>0</v>
      </c>
      <c r="J7" s="106">
        <v>2.8299999999999996</v>
      </c>
      <c r="K7" s="106">
        <v>5.6499999999999995</v>
      </c>
      <c r="L7" s="106">
        <v>8.48</v>
      </c>
      <c r="M7" s="106">
        <v>11.299999999999999</v>
      </c>
      <c r="N7" s="106">
        <v>14.12</v>
      </c>
      <c r="O7" s="106">
        <v>16.950000000000003</v>
      </c>
      <c r="P7" s="106">
        <v>19.770000000000003</v>
      </c>
      <c r="Q7" s="106">
        <v>22.59</v>
      </c>
      <c r="R7" s="106">
        <v>25.42</v>
      </c>
      <c r="S7" s="106">
        <v>28.240000000000002</v>
      </c>
      <c r="T7" s="106">
        <v>31.060000000000002</v>
      </c>
      <c r="U7" s="106">
        <v>33.89</v>
      </c>
      <c r="V7" s="106">
        <v>36.71</v>
      </c>
      <c r="W7" s="106">
        <v>39.53</v>
      </c>
      <c r="X7" s="106">
        <v>39.53</v>
      </c>
      <c r="Y7" s="106">
        <v>39.53</v>
      </c>
      <c r="Z7" s="106">
        <v>39.53</v>
      </c>
      <c r="AA7" s="106">
        <v>39.53</v>
      </c>
      <c r="AB7" s="106">
        <v>39.53</v>
      </c>
      <c r="AC7" s="106">
        <v>39.53</v>
      </c>
      <c r="AD7" s="106">
        <v>39.53</v>
      </c>
      <c r="AE7" s="106">
        <v>39.53</v>
      </c>
      <c r="AF7" s="106">
        <v>39.53</v>
      </c>
      <c r="AG7" s="106">
        <v>39.53</v>
      </c>
      <c r="AH7" s="106">
        <v>39.53</v>
      </c>
      <c r="AI7" s="106">
        <v>39.53</v>
      </c>
      <c r="AJ7" s="106">
        <v>39.53</v>
      </c>
      <c r="AK7" s="106">
        <v>39.53</v>
      </c>
      <c r="AL7" s="106">
        <v>39.53</v>
      </c>
      <c r="AM7" s="106">
        <v>39.53</v>
      </c>
      <c r="AN7" s="106">
        <v>39.53</v>
      </c>
    </row>
    <row r="8" spans="1:40" hidden="1" outlineLevel="1" x14ac:dyDescent="0.25">
      <c r="B8" s="39" t="str">
        <v>Secondary Direct Staff</v>
      </c>
      <c r="C8" s="3"/>
      <c r="D8" s="3"/>
      <c r="E8" s="106">
        <v>0</v>
      </c>
      <c r="F8" s="106">
        <v>0</v>
      </c>
      <c r="G8" s="106">
        <v>0</v>
      </c>
      <c r="H8" s="106">
        <v>0</v>
      </c>
      <c r="I8" s="106">
        <v>0</v>
      </c>
      <c r="J8" s="106">
        <v>0.43</v>
      </c>
      <c r="K8" s="106">
        <v>0.86</v>
      </c>
      <c r="L8" s="106">
        <v>1.29</v>
      </c>
      <c r="M8" s="106">
        <v>1.72</v>
      </c>
      <c r="N8" s="106">
        <v>2.15</v>
      </c>
      <c r="O8" s="106">
        <v>2.5799999999999996</v>
      </c>
      <c r="P8" s="106">
        <v>3</v>
      </c>
      <c r="Q8" s="106">
        <v>3.4299999999999997</v>
      </c>
      <c r="R8" s="106">
        <v>3.86</v>
      </c>
      <c r="S8" s="106">
        <v>4.29</v>
      </c>
      <c r="T8" s="106">
        <v>4.72</v>
      </c>
      <c r="U8" s="106">
        <v>5.1499999999999995</v>
      </c>
      <c r="V8" s="106">
        <v>5.58</v>
      </c>
      <c r="W8" s="106">
        <v>6</v>
      </c>
      <c r="X8" s="106">
        <v>6</v>
      </c>
      <c r="Y8" s="106">
        <v>6</v>
      </c>
      <c r="Z8" s="106">
        <v>6</v>
      </c>
      <c r="AA8" s="106">
        <v>6</v>
      </c>
      <c r="AB8" s="106">
        <v>6</v>
      </c>
      <c r="AC8" s="106">
        <v>6</v>
      </c>
      <c r="AD8" s="106">
        <v>6</v>
      </c>
      <c r="AE8" s="106">
        <v>6</v>
      </c>
      <c r="AF8" s="106">
        <v>6</v>
      </c>
      <c r="AG8" s="106">
        <v>6</v>
      </c>
      <c r="AH8" s="106">
        <v>6</v>
      </c>
      <c r="AI8" s="106">
        <v>6</v>
      </c>
      <c r="AJ8" s="106">
        <v>6</v>
      </c>
      <c r="AK8" s="106">
        <v>6</v>
      </c>
      <c r="AL8" s="106">
        <v>6</v>
      </c>
      <c r="AM8" s="106">
        <v>6</v>
      </c>
      <c r="AN8" s="106">
        <v>6</v>
      </c>
    </row>
    <row r="9" spans="1:40" hidden="1" outlineLevel="1" x14ac:dyDescent="0.25">
      <c r="B9" s="39" t="str">
        <v>Center Manager</v>
      </c>
      <c r="C9" s="3"/>
      <c r="D9" s="3"/>
      <c r="E9" s="106">
        <v>0</v>
      </c>
      <c r="F9" s="106">
        <v>0</v>
      </c>
      <c r="G9" s="106">
        <v>0</v>
      </c>
      <c r="H9" s="106">
        <v>0</v>
      </c>
      <c r="I9" s="106">
        <v>0</v>
      </c>
      <c r="J9" s="106">
        <v>1</v>
      </c>
      <c r="K9" s="106">
        <v>1</v>
      </c>
      <c r="L9" s="106">
        <v>1</v>
      </c>
      <c r="M9" s="106">
        <v>1</v>
      </c>
      <c r="N9" s="106">
        <v>1</v>
      </c>
      <c r="O9" s="106">
        <v>1</v>
      </c>
      <c r="P9" s="106">
        <v>1</v>
      </c>
      <c r="Q9" s="106">
        <v>1</v>
      </c>
      <c r="R9" s="106">
        <v>1</v>
      </c>
      <c r="S9" s="106">
        <v>1</v>
      </c>
      <c r="T9" s="106">
        <v>1</v>
      </c>
      <c r="U9" s="106">
        <v>1</v>
      </c>
      <c r="V9" s="106">
        <v>1</v>
      </c>
      <c r="W9" s="106">
        <v>1</v>
      </c>
      <c r="X9" s="106">
        <v>1</v>
      </c>
      <c r="Y9" s="106">
        <v>1</v>
      </c>
      <c r="Z9" s="106">
        <v>1</v>
      </c>
      <c r="AA9" s="106">
        <v>1</v>
      </c>
      <c r="AB9" s="106">
        <v>1</v>
      </c>
      <c r="AC9" s="106">
        <v>1</v>
      </c>
      <c r="AD9" s="106">
        <v>1</v>
      </c>
      <c r="AE9" s="106">
        <v>1</v>
      </c>
      <c r="AF9" s="106">
        <v>1</v>
      </c>
      <c r="AG9" s="106">
        <v>1</v>
      </c>
      <c r="AH9" s="106">
        <v>1</v>
      </c>
      <c r="AI9" s="106">
        <v>1</v>
      </c>
      <c r="AJ9" s="106">
        <v>1</v>
      </c>
      <c r="AK9" s="106">
        <v>1</v>
      </c>
      <c r="AL9" s="106">
        <v>1</v>
      </c>
      <c r="AM9" s="106">
        <v>1</v>
      </c>
      <c r="AN9" s="106">
        <v>1</v>
      </c>
    </row>
    <row r="10" spans="1:40" hidden="1" outlineLevel="1" x14ac:dyDescent="0.25">
      <c r="B10" s="39" t="str">
        <v>Intake</v>
      </c>
      <c r="C10" s="3"/>
      <c r="D10" s="3"/>
      <c r="E10" s="106">
        <v>0</v>
      </c>
      <c r="F10" s="106">
        <v>0</v>
      </c>
      <c r="G10" s="106">
        <v>0</v>
      </c>
      <c r="H10" s="106">
        <v>0</v>
      </c>
      <c r="I10" s="106">
        <v>0</v>
      </c>
      <c r="J10" s="106">
        <v>0</v>
      </c>
      <c r="K10" s="106">
        <v>1</v>
      </c>
      <c r="L10" s="106">
        <v>1</v>
      </c>
      <c r="M10" s="106">
        <v>1</v>
      </c>
      <c r="N10" s="106">
        <v>1</v>
      </c>
      <c r="O10" s="106">
        <v>1</v>
      </c>
      <c r="P10" s="106">
        <v>1</v>
      </c>
      <c r="Q10" s="106">
        <v>1</v>
      </c>
      <c r="R10" s="106">
        <v>1</v>
      </c>
      <c r="S10" s="106">
        <v>1</v>
      </c>
      <c r="T10" s="106">
        <v>1</v>
      </c>
      <c r="U10" s="106">
        <v>1</v>
      </c>
      <c r="V10" s="106">
        <v>1</v>
      </c>
      <c r="W10" s="106">
        <v>1</v>
      </c>
      <c r="X10" s="106">
        <v>1</v>
      </c>
      <c r="Y10" s="106">
        <v>1</v>
      </c>
      <c r="Z10" s="106">
        <v>1</v>
      </c>
      <c r="AA10" s="106">
        <v>1</v>
      </c>
      <c r="AB10" s="106">
        <v>1</v>
      </c>
      <c r="AC10" s="106">
        <v>1</v>
      </c>
      <c r="AD10" s="106">
        <v>1</v>
      </c>
      <c r="AE10" s="106">
        <v>1</v>
      </c>
      <c r="AF10" s="106">
        <v>1</v>
      </c>
      <c r="AG10" s="106">
        <v>1</v>
      </c>
      <c r="AH10" s="106">
        <v>1</v>
      </c>
      <c r="AI10" s="106">
        <v>1</v>
      </c>
      <c r="AJ10" s="106">
        <v>1</v>
      </c>
      <c r="AK10" s="106">
        <v>1</v>
      </c>
      <c r="AL10" s="106">
        <v>1</v>
      </c>
      <c r="AM10" s="106">
        <v>1</v>
      </c>
      <c r="AN10" s="106">
        <v>1</v>
      </c>
    </row>
    <row r="11" spans="1:40" hidden="1" outlineLevel="1" x14ac:dyDescent="0.25">
      <c r="B11" s="39" t="str">
        <v>Scheduler</v>
      </c>
      <c r="C11" s="3"/>
      <c r="D11" s="3"/>
      <c r="E11" s="106">
        <v>0</v>
      </c>
      <c r="F11" s="106">
        <v>0</v>
      </c>
      <c r="G11" s="106">
        <v>0</v>
      </c>
      <c r="H11" s="106">
        <v>0</v>
      </c>
      <c r="I11" s="106">
        <v>0</v>
      </c>
      <c r="J11" s="106">
        <v>0</v>
      </c>
      <c r="K11" s="106">
        <v>0</v>
      </c>
      <c r="L11" s="106">
        <v>0</v>
      </c>
      <c r="M11" s="106">
        <v>0</v>
      </c>
      <c r="N11" s="106">
        <v>0</v>
      </c>
      <c r="O11" s="106">
        <v>0</v>
      </c>
      <c r="P11" s="106">
        <v>0</v>
      </c>
      <c r="Q11" s="106">
        <v>0</v>
      </c>
      <c r="R11" s="106">
        <v>0</v>
      </c>
      <c r="S11" s="106">
        <v>0</v>
      </c>
      <c r="T11" s="106">
        <v>0</v>
      </c>
      <c r="U11" s="106">
        <v>0</v>
      </c>
      <c r="V11" s="106">
        <v>0</v>
      </c>
      <c r="W11" s="106">
        <v>0</v>
      </c>
      <c r="X11" s="106">
        <v>0</v>
      </c>
      <c r="Y11" s="106">
        <v>0</v>
      </c>
      <c r="Z11" s="106">
        <v>0</v>
      </c>
      <c r="AA11" s="106">
        <v>0</v>
      </c>
      <c r="AB11" s="106">
        <v>0</v>
      </c>
      <c r="AC11" s="106">
        <v>0</v>
      </c>
      <c r="AD11" s="106">
        <v>0</v>
      </c>
      <c r="AE11" s="106">
        <v>0</v>
      </c>
      <c r="AF11" s="106">
        <v>0</v>
      </c>
      <c r="AG11" s="106">
        <v>0</v>
      </c>
      <c r="AH11" s="106">
        <v>0</v>
      </c>
      <c r="AI11" s="106">
        <v>0</v>
      </c>
      <c r="AJ11" s="106">
        <v>0</v>
      </c>
      <c r="AK11" s="106">
        <v>0</v>
      </c>
      <c r="AL11" s="106">
        <v>0</v>
      </c>
      <c r="AM11" s="106">
        <v>0</v>
      </c>
      <c r="AN11" s="106">
        <v>0</v>
      </c>
    </row>
    <row r="12" spans="1:40" hidden="1" outlineLevel="1" x14ac:dyDescent="0.25">
      <c r="B12" s="39" t="str">
        <v>Initial Consultation Expert</v>
      </c>
      <c r="C12" s="3"/>
      <c r="D12" s="3"/>
      <c r="E12" s="106">
        <v>0</v>
      </c>
      <c r="F12" s="106">
        <v>0</v>
      </c>
      <c r="G12" s="106">
        <v>0</v>
      </c>
      <c r="H12" s="106">
        <v>0</v>
      </c>
      <c r="I12" s="106">
        <v>0</v>
      </c>
      <c r="J12" s="106">
        <v>0</v>
      </c>
      <c r="K12" s="106">
        <v>0.25</v>
      </c>
      <c r="L12" s="106">
        <v>0.26</v>
      </c>
      <c r="M12" s="106">
        <v>0.27</v>
      </c>
      <c r="N12" s="106">
        <v>0.29000000000000004</v>
      </c>
      <c r="O12" s="106">
        <v>0.3</v>
      </c>
      <c r="P12" s="106">
        <v>0.31</v>
      </c>
      <c r="Q12" s="106">
        <v>0.33</v>
      </c>
      <c r="R12" s="106">
        <v>0.34</v>
      </c>
      <c r="S12" s="106">
        <v>0.35000000000000003</v>
      </c>
      <c r="T12" s="106">
        <v>0.36</v>
      </c>
      <c r="U12" s="106">
        <v>0.38</v>
      </c>
      <c r="V12" s="106">
        <v>0.39</v>
      </c>
      <c r="W12" s="106">
        <v>0.17</v>
      </c>
      <c r="X12" s="106">
        <v>0.18000000000000002</v>
      </c>
      <c r="Y12" s="106">
        <v>0.2</v>
      </c>
      <c r="Z12" s="106">
        <v>0.21000000000000002</v>
      </c>
      <c r="AA12" s="106">
        <v>0.22</v>
      </c>
      <c r="AB12" s="106">
        <v>0.24000000000000002</v>
      </c>
      <c r="AC12" s="106">
        <v>0.25</v>
      </c>
      <c r="AD12" s="106">
        <v>0.26</v>
      </c>
      <c r="AE12" s="106">
        <v>0.27</v>
      </c>
      <c r="AF12" s="106">
        <v>0.29000000000000004</v>
      </c>
      <c r="AG12" s="106">
        <v>0.3</v>
      </c>
      <c r="AH12" s="106">
        <v>0.31</v>
      </c>
      <c r="AI12" s="106">
        <v>0.31</v>
      </c>
      <c r="AJ12" s="106">
        <v>0.31</v>
      </c>
      <c r="AK12" s="106">
        <v>0.31</v>
      </c>
      <c r="AL12" s="106">
        <v>0.31</v>
      </c>
      <c r="AM12" s="106">
        <v>0.31</v>
      </c>
      <c r="AN12" s="106">
        <v>0.31</v>
      </c>
    </row>
    <row r="13" spans="1:40" hidden="1" outlineLevel="1" x14ac:dyDescent="0.25">
      <c r="B13" s="39" t="str">
        <v>Trainer</v>
      </c>
      <c r="C13" s="3"/>
      <c r="D13" s="3"/>
      <c r="E13" s="106">
        <v>0</v>
      </c>
      <c r="F13" s="106">
        <v>0</v>
      </c>
      <c r="G13" s="106">
        <v>0</v>
      </c>
      <c r="H13" s="106">
        <v>0</v>
      </c>
      <c r="I13" s="106">
        <v>0</v>
      </c>
      <c r="J13" s="106">
        <v>0.02</v>
      </c>
      <c r="K13" s="106">
        <v>0.35000000000000003</v>
      </c>
      <c r="L13" s="106">
        <v>0.39</v>
      </c>
      <c r="M13" s="106">
        <v>0.42</v>
      </c>
      <c r="N13" s="106">
        <v>0.45</v>
      </c>
      <c r="O13" s="106">
        <v>0.49</v>
      </c>
      <c r="P13" s="106">
        <v>0.52</v>
      </c>
      <c r="Q13" s="106">
        <v>0.55000000000000004</v>
      </c>
      <c r="R13" s="106">
        <v>0.59</v>
      </c>
      <c r="S13" s="106">
        <v>0.62</v>
      </c>
      <c r="T13" s="106">
        <v>0.65</v>
      </c>
      <c r="U13" s="106">
        <v>0.69000000000000006</v>
      </c>
      <c r="V13" s="106">
        <v>0.72</v>
      </c>
      <c r="W13" s="106">
        <v>0.45</v>
      </c>
      <c r="X13" s="106">
        <v>0.47000000000000003</v>
      </c>
      <c r="Y13" s="106">
        <v>0.49</v>
      </c>
      <c r="Z13" s="106">
        <v>0.5</v>
      </c>
      <c r="AA13" s="106">
        <v>0.52</v>
      </c>
      <c r="AB13" s="106">
        <v>0.54</v>
      </c>
      <c r="AC13" s="106">
        <v>0.55000000000000004</v>
      </c>
      <c r="AD13" s="106">
        <v>0.57000000000000006</v>
      </c>
      <c r="AE13" s="106">
        <v>0.59</v>
      </c>
      <c r="AF13" s="106">
        <v>0.6</v>
      </c>
      <c r="AG13" s="106">
        <v>0.62</v>
      </c>
      <c r="AH13" s="106">
        <v>0.64</v>
      </c>
      <c r="AI13" s="106">
        <v>0.64</v>
      </c>
      <c r="AJ13" s="106">
        <v>0.64</v>
      </c>
      <c r="AK13" s="106">
        <v>0.64</v>
      </c>
      <c r="AL13" s="106">
        <v>0.64</v>
      </c>
      <c r="AM13" s="106">
        <v>0.64</v>
      </c>
      <c r="AN13" s="106">
        <v>0.64</v>
      </c>
    </row>
    <row r="14" spans="1:40" hidden="1" outlineLevel="1" x14ac:dyDescent="0.25">
      <c r="B14" s="39" t="str">
        <v>Recruiter</v>
      </c>
      <c r="C14" s="3"/>
      <c r="D14" s="3"/>
      <c r="E14" s="106">
        <v>0</v>
      </c>
      <c r="F14" s="106">
        <v>0</v>
      </c>
      <c r="G14" s="106">
        <v>0</v>
      </c>
      <c r="H14" s="106">
        <v>0</v>
      </c>
      <c r="I14" s="106">
        <v>0</v>
      </c>
      <c r="J14" s="106">
        <v>0.02</v>
      </c>
      <c r="K14" s="106">
        <v>0.2</v>
      </c>
      <c r="L14" s="106">
        <v>0.22</v>
      </c>
      <c r="M14" s="106">
        <v>0.25</v>
      </c>
      <c r="N14" s="106">
        <v>0.27</v>
      </c>
      <c r="O14" s="106">
        <v>0.3</v>
      </c>
      <c r="P14" s="106">
        <v>0.32</v>
      </c>
      <c r="Q14" s="106">
        <v>0.35000000000000003</v>
      </c>
      <c r="R14" s="106">
        <v>0.37</v>
      </c>
      <c r="S14" s="106">
        <v>0.39</v>
      </c>
      <c r="T14" s="106">
        <v>0.42</v>
      </c>
      <c r="U14" s="106">
        <v>0.44</v>
      </c>
      <c r="V14" s="106">
        <v>0.47000000000000003</v>
      </c>
      <c r="W14" s="106">
        <v>0.34</v>
      </c>
      <c r="X14" s="106">
        <v>0.35000000000000003</v>
      </c>
      <c r="Y14" s="106">
        <v>0.36</v>
      </c>
      <c r="Z14" s="106">
        <v>0.37</v>
      </c>
      <c r="AA14" s="106">
        <v>0.38</v>
      </c>
      <c r="AB14" s="106">
        <v>0.39</v>
      </c>
      <c r="AC14" s="106">
        <v>0.39</v>
      </c>
      <c r="AD14" s="106">
        <v>0.4</v>
      </c>
      <c r="AE14" s="106">
        <v>0.41000000000000003</v>
      </c>
      <c r="AF14" s="106">
        <v>0.42</v>
      </c>
      <c r="AG14" s="106">
        <v>0.43</v>
      </c>
      <c r="AH14" s="106">
        <v>0.44</v>
      </c>
      <c r="AI14" s="106">
        <v>0.44</v>
      </c>
      <c r="AJ14" s="106">
        <v>0.44</v>
      </c>
      <c r="AK14" s="106">
        <v>0.44</v>
      </c>
      <c r="AL14" s="106">
        <v>0.44</v>
      </c>
      <c r="AM14" s="106">
        <v>0.44</v>
      </c>
      <c r="AN14" s="106">
        <v>0.44</v>
      </c>
    </row>
    <row r="15" spans="1:40" hidden="1" outlineLevel="1" x14ac:dyDescent="0.25">
      <c r="B15" s="39" t="str">
        <v>Center Director / Remote Site Director</v>
      </c>
      <c r="C15" s="3"/>
      <c r="D15" s="3"/>
      <c r="E15" s="106">
        <v>0</v>
      </c>
      <c r="F15" s="106">
        <v>0</v>
      </c>
      <c r="G15" s="106">
        <v>0</v>
      </c>
      <c r="H15" s="106">
        <v>0</v>
      </c>
      <c r="I15" s="106">
        <v>0</v>
      </c>
      <c r="J15" s="106">
        <v>0.02</v>
      </c>
      <c r="K15" s="106">
        <v>0.03</v>
      </c>
      <c r="L15" s="106">
        <v>0.04</v>
      </c>
      <c r="M15" s="106">
        <v>0.05</v>
      </c>
      <c r="N15" s="106">
        <v>0.06</v>
      </c>
      <c r="O15" s="106">
        <v>0.08</v>
      </c>
      <c r="P15" s="106">
        <v>0.09</v>
      </c>
      <c r="Q15" s="106">
        <v>9.9999999999999992E-2</v>
      </c>
      <c r="R15" s="106">
        <v>0.11</v>
      </c>
      <c r="S15" s="106">
        <v>0.12</v>
      </c>
      <c r="T15" s="106">
        <v>0.14000000000000001</v>
      </c>
      <c r="U15" s="106">
        <v>0.15000000000000002</v>
      </c>
      <c r="V15" s="106">
        <v>0.16</v>
      </c>
      <c r="W15" s="106">
        <v>0.17</v>
      </c>
      <c r="X15" s="106">
        <v>0.17</v>
      </c>
      <c r="Y15" s="106">
        <v>0.17</v>
      </c>
      <c r="Z15" s="106">
        <v>0.17</v>
      </c>
      <c r="AA15" s="106">
        <v>0.17</v>
      </c>
      <c r="AB15" s="106">
        <v>0.17</v>
      </c>
      <c r="AC15" s="106">
        <v>0.17</v>
      </c>
      <c r="AD15" s="106">
        <v>0.17</v>
      </c>
      <c r="AE15" s="106">
        <v>0.17</v>
      </c>
      <c r="AF15" s="106">
        <v>0.17</v>
      </c>
      <c r="AG15" s="106">
        <v>0.17</v>
      </c>
      <c r="AH15" s="106">
        <v>0.17</v>
      </c>
      <c r="AI15" s="106">
        <v>0.17</v>
      </c>
      <c r="AJ15" s="106">
        <v>0.17</v>
      </c>
      <c r="AK15" s="106">
        <v>0.17</v>
      </c>
      <c r="AL15" s="106">
        <v>0.17</v>
      </c>
      <c r="AM15" s="106">
        <v>0.17</v>
      </c>
      <c r="AN15" s="106">
        <v>0.17</v>
      </c>
    </row>
    <row r="16" spans="1:40" hidden="1" outlineLevel="1" x14ac:dyDescent="0.25">
      <c r="B16" s="39" t="str">
        <v>Center Marketing Outreach</v>
      </c>
      <c r="C16" s="3"/>
      <c r="D16" s="3"/>
      <c r="E16" s="106">
        <v>0</v>
      </c>
      <c r="F16" s="106">
        <v>0</v>
      </c>
      <c r="G16" s="106">
        <v>0</v>
      </c>
      <c r="H16" s="106">
        <v>0</v>
      </c>
      <c r="I16" s="106">
        <v>0</v>
      </c>
      <c r="J16" s="106">
        <v>0.02</v>
      </c>
      <c r="K16" s="106">
        <v>0.03</v>
      </c>
      <c r="L16" s="106">
        <v>0.04</v>
      </c>
      <c r="M16" s="106">
        <v>0.05</v>
      </c>
      <c r="N16" s="106">
        <v>0.06</v>
      </c>
      <c r="O16" s="106">
        <v>0.08</v>
      </c>
      <c r="P16" s="106">
        <v>0.09</v>
      </c>
      <c r="Q16" s="106">
        <v>9.9999999999999992E-2</v>
      </c>
      <c r="R16" s="106">
        <v>0.11</v>
      </c>
      <c r="S16" s="106">
        <v>0.12</v>
      </c>
      <c r="T16" s="106">
        <v>0.14000000000000001</v>
      </c>
      <c r="U16" s="106">
        <v>0.15000000000000002</v>
      </c>
      <c r="V16" s="106">
        <v>0.16</v>
      </c>
      <c r="W16" s="106">
        <v>0.17</v>
      </c>
      <c r="X16" s="106">
        <v>0.17</v>
      </c>
      <c r="Y16" s="106">
        <v>0.17</v>
      </c>
      <c r="Z16" s="106">
        <v>0.17</v>
      </c>
      <c r="AA16" s="106">
        <v>0.17</v>
      </c>
      <c r="AB16" s="106">
        <v>0.17</v>
      </c>
      <c r="AC16" s="106">
        <v>0.17</v>
      </c>
      <c r="AD16" s="106">
        <v>0.17</v>
      </c>
      <c r="AE16" s="106">
        <v>0.17</v>
      </c>
      <c r="AF16" s="106">
        <v>0.17</v>
      </c>
      <c r="AG16" s="106">
        <v>0.17</v>
      </c>
      <c r="AH16" s="106">
        <v>0.17</v>
      </c>
      <c r="AI16" s="106">
        <v>0.17</v>
      </c>
      <c r="AJ16" s="106">
        <v>0.17</v>
      </c>
      <c r="AK16" s="106">
        <v>0.17</v>
      </c>
      <c r="AL16" s="106">
        <v>0.17</v>
      </c>
      <c r="AM16" s="106">
        <v>0.17</v>
      </c>
      <c r="AN16" s="106">
        <v>0.17</v>
      </c>
    </row>
    <row r="17" spans="2:50" hidden="1" outlineLevel="1" x14ac:dyDescent="0.25">
      <c r="B17" s="39" t="str">
        <v>Primary Direct Staff Lead</v>
      </c>
      <c r="C17" s="3"/>
      <c r="D17" s="3"/>
      <c r="E17" s="106">
        <v>0</v>
      </c>
      <c r="F17" s="106">
        <v>0</v>
      </c>
      <c r="G17" s="106">
        <v>0</v>
      </c>
      <c r="H17" s="106">
        <v>0</v>
      </c>
      <c r="I17" s="106">
        <v>0</v>
      </c>
      <c r="J17" s="106">
        <v>0.3</v>
      </c>
      <c r="K17" s="106">
        <v>0.6</v>
      </c>
      <c r="L17" s="106">
        <v>0.9</v>
      </c>
      <c r="M17" s="106">
        <v>1.2</v>
      </c>
      <c r="N17" s="106">
        <v>1.5</v>
      </c>
      <c r="O17" s="106">
        <v>1.8</v>
      </c>
      <c r="P17" s="106">
        <v>2.1</v>
      </c>
      <c r="Q17" s="106">
        <v>2.4</v>
      </c>
      <c r="R17" s="106">
        <v>2.7</v>
      </c>
      <c r="S17" s="106">
        <v>3</v>
      </c>
      <c r="T17" s="106">
        <v>3.3</v>
      </c>
      <c r="U17" s="106">
        <v>3.6</v>
      </c>
      <c r="V17" s="106">
        <v>3.9</v>
      </c>
      <c r="W17" s="106">
        <v>4.2</v>
      </c>
      <c r="X17" s="106">
        <v>4.2</v>
      </c>
      <c r="Y17" s="106">
        <v>4.2</v>
      </c>
      <c r="Z17" s="106">
        <v>4.2</v>
      </c>
      <c r="AA17" s="106">
        <v>4.2</v>
      </c>
      <c r="AB17" s="106">
        <v>4.2</v>
      </c>
      <c r="AC17" s="106">
        <v>4.2</v>
      </c>
      <c r="AD17" s="106">
        <v>4.2</v>
      </c>
      <c r="AE17" s="106">
        <v>4.2</v>
      </c>
      <c r="AF17" s="106">
        <v>4.2</v>
      </c>
      <c r="AG17" s="106">
        <v>4.2</v>
      </c>
      <c r="AH17" s="106">
        <v>4.2</v>
      </c>
      <c r="AI17" s="106">
        <v>4.2</v>
      </c>
      <c r="AJ17" s="106">
        <v>4.2</v>
      </c>
      <c r="AK17" s="106">
        <v>4.2</v>
      </c>
      <c r="AL17" s="106">
        <v>4.2</v>
      </c>
      <c r="AM17" s="106">
        <v>4.2</v>
      </c>
      <c r="AN17" s="106">
        <v>4.2</v>
      </c>
    </row>
    <row r="18" spans="2:50" hidden="1" outlineLevel="1" x14ac:dyDescent="0.25">
      <c r="B18" s="39" t="str">
        <v>Tertiary Direct Staff</v>
      </c>
      <c r="C18" s="3"/>
      <c r="D18" s="3"/>
      <c r="E18" s="106">
        <v>0</v>
      </c>
      <c r="F18" s="106">
        <v>0</v>
      </c>
      <c r="G18" s="106">
        <v>0</v>
      </c>
      <c r="H18" s="106">
        <v>0</v>
      </c>
      <c r="I18" s="106">
        <v>0</v>
      </c>
      <c r="J18" s="106">
        <v>0</v>
      </c>
      <c r="K18" s="106">
        <v>0</v>
      </c>
      <c r="L18" s="106">
        <v>0</v>
      </c>
      <c r="M18" s="106">
        <v>0</v>
      </c>
      <c r="N18" s="106">
        <v>0</v>
      </c>
      <c r="O18" s="106">
        <v>0</v>
      </c>
      <c r="P18" s="106">
        <v>0</v>
      </c>
      <c r="Q18" s="106">
        <v>0</v>
      </c>
      <c r="R18" s="106">
        <v>0</v>
      </c>
      <c r="S18" s="106">
        <v>0</v>
      </c>
      <c r="T18" s="106">
        <v>0</v>
      </c>
      <c r="U18" s="106">
        <v>0</v>
      </c>
      <c r="V18" s="106">
        <v>0</v>
      </c>
      <c r="W18" s="106">
        <v>0</v>
      </c>
      <c r="X18" s="106">
        <v>0</v>
      </c>
      <c r="Y18" s="106">
        <v>0</v>
      </c>
      <c r="Z18" s="106">
        <v>0</v>
      </c>
      <c r="AA18" s="106">
        <v>0</v>
      </c>
      <c r="AB18" s="106">
        <v>0</v>
      </c>
      <c r="AC18" s="106">
        <v>0</v>
      </c>
      <c r="AD18" s="106">
        <v>0</v>
      </c>
      <c r="AE18" s="106">
        <v>0</v>
      </c>
      <c r="AF18" s="106">
        <v>0</v>
      </c>
      <c r="AG18" s="106">
        <v>0</v>
      </c>
      <c r="AH18" s="106">
        <v>0</v>
      </c>
      <c r="AI18" s="106">
        <v>0</v>
      </c>
      <c r="AJ18" s="106">
        <v>0</v>
      </c>
      <c r="AK18" s="106">
        <v>0</v>
      </c>
      <c r="AL18" s="106">
        <v>0</v>
      </c>
      <c r="AM18" s="106">
        <v>0</v>
      </c>
      <c r="AN18" s="106">
        <v>0</v>
      </c>
    </row>
    <row r="19" spans="2:50" hidden="1" outlineLevel="1" x14ac:dyDescent="0.25">
      <c r="B19" s="39" t="str">
        <v>Quinary Direct Staff</v>
      </c>
      <c r="C19" s="3"/>
      <c r="D19" s="3"/>
      <c r="E19" s="106">
        <v>0</v>
      </c>
      <c r="F19" s="106">
        <v>0</v>
      </c>
      <c r="G19" s="106">
        <v>0</v>
      </c>
      <c r="H19" s="106">
        <v>0</v>
      </c>
      <c r="I19" s="106">
        <v>0</v>
      </c>
      <c r="J19" s="106">
        <v>0</v>
      </c>
      <c r="K19" s="106">
        <v>0</v>
      </c>
      <c r="L19" s="106">
        <v>0</v>
      </c>
      <c r="M19" s="106">
        <v>0</v>
      </c>
      <c r="N19" s="106">
        <v>0</v>
      </c>
      <c r="O19" s="106">
        <v>0</v>
      </c>
      <c r="P19" s="106">
        <v>0</v>
      </c>
      <c r="Q19" s="106">
        <v>0</v>
      </c>
      <c r="R19" s="106">
        <v>0</v>
      </c>
      <c r="S19" s="106">
        <v>0</v>
      </c>
      <c r="T19" s="106">
        <v>0</v>
      </c>
      <c r="U19" s="106">
        <v>0</v>
      </c>
      <c r="V19" s="106">
        <v>0</v>
      </c>
      <c r="W19" s="106">
        <v>0</v>
      </c>
      <c r="X19" s="106">
        <v>0</v>
      </c>
      <c r="Y19" s="106">
        <v>0</v>
      </c>
      <c r="Z19" s="106">
        <v>0</v>
      </c>
      <c r="AA19" s="106">
        <v>0</v>
      </c>
      <c r="AB19" s="106">
        <v>0</v>
      </c>
      <c r="AC19" s="106">
        <v>0</v>
      </c>
      <c r="AD19" s="106">
        <v>0</v>
      </c>
      <c r="AE19" s="106">
        <v>0</v>
      </c>
      <c r="AF19" s="106">
        <v>0</v>
      </c>
      <c r="AG19" s="106">
        <v>0</v>
      </c>
      <c r="AH19" s="106">
        <v>0</v>
      </c>
      <c r="AI19" s="106">
        <v>0</v>
      </c>
      <c r="AJ19" s="106">
        <v>0</v>
      </c>
      <c r="AK19" s="106">
        <v>0</v>
      </c>
      <c r="AL19" s="106">
        <v>0</v>
      </c>
      <c r="AM19" s="106">
        <v>0</v>
      </c>
      <c r="AN19" s="106">
        <v>0</v>
      </c>
    </row>
    <row r="20" spans="2:50" hidden="1" outlineLevel="1" x14ac:dyDescent="0.25">
      <c r="B20" s="39" t="str">
        <v>Quaternary Direct Staff</v>
      </c>
      <c r="C20" s="3"/>
      <c r="D20" s="3"/>
      <c r="E20" s="106">
        <v>0</v>
      </c>
      <c r="F20" s="106">
        <v>0</v>
      </c>
      <c r="G20" s="106">
        <v>0</v>
      </c>
      <c r="H20" s="106">
        <v>0</v>
      </c>
      <c r="I20" s="106">
        <v>0</v>
      </c>
      <c r="J20" s="106">
        <v>1</v>
      </c>
      <c r="K20" s="106">
        <v>1</v>
      </c>
      <c r="L20" s="106">
        <v>1</v>
      </c>
      <c r="M20" s="106">
        <v>1</v>
      </c>
      <c r="N20" s="106">
        <v>1</v>
      </c>
      <c r="O20" s="106">
        <v>1</v>
      </c>
      <c r="P20" s="106">
        <v>1</v>
      </c>
      <c r="Q20" s="106">
        <v>1</v>
      </c>
      <c r="R20" s="106">
        <v>1</v>
      </c>
      <c r="S20" s="106">
        <v>1</v>
      </c>
      <c r="T20" s="106">
        <v>1</v>
      </c>
      <c r="U20" s="106">
        <v>1</v>
      </c>
      <c r="V20" s="106">
        <v>1</v>
      </c>
      <c r="W20" s="106">
        <v>1</v>
      </c>
      <c r="X20" s="106">
        <v>1</v>
      </c>
      <c r="Y20" s="106">
        <v>1</v>
      </c>
      <c r="Z20" s="106">
        <v>1</v>
      </c>
      <c r="AA20" s="106">
        <v>1</v>
      </c>
      <c r="AB20" s="106">
        <v>1</v>
      </c>
      <c r="AC20" s="106">
        <v>1</v>
      </c>
      <c r="AD20" s="106">
        <v>1</v>
      </c>
      <c r="AE20" s="106">
        <v>1</v>
      </c>
      <c r="AF20" s="106">
        <v>1</v>
      </c>
      <c r="AG20" s="106">
        <v>1</v>
      </c>
      <c r="AH20" s="106">
        <v>1</v>
      </c>
      <c r="AI20" s="106">
        <v>1</v>
      </c>
      <c r="AJ20" s="106">
        <v>1</v>
      </c>
      <c r="AK20" s="106">
        <v>1</v>
      </c>
      <c r="AL20" s="106">
        <v>1</v>
      </c>
      <c r="AM20" s="106">
        <v>1</v>
      </c>
      <c r="AN20" s="106">
        <v>1</v>
      </c>
    </row>
    <row r="21" spans="2:50" collapsed="1" x14ac:dyDescent="0.25">
      <c r="B21" s="39" t="s">
        <v>389</v>
      </c>
      <c r="C21" s="3"/>
      <c r="D21" s="5"/>
      <c r="E21" s="117" cm="1">
        <f t="array" ref="E21:AN21">ROUND(_xlfn.BYCOL(_xlfn.CHOOSEROWS(_xlfn.ANCHORARRAY(E7),1,2),_xlfn.LAMBDA(_xlpm.col,SUM(_xlpm.col))),0)</f>
        <v>0</v>
      </c>
      <c r="F21" s="117">
        <v>0</v>
      </c>
      <c r="G21" s="117">
        <v>0</v>
      </c>
      <c r="H21" s="117">
        <v>0</v>
      </c>
      <c r="I21" s="117">
        <v>0</v>
      </c>
      <c r="J21" s="117">
        <v>3</v>
      </c>
      <c r="K21" s="117">
        <v>7</v>
      </c>
      <c r="L21" s="117">
        <v>10</v>
      </c>
      <c r="M21" s="117">
        <v>13</v>
      </c>
      <c r="N21" s="117">
        <v>16</v>
      </c>
      <c r="O21" s="117">
        <v>20</v>
      </c>
      <c r="P21" s="117">
        <v>23</v>
      </c>
      <c r="Q21" s="117">
        <v>26</v>
      </c>
      <c r="R21" s="117">
        <v>29</v>
      </c>
      <c r="S21" s="117">
        <v>33</v>
      </c>
      <c r="T21" s="117">
        <v>36</v>
      </c>
      <c r="U21" s="117">
        <v>39</v>
      </c>
      <c r="V21" s="117">
        <v>42</v>
      </c>
      <c r="W21" s="117">
        <v>46</v>
      </c>
      <c r="X21" s="117">
        <v>46</v>
      </c>
      <c r="Y21" s="117">
        <v>46</v>
      </c>
      <c r="Z21" s="117">
        <v>46</v>
      </c>
      <c r="AA21" s="117">
        <v>46</v>
      </c>
      <c r="AB21" s="117">
        <v>46</v>
      </c>
      <c r="AC21" s="117">
        <v>46</v>
      </c>
      <c r="AD21" s="117">
        <v>46</v>
      </c>
      <c r="AE21" s="117">
        <v>46</v>
      </c>
      <c r="AF21" s="117">
        <v>46</v>
      </c>
      <c r="AG21" s="117">
        <v>46</v>
      </c>
      <c r="AH21" s="117">
        <v>46</v>
      </c>
      <c r="AI21" s="117">
        <v>46</v>
      </c>
      <c r="AJ21" s="117">
        <v>46</v>
      </c>
      <c r="AK21" s="117">
        <v>46</v>
      </c>
      <c r="AL21" s="117">
        <v>46</v>
      </c>
      <c r="AM21" s="117">
        <v>46</v>
      </c>
      <c r="AN21" s="117">
        <v>46</v>
      </c>
    </row>
    <row r="22" spans="2:50" x14ac:dyDescent="0.25">
      <c r="B22" s="2" t="s">
        <v>394</v>
      </c>
      <c r="C22" s="3"/>
      <c r="D22" s="77">
        <f>MAX(_xlfn.ANCHORARRAY(E22))</f>
        <v>94.739054978770966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0</v>
      </c>
      <c r="F22" s="78">
        <v>0</v>
      </c>
      <c r="G22" s="78">
        <v>0</v>
      </c>
      <c r="H22" s="78">
        <v>0</v>
      </c>
      <c r="I22" s="78">
        <v>0</v>
      </c>
      <c r="J22" s="78">
        <v>91.979665027932953</v>
      </c>
      <c r="K22" s="78">
        <v>91.979665027932953</v>
      </c>
      <c r="L22" s="78">
        <v>91.979665027932953</v>
      </c>
      <c r="M22" s="78">
        <v>91.979665027932953</v>
      </c>
      <c r="N22" s="78">
        <v>91.979665027932995</v>
      </c>
      <c r="O22" s="78">
        <v>91.979665027932953</v>
      </c>
      <c r="P22" s="78">
        <v>91.979665027932967</v>
      </c>
      <c r="Q22" s="78">
        <v>94.739054978770966</v>
      </c>
      <c r="R22" s="78">
        <v>94.739054978770966</v>
      </c>
      <c r="S22" s="78">
        <v>94.739054978770966</v>
      </c>
      <c r="T22" s="78">
        <v>94.739054978770966</v>
      </c>
      <c r="U22" s="78">
        <v>94.739054978770952</v>
      </c>
      <c r="V22" s="78">
        <v>94.739054978770966</v>
      </c>
      <c r="W22" s="78">
        <v>94.739054978770966</v>
      </c>
      <c r="X22" s="78">
        <v>94.739054978770966</v>
      </c>
      <c r="Y22" s="78">
        <v>94.739054978770966</v>
      </c>
      <c r="Z22" s="78">
        <v>94.739054978770966</v>
      </c>
      <c r="AA22" s="78">
        <v>94.739054978770966</v>
      </c>
      <c r="AB22" s="78">
        <v>94.739054978770966</v>
      </c>
      <c r="AC22" s="78">
        <v>94.739054978770966</v>
      </c>
      <c r="AD22" s="78">
        <v>94.739054978770966</v>
      </c>
      <c r="AE22" s="78">
        <v>94.739054978770966</v>
      </c>
      <c r="AF22" s="78">
        <v>94.739054978770966</v>
      </c>
      <c r="AG22" s="78">
        <v>94.739054978770966</v>
      </c>
      <c r="AH22" s="78">
        <v>94.739054978770966</v>
      </c>
      <c r="AI22" s="78">
        <v>94.739054978770966</v>
      </c>
      <c r="AJ22" s="78">
        <v>94.739054978770966</v>
      </c>
      <c r="AK22" s="78">
        <v>94.739054978770966</v>
      </c>
      <c r="AL22" s="78">
        <v>94.739054978770966</v>
      </c>
      <c r="AM22" s="78">
        <v>94.739054978770966</v>
      </c>
      <c r="AN22" s="78">
        <v>94.739054978770966</v>
      </c>
    </row>
    <row r="23" spans="2:50" x14ac:dyDescent="0.25">
      <c r="B23" s="2" t="s">
        <v>53</v>
      </c>
      <c r="C23" s="3"/>
      <c r="D23" s="72"/>
      <c r="E23" s="52" cm="1">
        <f t="array" ref="E23:AN23">_xlfn.LET(_xlpm.site,$B$1&amp;"-"&amp;$C$1,_xlpm.locations,Base!$D$4:$BD$4,_xlpm.Customer,_xlfn.ANCHORARRAY(E1),_xlpm.hours,SUM(_xlfn.XLOOKUP(_xlpm.site,_xlpm.locations,Base!$D$74:$BD$78,0,0)),
_xlpm.collection,1-_xlfn.XLOOKUP(_xlpm.site,_xlpm.locations,Base!$D$26:$BD$26,0,0),
_xlpm.Customer*_xlpm.hours*_xlpm.collection*(52/12))</f>
        <v>0</v>
      </c>
      <c r="F23" s="52">
        <v>0</v>
      </c>
      <c r="G23" s="52">
        <v>0</v>
      </c>
      <c r="H23" s="52">
        <v>0</v>
      </c>
      <c r="I23" s="52">
        <v>0</v>
      </c>
      <c r="J23" s="52">
        <v>315.03999999999996</v>
      </c>
      <c r="K23" s="52">
        <v>630.07999999999993</v>
      </c>
      <c r="L23" s="52">
        <v>945.11999999999989</v>
      </c>
      <c r="M23" s="52">
        <v>1260.1599999999999</v>
      </c>
      <c r="N23" s="52">
        <v>1575.1999999999996</v>
      </c>
      <c r="O23" s="52">
        <v>1890.2399999999998</v>
      </c>
      <c r="P23" s="52">
        <v>2205.2799999999997</v>
      </c>
      <c r="Q23" s="52">
        <v>2520.3199999999997</v>
      </c>
      <c r="R23" s="52">
        <v>2835.3599999999992</v>
      </c>
      <c r="S23" s="52">
        <v>3150.3999999999992</v>
      </c>
      <c r="T23" s="52">
        <v>3465.4399999999996</v>
      </c>
      <c r="U23" s="52">
        <v>3780.4799999999996</v>
      </c>
      <c r="V23" s="52">
        <v>4095.5199999999995</v>
      </c>
      <c r="W23" s="52">
        <v>4410.5599999999995</v>
      </c>
      <c r="X23" s="52">
        <v>4410.5599999999995</v>
      </c>
      <c r="Y23" s="52">
        <v>4410.5599999999995</v>
      </c>
      <c r="Z23" s="52">
        <v>4410.5599999999995</v>
      </c>
      <c r="AA23" s="52">
        <v>4410.5599999999995</v>
      </c>
      <c r="AB23" s="52">
        <v>4410.5599999999995</v>
      </c>
      <c r="AC23" s="52">
        <v>4410.5599999999995</v>
      </c>
      <c r="AD23" s="52">
        <v>4410.5599999999995</v>
      </c>
      <c r="AE23" s="52">
        <v>4410.5599999999995</v>
      </c>
      <c r="AF23" s="52">
        <v>4410.5599999999995</v>
      </c>
      <c r="AG23" s="52">
        <v>4410.5599999999995</v>
      </c>
      <c r="AH23" s="52">
        <v>4410.5599999999995</v>
      </c>
      <c r="AI23" s="52">
        <v>4410.5599999999995</v>
      </c>
      <c r="AJ23" s="52">
        <v>4410.5599999999995</v>
      </c>
      <c r="AK23" s="52">
        <v>4410.5599999999995</v>
      </c>
      <c r="AL23" s="52">
        <v>4410.5599999999995</v>
      </c>
      <c r="AM23" s="52">
        <v>4410.5599999999995</v>
      </c>
      <c r="AN23" s="52">
        <v>4410.5599999999995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21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_xlfn.LET(_xlpm.site,$B$1&amp;"-"&amp;$C$1,_xlpm.locations,Base!$D$4:$BD$4,_xlpm.rates,Base!$D31:$BD31,_xlpm.hours,Base!$D74:$BD74,_xlpm.comp,_xlpm.rates*_xlpm.hours,_xlpm.Customer,_xlfn.ANCHORARRAY($E$1),
_xlpm.Customer_comp,_xlfn.XLOOKUP(_xlpm.site,_xlpm.locations,_xlpm.comp,0,0),_xlpm.ann_incr,_xlfn.XLOOKUP(YEAR(_xlfn.ANCHORARRAY($E$25)),Base!$BJ$4:$BL$4,Base!$BJ74:$BL74,0,0),
_xlpm.bad_debt,_xlfn.XLOOKUP(_xlpm.site,_xlpm.locations,Base!$D$28:$BD$28,0,0),_xlpm.Customer_comp*_xlpm.Customer*_xlpm.bad_debt*_xlpm.ann_incr*(52/12))</f>
        <v>0</v>
      </c>
      <c r="F26" s="12">
        <v>0</v>
      </c>
      <c r="G26" s="12">
        <v>0</v>
      </c>
      <c r="H26" s="12">
        <v>0</v>
      </c>
      <c r="I26" s="12">
        <v>0</v>
      </c>
      <c r="J26" s="12">
        <v>21550.246660799996</v>
      </c>
      <c r="K26" s="12">
        <v>43100.493321599992</v>
      </c>
      <c r="L26" s="12">
        <v>64650.739982399995</v>
      </c>
      <c r="M26" s="12">
        <v>86200.986643199984</v>
      </c>
      <c r="N26" s="12">
        <v>107751.23330399999</v>
      </c>
      <c r="O26" s="12">
        <v>129301.47996479999</v>
      </c>
      <c r="P26" s="12">
        <v>150851.72662559999</v>
      </c>
      <c r="Q26" s="12">
        <v>177574.03248499197</v>
      </c>
      <c r="R26" s="12">
        <v>199770.78654561599</v>
      </c>
      <c r="S26" s="12">
        <v>221967.54060624001</v>
      </c>
      <c r="T26" s="12">
        <v>244164.29466686401</v>
      </c>
      <c r="U26" s="12">
        <v>266361.04872748797</v>
      </c>
      <c r="V26" s="12">
        <v>288557.80278811202</v>
      </c>
      <c r="W26" s="12">
        <v>310754.55684873601</v>
      </c>
      <c r="X26" s="12">
        <v>310754.55684873601</v>
      </c>
      <c r="Y26" s="12">
        <v>310754.55684873601</v>
      </c>
      <c r="Z26" s="12">
        <v>310754.55684873601</v>
      </c>
      <c r="AA26" s="12">
        <v>310754.55684873601</v>
      </c>
      <c r="AB26" s="12">
        <v>310754.55684873601</v>
      </c>
      <c r="AC26" s="12">
        <v>310754.55684873601</v>
      </c>
      <c r="AD26" s="12">
        <v>310754.55684873601</v>
      </c>
      <c r="AE26" s="12">
        <v>310754.55684873601</v>
      </c>
      <c r="AF26" s="12">
        <v>310754.55684873601</v>
      </c>
      <c r="AG26" s="12">
        <v>310754.55684873601</v>
      </c>
      <c r="AH26" s="12">
        <v>310754.55684873601</v>
      </c>
      <c r="AI26" s="12">
        <v>310754.55684873601</v>
      </c>
      <c r="AJ26" s="12">
        <v>310754.55684873601</v>
      </c>
      <c r="AK26" s="12">
        <v>310754.55684873601</v>
      </c>
      <c r="AL26" s="12">
        <v>310754.55684873601</v>
      </c>
      <c r="AM26" s="12">
        <v>310754.55684873601</v>
      </c>
      <c r="AN26" s="12">
        <v>310754.55684873601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_xlfn.LET(_xlpm.site,$B$1&amp;"-"&amp;$C$1,_xlpm.locations,Base!$D$4:$BD$4,_xlpm.rates,Base!$D32:$BD32,_xlpm.hours,Base!$D75:$BD75,_xlpm.comp,_xlpm.rates*_xlpm.hours,_xlpm.Customer,_xlfn.ANCHORARRAY($E$1),
_xlpm.Customer_comp,_xlfn.XLOOKUP(_xlpm.site,_xlpm.locations,_xlpm.comp,0,0),_xlpm.ann_incr,_xlfn.XLOOKUP(YEAR(_xlfn.ANCHORARRAY($E$25)),Base!$BJ$4:$BL$4,Base!$BJ75:$BL75,0,0),
_xlpm.bad_debt,_xlfn.XLOOKUP(_xlpm.site,_xlpm.locations,Base!$D$28:$BD$28,0,0),_xlpm.Customer_comp*_xlpm.Customer*_xlpm.bad_debt*_xlpm.ann_incr*(52/12))</f>
        <v>0</v>
      </c>
      <c r="F27" s="12">
        <v>0</v>
      </c>
      <c r="G27" s="12">
        <v>0</v>
      </c>
      <c r="H27" s="12">
        <v>0</v>
      </c>
      <c r="I27" s="12">
        <v>0</v>
      </c>
      <c r="J27" s="12">
        <v>4131.8263999999999</v>
      </c>
      <c r="K27" s="12">
        <v>8263.6527999999998</v>
      </c>
      <c r="L27" s="12">
        <v>12395.479199999998</v>
      </c>
      <c r="M27" s="12">
        <v>16527.3056</v>
      </c>
      <c r="N27" s="12">
        <v>20659.131999999998</v>
      </c>
      <c r="O27" s="12">
        <v>24790.958399999996</v>
      </c>
      <c r="P27" s="12">
        <v>28922.784799999998</v>
      </c>
      <c r="Q27" s="12">
        <v>34046.249535999996</v>
      </c>
      <c r="R27" s="12">
        <v>38302.030727999998</v>
      </c>
      <c r="S27" s="12">
        <v>42557.81192</v>
      </c>
      <c r="T27" s="12">
        <v>46813.593112000002</v>
      </c>
      <c r="U27" s="12">
        <v>51069.37430399999</v>
      </c>
      <c r="V27" s="12">
        <v>55325.155495999992</v>
      </c>
      <c r="W27" s="12">
        <v>59580.936688000002</v>
      </c>
      <c r="X27" s="12">
        <v>59580.936688000002</v>
      </c>
      <c r="Y27" s="12">
        <v>59580.936688000002</v>
      </c>
      <c r="Z27" s="12">
        <v>59580.936688000002</v>
      </c>
      <c r="AA27" s="12">
        <v>59580.936688000002</v>
      </c>
      <c r="AB27" s="12">
        <v>59580.936688000002</v>
      </c>
      <c r="AC27" s="12">
        <v>59580.936688000002</v>
      </c>
      <c r="AD27" s="12">
        <v>59580.936688000002</v>
      </c>
      <c r="AE27" s="12">
        <v>59580.936688000002</v>
      </c>
      <c r="AF27" s="12">
        <v>59580.936688000002</v>
      </c>
      <c r="AG27" s="12">
        <v>59580.936688000002</v>
      </c>
      <c r="AH27" s="12">
        <v>59580.936688000002</v>
      </c>
      <c r="AI27" s="12">
        <v>59580.936688000002</v>
      </c>
      <c r="AJ27" s="12">
        <v>59580.936688000002</v>
      </c>
      <c r="AK27" s="12">
        <v>59580.936688000002</v>
      </c>
      <c r="AL27" s="12">
        <v>59580.936688000002</v>
      </c>
      <c r="AM27" s="12">
        <v>59580.936688000002</v>
      </c>
      <c r="AN27" s="12">
        <v>59580.936688000002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_xlfn.LET(_xlpm.site,$B$1&amp;"-"&amp;$C$1,_xlpm.locations,Base!$D$4:$BD$4,_xlpm.rates,Base!$D33:$BD33,_xlpm.hours,Base!$D76:$BD76,_xlpm.comp,_xlpm.rates*_xlpm.hours,_xlpm.Customer,_xlfn.ANCHORARRAY($E$1),
_xlpm.Customer_comp,_xlfn.XLOOKUP(_xlpm.site,_xlpm.locations,_xlpm.comp,0,0),_xlpm.ann_incr,_xlfn.XLOOKUP(YEAR(_xlfn.ANCHORARRAY($E$25)),Base!$BJ$4:$BL$4,Base!$BJ76:$BL76,0,0),
_xlpm.bad_debt,_xlfn.XLOOKUP(_xlpm.site,_xlpm.locations,Base!$D$28:$BD$28,0,0),_xlpm.Customer_comp*_xlpm.Customer*_xlpm.bad_debt*_xlpm.ann_incr*(52/12))</f>
        <v>0</v>
      </c>
      <c r="F28" s="12">
        <v>0</v>
      </c>
      <c r="G28" s="12">
        <v>0</v>
      </c>
      <c r="H28" s="12">
        <v>0</v>
      </c>
      <c r="I28" s="12">
        <v>0</v>
      </c>
      <c r="J28" s="12">
        <v>4549.9253904000007</v>
      </c>
      <c r="K28" s="12">
        <v>9099.8507808000013</v>
      </c>
      <c r="L28" s="12">
        <v>13649.776171199999</v>
      </c>
      <c r="M28" s="12">
        <v>18199.701561600003</v>
      </c>
      <c r="N28" s="12">
        <v>22749.626952000002</v>
      </c>
      <c r="O28" s="12">
        <v>27299.552342399998</v>
      </c>
      <c r="P28" s="12">
        <v>31849.477732800002</v>
      </c>
      <c r="Q28" s="12">
        <v>37491.385216896007</v>
      </c>
      <c r="R28" s="12">
        <v>42177.808369008009</v>
      </c>
      <c r="S28" s="12">
        <v>46864.231521120004</v>
      </c>
      <c r="T28" s="12">
        <v>51550.654673231998</v>
      </c>
      <c r="U28" s="12">
        <v>56237.077825344</v>
      </c>
      <c r="V28" s="12">
        <v>60923.500977456002</v>
      </c>
      <c r="W28" s="12">
        <v>65609.924129568011</v>
      </c>
      <c r="X28" s="12">
        <v>65609.924129568011</v>
      </c>
      <c r="Y28" s="12">
        <v>65609.924129568011</v>
      </c>
      <c r="Z28" s="12">
        <v>65609.924129568011</v>
      </c>
      <c r="AA28" s="12">
        <v>65609.924129568011</v>
      </c>
      <c r="AB28" s="12">
        <v>65609.924129568011</v>
      </c>
      <c r="AC28" s="12">
        <v>65609.924129568011</v>
      </c>
      <c r="AD28" s="12">
        <v>65609.924129568011</v>
      </c>
      <c r="AE28" s="12">
        <v>65609.924129568011</v>
      </c>
      <c r="AF28" s="12">
        <v>65609.924129568011</v>
      </c>
      <c r="AG28" s="12">
        <v>65609.924129568011</v>
      </c>
      <c r="AH28" s="12">
        <v>65609.924129568011</v>
      </c>
      <c r="AI28" s="12">
        <v>65609.924129568011</v>
      </c>
      <c r="AJ28" s="12">
        <v>65609.924129568011</v>
      </c>
      <c r="AK28" s="12">
        <v>65609.924129568011</v>
      </c>
      <c r="AL28" s="12">
        <v>65609.924129568011</v>
      </c>
      <c r="AM28" s="12">
        <v>65609.924129568011</v>
      </c>
      <c r="AN28" s="12">
        <v>65609.924129568011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_xlfn.LET(_xlpm.site,$B$1&amp;"-"&amp;$C$1,_xlpm.locations,Base!$D$4:$BD$4,_xlpm.rates,Base!$D34:$BD34,_xlpm.hours,Base!$D77:$BD77,_xlpm.comp,_xlpm.rates*_xlpm.hours,_xlpm.Customer,_xlfn.ANCHORARRAY($E$1),
_xlpm.Customer_comp,_xlfn.XLOOKUP(_xlpm.site,_xlpm.locations,_xlpm.comp,0,0),_xlpm.ann_incr,_xlfn.XLOOKUP(YEAR(_xlfn.ANCHORARRAY($E$25)),Base!$BJ$4:$BL$4,Base!$BJ77:$BL77,0,0),
_xlpm.bad_debt,_xlfn.XLOOKUP(_xlpm.site,_xlpm.locations,Base!$D$28:$BD$28,0,0),_xlpm.Customer_comp*_xlpm.Customer*_xlpm.bad_debt*_xlpm.ann_incr*(52/12))</f>
        <v>0</v>
      </c>
      <c r="F29" s="12">
        <v>0</v>
      </c>
      <c r="G29" s="12">
        <v>0</v>
      </c>
      <c r="H29" s="12">
        <v>0</v>
      </c>
      <c r="I29" s="12">
        <v>0</v>
      </c>
      <c r="J29" s="12">
        <v>257.444568</v>
      </c>
      <c r="K29" s="12">
        <v>514.88913600000001</v>
      </c>
      <c r="L29" s="12">
        <v>772.33370400000001</v>
      </c>
      <c r="M29" s="12">
        <v>1029.778272</v>
      </c>
      <c r="N29" s="12">
        <v>1287.2228399999999</v>
      </c>
      <c r="O29" s="12">
        <v>1544.667408</v>
      </c>
      <c r="P29" s="12">
        <v>1802.1119759999999</v>
      </c>
      <c r="Q29" s="12">
        <v>2121.3432403199999</v>
      </c>
      <c r="R29" s="12">
        <v>2386.5111453600002</v>
      </c>
      <c r="S29" s="12">
        <v>2651.6790504000001</v>
      </c>
      <c r="T29" s="12">
        <v>2916.8469554399999</v>
      </c>
      <c r="U29" s="12">
        <v>3182.0148604800002</v>
      </c>
      <c r="V29" s="12">
        <v>3447.18276552</v>
      </c>
      <c r="W29" s="12">
        <v>3712.3506705599998</v>
      </c>
      <c r="X29" s="12">
        <v>3712.3506705599998</v>
      </c>
      <c r="Y29" s="12">
        <v>3712.3506705599998</v>
      </c>
      <c r="Z29" s="12">
        <v>3712.3506705599998</v>
      </c>
      <c r="AA29" s="12">
        <v>3712.3506705599998</v>
      </c>
      <c r="AB29" s="12">
        <v>3712.3506705599998</v>
      </c>
      <c r="AC29" s="12">
        <v>3712.3506705599998</v>
      </c>
      <c r="AD29" s="12">
        <v>3712.3506705599998</v>
      </c>
      <c r="AE29" s="12">
        <v>3712.3506705599998</v>
      </c>
      <c r="AF29" s="12">
        <v>3712.3506705599998</v>
      </c>
      <c r="AG29" s="12">
        <v>3712.3506705599998</v>
      </c>
      <c r="AH29" s="12">
        <v>3712.3506705599998</v>
      </c>
      <c r="AI29" s="12">
        <v>3712.3506705599998</v>
      </c>
      <c r="AJ29" s="12">
        <v>3712.3506705599998</v>
      </c>
      <c r="AK29" s="12">
        <v>3712.3506705599998</v>
      </c>
      <c r="AL29" s="12">
        <v>3712.3506705599998</v>
      </c>
      <c r="AM29" s="12">
        <v>3712.3506705599998</v>
      </c>
      <c r="AN29" s="12">
        <v>3712.3506705599998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_xlfn.LET(_xlpm.site,$B$1&amp;"-"&amp;$C$1,_xlpm.locations,Base!$D$4:$BD$4,_xlpm.rates,Base!$D35:$BD35,_xlpm.hours,Base!$D78:$BD78,_xlpm.comp,_xlpm.rates*_xlpm.hours,_xlpm.Customer,_xlfn.ANCHORARRAY($E$1),
_xlpm.Customer_comp,_xlfn.XLOOKUP(_xlpm.site,_xlpm.locations,_xlpm.comp,0,0),_xlpm.ann_incr,_xlfn.XLOOKUP(YEAR(_xlfn.ANCHORARRAY($E$25)),Base!$BJ$4:$BL$4,Base!$BJ78:$BL78,0,0),
_xlpm.bad_debt,_xlfn.XLOOKUP(_xlpm.site,_xlpm.locations,Base!$D$28:$BD$28,0,0),_xlpm.Customer_comp*_xlpm.Customer*_xlpm.bad_debt*_xlpm.ann_incr*(52/12))</f>
        <v>0</v>
      </c>
      <c r="F30" s="12">
        <v>0</v>
      </c>
      <c r="G30" s="12">
        <v>0</v>
      </c>
      <c r="H30" s="12">
        <v>0</v>
      </c>
      <c r="I30" s="12">
        <v>0</v>
      </c>
      <c r="J30" s="12">
        <v>463.553856</v>
      </c>
      <c r="K30" s="12">
        <v>927.10771199999999</v>
      </c>
      <c r="L30" s="12">
        <v>1390.661568</v>
      </c>
      <c r="M30" s="12">
        <v>1854.215424</v>
      </c>
      <c r="N30" s="12">
        <v>2317.7692800000004</v>
      </c>
      <c r="O30" s="12">
        <v>2781.323136</v>
      </c>
      <c r="P30" s="12">
        <v>3244.876992</v>
      </c>
      <c r="Q30" s="12">
        <v>3819.6837734399996</v>
      </c>
      <c r="R30" s="12">
        <v>4297.1442451199991</v>
      </c>
      <c r="S30" s="12">
        <v>4774.6047168000005</v>
      </c>
      <c r="T30" s="12">
        <v>5252.06518848</v>
      </c>
      <c r="U30" s="12">
        <v>5729.5256601600004</v>
      </c>
      <c r="V30" s="12">
        <v>6206.9861318399999</v>
      </c>
      <c r="W30" s="12">
        <v>6684.4466035200003</v>
      </c>
      <c r="X30" s="12">
        <v>6684.4466035200003</v>
      </c>
      <c r="Y30" s="12">
        <v>6684.4466035200003</v>
      </c>
      <c r="Z30" s="12">
        <v>6684.4466035200003</v>
      </c>
      <c r="AA30" s="12">
        <v>6684.4466035200003</v>
      </c>
      <c r="AB30" s="12">
        <v>6684.4466035200003</v>
      </c>
      <c r="AC30" s="12">
        <v>6684.4466035200003</v>
      </c>
      <c r="AD30" s="12">
        <v>6684.4466035200003</v>
      </c>
      <c r="AE30" s="12">
        <v>6684.4466035200003</v>
      </c>
      <c r="AF30" s="12">
        <v>6684.4466035200003</v>
      </c>
      <c r="AG30" s="12">
        <v>6684.4466035200003</v>
      </c>
      <c r="AH30" s="12">
        <v>6684.4466035200003</v>
      </c>
      <c r="AI30" s="12">
        <v>6684.4466035200003</v>
      </c>
      <c r="AJ30" s="12">
        <v>6684.4466035200003</v>
      </c>
      <c r="AK30" s="12">
        <v>6684.4466035200003</v>
      </c>
      <c r="AL30" s="12">
        <v>6684.4466035200003</v>
      </c>
      <c r="AM30" s="12">
        <v>6684.4466035200003</v>
      </c>
      <c r="AN30" s="12">
        <v>6684.4466035200003</v>
      </c>
    </row>
    <row r="31" spans="2:50" x14ac:dyDescent="0.25">
      <c r="B31" s="39" t="str">
        <f>Base!B36</f>
        <v>Tertiary Direct Staff - Service A</v>
      </c>
      <c r="C31" s="4"/>
      <c r="E31" s="183" cm="1">
        <f t="array" ref="E31:AN31">_xlfn.LET(_xlpm.site,$B$1&amp;"-"&amp;$C$1,_xlpm.locations,Base!$D$4:$BD$4,_xlpm.rates,Base!$D36:$BD36,_xlpm.hours,Base!$D79:$BD79,_xlpm.comp,_xlpm.rates*_xlpm.hours,_xlpm.Customer,_xlfn.ANCHORARRAY($E$1)*0,
_xlpm.Customer_comp,_xlfn.XLOOKUP(_xlpm.site,_xlpm.locations,_xlpm.comp,0,0),_xlpm.ann_incr,_xlfn.XLOOKUP(YEAR(_xlfn.ANCHORARRAY($E$25)),Base!$BJ$4:$BL$4,Base!$BJ79:$BL79,0,0),
_xlpm.bad_debt,_xlfn.XLOOKUP(_xlpm.site,_xlpm.locations,Base!$D$28:$BD$28,0,0),_xlpm.Customer_comp*_xlpm.Customer*_xlpm.bad_debt*_xlpm.ann_incr*(52/12))</f>
        <v>0</v>
      </c>
      <c r="F31" s="183">
        <v>0</v>
      </c>
      <c r="G31" s="183">
        <v>0</v>
      </c>
      <c r="H31" s="183">
        <v>0</v>
      </c>
      <c r="I31" s="183">
        <v>0</v>
      </c>
      <c r="J31" s="183">
        <v>0</v>
      </c>
      <c r="K31" s="183">
        <v>0</v>
      </c>
      <c r="L31" s="183">
        <v>0</v>
      </c>
      <c r="M31" s="183">
        <v>0</v>
      </c>
      <c r="N31" s="183">
        <v>0</v>
      </c>
      <c r="O31" s="183">
        <v>0</v>
      </c>
      <c r="P31" s="183">
        <v>0</v>
      </c>
      <c r="Q31" s="183">
        <v>0</v>
      </c>
      <c r="R31" s="183">
        <v>0</v>
      </c>
      <c r="S31" s="183">
        <v>0</v>
      </c>
      <c r="T31" s="183">
        <v>0</v>
      </c>
      <c r="U31" s="183">
        <v>0</v>
      </c>
      <c r="V31" s="183">
        <v>0</v>
      </c>
      <c r="W31" s="183">
        <v>0</v>
      </c>
      <c r="X31" s="183">
        <v>0</v>
      </c>
      <c r="Y31" s="183">
        <v>0</v>
      </c>
      <c r="Z31" s="183">
        <v>0</v>
      </c>
      <c r="AA31" s="183">
        <v>0</v>
      </c>
      <c r="AB31" s="183">
        <v>0</v>
      </c>
      <c r="AC31" s="183">
        <v>0</v>
      </c>
      <c r="AD31" s="183">
        <v>0</v>
      </c>
      <c r="AE31" s="183">
        <v>0</v>
      </c>
      <c r="AF31" s="183">
        <v>0</v>
      </c>
      <c r="AG31" s="183">
        <v>0</v>
      </c>
      <c r="AH31" s="183">
        <v>0</v>
      </c>
      <c r="AI31" s="183">
        <v>0</v>
      </c>
      <c r="AJ31" s="183">
        <v>0</v>
      </c>
      <c r="AK31" s="183">
        <v>0</v>
      </c>
      <c r="AL31" s="183">
        <v>0</v>
      </c>
      <c r="AM31" s="183">
        <v>0</v>
      </c>
      <c r="AN31" s="183">
        <v>0</v>
      </c>
    </row>
    <row r="32" spans="2:50" x14ac:dyDescent="0.25">
      <c r="B32" s="39" t="str">
        <f>Base!B37</f>
        <v>Tertiary Direct Staff - Service B</v>
      </c>
      <c r="C32" s="4"/>
      <c r="E32" s="183" cm="1">
        <f t="array" ref="E32:AN32">_xlfn.LET(_xlpm.site,$B$1&amp;"-"&amp;$C$1,_xlpm.locations,Base!$D$4:$BD$4,_xlpm.rates,Base!$D37:$BD37,_xlpm.hours,Base!$D80:$BD80,_xlpm.comp,_xlpm.rates*_xlpm.hours,_xlpm.Customer,_xlfn.ANCHORARRAY($E$1)*0,
_xlpm.Customer_comp,_xlfn.XLOOKUP(_xlpm.site,_xlpm.locations,_xlpm.comp,0,0),_xlpm.ann_incr,_xlfn.XLOOKUP(YEAR(_xlfn.ANCHORARRAY($E$25)),Base!$BJ$4:$BL$4,Base!$BJ80:$BL80,0,0),
_xlpm.bad_debt,_xlfn.XLOOKUP(_xlpm.site,_xlpm.locations,Base!$D$28:$BD$28,0,0),_xlpm.Customer_comp*_xlpm.Customer*_xlpm.bad_debt*_xlpm.ann_incr*(52/12))</f>
        <v>0</v>
      </c>
      <c r="F32" s="183">
        <v>0</v>
      </c>
      <c r="G32" s="183">
        <v>0</v>
      </c>
      <c r="H32" s="183">
        <v>0</v>
      </c>
      <c r="I32" s="183">
        <v>0</v>
      </c>
      <c r="J32" s="183">
        <v>0</v>
      </c>
      <c r="K32" s="183">
        <v>0</v>
      </c>
      <c r="L32" s="183">
        <v>0</v>
      </c>
      <c r="M32" s="183">
        <v>0</v>
      </c>
      <c r="N32" s="183">
        <v>0</v>
      </c>
      <c r="O32" s="183">
        <v>0</v>
      </c>
      <c r="P32" s="183">
        <v>0</v>
      </c>
      <c r="Q32" s="183">
        <v>0</v>
      </c>
      <c r="R32" s="183">
        <v>0</v>
      </c>
      <c r="S32" s="183">
        <v>0</v>
      </c>
      <c r="T32" s="183">
        <v>0</v>
      </c>
      <c r="U32" s="183">
        <v>0</v>
      </c>
      <c r="V32" s="183">
        <v>0</v>
      </c>
      <c r="W32" s="183">
        <v>0</v>
      </c>
      <c r="X32" s="183">
        <v>0</v>
      </c>
      <c r="Y32" s="183">
        <v>0</v>
      </c>
      <c r="Z32" s="183">
        <v>0</v>
      </c>
      <c r="AA32" s="183">
        <v>0</v>
      </c>
      <c r="AB32" s="183">
        <v>0</v>
      </c>
      <c r="AC32" s="183">
        <v>0</v>
      </c>
      <c r="AD32" s="183">
        <v>0</v>
      </c>
      <c r="AE32" s="183">
        <v>0</v>
      </c>
      <c r="AF32" s="183">
        <v>0</v>
      </c>
      <c r="AG32" s="183">
        <v>0</v>
      </c>
      <c r="AH32" s="183">
        <v>0</v>
      </c>
      <c r="AI32" s="183">
        <v>0</v>
      </c>
      <c r="AJ32" s="183">
        <v>0</v>
      </c>
      <c r="AK32" s="183">
        <v>0</v>
      </c>
      <c r="AL32" s="183">
        <v>0</v>
      </c>
      <c r="AM32" s="183">
        <v>0</v>
      </c>
      <c r="AN32" s="183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_xlpm.Customer,_xlfn.ANCHORARRAY($E$2),_xlpm.ann_incr,_xlfn.XLOOKUP(YEAR(_xlfn.ANCHORARRAY($E$25)),Base!$BJ$4:$BL$4,Base!$BJ$81:$BL$81,0,0),
_xlpm.bad_debt,_xlfn.XLOOKUP(_xlpm.site,_xlpm.locations,Base!$D$28:$BD$28,0,0),
_xlpm.comp*_xlpm.bad_debt*_xlpm.ann_incr*(52/12))</f>
        <v>0</v>
      </c>
      <c r="F33" s="12">
        <v>0</v>
      </c>
      <c r="G33" s="12">
        <v>0</v>
      </c>
      <c r="H33" s="12">
        <v>0</v>
      </c>
      <c r="I33" s="12">
        <v>0</v>
      </c>
      <c r="J33" s="12">
        <v>23761.586333333333</v>
      </c>
      <c r="K33" s="12">
        <v>23761.586333333333</v>
      </c>
      <c r="L33" s="12">
        <v>23761.586333333333</v>
      </c>
      <c r="M33" s="12">
        <v>23761.586333333333</v>
      </c>
      <c r="N33" s="12">
        <v>23761.586333333333</v>
      </c>
      <c r="O33" s="12">
        <v>23761.586333333333</v>
      </c>
      <c r="P33" s="12">
        <v>23761.586333333333</v>
      </c>
      <c r="Q33" s="12">
        <v>24474.433923333334</v>
      </c>
      <c r="R33" s="12">
        <v>24474.433923333334</v>
      </c>
      <c r="S33" s="12">
        <v>24474.433923333334</v>
      </c>
      <c r="T33" s="12">
        <v>24474.433923333334</v>
      </c>
      <c r="U33" s="12">
        <v>24474.433923333334</v>
      </c>
      <c r="V33" s="12">
        <v>24474.433923333334</v>
      </c>
      <c r="W33" s="12">
        <v>24474.433923333334</v>
      </c>
      <c r="X33" s="12">
        <v>24474.433923333334</v>
      </c>
      <c r="Y33" s="12">
        <v>24474.433923333334</v>
      </c>
      <c r="Z33" s="12">
        <v>24474.433923333334</v>
      </c>
      <c r="AA33" s="12">
        <v>24474.433923333334</v>
      </c>
      <c r="AB33" s="12">
        <v>24474.433923333334</v>
      </c>
      <c r="AC33" s="12">
        <v>24474.433923333334</v>
      </c>
      <c r="AD33" s="12">
        <v>24474.433923333334</v>
      </c>
      <c r="AE33" s="12">
        <v>24474.433923333334</v>
      </c>
      <c r="AF33" s="12">
        <v>24474.433923333334</v>
      </c>
      <c r="AG33" s="12">
        <v>24474.433923333334</v>
      </c>
      <c r="AH33" s="12">
        <v>24474.433923333334</v>
      </c>
      <c r="AI33" s="12">
        <v>24474.433923333334</v>
      </c>
      <c r="AJ33" s="12">
        <v>24474.433923333334</v>
      </c>
      <c r="AK33" s="12">
        <v>24474.433923333334</v>
      </c>
      <c r="AL33" s="12">
        <v>24474.433923333334</v>
      </c>
      <c r="AM33" s="12">
        <v>24474.433923333334</v>
      </c>
      <c r="AN33" s="12">
        <v>24474.433923333334</v>
      </c>
    </row>
    <row r="34" spans="2:40" x14ac:dyDescent="0.25">
      <c r="B34" s="39" t="str">
        <f>Base!B39</f>
        <v>Quinary Direct Staff - Service A</v>
      </c>
      <c r="C34" s="4"/>
      <c r="E34" s="183" cm="1">
        <f t="array" ref="E34:AN34">_xlfn.LET(_xlpm.site,$B$1&amp;"-"&amp;$C$1,_xlpm.locations,Base!$D$4:$BD$4,_xlpm.rates,Base!$D39:$BD39,_xlpm.hours,Base!$D82:$BD82,_xlpm.comp,_xlpm.rates*_xlpm.hours,_xlpm.Customer,_xlfn.ANCHORARRAY($E$1)*0,
_xlpm.Customer_comp,_xlfn.XLOOKUP(_xlpm.site,_xlpm.locations,_xlpm.comp,0,0),_xlpm.ann_incr,_xlfn.XLOOKUP(YEAR(_xlfn.ANCHORARRAY($E$25)),Base!$BJ$4:$BL$4,Base!$BJ82:$BL82,0,0),
_xlpm.bad_debt,_xlfn.XLOOKUP(_xlpm.site,_xlpm.locations,Base!$D$28:$BD$28,0,0),_xlpm.Customer_comp*_xlpm.Customer*_xlpm.bad_debt*_xlpm.ann_incr*(52/12))</f>
        <v>0</v>
      </c>
      <c r="F34" s="183">
        <v>0</v>
      </c>
      <c r="G34" s="183">
        <v>0</v>
      </c>
      <c r="H34" s="183">
        <v>0</v>
      </c>
      <c r="I34" s="183">
        <v>0</v>
      </c>
      <c r="J34" s="183">
        <v>0</v>
      </c>
      <c r="K34" s="183">
        <v>0</v>
      </c>
      <c r="L34" s="183">
        <v>0</v>
      </c>
      <c r="M34" s="183">
        <v>0</v>
      </c>
      <c r="N34" s="183">
        <v>0</v>
      </c>
      <c r="O34" s="183">
        <v>0</v>
      </c>
      <c r="P34" s="183">
        <v>0</v>
      </c>
      <c r="Q34" s="183">
        <v>0</v>
      </c>
      <c r="R34" s="183">
        <v>0</v>
      </c>
      <c r="S34" s="183">
        <v>0</v>
      </c>
      <c r="T34" s="183">
        <v>0</v>
      </c>
      <c r="U34" s="183">
        <v>0</v>
      </c>
      <c r="V34" s="183">
        <v>0</v>
      </c>
      <c r="W34" s="183">
        <v>0</v>
      </c>
      <c r="X34" s="183">
        <v>0</v>
      </c>
      <c r="Y34" s="183">
        <v>0</v>
      </c>
      <c r="Z34" s="183">
        <v>0</v>
      </c>
      <c r="AA34" s="183">
        <v>0</v>
      </c>
      <c r="AB34" s="183">
        <v>0</v>
      </c>
      <c r="AC34" s="183">
        <v>0</v>
      </c>
      <c r="AD34" s="183">
        <v>0</v>
      </c>
      <c r="AE34" s="183">
        <v>0</v>
      </c>
      <c r="AF34" s="183">
        <v>0</v>
      </c>
      <c r="AG34" s="183">
        <v>0</v>
      </c>
      <c r="AH34" s="183">
        <v>0</v>
      </c>
      <c r="AI34" s="183">
        <v>0</v>
      </c>
      <c r="AJ34" s="183">
        <v>0</v>
      </c>
      <c r="AK34" s="183">
        <v>0</v>
      </c>
      <c r="AL34" s="183">
        <v>0</v>
      </c>
      <c r="AM34" s="183">
        <v>0</v>
      </c>
      <c r="AN34" s="183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0</v>
      </c>
      <c r="F35" s="12">
        <v>0</v>
      </c>
      <c r="G35" s="12">
        <v>0</v>
      </c>
      <c r="H35" s="12">
        <v>0</v>
      </c>
      <c r="I35" s="12">
        <v>0</v>
      </c>
      <c r="J35" s="12">
        <v>-6565.7499850239983</v>
      </c>
      <c r="K35" s="12">
        <v>-10280.109610047997</v>
      </c>
      <c r="L35" s="12">
        <v>-13994.469235071998</v>
      </c>
      <c r="M35" s="12">
        <v>-17708.828860095997</v>
      </c>
      <c r="N35" s="12">
        <v>-21423.188485120001</v>
      </c>
      <c r="O35" s="12">
        <v>-25137.548110143995</v>
      </c>
      <c r="P35" s="12">
        <v>-28851.907735167995</v>
      </c>
      <c r="Q35" s="12">
        <v>-33543.255380997762</v>
      </c>
      <c r="R35" s="12">
        <v>-37369.045794772479</v>
      </c>
      <c r="S35" s="12">
        <v>-41194.836208547196</v>
      </c>
      <c r="T35" s="12">
        <v>-45020.626622321928</v>
      </c>
      <c r="U35" s="12">
        <v>-48846.417036096631</v>
      </c>
      <c r="V35" s="12">
        <v>-52672.207449871363</v>
      </c>
      <c r="W35" s="12">
        <v>-56497.997863646087</v>
      </c>
      <c r="X35" s="12">
        <v>-56497.997863646087</v>
      </c>
      <c r="Y35" s="12">
        <v>-56497.997863646087</v>
      </c>
      <c r="Z35" s="12">
        <v>-56497.997863646087</v>
      </c>
      <c r="AA35" s="12">
        <v>-56497.997863646087</v>
      </c>
      <c r="AB35" s="12">
        <v>-56497.997863646087</v>
      </c>
      <c r="AC35" s="12">
        <v>-56497.997863646087</v>
      </c>
      <c r="AD35" s="12">
        <v>-56497.997863646087</v>
      </c>
      <c r="AE35" s="12">
        <v>-56497.997863646087</v>
      </c>
      <c r="AF35" s="12">
        <v>-56497.997863646087</v>
      </c>
      <c r="AG35" s="12">
        <v>-56497.997863646087</v>
      </c>
      <c r="AH35" s="12">
        <v>-56497.997863646087</v>
      </c>
      <c r="AI35" s="12">
        <v>-56497.997863646087</v>
      </c>
      <c r="AJ35" s="12">
        <v>-56497.997863646087</v>
      </c>
      <c r="AK35" s="12">
        <v>-56497.997863646087</v>
      </c>
      <c r="AL35" s="12">
        <v>-56497.997863646087</v>
      </c>
      <c r="AM35" s="12">
        <v>-56497.997863646087</v>
      </c>
      <c r="AN35" s="12">
        <v>-56497.997863646087</v>
      </c>
    </row>
    <row r="36" spans="2:40" x14ac:dyDescent="0.25">
      <c r="B36" s="39" t="s">
        <v>261</v>
      </c>
      <c r="C36" s="15"/>
      <c r="E36" s="183" cm="1">
        <f t="array" ref="E36:AN36">_xlfn.BYCOL(_xlfn.ANCHORARRAY($E$25),_xlfn.LAMBDA(_xlpm.a,0))</f>
        <v>0</v>
      </c>
      <c r="F36" s="183">
        <v>0</v>
      </c>
      <c r="G36" s="183">
        <v>0</v>
      </c>
      <c r="H36" s="183">
        <v>0</v>
      </c>
      <c r="I36" s="183">
        <v>0</v>
      </c>
      <c r="J36" s="183">
        <v>0</v>
      </c>
      <c r="K36" s="183">
        <v>0</v>
      </c>
      <c r="L36" s="183">
        <v>0</v>
      </c>
      <c r="M36" s="183">
        <v>0</v>
      </c>
      <c r="N36" s="183">
        <v>0</v>
      </c>
      <c r="O36" s="183">
        <v>0</v>
      </c>
      <c r="P36" s="183">
        <v>0</v>
      </c>
      <c r="Q36" s="183">
        <v>0</v>
      </c>
      <c r="R36" s="183">
        <v>0</v>
      </c>
      <c r="S36" s="183">
        <v>0</v>
      </c>
      <c r="T36" s="183">
        <v>0</v>
      </c>
      <c r="U36" s="183">
        <v>0</v>
      </c>
      <c r="V36" s="183">
        <v>0</v>
      </c>
      <c r="W36" s="183">
        <v>0</v>
      </c>
      <c r="X36" s="183">
        <v>0</v>
      </c>
      <c r="Y36" s="183">
        <v>0</v>
      </c>
      <c r="Z36" s="183">
        <v>0</v>
      </c>
      <c r="AA36" s="183">
        <v>0</v>
      </c>
      <c r="AB36" s="183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271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0</v>
      </c>
      <c r="F37" s="13">
        <v>0</v>
      </c>
      <c r="G37" s="13">
        <v>0</v>
      </c>
      <c r="H37" s="13">
        <v>0</v>
      </c>
      <c r="I37" s="13">
        <v>0</v>
      </c>
      <c r="J37" s="13">
        <v>44017.006823509328</v>
      </c>
      <c r="K37" s="13">
        <v>67123.817673685335</v>
      </c>
      <c r="L37" s="13">
        <v>90230.62852386132</v>
      </c>
      <c r="M37" s="13">
        <v>113337.43937403732</v>
      </c>
      <c r="N37" s="13">
        <v>136444.25022421335</v>
      </c>
      <c r="O37" s="13">
        <v>159551.06107438932</v>
      </c>
      <c r="P37" s="13">
        <v>182657.87192456532</v>
      </c>
      <c r="Q37" s="13">
        <v>211937.62325798356</v>
      </c>
      <c r="R37" s="13">
        <v>235737.63843366489</v>
      </c>
      <c r="S37" s="13">
        <v>259537.6536093461</v>
      </c>
      <c r="T37" s="13">
        <v>283337.66878502746</v>
      </c>
      <c r="U37" s="13">
        <v>307137.68396070867</v>
      </c>
      <c r="V37" s="13">
        <v>330937.69913639</v>
      </c>
      <c r="W37" s="13">
        <v>354737.71431207133</v>
      </c>
      <c r="X37" s="13">
        <v>354737.71431207133</v>
      </c>
      <c r="Y37" s="13">
        <v>354737.71431207133</v>
      </c>
      <c r="Z37" s="13">
        <v>354737.71431207133</v>
      </c>
      <c r="AA37" s="13">
        <v>354737.71431207133</v>
      </c>
      <c r="AB37" s="13">
        <v>354737.71431207133</v>
      </c>
      <c r="AC37" s="13">
        <v>354737.71431207133</v>
      </c>
      <c r="AD37" s="13">
        <v>354737.71431207133</v>
      </c>
      <c r="AE37" s="13">
        <v>354737.71431207133</v>
      </c>
      <c r="AF37" s="13">
        <v>354737.71431207133</v>
      </c>
      <c r="AG37" s="13">
        <v>354737.71431207133</v>
      </c>
      <c r="AH37" s="13">
        <v>354737.71431207133</v>
      </c>
      <c r="AI37" s="13">
        <v>354737.71431207133</v>
      </c>
      <c r="AJ37" s="13">
        <v>354737.71431207133</v>
      </c>
      <c r="AK37" s="13">
        <v>354737.71431207133</v>
      </c>
      <c r="AL37" s="13">
        <v>354737.71431207133</v>
      </c>
      <c r="AM37" s="13">
        <v>354737.71431207133</v>
      </c>
      <c r="AN37" s="13">
        <v>354737.71431207133</v>
      </c>
    </row>
    <row r="38" spans="2:40" x14ac:dyDescent="0.25">
      <c r="E38" s="67"/>
      <c r="F38" s="67"/>
    </row>
    <row r="39" spans="2:40" x14ac:dyDescent="0.25">
      <c r="B39" s="1" t="s">
        <v>118</v>
      </c>
    </row>
    <row r="40" spans="2:40" x14ac:dyDescent="0.25">
      <c r="B40" s="39" t="s">
        <v>23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0</v>
      </c>
      <c r="F40" s="12">
        <v>0</v>
      </c>
      <c r="G40" s="12">
        <v>0</v>
      </c>
      <c r="H40" s="12">
        <v>0</v>
      </c>
      <c r="I40" s="12">
        <v>0</v>
      </c>
      <c r="J40" s="12">
        <v>40072.159524003298</v>
      </c>
      <c r="K40" s="12">
        <v>65384.479048006564</v>
      </c>
      <c r="L40" s="12">
        <v>81299.638572009862</v>
      </c>
      <c r="M40" s="12">
        <v>97182.124762679814</v>
      </c>
      <c r="N40" s="12">
        <v>113103.27762001645</v>
      </c>
      <c r="O40" s="12">
        <v>129260.1038106864</v>
      </c>
      <c r="P40" s="12">
        <v>145000.00666802304</v>
      </c>
      <c r="Q40" s="12">
        <v>177071.75881122897</v>
      </c>
      <c r="R40" s="12">
        <v>194578.43428763261</v>
      </c>
      <c r="S40" s="12">
        <v>211990.68576403626</v>
      </c>
      <c r="T40" s="12">
        <v>229668.77057377316</v>
      </c>
      <c r="U40" s="12">
        <v>247276.46271684344</v>
      </c>
      <c r="V40" s="12">
        <v>264747.19752658036</v>
      </c>
      <c r="W40" s="12">
        <v>277105.95733631734</v>
      </c>
      <c r="X40" s="12">
        <v>277382.42400298396</v>
      </c>
      <c r="Y40" s="12">
        <v>277759.90733631735</v>
      </c>
      <c r="Z40" s="12">
        <v>277977.89066965069</v>
      </c>
      <c r="AA40" s="12">
        <v>278254.35733631731</v>
      </c>
      <c r="AB40" s="12">
        <v>278631.8406696507</v>
      </c>
      <c r="AC40" s="12">
        <v>306670.47473661578</v>
      </c>
      <c r="AD40" s="12">
        <v>306974.58806994918</v>
      </c>
      <c r="AE40" s="12">
        <v>307278.70140328241</v>
      </c>
      <c r="AF40" s="12">
        <v>307629.60140328243</v>
      </c>
      <c r="AG40" s="12">
        <v>307933.71473661577</v>
      </c>
      <c r="AH40" s="12">
        <v>308237.82806994912</v>
      </c>
      <c r="AI40" s="12">
        <v>308237.82806994912</v>
      </c>
      <c r="AJ40" s="12">
        <v>308237.82806994912</v>
      </c>
      <c r="AK40" s="12">
        <v>308237.82806994912</v>
      </c>
      <c r="AL40" s="12">
        <v>308237.82806994912</v>
      </c>
      <c r="AM40" s="12">
        <v>308237.82806994912</v>
      </c>
      <c r="AN40" s="12">
        <v>308237.82806994912</v>
      </c>
    </row>
    <row r="41" spans="2:40" x14ac:dyDescent="0.25">
      <c r="B41" s="39" t="s">
        <v>388</v>
      </c>
      <c r="C41" s="142">
        <f>_xlfn.XLOOKUP($B$1&amp;"-"&amp;$C$1,Base!$D$4:$BD$4,Base!$D$12:$BD$12,0,0)</f>
        <v>0</v>
      </c>
      <c r="E41" s="183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28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0</v>
      </c>
      <c r="F42" s="12">
        <v>0</v>
      </c>
      <c r="G42" s="12">
        <v>0</v>
      </c>
      <c r="H42" s="12">
        <v>0</v>
      </c>
      <c r="I42" s="12">
        <v>0</v>
      </c>
      <c r="J42" s="12">
        <v>6713</v>
      </c>
      <c r="K42" s="12">
        <v>6713</v>
      </c>
      <c r="L42" s="12">
        <v>6713</v>
      </c>
      <c r="M42" s="12">
        <v>6713</v>
      </c>
      <c r="N42" s="12">
        <v>6713</v>
      </c>
      <c r="O42" s="12">
        <v>6713</v>
      </c>
      <c r="P42" s="12">
        <v>6713</v>
      </c>
      <c r="Q42" s="12">
        <v>6914.39</v>
      </c>
      <c r="R42" s="12">
        <v>6914.39</v>
      </c>
      <c r="S42" s="12">
        <v>6914.39</v>
      </c>
      <c r="T42" s="12">
        <v>6914.39</v>
      </c>
      <c r="U42" s="12">
        <v>6914.39</v>
      </c>
      <c r="V42" s="12">
        <v>6914.39</v>
      </c>
      <c r="W42" s="12">
        <v>6914.39</v>
      </c>
      <c r="X42" s="12">
        <v>6914.39</v>
      </c>
      <c r="Y42" s="12">
        <v>6914.39</v>
      </c>
      <c r="Z42" s="12">
        <v>6914.39</v>
      </c>
      <c r="AA42" s="12">
        <v>6914.39</v>
      </c>
      <c r="AB42" s="12">
        <v>6914.39</v>
      </c>
      <c r="AC42" s="12">
        <v>7121.8216999999995</v>
      </c>
      <c r="AD42" s="12">
        <v>7121.8216999999995</v>
      </c>
      <c r="AE42" s="12">
        <v>7121.8216999999995</v>
      </c>
      <c r="AF42" s="12">
        <v>7121.8216999999995</v>
      </c>
      <c r="AG42" s="12">
        <v>7121.8216999999995</v>
      </c>
      <c r="AH42" s="12">
        <v>7121.8216999999995</v>
      </c>
      <c r="AI42" s="12">
        <v>7121.8216999999995</v>
      </c>
      <c r="AJ42" s="12">
        <v>7121.8216999999995</v>
      </c>
      <c r="AK42" s="12">
        <v>7121.8216999999995</v>
      </c>
      <c r="AL42" s="12">
        <v>7121.8216999999995</v>
      </c>
      <c r="AM42" s="12">
        <v>7121.8216999999995</v>
      </c>
      <c r="AN42" s="12">
        <v>7121.8216999999995</v>
      </c>
    </row>
    <row r="43" spans="2:40" x14ac:dyDescent="0.25">
      <c r="B43" s="39" t="s">
        <v>31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0</v>
      </c>
      <c r="F43" s="12">
        <v>0</v>
      </c>
      <c r="G43" s="12">
        <v>0</v>
      </c>
      <c r="H43" s="12">
        <v>0</v>
      </c>
      <c r="I43" s="12">
        <v>0</v>
      </c>
      <c r="J43" s="12">
        <v>5600</v>
      </c>
      <c r="K43" s="12">
        <v>5600</v>
      </c>
      <c r="L43" s="12">
        <v>5600</v>
      </c>
      <c r="M43" s="12">
        <v>5600</v>
      </c>
      <c r="N43" s="12">
        <v>5600</v>
      </c>
      <c r="O43" s="12">
        <v>5600</v>
      </c>
      <c r="P43" s="12">
        <v>5600</v>
      </c>
      <c r="Q43" s="12">
        <v>5824</v>
      </c>
      <c r="R43" s="12">
        <v>5824</v>
      </c>
      <c r="S43" s="12">
        <v>5824</v>
      </c>
      <c r="T43" s="12">
        <v>5824</v>
      </c>
      <c r="U43" s="12">
        <v>5824</v>
      </c>
      <c r="V43" s="12">
        <v>5824</v>
      </c>
      <c r="W43" s="12">
        <v>5824</v>
      </c>
      <c r="X43" s="12">
        <v>5824</v>
      </c>
      <c r="Y43" s="12">
        <v>5824</v>
      </c>
      <c r="Z43" s="12">
        <v>5824</v>
      </c>
      <c r="AA43" s="12">
        <v>5824</v>
      </c>
      <c r="AB43" s="12">
        <v>5824</v>
      </c>
      <c r="AC43" s="12">
        <v>6056.9600000000009</v>
      </c>
      <c r="AD43" s="12">
        <v>6056.9600000000009</v>
      </c>
      <c r="AE43" s="12">
        <v>6056.9600000000009</v>
      </c>
      <c r="AF43" s="12">
        <v>6056.9600000000009</v>
      </c>
      <c r="AG43" s="12">
        <v>6056.9600000000009</v>
      </c>
      <c r="AH43" s="12">
        <v>6056.9600000000009</v>
      </c>
      <c r="AI43" s="12">
        <v>6056.9600000000009</v>
      </c>
      <c r="AJ43" s="12">
        <v>6056.9600000000009</v>
      </c>
      <c r="AK43" s="12">
        <v>6056.9600000000009</v>
      </c>
      <c r="AL43" s="12">
        <v>6056.9600000000009</v>
      </c>
      <c r="AM43" s="12">
        <v>6056.9600000000009</v>
      </c>
      <c r="AN43" s="12">
        <v>6056.9600000000009</v>
      </c>
    </row>
    <row r="44" spans="2:40" x14ac:dyDescent="0.25">
      <c r="B44" s="39" t="s">
        <v>34</v>
      </c>
      <c r="C44" s="96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0</v>
      </c>
      <c r="F44" s="12">
        <v>0</v>
      </c>
      <c r="G44" s="12">
        <v>0</v>
      </c>
      <c r="H44" s="12">
        <v>0</v>
      </c>
      <c r="I44" s="12">
        <v>0</v>
      </c>
      <c r="J44" s="12">
        <v>363.89520000000005</v>
      </c>
      <c r="K44" s="12">
        <v>963.64839999999992</v>
      </c>
      <c r="L44" s="12">
        <v>993.97300000000007</v>
      </c>
      <c r="M44" s="12">
        <v>1024.2975999999999</v>
      </c>
      <c r="N44" s="12">
        <v>1054.6222</v>
      </c>
      <c r="O44" s="12">
        <v>1095.0550000000001</v>
      </c>
      <c r="P44" s="12">
        <v>1122.0101999999999</v>
      </c>
      <c r="Q44" s="12">
        <v>1201.932368</v>
      </c>
      <c r="R44" s="12">
        <v>1233.4699519999999</v>
      </c>
      <c r="S44" s="12">
        <v>1261.5033600000002</v>
      </c>
      <c r="T44" s="12">
        <v>1300.0492959999999</v>
      </c>
      <c r="U44" s="12">
        <v>1335.0910559999998</v>
      </c>
      <c r="V44" s="12">
        <v>1366.6286400000004</v>
      </c>
      <c r="W44" s="12">
        <v>1156.37808</v>
      </c>
      <c r="X44" s="12">
        <v>1170.3947840000001</v>
      </c>
      <c r="Y44" s="12">
        <v>1187.9156640000001</v>
      </c>
      <c r="Z44" s="12">
        <v>1198.4281919999999</v>
      </c>
      <c r="AA44" s="12">
        <v>1212.444896</v>
      </c>
      <c r="AB44" s="12">
        <v>1229.965776</v>
      </c>
      <c r="AC44" s="12">
        <v>1286.4530931200002</v>
      </c>
      <c r="AD44" s="12">
        <v>1301.03046528</v>
      </c>
      <c r="AE44" s="12">
        <v>1315.6078374400001</v>
      </c>
      <c r="AF44" s="12">
        <v>1330.1852096000002</v>
      </c>
      <c r="AG44" s="12">
        <v>1344.7625817600001</v>
      </c>
      <c r="AH44" s="12">
        <v>1359.3399539200002</v>
      </c>
      <c r="AI44" s="12">
        <v>1359.3399539200002</v>
      </c>
      <c r="AJ44" s="12">
        <v>1359.3399539200002</v>
      </c>
      <c r="AK44" s="12">
        <v>1359.3399539200002</v>
      </c>
      <c r="AL44" s="12">
        <v>1359.3399539200002</v>
      </c>
      <c r="AM44" s="12">
        <v>1359.3399539200002</v>
      </c>
      <c r="AN44" s="12">
        <v>1359.3399539200002</v>
      </c>
    </row>
    <row r="45" spans="2:40" x14ac:dyDescent="0.25">
      <c r="B45" s="39" t="s">
        <v>36</v>
      </c>
      <c r="C45" s="96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0</v>
      </c>
      <c r="F45" s="12">
        <v>0</v>
      </c>
      <c r="G45" s="12">
        <v>0</v>
      </c>
      <c r="H45" s="12">
        <v>0</v>
      </c>
      <c r="I45" s="12">
        <v>0</v>
      </c>
      <c r="J45" s="12">
        <v>6000</v>
      </c>
      <c r="K45" s="12">
        <v>6000</v>
      </c>
      <c r="L45" s="12">
        <v>6000</v>
      </c>
      <c r="M45" s="12">
        <v>6000</v>
      </c>
      <c r="N45" s="12">
        <v>6000</v>
      </c>
      <c r="O45" s="12">
        <v>6000</v>
      </c>
      <c r="P45" s="12">
        <v>6000</v>
      </c>
      <c r="Q45" s="12">
        <v>6120</v>
      </c>
      <c r="R45" s="12">
        <v>6120</v>
      </c>
      <c r="S45" s="12">
        <v>6120</v>
      </c>
      <c r="T45" s="12">
        <v>6120</v>
      </c>
      <c r="U45" s="12">
        <v>6120</v>
      </c>
      <c r="V45" s="12">
        <v>6120</v>
      </c>
      <c r="W45" s="12">
        <v>6120</v>
      </c>
      <c r="X45" s="12">
        <v>6120</v>
      </c>
      <c r="Y45" s="12">
        <v>6120</v>
      </c>
      <c r="Z45" s="12">
        <v>6120</v>
      </c>
      <c r="AA45" s="12">
        <v>6120</v>
      </c>
      <c r="AB45" s="12">
        <v>6120</v>
      </c>
      <c r="AC45" s="12">
        <v>6242.4</v>
      </c>
      <c r="AD45" s="12">
        <v>6242.4</v>
      </c>
      <c r="AE45" s="12">
        <v>6242.4</v>
      </c>
      <c r="AF45" s="12">
        <v>6242.4</v>
      </c>
      <c r="AG45" s="12">
        <v>6242.4</v>
      </c>
      <c r="AH45" s="12">
        <v>6242.4</v>
      </c>
      <c r="AI45" s="12">
        <v>6242.4</v>
      </c>
      <c r="AJ45" s="12">
        <v>6242.4</v>
      </c>
      <c r="AK45" s="12">
        <v>6242.4</v>
      </c>
      <c r="AL45" s="12">
        <v>6242.4</v>
      </c>
      <c r="AM45" s="12">
        <v>6242.4</v>
      </c>
      <c r="AN45" s="12">
        <v>6242.4</v>
      </c>
    </row>
    <row r="46" spans="2:40" x14ac:dyDescent="0.25">
      <c r="B46" s="39" t="s">
        <v>38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0</v>
      </c>
      <c r="F46" s="12">
        <v>0</v>
      </c>
      <c r="G46" s="12">
        <v>0</v>
      </c>
      <c r="H46" s="12">
        <v>0</v>
      </c>
      <c r="I46" s="12">
        <v>0</v>
      </c>
      <c r="J46" s="12">
        <v>3533.9999999999991</v>
      </c>
      <c r="K46" s="12">
        <v>5399.4999999999991</v>
      </c>
      <c r="L46" s="12">
        <v>6677</v>
      </c>
      <c r="M46" s="12">
        <v>7950.9999999999991</v>
      </c>
      <c r="N46" s="12">
        <v>9224.9999999999982</v>
      </c>
      <c r="O46" s="12">
        <v>10513</v>
      </c>
      <c r="P46" s="12">
        <v>11780.000000000002</v>
      </c>
      <c r="Q46" s="12">
        <v>13318.650000000001</v>
      </c>
      <c r="R46" s="12">
        <v>14621.7</v>
      </c>
      <c r="S46" s="12">
        <v>15917.609999999999</v>
      </c>
      <c r="T46" s="12">
        <v>17224.23</v>
      </c>
      <c r="U46" s="12">
        <v>18530.849999999999</v>
      </c>
      <c r="V46" s="12">
        <v>19830.329999999998</v>
      </c>
      <c r="W46" s="12">
        <v>20879.910000000007</v>
      </c>
      <c r="X46" s="12">
        <v>20894.190000000002</v>
      </c>
      <c r="Y46" s="12">
        <v>20912.040000000005</v>
      </c>
      <c r="Z46" s="12">
        <v>20922.750000000004</v>
      </c>
      <c r="AA46" s="12">
        <v>20937.030000000006</v>
      </c>
      <c r="AB46" s="12">
        <v>20954.880000000005</v>
      </c>
      <c r="AC46" s="12">
        <v>21381.260400000003</v>
      </c>
      <c r="AD46" s="12">
        <v>21395.826000000001</v>
      </c>
      <c r="AE46" s="12">
        <v>21410.391600000003</v>
      </c>
      <c r="AF46" s="12">
        <v>21424.957200000004</v>
      </c>
      <c r="AG46" s="12">
        <v>21439.522800000002</v>
      </c>
      <c r="AH46" s="12">
        <v>21454.088400000004</v>
      </c>
      <c r="AI46" s="12">
        <v>21454.088400000004</v>
      </c>
      <c r="AJ46" s="12">
        <v>21454.088400000004</v>
      </c>
      <c r="AK46" s="12">
        <v>21454.088400000004</v>
      </c>
      <c r="AL46" s="12">
        <v>21454.088400000004</v>
      </c>
      <c r="AM46" s="12">
        <v>21454.088400000004</v>
      </c>
      <c r="AN46" s="12">
        <v>21454.088400000004</v>
      </c>
    </row>
    <row r="47" spans="2:40" x14ac:dyDescent="0.25">
      <c r="B47" s="39" t="s">
        <v>40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0</v>
      </c>
      <c r="F47" s="12">
        <v>0</v>
      </c>
      <c r="G47" s="12">
        <v>0</v>
      </c>
      <c r="H47" s="12">
        <v>0</v>
      </c>
      <c r="I47" s="12">
        <v>0</v>
      </c>
      <c r="J47" s="12">
        <v>4750</v>
      </c>
      <c r="K47" s="12">
        <v>4750</v>
      </c>
      <c r="L47" s="12">
        <v>4750</v>
      </c>
      <c r="M47" s="12">
        <v>4750</v>
      </c>
      <c r="N47" s="12">
        <v>4750</v>
      </c>
      <c r="O47" s="12">
        <v>4750</v>
      </c>
      <c r="P47" s="12">
        <v>4750</v>
      </c>
      <c r="Q47" s="12">
        <v>4987.5</v>
      </c>
      <c r="R47" s="12">
        <v>4987.5</v>
      </c>
      <c r="S47" s="12">
        <v>4987.5</v>
      </c>
      <c r="T47" s="12">
        <v>4987.5</v>
      </c>
      <c r="U47" s="12">
        <v>4987.5</v>
      </c>
      <c r="V47" s="12">
        <v>4987.5</v>
      </c>
      <c r="W47" s="12">
        <v>4987.5</v>
      </c>
      <c r="X47" s="12">
        <v>4987.5</v>
      </c>
      <c r="Y47" s="12">
        <v>4987.5</v>
      </c>
      <c r="Z47" s="12">
        <v>4987.5</v>
      </c>
      <c r="AA47" s="12">
        <v>4987.5</v>
      </c>
      <c r="AB47" s="12">
        <v>4987.5</v>
      </c>
      <c r="AC47" s="12">
        <v>5236.875</v>
      </c>
      <c r="AD47" s="12">
        <v>5236.875</v>
      </c>
      <c r="AE47" s="12">
        <v>5236.875</v>
      </c>
      <c r="AF47" s="12">
        <v>5236.875</v>
      </c>
      <c r="AG47" s="12">
        <v>5236.875</v>
      </c>
      <c r="AH47" s="12">
        <v>5236.875</v>
      </c>
      <c r="AI47" s="12">
        <v>5236.875</v>
      </c>
      <c r="AJ47" s="12">
        <v>5236.875</v>
      </c>
      <c r="AK47" s="12">
        <v>5236.875</v>
      </c>
      <c r="AL47" s="12">
        <v>5236.875</v>
      </c>
      <c r="AM47" s="12">
        <v>5236.875</v>
      </c>
      <c r="AN47" s="12">
        <v>5236.875</v>
      </c>
    </row>
    <row r="48" spans="2:40" x14ac:dyDescent="0.25">
      <c r="B48" s="39" t="s">
        <v>41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0</v>
      </c>
      <c r="F48" s="12">
        <v>0</v>
      </c>
      <c r="G48" s="12">
        <v>0</v>
      </c>
      <c r="H48" s="12">
        <v>104139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42</v>
      </c>
      <c r="E49" s="12">
        <f>'Corp.'!E$50*(E$37-(E31-E32-E34)*$C$35)/(SUM('MDA1:NCA9'!E$37)-SUM('MDA1:NCA9'!E$31)-SUM('MDA1:NCA9'!E$32)-SUM('MDA1:NCA9'!E$34))</f>
        <v>0</v>
      </c>
      <c r="F49" s="12">
        <f>'Corp.'!F$50*(F$37-(F31-F32-F34)*$C$35)/(SUM('MDA1:NCA9'!F$37)-SUM('MDA1:NCA9'!F$31)-SUM('MDA1:NCA9'!F$32)-SUM('MDA1:NCA9'!F$34))</f>
        <v>0</v>
      </c>
      <c r="G49" s="12">
        <f>'Corp.'!G$50*(G$37-(G31-G32-G34)*$C$35)/(SUM('MDA1:NCA9'!G$37)-SUM('MDA1:NCA9'!G$31)-SUM('MDA1:NCA9'!G$32)-SUM('MDA1:NCA9'!G$34))</f>
        <v>0</v>
      </c>
      <c r="H49" s="12">
        <f>'Corp.'!H$50*(H$37-(H31-H32-H34)*$C$35)/(SUM('MDA1:NCA9'!H$37)-SUM('MDA1:NCA9'!H$31)-SUM('MDA1:NCA9'!H$32)-SUM('MDA1:NCA9'!H$34))</f>
        <v>0</v>
      </c>
      <c r="I49" s="12">
        <f>'Corp.'!I$50*(I$37-(I31-I32-I34)*$C$35)/(SUM('MDA1:NCA9'!I$37)-SUM('MDA1:NCA9'!I$31)-SUM('MDA1:NCA9'!I$32)-SUM('MDA1:NCA9'!I$34))</f>
        <v>0</v>
      </c>
      <c r="J49" s="12">
        <f>'Corp.'!J$50*(J$37-(J31-J32-J34)*$C$35)/(SUM('MDA1:NCA9'!J$37)-SUM('MDA1:NCA9'!J$31)-SUM('MDA1:NCA9'!J$32)-SUM('MDA1:NCA9'!J$34))</f>
        <v>10022.896564855344</v>
      </c>
      <c r="K49" s="12">
        <f>'Corp.'!K$50*(K$37-(K31-K32-K34)*$C$35)/(SUM('MDA1:NCA9'!K$37)-SUM('MDA1:NCA9'!K$31)-SUM('MDA1:NCA9'!K$32)-SUM('MDA1:NCA9'!K$34))</f>
        <v>14038.574394936722</v>
      </c>
      <c r="L49" s="12">
        <f>'Corp.'!L$50*(L$37-(L31-L32-L34)*$C$35)/(SUM('MDA1:NCA9'!L$37)-SUM('MDA1:NCA9'!L$31)-SUM('MDA1:NCA9'!L$32)-SUM('MDA1:NCA9'!L$34))</f>
        <v>17833.277161844599</v>
      </c>
      <c r="M49" s="12">
        <f>'Corp.'!M$50*(M$37-(M31-M32-M34)*$C$35)/(SUM('MDA1:NCA9'!M$37)-SUM('MDA1:NCA9'!M$31)-SUM('MDA1:NCA9'!M$32)-SUM('MDA1:NCA9'!M$34))</f>
        <v>20992.333180900652</v>
      </c>
      <c r="N49" s="12">
        <f>'Corp.'!N$50*(N$37-(N31-N32-N34)*$C$35)/(SUM('MDA1:NCA9'!N$37)-SUM('MDA1:NCA9'!N$31)-SUM('MDA1:NCA9'!N$32)-SUM('MDA1:NCA9'!N$34))</f>
        <v>23813.488142603699</v>
      </c>
      <c r="O49" s="12">
        <f>'Corp.'!O$50*(O$37-(O31-O32-O34)*$C$35)/(SUM('MDA1:NCA9'!O$37)-SUM('MDA1:NCA9'!O$31)-SUM('MDA1:NCA9'!O$32)-SUM('MDA1:NCA9'!O$34))</f>
        <v>26061.324256724529</v>
      </c>
      <c r="P49" s="12">
        <f>'Corp.'!P$50*(P$37-(P31-P32-P34)*$C$35)/(SUM('MDA1:NCA9'!P$37)-SUM('MDA1:NCA9'!P$31)-SUM('MDA1:NCA9'!P$32)-SUM('MDA1:NCA9'!P$34))</f>
        <v>28154.310961738938</v>
      </c>
      <c r="Q49" s="12">
        <f>'Corp.'!Q$50*(Q$37-(Q31-Q32-Q34)*$C$35)/(SUM('MDA1:NCA9'!Q$37)-SUM('MDA1:NCA9'!Q$31)-SUM('MDA1:NCA9'!Q$32)-SUM('MDA1:NCA9'!Q$34))</f>
        <v>32787.220360299143</v>
      </c>
      <c r="R49" s="12">
        <f>'Corp.'!R$50*(R$37-(R31-R32-R34)*$C$35)/(SUM('MDA1:NCA9'!R$37)-SUM('MDA1:NCA9'!R$31)-SUM('MDA1:NCA9'!R$32)-SUM('MDA1:NCA9'!R$34))</f>
        <v>35087.804463428307</v>
      </c>
      <c r="S49" s="12">
        <f>'Corp.'!S$50*(S$37-(S31-S32-S34)*$C$35)/(SUM('MDA1:NCA9'!S$37)-SUM('MDA1:NCA9'!S$31)-SUM('MDA1:NCA9'!S$32)-SUM('MDA1:NCA9'!S$34))</f>
        <v>36958.604613790973</v>
      </c>
      <c r="T49" s="12">
        <f>'Corp.'!T$50*(T$37-(T31-T32-T34)*$C$35)/(SUM('MDA1:NCA9'!T$37)-SUM('MDA1:NCA9'!T$31)-SUM('MDA1:NCA9'!T$32)-SUM('MDA1:NCA9'!T$34))</f>
        <v>38803.020209376875</v>
      </c>
      <c r="U49" s="12">
        <f>'Corp.'!U$50*(U$37-(U31-U32-U34)*$C$35)/(SUM('MDA1:NCA9'!U$37)-SUM('MDA1:NCA9'!U$31)-SUM('MDA1:NCA9'!U$32)-SUM('MDA1:NCA9'!U$34))</f>
        <v>40914.363818713158</v>
      </c>
      <c r="V49" s="12">
        <f>'Corp.'!V$50*(V$37-(V31-V32-V34)*$C$35)/(SUM('MDA1:NCA9'!V$37)-SUM('MDA1:NCA9'!V$31)-SUM('MDA1:NCA9'!V$32)-SUM('MDA1:NCA9'!V$34))</f>
        <v>43076.26285915936</v>
      </c>
      <c r="W49" s="12">
        <f>'Corp.'!W$50*(W$37-(W31-W32-W34)*$C$35)/(SUM('MDA1:NCA9'!W$37)-SUM('MDA1:NCA9'!W$31)-SUM('MDA1:NCA9'!W$32)-SUM('MDA1:NCA9'!W$34))</f>
        <v>44770.825502159685</v>
      </c>
      <c r="X49" s="12">
        <f>'Corp.'!X$50*(X$37-(X31-X32-X34)*$C$35)/(SUM('MDA1:NCA9'!X$37)-SUM('MDA1:NCA9'!X$31)-SUM('MDA1:NCA9'!X$32)-SUM('MDA1:NCA9'!X$34))</f>
        <v>43368.439479408997</v>
      </c>
      <c r="Y49" s="12">
        <f>'Corp.'!Y$50*(Y$37-(Y31-Y32-Y34)*$C$35)/(SUM('MDA1:NCA9'!Y$37)-SUM('MDA1:NCA9'!Y$31)-SUM('MDA1:NCA9'!Y$32)-SUM('MDA1:NCA9'!Y$34))</f>
        <v>42449.617587963083</v>
      </c>
      <c r="Z49" s="12">
        <f>'Corp.'!Z$50*(Z$37-(Z31-Z32-Z34)*$C$35)/(SUM('MDA1:NCA9'!Z$37)-SUM('MDA1:NCA9'!Z$31)-SUM('MDA1:NCA9'!Z$32)-SUM('MDA1:NCA9'!Z$34))</f>
        <v>41527.71376977022</v>
      </c>
      <c r="AA49" s="12">
        <f>'Corp.'!AA$50*(AA$37-(AA31-AA32-AA34)*$C$35)/(SUM('MDA1:NCA9'!AA$37)-SUM('MDA1:NCA9'!AA$31)-SUM('MDA1:NCA9'!AA$32)-SUM('MDA1:NCA9'!AA$34))</f>
        <v>40578.251668935096</v>
      </c>
      <c r="AB49" s="12">
        <f>'Corp.'!AB$50*(AB$37-(AB31-AB32-AB34)*$C$35)/(SUM('MDA1:NCA9'!AB$37)-SUM('MDA1:NCA9'!AB$31)-SUM('MDA1:NCA9'!AB$32)-SUM('MDA1:NCA9'!AB$34))</f>
        <v>39657.369230171993</v>
      </c>
      <c r="AC49" s="12">
        <f>'Corp.'!AC$50*(AC$37-(AC31-AC32-AC34)*$C$35)/(SUM('MDA1:NCA9'!AC$37)-SUM('MDA1:NCA9'!AC$31)-SUM('MDA1:NCA9'!AC$32)-SUM('MDA1:NCA9'!AC$34))</f>
        <v>42562.163662124003</v>
      </c>
      <c r="AD49" s="12">
        <f>'Corp.'!AD$50*(AD$37-(AD31-AD32-AD34)*$C$35)/(SUM('MDA1:NCA9'!AD$37)-SUM('MDA1:NCA9'!AD$31)-SUM('MDA1:NCA9'!AD$32)-SUM('MDA1:NCA9'!AD$34))</f>
        <v>41862.949120358404</v>
      </c>
      <c r="AE49" s="12">
        <f>'Corp.'!AE$50*(AE$37-(AE31-AE32-AE34)*$C$35)/(SUM('MDA1:NCA9'!AE$37)-SUM('MDA1:NCA9'!AE$31)-SUM('MDA1:NCA9'!AE$32)-SUM('MDA1:NCA9'!AE$34))</f>
        <v>41203.655991268599</v>
      </c>
      <c r="AF49" s="12">
        <f>'Corp.'!AF$50*(AF$37-(AF31-AF32-AF34)*$C$35)/(SUM('MDA1:NCA9'!AF$37)-SUM('MDA1:NCA9'!AF$31)-SUM('MDA1:NCA9'!AF$32)-SUM('MDA1:NCA9'!AF$34))</f>
        <v>40585.876714539343</v>
      </c>
      <c r="AG49" s="12">
        <f>'Corp.'!AG$50*(AG$37-(AG31-AG32-AG34)*$C$35)/(SUM('MDA1:NCA9'!AG$37)-SUM('MDA1:NCA9'!AG$31)-SUM('MDA1:NCA9'!AG$32)-SUM('MDA1:NCA9'!AG$34))</f>
        <v>40090.446474446704</v>
      </c>
      <c r="AH49" s="12">
        <f>'Corp.'!AH$50*(AH$37-(AH31-AH32-AH34)*$C$35)/(SUM('MDA1:NCA9'!AH$37)-SUM('MDA1:NCA9'!AH$31)-SUM('MDA1:NCA9'!AH$32)-SUM('MDA1:NCA9'!AH$34))</f>
        <v>39438.770734121317</v>
      </c>
      <c r="AI49" s="12">
        <f>'Corp.'!AI$50*(AI$37-(AI31-AI32-AI34)*$C$35)/(SUM('MDA1:NCA9'!AI$37)-SUM('MDA1:NCA9'!AI$31)-SUM('MDA1:NCA9'!AI$32)-SUM('MDA1:NCA9'!AI$34))</f>
        <v>38759.648377692261</v>
      </c>
      <c r="AJ49" s="12">
        <f>'Corp.'!AJ$50*(AJ$37-(AJ31-AJ32-AJ34)*$C$35)/(SUM('MDA1:NCA9'!AJ$37)-SUM('MDA1:NCA9'!AJ$31)-SUM('MDA1:NCA9'!AJ$32)-SUM('MDA1:NCA9'!AJ$34))</f>
        <v>38063.84395049233</v>
      </c>
      <c r="AK49" s="12">
        <f>'Corp.'!AK$50*(AK$37-(AK31-AK32-AK34)*$C$35)/(SUM('MDA1:NCA9'!AK$37)-SUM('MDA1:NCA9'!AK$31)-SUM('MDA1:NCA9'!AK$32)-SUM('MDA1:NCA9'!AK$34))</f>
        <v>37421.355057904744</v>
      </c>
      <c r="AL49" s="12">
        <f>'Corp.'!AL$50*(AL$37-(AL31-AL32-AL34)*$C$35)/(SUM('MDA1:NCA9'!AL$37)-SUM('MDA1:NCA9'!AL$31)-SUM('MDA1:NCA9'!AL$32)-SUM('MDA1:NCA9'!AL$34))</f>
        <v>36831.76823163985</v>
      </c>
      <c r="AM49" s="12">
        <f>'Corp.'!AM$50*(AM$37-(AM31-AM32-AM34)*$C$35)/(SUM('MDA1:NCA9'!AM$37)-SUM('MDA1:NCA9'!AM$31)-SUM('MDA1:NCA9'!AM$32)-SUM('MDA1:NCA9'!AM$34))</f>
        <v>36196.812614303984</v>
      </c>
      <c r="AN49" s="12">
        <f>'Corp.'!AN$50*(AN$37-(AN31-AN32-AN34)*$C$35)/(SUM('MDA1:NCA9'!AN$37)-SUM('MDA1:NCA9'!AN$31)-SUM('MDA1:NCA9'!AN$32)-SUM('MDA1:NCA9'!AN$34))</f>
        <v>35655.564824824171</v>
      </c>
    </row>
    <row r="50" spans="2:40" x14ac:dyDescent="0.25">
      <c r="B50" s="1" t="s">
        <v>272</v>
      </c>
      <c r="E50" s="13" cm="1">
        <f t="array" ref="E50:AN50">_xlfn.BYCOL(_xlfn.VSTACK(_xlfn.ANCHORARRAY(E40),_xlfn.ANCHORARRAY(E42),_xlfn.ANCHORARRAY(E43),_xlfn.ANCHORARRAY(E45),_xlfn.ANCHORARRAY(E46),_xlfn.ANCHORARRAY(E47),_xlfn.ANCHORARRAY(E48),_xlfn.HSTACK(E49:AN49)),_xlfn.LAMBDA(_xlpm.a,SUM(_xlpm.a)))</f>
        <v>0</v>
      </c>
      <c r="F50" s="13">
        <v>0</v>
      </c>
      <c r="G50" s="13">
        <v>0</v>
      </c>
      <c r="H50" s="13">
        <v>104139</v>
      </c>
      <c r="I50" s="13">
        <v>0</v>
      </c>
      <c r="J50" s="13">
        <v>76692.056088858648</v>
      </c>
      <c r="K50" s="13">
        <v>107885.55344294327</v>
      </c>
      <c r="L50" s="13">
        <v>128872.91573385446</v>
      </c>
      <c r="M50" s="13">
        <v>149188.45794358046</v>
      </c>
      <c r="N50" s="13">
        <v>169204.76576262014</v>
      </c>
      <c r="O50" s="13">
        <v>188897.42806741092</v>
      </c>
      <c r="P50" s="13">
        <v>207997.31762976196</v>
      </c>
      <c r="Q50" s="13">
        <v>247023.51917152811</v>
      </c>
      <c r="R50" s="13">
        <v>268133.82875106094</v>
      </c>
      <c r="S50" s="13">
        <v>288712.79037782724</v>
      </c>
      <c r="T50" s="13">
        <v>309541.91078315006</v>
      </c>
      <c r="U50" s="13">
        <v>330567.56653555663</v>
      </c>
      <c r="V50" s="13">
        <v>351499.68038573978</v>
      </c>
      <c r="W50" s="13">
        <v>366602.5828384771</v>
      </c>
      <c r="X50" s="13">
        <v>365490.94348239299</v>
      </c>
      <c r="Y50" s="13">
        <v>364967.45492428041</v>
      </c>
      <c r="Z50" s="13">
        <v>364274.24443942093</v>
      </c>
      <c r="AA50" s="13">
        <v>363615.52900525247</v>
      </c>
      <c r="AB50" s="13">
        <v>363089.97989982273</v>
      </c>
      <c r="AC50" s="13">
        <v>395271.95549873984</v>
      </c>
      <c r="AD50" s="13">
        <v>394891.41989030759</v>
      </c>
      <c r="AE50" s="13">
        <v>394550.80569455097</v>
      </c>
      <c r="AF50" s="13">
        <v>394298.49201782182</v>
      </c>
      <c r="AG50" s="13">
        <v>394121.74071106245</v>
      </c>
      <c r="AH50" s="13">
        <v>393788.74390407046</v>
      </c>
      <c r="AI50" s="13">
        <v>393109.62154764141</v>
      </c>
      <c r="AJ50" s="13">
        <v>392413.81712044147</v>
      </c>
      <c r="AK50" s="13">
        <v>391771.32822785387</v>
      </c>
      <c r="AL50" s="13">
        <v>391181.74140158901</v>
      </c>
      <c r="AM50" s="13">
        <v>390546.78578425315</v>
      </c>
      <c r="AN50" s="13">
        <v>390005.5379947733</v>
      </c>
    </row>
    <row r="52" spans="2:40" x14ac:dyDescent="0.25">
      <c r="B52" s="1" t="s">
        <v>48</v>
      </c>
      <c r="E52" s="74">
        <f>E37-E50</f>
        <v>0</v>
      </c>
      <c r="F52" s="74">
        <f t="shared" ref="F52:AN52" si="0">F37-F50</f>
        <v>0</v>
      </c>
      <c r="G52" s="74">
        <f t="shared" si="0"/>
        <v>0</v>
      </c>
      <c r="H52" s="74">
        <f t="shared" si="0"/>
        <v>-104139</v>
      </c>
      <c r="I52" s="74">
        <f t="shared" si="0"/>
        <v>0</v>
      </c>
      <c r="J52" s="74">
        <f t="shared" si="0"/>
        <v>-32675.04926534932</v>
      </c>
      <c r="K52" s="74">
        <f t="shared" si="0"/>
        <v>-40761.735769257939</v>
      </c>
      <c r="L52" s="74">
        <f t="shared" si="0"/>
        <v>-38642.287209993141</v>
      </c>
      <c r="M52" s="74">
        <f t="shared" si="0"/>
        <v>-35851.018569543143</v>
      </c>
      <c r="N52" s="74">
        <f t="shared" si="0"/>
        <v>-32760.515538406791</v>
      </c>
      <c r="O52" s="74">
        <f t="shared" si="0"/>
        <v>-29346.366993021598</v>
      </c>
      <c r="P52" s="74">
        <f t="shared" si="0"/>
        <v>-25339.445705196646</v>
      </c>
      <c r="Q52" s="74">
        <f t="shared" si="0"/>
        <v>-35085.895913544548</v>
      </c>
      <c r="R52" s="74">
        <f t="shared" si="0"/>
        <v>-32396.190317396045</v>
      </c>
      <c r="S52" s="74">
        <f t="shared" si="0"/>
        <v>-29175.136768481141</v>
      </c>
      <c r="T52" s="74">
        <f t="shared" si="0"/>
        <v>-26204.241998122598</v>
      </c>
      <c r="U52" s="74">
        <f t="shared" si="0"/>
        <v>-23429.882574847958</v>
      </c>
      <c r="V52" s="74">
        <f t="shared" si="0"/>
        <v>-20561.981249349774</v>
      </c>
      <c r="W52" s="74">
        <f t="shared" si="0"/>
        <v>-11864.868526405771</v>
      </c>
      <c r="X52" s="74">
        <f t="shared" si="0"/>
        <v>-10753.229170321662</v>
      </c>
      <c r="Y52" s="74">
        <f t="shared" si="0"/>
        <v>-10229.740612209076</v>
      </c>
      <c r="Z52" s="74">
        <f t="shared" si="0"/>
        <v>-9536.5301273496007</v>
      </c>
      <c r="AA52" s="74">
        <f t="shared" si="0"/>
        <v>-8877.8146931811352</v>
      </c>
      <c r="AB52" s="74">
        <f t="shared" si="0"/>
        <v>-8352.2655877514044</v>
      </c>
      <c r="AC52" s="74">
        <f t="shared" si="0"/>
        <v>-40534.241186668514</v>
      </c>
      <c r="AD52" s="74">
        <f t="shared" si="0"/>
        <v>-40153.705578236259</v>
      </c>
      <c r="AE52" s="74">
        <f t="shared" si="0"/>
        <v>-39813.091382479644</v>
      </c>
      <c r="AF52" s="74">
        <f t="shared" si="0"/>
        <v>-39560.777705750486</v>
      </c>
      <c r="AG52" s="74">
        <f t="shared" si="0"/>
        <v>-39384.026398991118</v>
      </c>
      <c r="AH52" s="74">
        <f t="shared" si="0"/>
        <v>-39051.029591999133</v>
      </c>
      <c r="AI52" s="74">
        <f t="shared" si="0"/>
        <v>-38371.907235570077</v>
      </c>
      <c r="AJ52" s="74">
        <f t="shared" si="0"/>
        <v>-37676.102808370139</v>
      </c>
      <c r="AK52" s="74">
        <f t="shared" si="0"/>
        <v>-37033.613915782538</v>
      </c>
      <c r="AL52" s="74">
        <f t="shared" si="0"/>
        <v>-36444.02708951768</v>
      </c>
      <c r="AM52" s="74">
        <f t="shared" si="0"/>
        <v>-35809.071472181822</v>
      </c>
      <c r="AN52" s="74">
        <f t="shared" si="0"/>
        <v>-35267.823682701972</v>
      </c>
    </row>
    <row r="53" spans="2:40" x14ac:dyDescent="0.25">
      <c r="E53" s="105" t="str">
        <f>IFERROR(E52/E37,"")</f>
        <v/>
      </c>
      <c r="F53" s="105" t="str">
        <f t="shared" ref="F53:AN53" si="1">IFERROR(F52/F37,"")</f>
        <v/>
      </c>
      <c r="G53" s="105" t="str">
        <f t="shared" si="1"/>
        <v/>
      </c>
      <c r="H53" s="105" t="str">
        <f t="shared" si="1"/>
        <v/>
      </c>
      <c r="I53" s="105" t="str">
        <f t="shared" si="1"/>
        <v/>
      </c>
      <c r="J53" s="105">
        <f t="shared" si="1"/>
        <v>-0.74232783242993461</v>
      </c>
      <c r="K53" s="105">
        <f t="shared" si="1"/>
        <v>-0.60726188083366173</v>
      </c>
      <c r="L53" s="105">
        <f t="shared" si="1"/>
        <v>-0.42826131040164772</v>
      </c>
      <c r="M53" s="105">
        <f t="shared" si="1"/>
        <v>-0.31632105655067133</v>
      </c>
      <c r="N53" s="105">
        <f t="shared" si="1"/>
        <v>-0.24010184001577753</v>
      </c>
      <c r="O53" s="105">
        <f t="shared" si="1"/>
        <v>-0.18393087952789675</v>
      </c>
      <c r="P53" s="105">
        <f t="shared" si="1"/>
        <v>-0.13872627244700089</v>
      </c>
      <c r="Q53" s="105">
        <f t="shared" si="1"/>
        <v>-0.1655482182643703</v>
      </c>
      <c r="R53" s="105">
        <f t="shared" si="1"/>
        <v>-0.13742476819844843</v>
      </c>
      <c r="S53" s="105">
        <f t="shared" si="1"/>
        <v>-0.11241196166624559</v>
      </c>
      <c r="T53" s="105">
        <f t="shared" si="1"/>
        <v>-9.2484144838518273E-2</v>
      </c>
      <c r="U53" s="105">
        <f t="shared" si="1"/>
        <v>-7.6284623471489357E-2</v>
      </c>
      <c r="V53" s="105">
        <f t="shared" si="1"/>
        <v>-6.2132483857257753E-2</v>
      </c>
      <c r="W53" s="105">
        <f t="shared" si="1"/>
        <v>-3.3446876516681733E-2</v>
      </c>
      <c r="X53" s="105">
        <f t="shared" si="1"/>
        <v>-3.0313182772728209E-2</v>
      </c>
      <c r="Y53" s="105">
        <f t="shared" si="1"/>
        <v>-2.883747681592639E-2</v>
      </c>
      <c r="Z53" s="105">
        <f t="shared" si="1"/>
        <v>-2.6883327434872303E-2</v>
      </c>
      <c r="AA53" s="105">
        <f t="shared" si="1"/>
        <v>-2.5026419055547918E-2</v>
      </c>
      <c r="AB53" s="105">
        <f t="shared" si="1"/>
        <v>-2.3544904448484196E-2</v>
      </c>
      <c r="AC53" s="105">
        <f t="shared" si="1"/>
        <v>-0.11426538411703686</v>
      </c>
      <c r="AD53" s="105">
        <f t="shared" si="1"/>
        <v>-0.11319266026197619</v>
      </c>
      <c r="AE53" s="105">
        <f t="shared" si="1"/>
        <v>-0.11223247423716302</v>
      </c>
      <c r="AF53" s="105">
        <f t="shared" si="1"/>
        <v>-0.11152120597740536</v>
      </c>
      <c r="AG53" s="105">
        <f t="shared" si="1"/>
        <v>-0.11102294684219575</v>
      </c>
      <c r="AH53" s="105">
        <f t="shared" si="1"/>
        <v>-0.11008423411570217</v>
      </c>
      <c r="AI53" s="105">
        <f t="shared" si="1"/>
        <v>-0.10816979894563278</v>
      </c>
      <c r="AJ53" s="105">
        <f t="shared" si="1"/>
        <v>-0.10620833728219144</v>
      </c>
      <c r="AK53" s="105">
        <f t="shared" si="1"/>
        <v>-0.10439717126666485</v>
      </c>
      <c r="AL53" s="105">
        <f t="shared" si="1"/>
        <v>-0.10273513533849121</v>
      </c>
      <c r="AM53" s="105">
        <f t="shared" si="1"/>
        <v>-0.10094520550662317</v>
      </c>
      <c r="AN53" s="105">
        <f t="shared" si="1"/>
        <v>-9.9419436557783125E-2</v>
      </c>
    </row>
    <row r="55" spans="2:40" x14ac:dyDescent="0.25">
      <c r="B55" t="s">
        <v>57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786840</v>
      </c>
      <c r="D55" s="12">
        <f>C55-SUM(_xlfn.ANCHORARRAY(E55))</f>
        <v>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0</v>
      </c>
      <c r="F55" s="12">
        <v>0</v>
      </c>
      <c r="G55" s="12">
        <v>0</v>
      </c>
      <c r="H55" s="12">
        <v>131140</v>
      </c>
      <c r="I55" s="12">
        <v>131140</v>
      </c>
      <c r="J55" s="12">
        <v>131140</v>
      </c>
      <c r="K55" s="12">
        <v>131140</v>
      </c>
      <c r="L55" s="12">
        <v>131140</v>
      </c>
      <c r="M55" s="12">
        <v>131140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</row>
    <row r="56" spans="2:40" x14ac:dyDescent="0.25">
      <c r="B56" t="s">
        <v>285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0</v>
      </c>
      <c r="F56" s="90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0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0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0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0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-43353.786896123725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-46929.639267492283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-49350.151096351983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-52816.172723878379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-60603.252689674366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-62393.988175919709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-20466.637533632002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-23932.659161158397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-27398.680788684796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-31790.643488697533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-35360.645765049732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-38930.648041401917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-42500.650317754116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-46070.652594106301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-49640.6548704585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-53210.657146810699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-53210.657146810699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-53210.657146810699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-53210.657146810699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-53210.657146810699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-53210.657146810699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-53210.657146810699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-53210.657146810699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-53210.657146810699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-53210.657146810699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-53210.657146810699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-53210.657146810699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-53210.657146810699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276</v>
      </c>
      <c r="E58" s="13">
        <f>E37-E50-E55+E56</f>
        <v>0</v>
      </c>
      <c r="F58" s="13">
        <f t="shared" ref="F58:AN58" si="2">F37-F50-F55+F56</f>
        <v>0</v>
      </c>
      <c r="G58" s="13">
        <f t="shared" si="2"/>
        <v>0</v>
      </c>
      <c r="H58" s="13">
        <f t="shared" si="2"/>
        <v>-235279</v>
      </c>
      <c r="I58" s="13">
        <f t="shared" si="2"/>
        <v>-131140</v>
      </c>
      <c r="J58" s="13">
        <f t="shared" si="2"/>
        <v>-163815.04926534931</v>
      </c>
      <c r="K58" s="13">
        <f t="shared" si="2"/>
        <v>-171901.73576925794</v>
      </c>
      <c r="L58" s="13">
        <f t="shared" si="2"/>
        <v>-169782.28720999314</v>
      </c>
      <c r="M58" s="13">
        <f t="shared" si="2"/>
        <v>-210344.80546566687</v>
      </c>
      <c r="N58" s="13">
        <f t="shared" si="2"/>
        <v>-79690.154805899074</v>
      </c>
      <c r="O58" s="13">
        <f t="shared" si="2"/>
        <v>-78696.518089373581</v>
      </c>
      <c r="P58" s="13">
        <f t="shared" si="2"/>
        <v>-78155.618429075024</v>
      </c>
      <c r="Q58" s="13">
        <f t="shared" si="2"/>
        <v>-95689.148603218913</v>
      </c>
      <c r="R58" s="13">
        <f t="shared" si="2"/>
        <v>-94790.178493315761</v>
      </c>
      <c r="S58" s="13">
        <f t="shared" si="2"/>
        <v>-49641.774302113146</v>
      </c>
      <c r="T58" s="13">
        <f t="shared" si="2"/>
        <v>-50136.901159280998</v>
      </c>
      <c r="U58" s="13">
        <f t="shared" si="2"/>
        <v>-50828.563363532754</v>
      </c>
      <c r="V58" s="13">
        <f t="shared" si="2"/>
        <v>-52352.624738047307</v>
      </c>
      <c r="W58" s="13">
        <f t="shared" si="2"/>
        <v>-47225.514291455504</v>
      </c>
      <c r="X58" s="13">
        <f t="shared" si="2"/>
        <v>-49683.877211723579</v>
      </c>
      <c r="Y58" s="13">
        <f t="shared" si="2"/>
        <v>-52730.390929963192</v>
      </c>
      <c r="Z58" s="13">
        <f t="shared" si="2"/>
        <v>-55607.182721455902</v>
      </c>
      <c r="AA58" s="13">
        <f t="shared" si="2"/>
        <v>-58518.469563639635</v>
      </c>
      <c r="AB58" s="13">
        <f t="shared" si="2"/>
        <v>-61562.922734562104</v>
      </c>
      <c r="AC58" s="13">
        <f t="shared" si="2"/>
        <v>-93744.898333479214</v>
      </c>
      <c r="AD58" s="13">
        <f t="shared" si="2"/>
        <v>-93364.362725046958</v>
      </c>
      <c r="AE58" s="13">
        <f t="shared" si="2"/>
        <v>-93023.748529290344</v>
      </c>
      <c r="AF58" s="13">
        <f t="shared" si="2"/>
        <v>-92771.434852561186</v>
      </c>
      <c r="AG58" s="13">
        <f t="shared" si="2"/>
        <v>-92594.683545801818</v>
      </c>
      <c r="AH58" s="13">
        <f t="shared" si="2"/>
        <v>-92261.686738809833</v>
      </c>
      <c r="AI58" s="13">
        <f t="shared" si="2"/>
        <v>-91582.564382380777</v>
      </c>
      <c r="AJ58" s="13">
        <f t="shared" si="2"/>
        <v>-90886.759955180838</v>
      </c>
      <c r="AK58" s="13">
        <f t="shared" si="2"/>
        <v>-90244.271062593238</v>
      </c>
      <c r="AL58" s="13">
        <f t="shared" si="2"/>
        <v>-89654.684236328379</v>
      </c>
      <c r="AM58" s="13">
        <f t="shared" si="2"/>
        <v>-89019.728618992522</v>
      </c>
      <c r="AN58" s="13">
        <f t="shared" si="2"/>
        <v>-88478.480829512671</v>
      </c>
    </row>
    <row r="59" spans="2:40" x14ac:dyDescent="0.25">
      <c r="B59" t="s">
        <v>277</v>
      </c>
      <c r="E59" s="12" cm="1">
        <f t="array" ref="E59:AN59">_xlfn.SCAN(-D55,E58:AN58,_xlfn.LAMBDA(_xlpm.capex,_xlpm.fcf,_xlpm.capex+_xlpm.fcf))</f>
        <v>0</v>
      </c>
      <c r="F59" s="12">
        <v>0</v>
      </c>
      <c r="G59" s="12">
        <v>0</v>
      </c>
      <c r="H59" s="12">
        <v>-235279</v>
      </c>
      <c r="I59" s="12">
        <v>-366419</v>
      </c>
      <c r="J59" s="12">
        <v>-530234.04926534928</v>
      </c>
      <c r="K59" s="12">
        <v>-702135.78503460716</v>
      </c>
      <c r="L59" s="12">
        <v>-871918.07224460028</v>
      </c>
      <c r="M59" s="12">
        <v>-1082262.8777102672</v>
      </c>
      <c r="N59" s="12">
        <v>-1161953.0325161663</v>
      </c>
      <c r="O59" s="12">
        <v>-1240649.5506055399</v>
      </c>
      <c r="P59" s="12">
        <v>-1318805.1690346149</v>
      </c>
      <c r="Q59" s="12">
        <v>-1414494.3176378338</v>
      </c>
      <c r="R59" s="12">
        <v>-1509284.4961311496</v>
      </c>
      <c r="S59" s="12">
        <v>-1558926.2704332627</v>
      </c>
      <c r="T59" s="12">
        <v>-1609063.1715925436</v>
      </c>
      <c r="U59" s="12">
        <v>-1659891.7349560764</v>
      </c>
      <c r="V59" s="12">
        <v>-1712244.3596941237</v>
      </c>
      <c r="W59" s="12">
        <v>-1759469.8739855792</v>
      </c>
      <c r="X59" s="12">
        <v>-1809153.7511973027</v>
      </c>
      <c r="Y59" s="12">
        <v>-1861884.1421272659</v>
      </c>
      <c r="Z59" s="12">
        <v>-1917491.3248487217</v>
      </c>
      <c r="AA59" s="12">
        <v>-1976009.7944123615</v>
      </c>
      <c r="AB59" s="12">
        <v>-2037572.7171469235</v>
      </c>
      <c r="AC59" s="12">
        <v>-2131317.615480403</v>
      </c>
      <c r="AD59" s="12">
        <v>-2224681.9782054499</v>
      </c>
      <c r="AE59" s="12">
        <v>-2317705.7267347402</v>
      </c>
      <c r="AF59" s="12">
        <v>-2410477.1615873012</v>
      </c>
      <c r="AG59" s="12">
        <v>-2503071.845133103</v>
      </c>
      <c r="AH59" s="12">
        <v>-2595333.531871913</v>
      </c>
      <c r="AI59" s="12">
        <v>-2686916.0962542938</v>
      </c>
      <c r="AJ59" s="12">
        <v>-2777802.8562094746</v>
      </c>
      <c r="AK59" s="12">
        <v>-2868047.1272720681</v>
      </c>
      <c r="AL59" s="12">
        <v>-2957701.8115083966</v>
      </c>
      <c r="AM59" s="12">
        <v>-3046721.5401273891</v>
      </c>
      <c r="AN59" s="12">
        <v>-3135200.0209569018</v>
      </c>
    </row>
    <row r="61" spans="2:40" x14ac:dyDescent="0.25">
      <c r="B61" s="1" t="s">
        <v>302</v>
      </c>
    </row>
    <row r="63" spans="2:40" x14ac:dyDescent="0.25">
      <c r="B63" s="39" t="s">
        <v>103</v>
      </c>
      <c r="E63" s="12" cm="1">
        <f t="array" ref="E63:AN63">_xlfn.LET(_xlpm.site,$B$1&amp;"-"&amp;$C$1,_xlpm.locations,Base!$D$4:$BD$4,_xlpm.rates,Base!$D$36:$BD$36,_xlpm.hours,Base!$D$79:$BD$79,_xlpm.comp,_xlpm.rates*_xlpm.hours,_xlpm.Customer,_xlfn.ANCHORARRAY($E$1),
_xlpm.Customer_comp,_xlfn.XLOOKUP(_xlpm.site,_xlpm.locations,_xlpm.comp,0,0),_xlpm.ann_incr,_xlfn.XLOOKUP(YEAR(_xlfn.ANCHORARRAY($E$25)),Base!$BJ$4:$BL$4,Base!$BJ$79:$BL$79,0,0),
_xlpm.bad_debt,_xlfn.XLOOKUP(_xlpm.site,_xlpm.locations,Base!$D$28:$BD$28,0,0),_xlpm.Customer_comp*_xlpm.Customer*_xlpm.bad_debt*_xlpm.ann_incr*(52/12)*(1-$C$35))</f>
        <v>0</v>
      </c>
      <c r="F63" s="12">
        <v>0</v>
      </c>
      <c r="G63" s="12">
        <v>0</v>
      </c>
      <c r="H63" s="12">
        <v>0</v>
      </c>
      <c r="I63" s="12">
        <v>0</v>
      </c>
      <c r="J63" s="12">
        <v>1307.7031418879999</v>
      </c>
      <c r="K63" s="12">
        <v>2615.4062837759998</v>
      </c>
      <c r="L63" s="12">
        <v>3923.1094256640004</v>
      </c>
      <c r="M63" s="12">
        <v>5230.8125675519996</v>
      </c>
      <c r="N63" s="12">
        <v>6538.5157094400001</v>
      </c>
      <c r="O63" s="12">
        <v>7846.2188513280007</v>
      </c>
      <c r="P63" s="12">
        <v>9153.9219932159995</v>
      </c>
      <c r="Q63" s="12">
        <v>10775.473889157121</v>
      </c>
      <c r="R63" s="12">
        <v>12122.408125301761</v>
      </c>
      <c r="S63" s="12">
        <v>13469.342361446403</v>
      </c>
      <c r="T63" s="12">
        <v>14816.276597591041</v>
      </c>
      <c r="U63" s="12">
        <v>16163.210833735679</v>
      </c>
      <c r="V63" s="12">
        <v>17510.145069880324</v>
      </c>
      <c r="W63" s="12">
        <v>18857.07930602496</v>
      </c>
      <c r="X63" s="12">
        <v>18857.07930602496</v>
      </c>
      <c r="Y63" s="12">
        <v>18857.07930602496</v>
      </c>
      <c r="Z63" s="12">
        <v>18857.07930602496</v>
      </c>
      <c r="AA63" s="12">
        <v>18857.07930602496</v>
      </c>
      <c r="AB63" s="12">
        <v>18857.07930602496</v>
      </c>
      <c r="AC63" s="12">
        <v>18857.07930602496</v>
      </c>
      <c r="AD63" s="12">
        <v>18857.07930602496</v>
      </c>
      <c r="AE63" s="12">
        <v>18857.07930602496</v>
      </c>
      <c r="AF63" s="12">
        <v>18857.07930602496</v>
      </c>
      <c r="AG63" s="12">
        <v>18857.07930602496</v>
      </c>
      <c r="AH63" s="12">
        <v>18857.07930602496</v>
      </c>
      <c r="AI63" s="12">
        <v>18857.07930602496</v>
      </c>
      <c r="AJ63" s="12">
        <v>18857.07930602496</v>
      </c>
      <c r="AK63" s="12">
        <v>18857.07930602496</v>
      </c>
      <c r="AL63" s="12">
        <v>18857.07930602496</v>
      </c>
      <c r="AM63" s="12">
        <v>18857.07930602496</v>
      </c>
      <c r="AN63" s="12">
        <v>18857.07930602496</v>
      </c>
    </row>
    <row r="64" spans="2:40" x14ac:dyDescent="0.25">
      <c r="B64" s="39" t="s">
        <v>104</v>
      </c>
      <c r="E64" s="12" cm="1">
        <f t="array" ref="E64:AN64">_xlfn.LET(_xlpm.site,$B$1&amp;"-"&amp;$C$1,_xlpm.locations,Base!$D$4:$BD$4,_xlpm.rates,Base!$D$37:$BD$37,_xlpm.hours,Base!$D$80:$BD$80,_xlpm.comp,_xlpm.rates*_xlpm.hours,_xlpm.Customer,_xlfn.ANCHORARRAY($E$1),
_xlpm.Customer_comp,_xlfn.XLOOKUP(_xlpm.site,_xlpm.locations,_xlpm.comp,0,0),_xlpm.ann_incr,_xlfn.XLOOKUP(YEAR(_xlfn.ANCHORARRAY($E$25)),Base!$BJ$4:$BL$4,Base!$BJ$80:$BL$80,0,0),
_xlpm.bad_debt,_xlfn.XLOOKUP(_xlpm.site,_xlpm.locations,Base!$D$28:$BD$28,0,0),_xlpm.Customer_comp*_xlpm.Customer*_xlpm.bad_debt*_xlpm.ann_incr*(52/12)*(1-$C$35))</f>
        <v>0</v>
      </c>
      <c r="F64" s="12">
        <v>0</v>
      </c>
      <c r="G64" s="12">
        <v>0</v>
      </c>
      <c r="H64" s="12">
        <v>0</v>
      </c>
      <c r="I64" s="12">
        <v>0</v>
      </c>
      <c r="J64" s="12">
        <v>353.59405171200007</v>
      </c>
      <c r="K64" s="12">
        <v>707.18810342400013</v>
      </c>
      <c r="L64" s="12">
        <v>1060.7821551360003</v>
      </c>
      <c r="M64" s="12">
        <v>1414.3762068480003</v>
      </c>
      <c r="N64" s="12">
        <v>1767.9702585600003</v>
      </c>
      <c r="O64" s="12">
        <v>2121.5643102720005</v>
      </c>
      <c r="P64" s="12">
        <v>2475.1583619840007</v>
      </c>
      <c r="Q64" s="12">
        <v>2913.6149861068807</v>
      </c>
      <c r="R64" s="12">
        <v>3277.8168593702403</v>
      </c>
      <c r="S64" s="12">
        <v>3642.0187326336004</v>
      </c>
      <c r="T64" s="12">
        <v>4006.2206058969605</v>
      </c>
      <c r="U64" s="12">
        <v>4370.4224791603219</v>
      </c>
      <c r="V64" s="12">
        <v>4734.6243524236816</v>
      </c>
      <c r="W64" s="12">
        <v>5098.8262256870412</v>
      </c>
      <c r="X64" s="12">
        <v>5098.8262256870412</v>
      </c>
      <c r="Y64" s="12">
        <v>5098.8262256870412</v>
      </c>
      <c r="Z64" s="12">
        <v>5098.8262256870412</v>
      </c>
      <c r="AA64" s="12">
        <v>5098.8262256870412</v>
      </c>
      <c r="AB64" s="12">
        <v>5098.8262256870412</v>
      </c>
      <c r="AC64" s="12">
        <v>5098.8262256870412</v>
      </c>
      <c r="AD64" s="12">
        <v>5098.8262256870412</v>
      </c>
      <c r="AE64" s="12">
        <v>5098.8262256870412</v>
      </c>
      <c r="AF64" s="12">
        <v>5098.8262256870412</v>
      </c>
      <c r="AG64" s="12">
        <v>5098.8262256870412</v>
      </c>
      <c r="AH64" s="12">
        <v>5098.8262256870412</v>
      </c>
      <c r="AI64" s="12">
        <v>5098.8262256870412</v>
      </c>
      <c r="AJ64" s="12">
        <v>5098.8262256870412</v>
      </c>
      <c r="AK64" s="12">
        <v>5098.8262256870412</v>
      </c>
      <c r="AL64" s="12">
        <v>5098.8262256870412</v>
      </c>
      <c r="AM64" s="12">
        <v>5098.8262256870412</v>
      </c>
      <c r="AN64" s="12">
        <v>5098.8262256870412</v>
      </c>
    </row>
    <row r="65" spans="2:40" x14ac:dyDescent="0.25">
      <c r="B65" s="39" t="s">
        <v>56</v>
      </c>
      <c r="E65" s="12" cm="1">
        <f t="array" ref="E65:AN65">_xlfn.LET(_xlpm.site,$B$1&amp;"-"&amp;$C$1,_xlpm.locations,Base!$D$4:$BD$4,_xlpm.rates,Base!$D$39:$BD$39,_xlpm.hours,Base!$D$82:$BD$82,_xlpm.comp,_xlpm.rates*_xlpm.hours,_xlpm.Customer,_xlfn.ANCHORARRAY($E$1),
_xlpm.Customer_comp,_xlfn.XLOOKUP(_xlpm.site,_xlpm.locations,_xlpm.comp,0,0),_xlpm.ann_incr,_xlfn.XLOOKUP(YEAR(_xlfn.ANCHORARRAY($E$25)),Base!$BJ$4:$BL$4,Base!$BJ$82:$BL$82,0,0),
_xlpm.bad_debt,_xlfn.XLOOKUP(_xlpm.site,_xlpm.locations,Base!$D$28:$BD$28,0,0),_xlpm.Customer_comp*_xlpm.Customer*_xlpm.bad_debt*_xlpm.ann_incr*(52/12)*(1-$C$35))</f>
        <v>0</v>
      </c>
      <c r="F65" s="12">
        <v>0</v>
      </c>
      <c r="G65" s="12">
        <v>0</v>
      </c>
      <c r="H65" s="12">
        <v>0</v>
      </c>
      <c r="I65" s="12">
        <v>0</v>
      </c>
      <c r="J65" s="12">
        <v>974.64780441600021</v>
      </c>
      <c r="K65" s="12">
        <v>1949.2956088320004</v>
      </c>
      <c r="L65" s="12">
        <v>2923.9434132480005</v>
      </c>
      <c r="M65" s="12">
        <v>3898.5912176640009</v>
      </c>
      <c r="N65" s="12">
        <v>4873.2390220800007</v>
      </c>
      <c r="O65" s="12">
        <v>5847.886826496001</v>
      </c>
      <c r="P65" s="12">
        <v>6822.5346309120005</v>
      </c>
      <c r="Q65" s="12">
        <v>8031.097908387841</v>
      </c>
      <c r="R65" s="12">
        <v>9034.9851469363202</v>
      </c>
      <c r="S65" s="12">
        <v>10038.872385484801</v>
      </c>
      <c r="T65" s="12">
        <v>11042.759624033282</v>
      </c>
      <c r="U65" s="12">
        <v>12046.64686258176</v>
      </c>
      <c r="V65" s="12">
        <v>13050.534101130241</v>
      </c>
      <c r="W65" s="12">
        <v>14054.421339678722</v>
      </c>
      <c r="X65" s="12">
        <v>14054.421339678722</v>
      </c>
      <c r="Y65" s="12">
        <v>14054.421339678722</v>
      </c>
      <c r="Z65" s="12">
        <v>14054.421339678722</v>
      </c>
      <c r="AA65" s="12">
        <v>14054.421339678722</v>
      </c>
      <c r="AB65" s="12">
        <v>14054.421339678722</v>
      </c>
      <c r="AC65" s="12">
        <v>14054.421339678722</v>
      </c>
      <c r="AD65" s="12">
        <v>14054.421339678722</v>
      </c>
      <c r="AE65" s="12">
        <v>14054.421339678722</v>
      </c>
      <c r="AF65" s="12">
        <v>14054.421339678722</v>
      </c>
      <c r="AG65" s="12">
        <v>14054.421339678722</v>
      </c>
      <c r="AH65" s="12">
        <v>14054.421339678722</v>
      </c>
      <c r="AI65" s="12">
        <v>14054.421339678722</v>
      </c>
      <c r="AJ65" s="12">
        <v>14054.421339678722</v>
      </c>
      <c r="AK65" s="12">
        <v>14054.421339678722</v>
      </c>
      <c r="AL65" s="12">
        <v>14054.421339678722</v>
      </c>
      <c r="AM65" s="12">
        <v>14054.421339678722</v>
      </c>
      <c r="AN65" s="12">
        <v>14054.421339678722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303</v>
      </c>
      <c r="C67" s="12"/>
      <c r="E67" s="13" cm="1">
        <f t="array" ref="E67:AN67">_xlfn.BYCOL(_xlfn.VSTACK(_xlfn.ANCHORARRAY($E$63),_xlfn.ANCHORARRAY($E$64),_xlfn.ANCHORARRAY($E$65)),_xlfn.LAMBDA(_xlpm.a,SUM(_xlpm.a)))</f>
        <v>0</v>
      </c>
      <c r="F67" s="13">
        <v>0</v>
      </c>
      <c r="G67" s="13">
        <v>0</v>
      </c>
      <c r="H67" s="13">
        <v>0</v>
      </c>
      <c r="I67" s="13">
        <v>0</v>
      </c>
      <c r="J67" s="13">
        <v>2635.9449980160002</v>
      </c>
      <c r="K67" s="13">
        <v>5271.8899960320005</v>
      </c>
      <c r="L67" s="13">
        <v>7907.8349940480002</v>
      </c>
      <c r="M67" s="13">
        <v>10543.779992064001</v>
      </c>
      <c r="N67" s="13">
        <v>13179.724990080002</v>
      </c>
      <c r="O67" s="13">
        <v>15815.669988096</v>
      </c>
      <c r="P67" s="13">
        <v>18451.614986111999</v>
      </c>
      <c r="Q67" s="13">
        <v>21720.186783651843</v>
      </c>
      <c r="R67" s="13">
        <v>24435.210131608321</v>
      </c>
      <c r="S67" s="13">
        <v>27150.233479564806</v>
      </c>
      <c r="T67" s="13">
        <v>29865.256827521283</v>
      </c>
      <c r="U67" s="13">
        <v>32580.280175477761</v>
      </c>
      <c r="V67" s="13">
        <v>35295.303523434246</v>
      </c>
      <c r="W67" s="13">
        <v>38010.326871390724</v>
      </c>
      <c r="X67" s="13">
        <v>38010.326871390724</v>
      </c>
      <c r="Y67" s="13">
        <v>38010.326871390724</v>
      </c>
      <c r="Z67" s="13">
        <v>38010.326871390724</v>
      </c>
      <c r="AA67" s="13">
        <v>38010.326871390724</v>
      </c>
      <c r="AB67" s="13">
        <v>38010.326871390724</v>
      </c>
      <c r="AC67" s="13">
        <v>38010.326871390724</v>
      </c>
      <c r="AD67" s="13">
        <v>38010.326871390724</v>
      </c>
      <c r="AE67" s="13">
        <v>38010.326871390724</v>
      </c>
      <c r="AF67" s="13">
        <v>38010.326871390724</v>
      </c>
      <c r="AG67" s="13">
        <v>38010.326871390724</v>
      </c>
      <c r="AH67" s="13">
        <v>38010.326871390724</v>
      </c>
      <c r="AI67" s="13">
        <v>38010.326871390724</v>
      </c>
      <c r="AJ67" s="13">
        <v>38010.326871390724</v>
      </c>
      <c r="AK67" s="13">
        <v>38010.326871390724</v>
      </c>
      <c r="AL67" s="13">
        <v>38010.326871390724</v>
      </c>
      <c r="AM67" s="13">
        <v>38010.326871390724</v>
      </c>
      <c r="AN67" s="13">
        <v>38010.326871390724</v>
      </c>
    </row>
    <row r="68" spans="2:40" x14ac:dyDescent="0.25">
      <c r="B68" s="39"/>
      <c r="C68" s="12"/>
    </row>
    <row r="69" spans="2:40" x14ac:dyDescent="0.25">
      <c r="B69" s="39" t="s">
        <v>304</v>
      </c>
      <c r="C69" s="12"/>
      <c r="E69" s="106" cm="1">
        <f t="array" ref="E69:AN70">_xlfn.LET(_xlpm.Customer_staff,_xlfn._xlws.FILTER(Base!$D$96:$BD$97,ISNUMBER(SEARCH($B$1&amp;"-"&amp;$C$1,Base!$D$4:$BD$4))),_xlpm.Customer,_xlfn.ANCHORARRAY($E$1),_xlpm.headcount,_xlpm.Customer/_xlpm.Customer_staff,
_xlpm.rounding,_xlfn.VSTACK(0,0),IFERROR(ROUND(_xlpm.headcount,_xlpm.rounding),0))</f>
        <v>0</v>
      </c>
      <c r="F69" s="106">
        <v>0</v>
      </c>
      <c r="G69" s="106">
        <v>0</v>
      </c>
      <c r="H69" s="106">
        <v>0</v>
      </c>
      <c r="I69" s="106">
        <v>0</v>
      </c>
      <c r="J69" s="106">
        <v>0</v>
      </c>
      <c r="K69" s="106">
        <v>0</v>
      </c>
      <c r="L69" s="106">
        <v>0</v>
      </c>
      <c r="M69" s="106">
        <v>0</v>
      </c>
      <c r="N69" s="106">
        <v>0</v>
      </c>
      <c r="O69" s="106">
        <v>0</v>
      </c>
      <c r="P69" s="106">
        <v>1</v>
      </c>
      <c r="Q69" s="106">
        <v>1</v>
      </c>
      <c r="R69" s="106">
        <v>1</v>
      </c>
      <c r="S69" s="106">
        <v>1</v>
      </c>
      <c r="T69" s="106">
        <v>1</v>
      </c>
      <c r="U69" s="106">
        <v>1</v>
      </c>
      <c r="V69" s="106">
        <v>1</v>
      </c>
      <c r="W69" s="106">
        <v>1</v>
      </c>
      <c r="X69" s="106">
        <v>1</v>
      </c>
      <c r="Y69" s="106">
        <v>1</v>
      </c>
      <c r="Z69" s="106">
        <v>1</v>
      </c>
      <c r="AA69" s="106">
        <v>1</v>
      </c>
      <c r="AB69" s="106">
        <v>1</v>
      </c>
      <c r="AC69" s="106">
        <v>1</v>
      </c>
      <c r="AD69" s="106">
        <v>1</v>
      </c>
      <c r="AE69" s="106">
        <v>1</v>
      </c>
      <c r="AF69" s="106">
        <v>1</v>
      </c>
      <c r="AG69" s="106">
        <v>1</v>
      </c>
      <c r="AH69" s="106">
        <v>1</v>
      </c>
      <c r="AI69" s="106">
        <v>1</v>
      </c>
      <c r="AJ69" s="106">
        <v>1</v>
      </c>
      <c r="AK69" s="106">
        <v>1</v>
      </c>
      <c r="AL69" s="106">
        <v>1</v>
      </c>
      <c r="AM69" s="106">
        <v>1</v>
      </c>
      <c r="AN69" s="106">
        <v>1</v>
      </c>
    </row>
    <row r="70" spans="2:40" x14ac:dyDescent="0.25">
      <c r="B70" s="39" t="s">
        <v>305</v>
      </c>
      <c r="C70" s="12"/>
      <c r="E70" s="106">
        <v>0</v>
      </c>
      <c r="F70" s="106">
        <v>0</v>
      </c>
      <c r="G70" s="106">
        <v>0</v>
      </c>
      <c r="H70" s="106">
        <v>0</v>
      </c>
      <c r="I70" s="106">
        <v>0</v>
      </c>
      <c r="J70" s="106">
        <v>0</v>
      </c>
      <c r="K70" s="106">
        <v>0</v>
      </c>
      <c r="L70" s="106">
        <v>0</v>
      </c>
      <c r="M70" s="106">
        <v>0</v>
      </c>
      <c r="N70" s="106">
        <v>0</v>
      </c>
      <c r="O70" s="106">
        <v>0</v>
      </c>
      <c r="P70" s="106">
        <v>0</v>
      </c>
      <c r="Q70" s="106">
        <v>1</v>
      </c>
      <c r="R70" s="106">
        <v>1</v>
      </c>
      <c r="S70" s="106">
        <v>1</v>
      </c>
      <c r="T70" s="106">
        <v>1</v>
      </c>
      <c r="U70" s="106">
        <v>1</v>
      </c>
      <c r="V70" s="106">
        <v>1</v>
      </c>
      <c r="W70" s="106">
        <v>1</v>
      </c>
      <c r="X70" s="106">
        <v>1</v>
      </c>
      <c r="Y70" s="106">
        <v>1</v>
      </c>
      <c r="Z70" s="106">
        <v>1</v>
      </c>
      <c r="AA70" s="106">
        <v>1</v>
      </c>
      <c r="AB70" s="106">
        <v>1</v>
      </c>
      <c r="AC70" s="106">
        <v>1</v>
      </c>
      <c r="AD70" s="106">
        <v>1</v>
      </c>
      <c r="AE70" s="106">
        <v>1</v>
      </c>
      <c r="AF70" s="106">
        <v>1</v>
      </c>
      <c r="AG70" s="106">
        <v>1</v>
      </c>
      <c r="AH70" s="106">
        <v>1</v>
      </c>
      <c r="AI70" s="106">
        <v>1</v>
      </c>
      <c r="AJ70" s="106">
        <v>1</v>
      </c>
      <c r="AK70" s="106">
        <v>1</v>
      </c>
      <c r="AL70" s="106">
        <v>1</v>
      </c>
      <c r="AM70" s="106">
        <v>1</v>
      </c>
      <c r="AN70" s="106">
        <v>1</v>
      </c>
    </row>
    <row r="71" spans="2:40" x14ac:dyDescent="0.25">
      <c r="B71" s="39"/>
      <c r="C71" s="12"/>
    </row>
    <row r="72" spans="2:40" x14ac:dyDescent="0.25">
      <c r="B72" s="39" t="s">
        <v>23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0</v>
      </c>
      <c r="F72" s="12">
        <v>0</v>
      </c>
      <c r="G72" s="12">
        <v>0</v>
      </c>
      <c r="H72" s="12">
        <v>0</v>
      </c>
      <c r="I72" s="12">
        <v>0</v>
      </c>
      <c r="J72" s="12">
        <v>629.35619066995855</v>
      </c>
      <c r="K72" s="12">
        <v>1258.7123813399171</v>
      </c>
      <c r="L72" s="12">
        <v>1888.0685720098741</v>
      </c>
      <c r="M72" s="12">
        <v>2517.4247626798342</v>
      </c>
      <c r="N72" s="12">
        <v>3146.7809533497898</v>
      </c>
      <c r="O72" s="12">
        <v>3776.1371440197481</v>
      </c>
      <c r="P72" s="12">
        <v>18209.493334689705</v>
      </c>
      <c r="Q72" s="12">
        <v>35907.134477895634</v>
      </c>
      <c r="R72" s="12">
        <v>36599.426287632588</v>
      </c>
      <c r="S72" s="12">
        <v>37291.718097369543</v>
      </c>
      <c r="T72" s="12">
        <v>37984.009907106498</v>
      </c>
      <c r="U72" s="12">
        <v>38676.301716843453</v>
      </c>
      <c r="V72" s="12">
        <v>39368.5935265804</v>
      </c>
      <c r="W72" s="12">
        <v>40060.885336317362</v>
      </c>
      <c r="X72" s="12">
        <v>40060.885336317362</v>
      </c>
      <c r="Y72" s="12">
        <v>40060.885336317362</v>
      </c>
      <c r="Z72" s="12">
        <v>40060.885336317362</v>
      </c>
      <c r="AA72" s="12">
        <v>40060.885336317362</v>
      </c>
      <c r="AB72" s="12">
        <v>40060.885336317362</v>
      </c>
      <c r="AC72" s="12">
        <v>44066.973869949092</v>
      </c>
      <c r="AD72" s="12">
        <v>44066.973869949092</v>
      </c>
      <c r="AE72" s="12">
        <v>44066.973869949092</v>
      </c>
      <c r="AF72" s="12">
        <v>44066.973869949092</v>
      </c>
      <c r="AG72" s="12">
        <v>44066.973869949092</v>
      </c>
      <c r="AH72" s="12">
        <v>44066.973869949092</v>
      </c>
      <c r="AI72" s="12">
        <v>44066.973869949092</v>
      </c>
      <c r="AJ72" s="12">
        <v>44066.973869949092</v>
      </c>
      <c r="AK72" s="12">
        <v>44066.973869949092</v>
      </c>
      <c r="AL72" s="12">
        <v>44066.973869949092</v>
      </c>
      <c r="AM72" s="12">
        <v>44066.973869949092</v>
      </c>
      <c r="AN72" s="12">
        <v>44066.973869949092</v>
      </c>
    </row>
    <row r="73" spans="2:40" x14ac:dyDescent="0.25">
      <c r="B73" s="39" t="s">
        <v>24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306</v>
      </c>
      <c r="E75" s="74" cm="1">
        <f t="array" ref="E75:AN75">_xlfn.ANCHORARRAY(E67)-_xlfn.ANCHORARRAY(E72)-_xlfn.ANCHORARRAY(E73)</f>
        <v>0</v>
      </c>
      <c r="F75" s="74">
        <v>0</v>
      </c>
      <c r="G75" s="74">
        <v>0</v>
      </c>
      <c r="H75" s="74">
        <v>0</v>
      </c>
      <c r="I75" s="74">
        <v>0</v>
      </c>
      <c r="J75" s="74">
        <v>2006.5888073460417</v>
      </c>
      <c r="K75" s="74">
        <v>4013.1776146920834</v>
      </c>
      <c r="L75" s="74">
        <v>6019.7664220381266</v>
      </c>
      <c r="M75" s="74">
        <v>8026.3552293841667</v>
      </c>
      <c r="N75" s="74">
        <v>10032.944036730212</v>
      </c>
      <c r="O75" s="74">
        <v>12039.532844076253</v>
      </c>
      <c r="P75" s="74">
        <v>242.12165142229424</v>
      </c>
      <c r="Q75" s="74">
        <v>-14186.94769424379</v>
      </c>
      <c r="R75" s="74">
        <v>-12164.216156024268</v>
      </c>
      <c r="S75" s="74">
        <v>-10141.484617804737</v>
      </c>
      <c r="T75" s="74">
        <v>-8118.7530795852144</v>
      </c>
      <c r="U75" s="74">
        <v>-6096.0215413656915</v>
      </c>
      <c r="V75" s="74">
        <v>-4073.290003146154</v>
      </c>
      <c r="W75" s="74">
        <v>-2050.5584649266384</v>
      </c>
      <c r="X75" s="74">
        <v>-2050.5584649266384</v>
      </c>
      <c r="Y75" s="74">
        <v>-2050.5584649266384</v>
      </c>
      <c r="Z75" s="74">
        <v>-2050.5584649266384</v>
      </c>
      <c r="AA75" s="74">
        <v>-2050.5584649266384</v>
      </c>
      <c r="AB75" s="74">
        <v>-2050.5584649266384</v>
      </c>
      <c r="AC75" s="74">
        <v>-6056.6469985583681</v>
      </c>
      <c r="AD75" s="74">
        <v>-6056.6469985583681</v>
      </c>
      <c r="AE75" s="74">
        <v>-6056.6469985583681</v>
      </c>
      <c r="AF75" s="74">
        <v>-6056.6469985583681</v>
      </c>
      <c r="AG75" s="74">
        <v>-6056.6469985583681</v>
      </c>
      <c r="AH75" s="74">
        <v>-6056.6469985583681</v>
      </c>
      <c r="AI75" s="74">
        <v>-6056.6469985583681</v>
      </c>
      <c r="AJ75" s="74">
        <v>-6056.6469985583681</v>
      </c>
      <c r="AK75" s="74">
        <v>-6056.6469985583681</v>
      </c>
      <c r="AL75" s="74">
        <v>-6056.6469985583681</v>
      </c>
      <c r="AM75" s="74">
        <v>-6056.6469985583681</v>
      </c>
      <c r="AN75" s="74">
        <v>-6056.6469985583681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C5A56D-EF40-4FB8-B2A0-CF840563A004}">
  <dimension ref="A1:AX75"/>
  <sheetViews>
    <sheetView workbookViewId="0">
      <pane xSplit="4" ySplit="25" topLeftCell="E44" activePane="bottomRight" state="frozen"/>
      <selection activeCell="E63" sqref="E63:E65"/>
      <selection pane="topRight" activeCell="E63" sqref="E63:E65"/>
      <selection pane="bottomLeft" activeCell="E63" sqref="E63:E65"/>
      <selection pane="bottomRight" activeCell="E63" sqref="E63:E65"/>
    </sheetView>
  </sheetViews>
  <sheetFormatPr defaultRowHeight="15" outlineLevelRow="1" x14ac:dyDescent="0.25"/>
  <cols>
    <col min="2" max="2" width="24.5703125" bestFit="1" customWidth="1"/>
    <col min="3" max="3" width="10.7109375" bestFit="1" customWidth="1"/>
    <col min="4" max="4" width="10" bestFit="1" customWidth="1"/>
    <col min="5" max="5" width="11.42578125" bestFit="1" customWidth="1"/>
    <col min="6" max="6" width="11.7109375" bestFit="1" customWidth="1"/>
    <col min="7" max="13" width="12.28515625" bestFit="1" customWidth="1"/>
    <col min="14" max="18" width="11.5703125" bestFit="1" customWidth="1"/>
    <col min="19" max="40" width="12.5703125" bestFit="1" customWidth="1"/>
  </cols>
  <sheetData>
    <row r="1" spans="1:40" x14ac:dyDescent="0.25">
      <c r="A1" s="96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>2026</v>
      </c>
      <c r="B1" s="58" t="s">
        <v>83</v>
      </c>
      <c r="C1" s="16" t="s">
        <v>61</v>
      </c>
      <c r="D1" s="3" t="s">
        <v>307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IFERROR(_xlpm.kiddos,0))</f>
        <v>0</v>
      </c>
      <c r="F1" s="69">
        <v>0</v>
      </c>
      <c r="G1" s="69">
        <v>0</v>
      </c>
      <c r="H1" s="69">
        <v>0</v>
      </c>
      <c r="I1" s="69">
        <v>0</v>
      </c>
      <c r="J1" s="69">
        <v>0</v>
      </c>
      <c r="K1" s="69">
        <v>0</v>
      </c>
      <c r="L1" s="69">
        <v>0</v>
      </c>
      <c r="M1" s="69">
        <v>0</v>
      </c>
      <c r="N1" s="69">
        <v>2</v>
      </c>
      <c r="O1" s="69">
        <v>5</v>
      </c>
      <c r="P1" s="69">
        <v>8</v>
      </c>
      <c r="Q1" s="69">
        <v>11</v>
      </c>
      <c r="R1" s="69">
        <v>14</v>
      </c>
      <c r="S1" s="69">
        <v>17</v>
      </c>
      <c r="T1" s="69">
        <v>20</v>
      </c>
      <c r="U1" s="69">
        <v>22</v>
      </c>
      <c r="V1" s="69">
        <v>25</v>
      </c>
      <c r="W1" s="69">
        <v>28</v>
      </c>
      <c r="X1" s="69">
        <v>31</v>
      </c>
      <c r="Y1" s="69">
        <v>34</v>
      </c>
      <c r="Z1" s="69">
        <v>37</v>
      </c>
      <c r="AA1" s="69">
        <v>40</v>
      </c>
      <c r="AB1" s="69">
        <v>40</v>
      </c>
      <c r="AC1" s="69">
        <v>40</v>
      </c>
      <c r="AD1" s="69">
        <v>40</v>
      </c>
      <c r="AE1" s="69">
        <v>40</v>
      </c>
      <c r="AF1" s="69">
        <v>40</v>
      </c>
      <c r="AG1" s="69">
        <v>40</v>
      </c>
      <c r="AH1" s="69">
        <v>40</v>
      </c>
      <c r="AI1" s="69">
        <v>40</v>
      </c>
      <c r="AJ1" s="69">
        <v>40</v>
      </c>
      <c r="AK1" s="69">
        <v>40</v>
      </c>
      <c r="AL1" s="69">
        <v>40</v>
      </c>
      <c r="AM1" s="69">
        <v>40</v>
      </c>
      <c r="AN1" s="69">
        <v>40</v>
      </c>
    </row>
    <row r="2" spans="1:40" x14ac:dyDescent="0.25">
      <c r="A2" s="65"/>
      <c r="B2" s="3" t="str">
        <f>_xlfn.XLOOKUP($B$1&amp;"-"&amp;$C$1,Base!$D$4:$BD$4,Base!$D$2:$BD$2,"",0)</f>
        <v>North Carolina</v>
      </c>
      <c r="C2" s="55"/>
      <c r="D2" s="55" t="s">
        <v>259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0</v>
      </c>
      <c r="F2" s="69">
        <v>0</v>
      </c>
      <c r="G2" s="69">
        <v>0</v>
      </c>
      <c r="H2" s="69">
        <v>0</v>
      </c>
      <c r="I2" s="69">
        <v>0</v>
      </c>
      <c r="J2" s="69">
        <v>0</v>
      </c>
      <c r="K2" s="69">
        <v>0</v>
      </c>
      <c r="L2" s="69">
        <v>0</v>
      </c>
      <c r="M2" s="69">
        <v>0</v>
      </c>
      <c r="N2" s="69">
        <v>0</v>
      </c>
      <c r="O2" s="69">
        <v>3.0238095238095237</v>
      </c>
      <c r="P2" s="69">
        <v>3.1904761904761907</v>
      </c>
      <c r="Q2" s="69">
        <v>3.3571428571428572</v>
      </c>
      <c r="R2" s="69">
        <v>3.5238095238095237</v>
      </c>
      <c r="S2" s="69">
        <v>3.6904761904761907</v>
      </c>
      <c r="T2" s="69">
        <v>3.8571428571428572</v>
      </c>
      <c r="U2" s="69">
        <v>4.0238095238095237</v>
      </c>
      <c r="V2" s="69">
        <v>4.1904761904761907</v>
      </c>
      <c r="W2" s="69">
        <v>4.3571428571428577</v>
      </c>
      <c r="X2" s="69">
        <v>4.5238095238095237</v>
      </c>
      <c r="Y2" s="69">
        <v>4.6904761904761907</v>
      </c>
      <c r="Z2" s="69">
        <v>4.8571428571428577</v>
      </c>
      <c r="AA2" s="69">
        <v>2.1666666666666665</v>
      </c>
      <c r="AB2" s="69">
        <v>2.3333333333333335</v>
      </c>
      <c r="AC2" s="69">
        <v>2.5</v>
      </c>
      <c r="AD2" s="69">
        <v>2.6666666666666665</v>
      </c>
      <c r="AE2" s="69">
        <v>2.8333333333333335</v>
      </c>
      <c r="AF2" s="69">
        <v>3</v>
      </c>
      <c r="AG2" s="69">
        <v>3.1666666666666665</v>
      </c>
      <c r="AH2" s="69">
        <v>3.3333333333333335</v>
      </c>
      <c r="AI2" s="69">
        <v>3.5</v>
      </c>
      <c r="AJ2" s="69">
        <v>3.6666666666666665</v>
      </c>
      <c r="AK2" s="69">
        <v>3.8333333333333335</v>
      </c>
      <c r="AL2" s="69">
        <v>4</v>
      </c>
      <c r="AM2" s="69">
        <v>4</v>
      </c>
      <c r="AN2" s="69">
        <v>4</v>
      </c>
    </row>
    <row r="3" spans="1:40" x14ac:dyDescent="0.25">
      <c r="A3" s="65"/>
      <c r="B3" s="55"/>
      <c r="C3" s="55"/>
      <c r="D3" s="55" t="s">
        <v>62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_xlpm.months_since,DATEDIF(_xlpm.launchdate,_xlfn.ANCHORARRAY($E$25),"m"),_xlfn.BYCOL(_xlpm.months_since,_xlfn.LAMBDA(_xlpm.a,IFERROR(MIN(_xlpm.a/6,_xlpm.max_kiddos),0))))</f>
        <v>0</v>
      </c>
      <c r="F3" s="69">
        <v>0</v>
      </c>
      <c r="G3" s="69">
        <v>0</v>
      </c>
      <c r="H3" s="69">
        <v>0</v>
      </c>
      <c r="I3" s="69">
        <v>0</v>
      </c>
      <c r="J3" s="69">
        <v>0</v>
      </c>
      <c r="K3" s="69">
        <v>0</v>
      </c>
      <c r="L3" s="69">
        <v>0</v>
      </c>
      <c r="M3" s="69">
        <v>0</v>
      </c>
      <c r="N3" s="69">
        <v>0</v>
      </c>
      <c r="O3" s="69">
        <v>0.16666666666666666</v>
      </c>
      <c r="P3" s="69">
        <v>0.33333333333333331</v>
      </c>
      <c r="Q3" s="69">
        <v>0.5</v>
      </c>
      <c r="R3" s="69">
        <v>0.66666666666666663</v>
      </c>
      <c r="S3" s="69">
        <v>0.83333333333333337</v>
      </c>
      <c r="T3" s="69">
        <v>1</v>
      </c>
      <c r="U3" s="69">
        <v>1.1666666666666667</v>
      </c>
      <c r="V3" s="69">
        <v>1.3333333333333333</v>
      </c>
      <c r="W3" s="69">
        <v>1.5</v>
      </c>
      <c r="X3" s="69">
        <v>1.6666666666666667</v>
      </c>
      <c r="Y3" s="69">
        <v>1.8333333333333333</v>
      </c>
      <c r="Z3" s="69">
        <v>2</v>
      </c>
      <c r="AA3" s="69">
        <v>2.1666666666666665</v>
      </c>
      <c r="AB3" s="69">
        <v>2.3333333333333335</v>
      </c>
      <c r="AC3" s="69">
        <v>2.5</v>
      </c>
      <c r="AD3" s="69">
        <v>2.6666666666666665</v>
      </c>
      <c r="AE3" s="69">
        <v>2.8333333333333335</v>
      </c>
      <c r="AF3" s="69">
        <v>3</v>
      </c>
      <c r="AG3" s="69">
        <v>3.1666666666666665</v>
      </c>
      <c r="AH3" s="69">
        <v>3.3333333333333335</v>
      </c>
      <c r="AI3" s="69">
        <v>3.5</v>
      </c>
      <c r="AJ3" s="69">
        <v>3.6666666666666665</v>
      </c>
      <c r="AK3" s="69">
        <v>3.8333333333333335</v>
      </c>
      <c r="AL3" s="69">
        <v>4</v>
      </c>
      <c r="AM3" s="69">
        <v>4</v>
      </c>
      <c r="AN3" s="69">
        <v>4</v>
      </c>
    </row>
    <row r="4" spans="1:40" x14ac:dyDescent="0.25">
      <c r="A4" s="65"/>
      <c r="B4" s="55"/>
      <c r="C4" s="55"/>
      <c r="D4" s="55" t="s">
        <v>260</v>
      </c>
      <c r="E4" s="69" cm="1">
        <f t="array" ref="E4:AN4">_xlfn.BYCOL(_xlfn.VSTACK(_xlfn.ANCHORARRAY($E$1),_xlfn.ANCHORARRAY($E$2)),_xlfn.LAMBDA(_xlpm.a,SUM(_xlpm.a)))</f>
        <v>0</v>
      </c>
      <c r="F4" s="69">
        <v>0</v>
      </c>
      <c r="G4" s="69">
        <v>0</v>
      </c>
      <c r="H4" s="69">
        <v>0</v>
      </c>
      <c r="I4" s="69">
        <v>0</v>
      </c>
      <c r="J4" s="69">
        <v>0</v>
      </c>
      <c r="K4" s="69">
        <v>0</v>
      </c>
      <c r="L4" s="69">
        <v>0</v>
      </c>
      <c r="M4" s="69">
        <v>0</v>
      </c>
      <c r="N4" s="69">
        <v>2</v>
      </c>
      <c r="O4" s="69">
        <v>8.0238095238095237</v>
      </c>
      <c r="P4" s="69">
        <v>11.19047619047619</v>
      </c>
      <c r="Q4" s="69">
        <v>14.357142857142858</v>
      </c>
      <c r="R4" s="69">
        <v>17.523809523809526</v>
      </c>
      <c r="S4" s="69">
        <v>20.69047619047619</v>
      </c>
      <c r="T4" s="69">
        <v>23.857142857142858</v>
      </c>
      <c r="U4" s="69">
        <v>26.023809523809526</v>
      </c>
      <c r="V4" s="69">
        <v>29.19047619047619</v>
      </c>
      <c r="W4" s="69">
        <v>32.357142857142861</v>
      </c>
      <c r="X4" s="69">
        <v>35.523809523809526</v>
      </c>
      <c r="Y4" s="69">
        <v>38.69047619047619</v>
      </c>
      <c r="Z4" s="69">
        <v>41.857142857142861</v>
      </c>
      <c r="AA4" s="69">
        <v>42.166666666666664</v>
      </c>
      <c r="AB4" s="69">
        <v>42.333333333333336</v>
      </c>
      <c r="AC4" s="69">
        <v>42.5</v>
      </c>
      <c r="AD4" s="69">
        <v>42.666666666666664</v>
      </c>
      <c r="AE4" s="69">
        <v>42.833333333333336</v>
      </c>
      <c r="AF4" s="69">
        <v>43</v>
      </c>
      <c r="AG4" s="69">
        <v>43.166666666666664</v>
      </c>
      <c r="AH4" s="69">
        <v>43.333333333333336</v>
      </c>
      <c r="AI4" s="69">
        <v>43.5</v>
      </c>
      <c r="AJ4" s="69">
        <v>43.666666666666664</v>
      </c>
      <c r="AK4" s="69">
        <v>43.833333333333336</v>
      </c>
      <c r="AL4" s="69">
        <v>44</v>
      </c>
      <c r="AM4" s="69">
        <v>44</v>
      </c>
      <c r="AN4" s="69">
        <v>44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107</v>
      </c>
      <c r="C6" s="3"/>
      <c r="D6" s="3"/>
      <c r="E6" s="66" cm="1">
        <f t="array" ref="E6:AN6">ROUND(_xlfn.BYCOL(_xlfn.ANCHORARRAY(E7),_xlfn.LAMBDA(_xlpm.a,SUM(_xlpm.a))),0)</f>
        <v>0</v>
      </c>
      <c r="F6" s="66">
        <v>0</v>
      </c>
      <c r="G6" s="66">
        <v>0</v>
      </c>
      <c r="H6" s="66">
        <v>0</v>
      </c>
      <c r="I6" s="66">
        <v>0</v>
      </c>
      <c r="J6" s="66">
        <v>0</v>
      </c>
      <c r="K6" s="66">
        <v>0</v>
      </c>
      <c r="L6" s="66">
        <v>0</v>
      </c>
      <c r="M6" s="66">
        <v>0</v>
      </c>
      <c r="N6" s="66">
        <v>3</v>
      </c>
      <c r="O6" s="66">
        <v>9</v>
      </c>
      <c r="P6" s="66">
        <v>12</v>
      </c>
      <c r="Q6" s="66">
        <v>16</v>
      </c>
      <c r="R6" s="66">
        <v>20</v>
      </c>
      <c r="S6" s="66">
        <v>23</v>
      </c>
      <c r="T6" s="66">
        <v>27</v>
      </c>
      <c r="U6" s="66">
        <v>29</v>
      </c>
      <c r="V6" s="66">
        <v>33</v>
      </c>
      <c r="W6" s="66">
        <v>37</v>
      </c>
      <c r="X6" s="66">
        <v>40</v>
      </c>
      <c r="Y6" s="66">
        <v>44</v>
      </c>
      <c r="Z6" s="66">
        <v>48</v>
      </c>
      <c r="AA6" s="66">
        <v>51</v>
      </c>
      <c r="AB6" s="66">
        <v>51</v>
      </c>
      <c r="AC6" s="66">
        <v>51</v>
      </c>
      <c r="AD6" s="66">
        <v>51</v>
      </c>
      <c r="AE6" s="66">
        <v>51</v>
      </c>
      <c r="AF6" s="66">
        <v>51</v>
      </c>
      <c r="AG6" s="66">
        <v>51</v>
      </c>
      <c r="AH6" s="66">
        <v>51</v>
      </c>
      <c r="AI6" s="66">
        <v>51</v>
      </c>
      <c r="AJ6" s="66">
        <v>51</v>
      </c>
      <c r="AK6" s="66">
        <v>51</v>
      </c>
      <c r="AL6" s="66">
        <v>51</v>
      </c>
      <c r="AM6" s="66">
        <v>51</v>
      </c>
      <c r="AN6" s="66">
        <v>51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1"/>
      <c r="E7" s="106" cm="1">
        <f t="array" ref="E7:AN20">_xlfn.LET(_xlpm.Customer_staff,_xlfn._xlws.FILTER(Base!$D$85:$BD$98,ISNUMBER(SEARCH($B$1&amp;"-"&amp;$C$1,Base!$D$4:$BD$4))),_xlpm.Customer,_xlfn.ANCHORARRAY($E$1),_xlpm.headcount,_xlpm.Customer/_xlpm.Customer_staff,
_xlpm.patient_staff,_xlfn.ANCHORARRAY($E$2)/_xlpm.Customer_staff,_xlpm.prim_staff_tr_rec,_xlfn.ANCHORARRAY($E$2)/_xlfn.CHOOSEROWS(_xlpm.Customer_staff,{7,8})+(_xlfn.ANCHORARRAY($E$1)*0.0055),_xlpm.rounding,_xlfn.VSTACK(2,2,0,0,2,2,2,2,2,2,2,0,0,0),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prim_staff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0</v>
      </c>
      <c r="F7" s="106">
        <v>0</v>
      </c>
      <c r="G7" s="106">
        <v>0</v>
      </c>
      <c r="H7" s="106">
        <v>0</v>
      </c>
      <c r="I7" s="106">
        <v>0</v>
      </c>
      <c r="J7" s="106">
        <v>0</v>
      </c>
      <c r="K7" s="106">
        <v>0</v>
      </c>
      <c r="L7" s="106">
        <v>0</v>
      </c>
      <c r="M7" s="106">
        <v>0</v>
      </c>
      <c r="N7" s="106">
        <v>1.89</v>
      </c>
      <c r="O7" s="106">
        <v>4.71</v>
      </c>
      <c r="P7" s="106">
        <v>7.5299999999999994</v>
      </c>
      <c r="Q7" s="106">
        <v>10.36</v>
      </c>
      <c r="R7" s="106">
        <v>13.18</v>
      </c>
      <c r="S7" s="106">
        <v>16</v>
      </c>
      <c r="T7" s="106">
        <v>18.830000000000002</v>
      </c>
      <c r="U7" s="106">
        <v>20.71</v>
      </c>
      <c r="V7" s="106">
        <v>23.53</v>
      </c>
      <c r="W7" s="106">
        <v>26.360000000000003</v>
      </c>
      <c r="X7" s="106">
        <v>29.180000000000003</v>
      </c>
      <c r="Y7" s="106">
        <v>32</v>
      </c>
      <c r="Z7" s="106">
        <v>34.83</v>
      </c>
      <c r="AA7" s="106">
        <v>37.65</v>
      </c>
      <c r="AB7" s="106">
        <v>37.65</v>
      </c>
      <c r="AC7" s="106">
        <v>37.65</v>
      </c>
      <c r="AD7" s="106">
        <v>37.65</v>
      </c>
      <c r="AE7" s="106">
        <v>37.65</v>
      </c>
      <c r="AF7" s="106">
        <v>37.65</v>
      </c>
      <c r="AG7" s="106">
        <v>37.65</v>
      </c>
      <c r="AH7" s="106">
        <v>37.65</v>
      </c>
      <c r="AI7" s="106">
        <v>37.65</v>
      </c>
      <c r="AJ7" s="106">
        <v>37.65</v>
      </c>
      <c r="AK7" s="106">
        <v>37.65</v>
      </c>
      <c r="AL7" s="106">
        <v>37.65</v>
      </c>
      <c r="AM7" s="106">
        <v>37.65</v>
      </c>
      <c r="AN7" s="106">
        <v>37.65</v>
      </c>
    </row>
    <row r="8" spans="1:40" hidden="1" outlineLevel="1" x14ac:dyDescent="0.25">
      <c r="B8" s="39" t="str">
        <v>Secondary Direct Staff</v>
      </c>
      <c r="C8" s="3"/>
      <c r="D8" s="3"/>
      <c r="E8" s="106">
        <v>0</v>
      </c>
      <c r="F8" s="106">
        <v>0</v>
      </c>
      <c r="G8" s="106">
        <v>0</v>
      </c>
      <c r="H8" s="106">
        <v>0</v>
      </c>
      <c r="I8" s="106">
        <v>0</v>
      </c>
      <c r="J8" s="106">
        <v>0</v>
      </c>
      <c r="K8" s="106">
        <v>0</v>
      </c>
      <c r="L8" s="106">
        <v>0</v>
      </c>
      <c r="M8" s="106">
        <v>0</v>
      </c>
      <c r="N8" s="106">
        <v>0.29000000000000004</v>
      </c>
      <c r="O8" s="106">
        <v>0.72</v>
      </c>
      <c r="P8" s="106">
        <v>1.1499999999999999</v>
      </c>
      <c r="Q8" s="106">
        <v>1.58</v>
      </c>
      <c r="R8" s="106">
        <v>2</v>
      </c>
      <c r="S8" s="106">
        <v>2.4299999999999997</v>
      </c>
      <c r="T8" s="106">
        <v>2.86</v>
      </c>
      <c r="U8" s="106">
        <v>3.15</v>
      </c>
      <c r="V8" s="106">
        <v>3.5799999999999996</v>
      </c>
      <c r="W8" s="106">
        <v>4</v>
      </c>
      <c r="X8" s="106">
        <v>4.43</v>
      </c>
      <c r="Y8" s="106">
        <v>4.8599999999999994</v>
      </c>
      <c r="Z8" s="106">
        <v>5.29</v>
      </c>
      <c r="AA8" s="106">
        <v>5.72</v>
      </c>
      <c r="AB8" s="106">
        <v>5.72</v>
      </c>
      <c r="AC8" s="106">
        <v>5.72</v>
      </c>
      <c r="AD8" s="106">
        <v>5.72</v>
      </c>
      <c r="AE8" s="106">
        <v>5.72</v>
      </c>
      <c r="AF8" s="106">
        <v>5.72</v>
      </c>
      <c r="AG8" s="106">
        <v>5.72</v>
      </c>
      <c r="AH8" s="106">
        <v>5.72</v>
      </c>
      <c r="AI8" s="106">
        <v>5.72</v>
      </c>
      <c r="AJ8" s="106">
        <v>5.72</v>
      </c>
      <c r="AK8" s="106">
        <v>5.72</v>
      </c>
      <c r="AL8" s="106">
        <v>5.72</v>
      </c>
      <c r="AM8" s="106">
        <v>5.72</v>
      </c>
      <c r="AN8" s="106">
        <v>5.72</v>
      </c>
    </row>
    <row r="9" spans="1:40" hidden="1" outlineLevel="1" x14ac:dyDescent="0.25">
      <c r="B9" s="39" t="str">
        <v>Center Manager</v>
      </c>
      <c r="C9" s="3"/>
      <c r="D9" s="3"/>
      <c r="E9" s="106">
        <v>0</v>
      </c>
      <c r="F9" s="106">
        <v>0</v>
      </c>
      <c r="G9" s="106">
        <v>0</v>
      </c>
      <c r="H9" s="106">
        <v>0</v>
      </c>
      <c r="I9" s="106">
        <v>0</v>
      </c>
      <c r="J9" s="106">
        <v>0</v>
      </c>
      <c r="K9" s="106">
        <v>0</v>
      </c>
      <c r="L9" s="106">
        <v>0</v>
      </c>
      <c r="M9" s="106">
        <v>0</v>
      </c>
      <c r="N9" s="106">
        <v>1</v>
      </c>
      <c r="O9" s="106">
        <v>1</v>
      </c>
      <c r="P9" s="106">
        <v>1</v>
      </c>
      <c r="Q9" s="106">
        <v>1</v>
      </c>
      <c r="R9" s="106">
        <v>1</v>
      </c>
      <c r="S9" s="106">
        <v>1</v>
      </c>
      <c r="T9" s="106">
        <v>1</v>
      </c>
      <c r="U9" s="106">
        <v>1</v>
      </c>
      <c r="V9" s="106">
        <v>1</v>
      </c>
      <c r="W9" s="106">
        <v>1</v>
      </c>
      <c r="X9" s="106">
        <v>1</v>
      </c>
      <c r="Y9" s="106">
        <v>1</v>
      </c>
      <c r="Z9" s="106">
        <v>1</v>
      </c>
      <c r="AA9" s="106">
        <v>1</v>
      </c>
      <c r="AB9" s="106">
        <v>1</v>
      </c>
      <c r="AC9" s="106">
        <v>1</v>
      </c>
      <c r="AD9" s="106">
        <v>1</v>
      </c>
      <c r="AE9" s="106">
        <v>1</v>
      </c>
      <c r="AF9" s="106">
        <v>1</v>
      </c>
      <c r="AG9" s="106">
        <v>1</v>
      </c>
      <c r="AH9" s="106">
        <v>1</v>
      </c>
      <c r="AI9" s="106">
        <v>1</v>
      </c>
      <c r="AJ9" s="106">
        <v>1</v>
      </c>
      <c r="AK9" s="106">
        <v>1</v>
      </c>
      <c r="AL9" s="106">
        <v>1</v>
      </c>
      <c r="AM9" s="106">
        <v>1</v>
      </c>
      <c r="AN9" s="106">
        <v>1</v>
      </c>
    </row>
    <row r="10" spans="1:40" hidden="1" outlineLevel="1" x14ac:dyDescent="0.25">
      <c r="B10" s="39" t="str">
        <v>Intake</v>
      </c>
      <c r="C10" s="3"/>
      <c r="D10" s="3"/>
      <c r="E10" s="106">
        <v>0</v>
      </c>
      <c r="F10" s="106">
        <v>0</v>
      </c>
      <c r="G10" s="106">
        <v>0</v>
      </c>
      <c r="H10" s="106">
        <v>0</v>
      </c>
      <c r="I10" s="106">
        <v>0</v>
      </c>
      <c r="J10" s="106">
        <v>0</v>
      </c>
      <c r="K10" s="106">
        <v>0</v>
      </c>
      <c r="L10" s="106">
        <v>0</v>
      </c>
      <c r="M10" s="106">
        <v>0</v>
      </c>
      <c r="N10" s="106">
        <v>0</v>
      </c>
      <c r="O10" s="106">
        <v>1</v>
      </c>
      <c r="P10" s="106">
        <v>1</v>
      </c>
      <c r="Q10" s="106">
        <v>1</v>
      </c>
      <c r="R10" s="106">
        <v>1</v>
      </c>
      <c r="S10" s="106">
        <v>1</v>
      </c>
      <c r="T10" s="106">
        <v>1</v>
      </c>
      <c r="U10" s="106">
        <v>1</v>
      </c>
      <c r="V10" s="106">
        <v>1</v>
      </c>
      <c r="W10" s="106">
        <v>1</v>
      </c>
      <c r="X10" s="106">
        <v>1</v>
      </c>
      <c r="Y10" s="106">
        <v>1</v>
      </c>
      <c r="Z10" s="106">
        <v>1</v>
      </c>
      <c r="AA10" s="106">
        <v>1</v>
      </c>
      <c r="AB10" s="106">
        <v>1</v>
      </c>
      <c r="AC10" s="106">
        <v>1</v>
      </c>
      <c r="AD10" s="106">
        <v>1</v>
      </c>
      <c r="AE10" s="106">
        <v>1</v>
      </c>
      <c r="AF10" s="106">
        <v>1</v>
      </c>
      <c r="AG10" s="106">
        <v>1</v>
      </c>
      <c r="AH10" s="106">
        <v>1</v>
      </c>
      <c r="AI10" s="106">
        <v>1</v>
      </c>
      <c r="AJ10" s="106">
        <v>1</v>
      </c>
      <c r="AK10" s="106">
        <v>1</v>
      </c>
      <c r="AL10" s="106">
        <v>1</v>
      </c>
      <c r="AM10" s="106">
        <v>1</v>
      </c>
      <c r="AN10" s="106">
        <v>1</v>
      </c>
    </row>
    <row r="11" spans="1:40" hidden="1" outlineLevel="1" x14ac:dyDescent="0.25">
      <c r="B11" s="39" t="str">
        <v>Scheduler</v>
      </c>
      <c r="C11" s="3"/>
      <c r="D11" s="3"/>
      <c r="E11" s="106">
        <v>0</v>
      </c>
      <c r="F11" s="106">
        <v>0</v>
      </c>
      <c r="G11" s="106">
        <v>0</v>
      </c>
      <c r="H11" s="106">
        <v>0</v>
      </c>
      <c r="I11" s="106">
        <v>0</v>
      </c>
      <c r="J11" s="106">
        <v>0</v>
      </c>
      <c r="K11" s="106">
        <v>0</v>
      </c>
      <c r="L11" s="106">
        <v>0</v>
      </c>
      <c r="M11" s="106">
        <v>0</v>
      </c>
      <c r="N11" s="106">
        <v>0</v>
      </c>
      <c r="O11" s="106">
        <v>0</v>
      </c>
      <c r="P11" s="106">
        <v>0</v>
      </c>
      <c r="Q11" s="106">
        <v>0</v>
      </c>
      <c r="R11" s="106">
        <v>0</v>
      </c>
      <c r="S11" s="106">
        <v>0</v>
      </c>
      <c r="T11" s="106">
        <v>0</v>
      </c>
      <c r="U11" s="106">
        <v>0</v>
      </c>
      <c r="V11" s="106">
        <v>0</v>
      </c>
      <c r="W11" s="106">
        <v>0</v>
      </c>
      <c r="X11" s="106">
        <v>0</v>
      </c>
      <c r="Y11" s="106">
        <v>0</v>
      </c>
      <c r="Z11" s="106">
        <v>0</v>
      </c>
      <c r="AA11" s="106">
        <v>0</v>
      </c>
      <c r="AB11" s="106">
        <v>0</v>
      </c>
      <c r="AC11" s="106">
        <v>0</v>
      </c>
      <c r="AD11" s="106">
        <v>0</v>
      </c>
      <c r="AE11" s="106">
        <v>0</v>
      </c>
      <c r="AF11" s="106">
        <v>0</v>
      </c>
      <c r="AG11" s="106">
        <v>0</v>
      </c>
      <c r="AH11" s="106">
        <v>0</v>
      </c>
      <c r="AI11" s="106">
        <v>0</v>
      </c>
      <c r="AJ11" s="106">
        <v>0</v>
      </c>
      <c r="AK11" s="106">
        <v>0</v>
      </c>
      <c r="AL11" s="106">
        <v>0</v>
      </c>
      <c r="AM11" s="106">
        <v>0</v>
      </c>
      <c r="AN11" s="106">
        <v>0</v>
      </c>
    </row>
    <row r="12" spans="1:40" hidden="1" outlineLevel="1" x14ac:dyDescent="0.25">
      <c r="B12" s="39" t="str">
        <v>Initial Consultation Expert</v>
      </c>
      <c r="C12" s="3"/>
      <c r="D12" s="3"/>
      <c r="E12" s="106">
        <v>0</v>
      </c>
      <c r="F12" s="106">
        <v>0</v>
      </c>
      <c r="G12" s="106">
        <v>0</v>
      </c>
      <c r="H12" s="106">
        <v>0</v>
      </c>
      <c r="I12" s="106">
        <v>0</v>
      </c>
      <c r="J12" s="106">
        <v>0</v>
      </c>
      <c r="K12" s="106">
        <v>0</v>
      </c>
      <c r="L12" s="106">
        <v>0</v>
      </c>
      <c r="M12" s="106">
        <v>0</v>
      </c>
      <c r="N12" s="106">
        <v>0</v>
      </c>
      <c r="O12" s="106">
        <v>0.24000000000000002</v>
      </c>
      <c r="P12" s="106">
        <v>0.25</v>
      </c>
      <c r="Q12" s="106">
        <v>0.26</v>
      </c>
      <c r="R12" s="106">
        <v>0.28000000000000003</v>
      </c>
      <c r="S12" s="106">
        <v>0.29000000000000004</v>
      </c>
      <c r="T12" s="106">
        <v>0.3</v>
      </c>
      <c r="U12" s="106">
        <v>0.31</v>
      </c>
      <c r="V12" s="106">
        <v>0.33</v>
      </c>
      <c r="W12" s="106">
        <v>0.34</v>
      </c>
      <c r="X12" s="106">
        <v>0.35000000000000003</v>
      </c>
      <c r="Y12" s="106">
        <v>0.37</v>
      </c>
      <c r="Z12" s="106">
        <v>0.38</v>
      </c>
      <c r="AA12" s="106">
        <v>0.17</v>
      </c>
      <c r="AB12" s="106">
        <v>0.18000000000000002</v>
      </c>
      <c r="AC12" s="106">
        <v>0.2</v>
      </c>
      <c r="AD12" s="106">
        <v>0.21000000000000002</v>
      </c>
      <c r="AE12" s="106">
        <v>0.22</v>
      </c>
      <c r="AF12" s="106">
        <v>0.24000000000000002</v>
      </c>
      <c r="AG12" s="106">
        <v>0.25</v>
      </c>
      <c r="AH12" s="106">
        <v>0.26</v>
      </c>
      <c r="AI12" s="106">
        <v>0.27</v>
      </c>
      <c r="AJ12" s="106">
        <v>0.29000000000000004</v>
      </c>
      <c r="AK12" s="106">
        <v>0.3</v>
      </c>
      <c r="AL12" s="106">
        <v>0.31</v>
      </c>
      <c r="AM12" s="106">
        <v>0.31</v>
      </c>
      <c r="AN12" s="106">
        <v>0.31</v>
      </c>
    </row>
    <row r="13" spans="1:40" hidden="1" outlineLevel="1" x14ac:dyDescent="0.25">
      <c r="B13" s="39" t="str">
        <v>Trainer</v>
      </c>
      <c r="C13" s="3"/>
      <c r="D13" s="3"/>
      <c r="E13" s="106">
        <v>0</v>
      </c>
      <c r="F13" s="106">
        <v>0</v>
      </c>
      <c r="G13" s="106">
        <v>0</v>
      </c>
      <c r="H13" s="106">
        <v>0</v>
      </c>
      <c r="I13" s="106">
        <v>0</v>
      </c>
      <c r="J13" s="106">
        <v>0</v>
      </c>
      <c r="K13" s="106">
        <v>0</v>
      </c>
      <c r="L13" s="106">
        <v>0</v>
      </c>
      <c r="M13" s="106">
        <v>0</v>
      </c>
      <c r="N13" s="106">
        <v>0.02</v>
      </c>
      <c r="O13" s="106">
        <v>0.33</v>
      </c>
      <c r="P13" s="106">
        <v>0.37</v>
      </c>
      <c r="Q13" s="106">
        <v>0.4</v>
      </c>
      <c r="R13" s="106">
        <v>0.43</v>
      </c>
      <c r="S13" s="106">
        <v>0.47000000000000003</v>
      </c>
      <c r="T13" s="106">
        <v>0.5</v>
      </c>
      <c r="U13" s="106">
        <v>0.53</v>
      </c>
      <c r="V13" s="106">
        <v>0.56000000000000005</v>
      </c>
      <c r="W13" s="106">
        <v>0.59</v>
      </c>
      <c r="X13" s="106">
        <v>0.63</v>
      </c>
      <c r="Y13" s="106">
        <v>0.66</v>
      </c>
      <c r="Z13" s="106">
        <v>0.69000000000000006</v>
      </c>
      <c r="AA13" s="106">
        <v>0.44</v>
      </c>
      <c r="AB13" s="106">
        <v>0.46</v>
      </c>
      <c r="AC13" s="106">
        <v>0.47</v>
      </c>
      <c r="AD13" s="106">
        <v>0.49</v>
      </c>
      <c r="AE13" s="106">
        <v>0.51</v>
      </c>
      <c r="AF13" s="106">
        <v>0.52</v>
      </c>
      <c r="AG13" s="106">
        <v>0.54</v>
      </c>
      <c r="AH13" s="106">
        <v>0.56000000000000005</v>
      </c>
      <c r="AI13" s="106">
        <v>0.56999999999999995</v>
      </c>
      <c r="AJ13" s="106">
        <v>0.59</v>
      </c>
      <c r="AK13" s="106">
        <v>0.61</v>
      </c>
      <c r="AL13" s="106">
        <v>0.62</v>
      </c>
      <c r="AM13" s="106">
        <v>0.62</v>
      </c>
      <c r="AN13" s="106">
        <v>0.62</v>
      </c>
    </row>
    <row r="14" spans="1:40" hidden="1" outlineLevel="1" x14ac:dyDescent="0.25">
      <c r="B14" s="39" t="str">
        <v>Recruiter</v>
      </c>
      <c r="C14" s="3"/>
      <c r="D14" s="3"/>
      <c r="E14" s="106">
        <v>0</v>
      </c>
      <c r="F14" s="106">
        <v>0</v>
      </c>
      <c r="G14" s="106">
        <v>0</v>
      </c>
      <c r="H14" s="106">
        <v>0</v>
      </c>
      <c r="I14" s="106">
        <v>0</v>
      </c>
      <c r="J14" s="106">
        <v>0</v>
      </c>
      <c r="K14" s="106">
        <v>0</v>
      </c>
      <c r="L14" s="106">
        <v>0</v>
      </c>
      <c r="M14" s="106">
        <v>0</v>
      </c>
      <c r="N14" s="106">
        <v>0.02</v>
      </c>
      <c r="O14" s="106">
        <v>0.18000000000000002</v>
      </c>
      <c r="P14" s="106">
        <v>0.21000000000000002</v>
      </c>
      <c r="Q14" s="106">
        <v>0.23</v>
      </c>
      <c r="R14" s="106">
        <v>0.26</v>
      </c>
      <c r="S14" s="106">
        <v>0.28000000000000003</v>
      </c>
      <c r="T14" s="106">
        <v>0.31</v>
      </c>
      <c r="U14" s="106">
        <v>0.33</v>
      </c>
      <c r="V14" s="106">
        <v>0.35000000000000003</v>
      </c>
      <c r="W14" s="106">
        <v>0.38</v>
      </c>
      <c r="X14" s="106">
        <v>0.4</v>
      </c>
      <c r="Y14" s="106">
        <v>0.43</v>
      </c>
      <c r="Z14" s="106">
        <v>0.45</v>
      </c>
      <c r="AA14" s="106">
        <v>0.33</v>
      </c>
      <c r="AB14" s="106">
        <v>0.34</v>
      </c>
      <c r="AC14" s="106">
        <v>0.35000000000000003</v>
      </c>
      <c r="AD14" s="106">
        <v>0.36</v>
      </c>
      <c r="AE14" s="106">
        <v>0.37</v>
      </c>
      <c r="AF14" s="106">
        <v>0.37</v>
      </c>
      <c r="AG14" s="106">
        <v>0.38</v>
      </c>
      <c r="AH14" s="106">
        <v>0.39</v>
      </c>
      <c r="AI14" s="106">
        <v>0.4</v>
      </c>
      <c r="AJ14" s="106">
        <v>0.41000000000000003</v>
      </c>
      <c r="AK14" s="106">
        <v>0.42</v>
      </c>
      <c r="AL14" s="106">
        <v>0.42</v>
      </c>
      <c r="AM14" s="106">
        <v>0.42</v>
      </c>
      <c r="AN14" s="106">
        <v>0.42</v>
      </c>
    </row>
    <row r="15" spans="1:40" hidden="1" outlineLevel="1" x14ac:dyDescent="0.25">
      <c r="B15" s="39" t="str">
        <v>Center Director / Remote Site Director</v>
      </c>
      <c r="C15" s="3"/>
      <c r="D15" s="3"/>
      <c r="E15" s="106">
        <v>0</v>
      </c>
      <c r="F15" s="106">
        <v>0</v>
      </c>
      <c r="G15" s="106">
        <v>0</v>
      </c>
      <c r="H15" s="106">
        <v>0</v>
      </c>
      <c r="I15" s="106">
        <v>0</v>
      </c>
      <c r="J15" s="106">
        <v>0</v>
      </c>
      <c r="K15" s="106">
        <v>0</v>
      </c>
      <c r="L15" s="106">
        <v>0</v>
      </c>
      <c r="M15" s="106">
        <v>0</v>
      </c>
      <c r="N15" s="106">
        <v>0.01</v>
      </c>
      <c r="O15" s="106">
        <v>0.02</v>
      </c>
      <c r="P15" s="106">
        <v>0.04</v>
      </c>
      <c r="Q15" s="106">
        <v>0.05</v>
      </c>
      <c r="R15" s="106">
        <v>6.0000000000000005E-2</v>
      </c>
      <c r="S15" s="106">
        <v>6.9999999999999993E-2</v>
      </c>
      <c r="T15" s="106">
        <v>0.08</v>
      </c>
      <c r="U15" s="106">
        <v>0.09</v>
      </c>
      <c r="V15" s="106">
        <v>0.1</v>
      </c>
      <c r="W15" s="106">
        <v>0.12</v>
      </c>
      <c r="X15" s="106">
        <v>0.13</v>
      </c>
      <c r="Y15" s="106">
        <v>0.14000000000000001</v>
      </c>
      <c r="Z15" s="106">
        <v>0.15000000000000002</v>
      </c>
      <c r="AA15" s="106">
        <v>0.16</v>
      </c>
      <c r="AB15" s="106">
        <v>0.16</v>
      </c>
      <c r="AC15" s="106">
        <v>0.16</v>
      </c>
      <c r="AD15" s="106">
        <v>0.16</v>
      </c>
      <c r="AE15" s="106">
        <v>0.16</v>
      </c>
      <c r="AF15" s="106">
        <v>0.16</v>
      </c>
      <c r="AG15" s="106">
        <v>0.16</v>
      </c>
      <c r="AH15" s="106">
        <v>0.16</v>
      </c>
      <c r="AI15" s="106">
        <v>0.16</v>
      </c>
      <c r="AJ15" s="106">
        <v>0.16</v>
      </c>
      <c r="AK15" s="106">
        <v>0.16</v>
      </c>
      <c r="AL15" s="106">
        <v>0.16</v>
      </c>
      <c r="AM15" s="106">
        <v>0.16</v>
      </c>
      <c r="AN15" s="106">
        <v>0.16</v>
      </c>
    </row>
    <row r="16" spans="1:40" hidden="1" outlineLevel="1" x14ac:dyDescent="0.25">
      <c r="B16" s="39" t="str">
        <v>Center Marketing Outreach</v>
      </c>
      <c r="C16" s="3"/>
      <c r="D16" s="3"/>
      <c r="E16" s="106">
        <v>0</v>
      </c>
      <c r="F16" s="106">
        <v>0</v>
      </c>
      <c r="G16" s="106">
        <v>0</v>
      </c>
      <c r="H16" s="106">
        <v>0</v>
      </c>
      <c r="I16" s="106">
        <v>0</v>
      </c>
      <c r="J16" s="106">
        <v>0</v>
      </c>
      <c r="K16" s="106">
        <v>0</v>
      </c>
      <c r="L16" s="106">
        <v>0</v>
      </c>
      <c r="M16" s="106">
        <v>0</v>
      </c>
      <c r="N16" s="106">
        <v>0.01</v>
      </c>
      <c r="O16" s="106">
        <v>0.02</v>
      </c>
      <c r="P16" s="106">
        <v>0.04</v>
      </c>
      <c r="Q16" s="106">
        <v>0.05</v>
      </c>
      <c r="R16" s="106">
        <v>6.0000000000000005E-2</v>
      </c>
      <c r="S16" s="106">
        <v>6.9999999999999993E-2</v>
      </c>
      <c r="T16" s="106">
        <v>0.08</v>
      </c>
      <c r="U16" s="106">
        <v>0.09</v>
      </c>
      <c r="V16" s="106">
        <v>0.1</v>
      </c>
      <c r="W16" s="106">
        <v>0.12</v>
      </c>
      <c r="X16" s="106">
        <v>0.13</v>
      </c>
      <c r="Y16" s="106">
        <v>0.14000000000000001</v>
      </c>
      <c r="Z16" s="106">
        <v>0.15000000000000002</v>
      </c>
      <c r="AA16" s="106">
        <v>0.16</v>
      </c>
      <c r="AB16" s="106">
        <v>0.16</v>
      </c>
      <c r="AC16" s="106">
        <v>0.16</v>
      </c>
      <c r="AD16" s="106">
        <v>0.16</v>
      </c>
      <c r="AE16" s="106">
        <v>0.16</v>
      </c>
      <c r="AF16" s="106">
        <v>0.16</v>
      </c>
      <c r="AG16" s="106">
        <v>0.16</v>
      </c>
      <c r="AH16" s="106">
        <v>0.16</v>
      </c>
      <c r="AI16" s="106">
        <v>0.16</v>
      </c>
      <c r="AJ16" s="106">
        <v>0.16</v>
      </c>
      <c r="AK16" s="106">
        <v>0.16</v>
      </c>
      <c r="AL16" s="106">
        <v>0.16</v>
      </c>
      <c r="AM16" s="106">
        <v>0.16</v>
      </c>
      <c r="AN16" s="106">
        <v>0.16</v>
      </c>
    </row>
    <row r="17" spans="2:50" hidden="1" outlineLevel="1" x14ac:dyDescent="0.25">
      <c r="B17" s="39" t="str">
        <v>Primary Direct Staff Lead</v>
      </c>
      <c r="C17" s="3"/>
      <c r="D17" s="3"/>
      <c r="E17" s="106">
        <v>0</v>
      </c>
      <c r="F17" s="106">
        <v>0</v>
      </c>
      <c r="G17" s="106">
        <v>0</v>
      </c>
      <c r="H17" s="106">
        <v>0</v>
      </c>
      <c r="I17" s="106">
        <v>0</v>
      </c>
      <c r="J17" s="106">
        <v>0</v>
      </c>
      <c r="K17" s="106">
        <v>0</v>
      </c>
      <c r="L17" s="106">
        <v>0</v>
      </c>
      <c r="M17" s="106">
        <v>0</v>
      </c>
      <c r="N17" s="106">
        <v>0.2</v>
      </c>
      <c r="O17" s="106">
        <v>0.5</v>
      </c>
      <c r="P17" s="106">
        <v>0.8</v>
      </c>
      <c r="Q17" s="106">
        <v>1.1000000000000001</v>
      </c>
      <c r="R17" s="106">
        <v>1.4</v>
      </c>
      <c r="S17" s="106">
        <v>1.7</v>
      </c>
      <c r="T17" s="106">
        <v>2</v>
      </c>
      <c r="U17" s="106">
        <v>2.2000000000000002</v>
      </c>
      <c r="V17" s="106">
        <v>2.5</v>
      </c>
      <c r="W17" s="106">
        <v>2.8</v>
      </c>
      <c r="X17" s="106">
        <v>3.1</v>
      </c>
      <c r="Y17" s="106">
        <v>3.4</v>
      </c>
      <c r="Z17" s="106">
        <v>3.7</v>
      </c>
      <c r="AA17" s="106">
        <v>4</v>
      </c>
      <c r="AB17" s="106">
        <v>4</v>
      </c>
      <c r="AC17" s="106">
        <v>4</v>
      </c>
      <c r="AD17" s="106">
        <v>4</v>
      </c>
      <c r="AE17" s="106">
        <v>4</v>
      </c>
      <c r="AF17" s="106">
        <v>4</v>
      </c>
      <c r="AG17" s="106">
        <v>4</v>
      </c>
      <c r="AH17" s="106">
        <v>4</v>
      </c>
      <c r="AI17" s="106">
        <v>4</v>
      </c>
      <c r="AJ17" s="106">
        <v>4</v>
      </c>
      <c r="AK17" s="106">
        <v>4</v>
      </c>
      <c r="AL17" s="106">
        <v>4</v>
      </c>
      <c r="AM17" s="106">
        <v>4</v>
      </c>
      <c r="AN17" s="106">
        <v>4</v>
      </c>
    </row>
    <row r="18" spans="2:50" hidden="1" outlineLevel="1" x14ac:dyDescent="0.25">
      <c r="B18" s="39" t="str">
        <v>Tertiary Direct Staff</v>
      </c>
      <c r="C18" s="3"/>
      <c r="D18" s="3"/>
      <c r="E18" s="106">
        <v>0</v>
      </c>
      <c r="F18" s="106">
        <v>0</v>
      </c>
      <c r="G18" s="106">
        <v>0</v>
      </c>
      <c r="H18" s="106">
        <v>0</v>
      </c>
      <c r="I18" s="106">
        <v>0</v>
      </c>
      <c r="J18" s="106">
        <v>0</v>
      </c>
      <c r="K18" s="106">
        <v>0</v>
      </c>
      <c r="L18" s="106">
        <v>0</v>
      </c>
      <c r="M18" s="106">
        <v>0</v>
      </c>
      <c r="N18" s="106">
        <v>0</v>
      </c>
      <c r="O18" s="106">
        <v>0</v>
      </c>
      <c r="P18" s="106">
        <v>0</v>
      </c>
      <c r="Q18" s="106">
        <v>0</v>
      </c>
      <c r="R18" s="106">
        <v>0</v>
      </c>
      <c r="S18" s="106">
        <v>0</v>
      </c>
      <c r="T18" s="106">
        <v>0</v>
      </c>
      <c r="U18" s="106">
        <v>0</v>
      </c>
      <c r="V18" s="106">
        <v>0</v>
      </c>
      <c r="W18" s="106">
        <v>0</v>
      </c>
      <c r="X18" s="106">
        <v>0</v>
      </c>
      <c r="Y18" s="106">
        <v>0</v>
      </c>
      <c r="Z18" s="106">
        <v>0</v>
      </c>
      <c r="AA18" s="106">
        <v>0</v>
      </c>
      <c r="AB18" s="106">
        <v>0</v>
      </c>
      <c r="AC18" s="106">
        <v>0</v>
      </c>
      <c r="AD18" s="106">
        <v>0</v>
      </c>
      <c r="AE18" s="106">
        <v>0</v>
      </c>
      <c r="AF18" s="106">
        <v>0</v>
      </c>
      <c r="AG18" s="106">
        <v>0</v>
      </c>
      <c r="AH18" s="106">
        <v>0</v>
      </c>
      <c r="AI18" s="106">
        <v>0</v>
      </c>
      <c r="AJ18" s="106">
        <v>0</v>
      </c>
      <c r="AK18" s="106">
        <v>0</v>
      </c>
      <c r="AL18" s="106">
        <v>0</v>
      </c>
      <c r="AM18" s="106">
        <v>0</v>
      </c>
      <c r="AN18" s="106">
        <v>0</v>
      </c>
    </row>
    <row r="19" spans="2:50" hidden="1" outlineLevel="1" x14ac:dyDescent="0.25">
      <c r="B19" s="39" t="str">
        <v>Quinary Direct Staff</v>
      </c>
      <c r="C19" s="3"/>
      <c r="D19" s="3"/>
      <c r="E19" s="106">
        <v>0</v>
      </c>
      <c r="F19" s="106">
        <v>0</v>
      </c>
      <c r="G19" s="106">
        <v>0</v>
      </c>
      <c r="H19" s="106">
        <v>0</v>
      </c>
      <c r="I19" s="106">
        <v>0</v>
      </c>
      <c r="J19" s="106">
        <v>0</v>
      </c>
      <c r="K19" s="106">
        <v>0</v>
      </c>
      <c r="L19" s="106">
        <v>0</v>
      </c>
      <c r="M19" s="106">
        <v>0</v>
      </c>
      <c r="N19" s="106">
        <v>0</v>
      </c>
      <c r="O19" s="106">
        <v>0</v>
      </c>
      <c r="P19" s="106">
        <v>0</v>
      </c>
      <c r="Q19" s="106">
        <v>0</v>
      </c>
      <c r="R19" s="106">
        <v>0</v>
      </c>
      <c r="S19" s="106">
        <v>0</v>
      </c>
      <c r="T19" s="106">
        <v>0</v>
      </c>
      <c r="U19" s="106">
        <v>0</v>
      </c>
      <c r="V19" s="106">
        <v>0</v>
      </c>
      <c r="W19" s="106">
        <v>0</v>
      </c>
      <c r="X19" s="106">
        <v>0</v>
      </c>
      <c r="Y19" s="106">
        <v>0</v>
      </c>
      <c r="Z19" s="106">
        <v>0</v>
      </c>
      <c r="AA19" s="106">
        <v>0</v>
      </c>
      <c r="AB19" s="106">
        <v>0</v>
      </c>
      <c r="AC19" s="106">
        <v>0</v>
      </c>
      <c r="AD19" s="106">
        <v>0</v>
      </c>
      <c r="AE19" s="106">
        <v>0</v>
      </c>
      <c r="AF19" s="106">
        <v>0</v>
      </c>
      <c r="AG19" s="106">
        <v>0</v>
      </c>
      <c r="AH19" s="106">
        <v>0</v>
      </c>
      <c r="AI19" s="106">
        <v>0</v>
      </c>
      <c r="AJ19" s="106">
        <v>0</v>
      </c>
      <c r="AK19" s="106">
        <v>0</v>
      </c>
      <c r="AL19" s="106">
        <v>0</v>
      </c>
      <c r="AM19" s="106">
        <v>0</v>
      </c>
      <c r="AN19" s="106">
        <v>0</v>
      </c>
    </row>
    <row r="20" spans="2:50" hidden="1" outlineLevel="1" x14ac:dyDescent="0.25">
      <c r="B20" s="39" t="str">
        <v>Quaternary Direct Staff</v>
      </c>
      <c r="C20" s="3"/>
      <c r="D20" s="3"/>
      <c r="E20" s="106">
        <v>0</v>
      </c>
      <c r="F20" s="106">
        <v>0</v>
      </c>
      <c r="G20" s="106">
        <v>0</v>
      </c>
      <c r="H20" s="106">
        <v>0</v>
      </c>
      <c r="I20" s="106">
        <v>0</v>
      </c>
      <c r="J20" s="106">
        <v>0</v>
      </c>
      <c r="K20" s="106">
        <v>0</v>
      </c>
      <c r="L20" s="106">
        <v>0</v>
      </c>
      <c r="M20" s="106">
        <v>0</v>
      </c>
      <c r="N20" s="106">
        <v>0</v>
      </c>
      <c r="O20" s="106">
        <v>0</v>
      </c>
      <c r="P20" s="106">
        <v>0</v>
      </c>
      <c r="Q20" s="106">
        <v>0</v>
      </c>
      <c r="R20" s="106">
        <v>0</v>
      </c>
      <c r="S20" s="106">
        <v>0</v>
      </c>
      <c r="T20" s="106">
        <v>0</v>
      </c>
      <c r="U20" s="106">
        <v>0</v>
      </c>
      <c r="V20" s="106">
        <v>0</v>
      </c>
      <c r="W20" s="106">
        <v>0</v>
      </c>
      <c r="X20" s="106">
        <v>0</v>
      </c>
      <c r="Y20" s="106">
        <v>0</v>
      </c>
      <c r="Z20" s="106">
        <v>0</v>
      </c>
      <c r="AA20" s="106">
        <v>0</v>
      </c>
      <c r="AB20" s="106">
        <v>0</v>
      </c>
      <c r="AC20" s="106">
        <v>0</v>
      </c>
      <c r="AD20" s="106">
        <v>0</v>
      </c>
      <c r="AE20" s="106">
        <v>0</v>
      </c>
      <c r="AF20" s="106">
        <v>0</v>
      </c>
      <c r="AG20" s="106">
        <v>0</v>
      </c>
      <c r="AH20" s="106">
        <v>0</v>
      </c>
      <c r="AI20" s="106">
        <v>0</v>
      </c>
      <c r="AJ20" s="106">
        <v>0</v>
      </c>
      <c r="AK20" s="106">
        <v>0</v>
      </c>
      <c r="AL20" s="106">
        <v>0</v>
      </c>
      <c r="AM20" s="106">
        <v>0</v>
      </c>
      <c r="AN20" s="106">
        <v>0</v>
      </c>
    </row>
    <row r="21" spans="2:50" collapsed="1" x14ac:dyDescent="0.25">
      <c r="B21" s="39" t="s">
        <v>389</v>
      </c>
      <c r="C21" s="3"/>
      <c r="D21" s="5"/>
      <c r="E21" s="117" cm="1">
        <f t="array" ref="E21:AN21">ROUND(_xlfn.BYCOL(_xlfn.CHOOSEROWS(_xlfn.ANCHORARRAY(E7),1,2),_xlfn.LAMBDA(_xlpm.col,SUM(_xlpm.col))),0)</f>
        <v>0</v>
      </c>
      <c r="F21" s="117">
        <v>0</v>
      </c>
      <c r="G21" s="117">
        <v>0</v>
      </c>
      <c r="H21" s="117">
        <v>0</v>
      </c>
      <c r="I21" s="117">
        <v>0</v>
      </c>
      <c r="J21" s="117">
        <v>0</v>
      </c>
      <c r="K21" s="117">
        <v>0</v>
      </c>
      <c r="L21" s="117">
        <v>0</v>
      </c>
      <c r="M21" s="117">
        <v>0</v>
      </c>
      <c r="N21" s="117">
        <v>2</v>
      </c>
      <c r="O21" s="117">
        <v>5</v>
      </c>
      <c r="P21" s="117">
        <v>9</v>
      </c>
      <c r="Q21" s="117">
        <v>12</v>
      </c>
      <c r="R21" s="117">
        <v>15</v>
      </c>
      <c r="S21" s="117">
        <v>18</v>
      </c>
      <c r="T21" s="117">
        <v>22</v>
      </c>
      <c r="U21" s="117">
        <v>24</v>
      </c>
      <c r="V21" s="117">
        <v>27</v>
      </c>
      <c r="W21" s="117">
        <v>30</v>
      </c>
      <c r="X21" s="117">
        <v>34</v>
      </c>
      <c r="Y21" s="117">
        <v>37</v>
      </c>
      <c r="Z21" s="117">
        <v>40</v>
      </c>
      <c r="AA21" s="117">
        <v>43</v>
      </c>
      <c r="AB21" s="117">
        <v>43</v>
      </c>
      <c r="AC21" s="117">
        <v>43</v>
      </c>
      <c r="AD21" s="117">
        <v>43</v>
      </c>
      <c r="AE21" s="117">
        <v>43</v>
      </c>
      <c r="AF21" s="117">
        <v>43</v>
      </c>
      <c r="AG21" s="117">
        <v>43</v>
      </c>
      <c r="AH21" s="117">
        <v>43</v>
      </c>
      <c r="AI21" s="117">
        <v>43</v>
      </c>
      <c r="AJ21" s="117">
        <v>43</v>
      </c>
      <c r="AK21" s="117">
        <v>43</v>
      </c>
      <c r="AL21" s="117">
        <v>43</v>
      </c>
      <c r="AM21" s="117">
        <v>43</v>
      </c>
      <c r="AN21" s="117">
        <v>43</v>
      </c>
    </row>
    <row r="22" spans="2:50" x14ac:dyDescent="0.25">
      <c r="B22" s="2" t="s">
        <v>394</v>
      </c>
      <c r="C22" s="3"/>
      <c r="D22" s="77">
        <f>MAX(_xlfn.ANCHORARRAY(E22))</f>
        <v>94.73905497877098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0</v>
      </c>
      <c r="F22" s="78">
        <v>0</v>
      </c>
      <c r="G22" s="78">
        <v>0</v>
      </c>
      <c r="H22" s="78">
        <v>0</v>
      </c>
      <c r="I22" s="78">
        <v>0</v>
      </c>
      <c r="J22" s="78">
        <v>0</v>
      </c>
      <c r="K22" s="78">
        <v>0</v>
      </c>
      <c r="L22" s="78">
        <v>0</v>
      </c>
      <c r="M22" s="78">
        <v>0</v>
      </c>
      <c r="N22" s="78">
        <v>91.979665027932981</v>
      </c>
      <c r="O22" s="78">
        <v>91.979665027932953</v>
      </c>
      <c r="P22" s="78">
        <v>91.979665027932981</v>
      </c>
      <c r="Q22" s="78">
        <v>94.739054978770952</v>
      </c>
      <c r="R22" s="78">
        <v>94.73905497877098</v>
      </c>
      <c r="S22" s="78">
        <v>94.739054978770952</v>
      </c>
      <c r="T22" s="78">
        <v>94.739054978770938</v>
      </c>
      <c r="U22" s="78">
        <v>94.739054978770952</v>
      </c>
      <c r="V22" s="78">
        <v>94.739054978770966</v>
      </c>
      <c r="W22" s="78">
        <v>94.73905497877098</v>
      </c>
      <c r="X22" s="78">
        <v>94.739054978770966</v>
      </c>
      <c r="Y22" s="78">
        <v>94.739054978770952</v>
      </c>
      <c r="Z22" s="78">
        <v>94.739054978770966</v>
      </c>
      <c r="AA22" s="78">
        <v>94.739054978770938</v>
      </c>
      <c r="AB22" s="78">
        <v>94.739054978770938</v>
      </c>
      <c r="AC22" s="78">
        <v>94.739054978770938</v>
      </c>
      <c r="AD22" s="78">
        <v>94.739054978770938</v>
      </c>
      <c r="AE22" s="78">
        <v>94.739054978770938</v>
      </c>
      <c r="AF22" s="78">
        <v>94.739054978770938</v>
      </c>
      <c r="AG22" s="78">
        <v>94.739054978770938</v>
      </c>
      <c r="AH22" s="78">
        <v>94.739054978770938</v>
      </c>
      <c r="AI22" s="78">
        <v>94.739054978770938</v>
      </c>
      <c r="AJ22" s="78">
        <v>94.739054978770938</v>
      </c>
      <c r="AK22" s="78">
        <v>94.739054978770938</v>
      </c>
      <c r="AL22" s="78">
        <v>94.739054978770938</v>
      </c>
      <c r="AM22" s="78">
        <v>94.739054978770938</v>
      </c>
      <c r="AN22" s="78">
        <v>94.739054978770938</v>
      </c>
    </row>
    <row r="23" spans="2:50" x14ac:dyDescent="0.25">
      <c r="B23" s="2" t="s">
        <v>53</v>
      </c>
      <c r="C23" s="3"/>
      <c r="D23" s="72"/>
      <c r="E23" s="52" cm="1">
        <f t="array" ref="E23:AN23">_xlfn.LET(_xlpm.site,$B$1&amp;"-"&amp;$C$1,_xlpm.locations,Base!$D$4:$BD$4,_xlpm.Customer,_xlfn.ANCHORARRAY(E1),_xlpm.hours,SUM(_xlfn.XLOOKUP(_xlpm.site,_xlpm.locations,Base!$D$74:$BD$78,0,0)),
_xlpm.collection,1-_xlfn.XLOOKUP(_xlpm.site,_xlpm.locations,Base!$D$26:$BD$26,0,0),
_xlpm.Customer*_xlpm.hours*_xlpm.collection*(52/12))</f>
        <v>0</v>
      </c>
      <c r="F23" s="52">
        <v>0</v>
      </c>
      <c r="G23" s="52">
        <v>0</v>
      </c>
      <c r="H23" s="52">
        <v>0</v>
      </c>
      <c r="I23" s="52">
        <v>0</v>
      </c>
      <c r="J23" s="52">
        <v>0</v>
      </c>
      <c r="K23" s="52">
        <v>0</v>
      </c>
      <c r="L23" s="52">
        <v>0</v>
      </c>
      <c r="M23" s="52">
        <v>0</v>
      </c>
      <c r="N23" s="52">
        <v>210.02666666666664</v>
      </c>
      <c r="O23" s="52">
        <v>525.06666666666661</v>
      </c>
      <c r="P23" s="52">
        <v>840.10666666666657</v>
      </c>
      <c r="Q23" s="52">
        <v>1155.1466666666665</v>
      </c>
      <c r="R23" s="52">
        <v>1470.1866666666665</v>
      </c>
      <c r="S23" s="52">
        <v>1785.2266666666665</v>
      </c>
      <c r="T23" s="52">
        <v>2100.2666666666664</v>
      </c>
      <c r="U23" s="52">
        <v>2310.2933333333331</v>
      </c>
      <c r="V23" s="52">
        <v>2625.333333333333</v>
      </c>
      <c r="W23" s="52">
        <v>2940.373333333333</v>
      </c>
      <c r="X23" s="52">
        <v>3255.413333333333</v>
      </c>
      <c r="Y23" s="52">
        <v>3570.4533333333329</v>
      </c>
      <c r="Z23" s="52">
        <v>3885.4933333333329</v>
      </c>
      <c r="AA23" s="52">
        <v>4200.5333333333328</v>
      </c>
      <c r="AB23" s="52">
        <v>4200.5333333333328</v>
      </c>
      <c r="AC23" s="52">
        <v>4200.5333333333328</v>
      </c>
      <c r="AD23" s="52">
        <v>4200.5333333333328</v>
      </c>
      <c r="AE23" s="52">
        <v>4200.5333333333328</v>
      </c>
      <c r="AF23" s="52">
        <v>4200.5333333333328</v>
      </c>
      <c r="AG23" s="52">
        <v>4200.5333333333328</v>
      </c>
      <c r="AH23" s="52">
        <v>4200.5333333333328</v>
      </c>
      <c r="AI23" s="52">
        <v>4200.5333333333328</v>
      </c>
      <c r="AJ23" s="52">
        <v>4200.5333333333328</v>
      </c>
      <c r="AK23" s="52">
        <v>4200.5333333333328</v>
      </c>
      <c r="AL23" s="52">
        <v>4200.5333333333328</v>
      </c>
      <c r="AM23" s="52">
        <v>4200.5333333333328</v>
      </c>
      <c r="AN23" s="52">
        <v>4200.5333333333328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21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_xlfn.LET(_xlpm.site,$B$1&amp;"-"&amp;$C$1,_xlpm.locations,Base!$D$4:$BD$4,_xlpm.rates,Base!$D31:$BD31,_xlpm.hours,Base!$D74:$BD74,_xlpm.comp,_xlpm.rates*_xlpm.hours,_xlpm.Customer,_xlfn.ANCHORARRAY($E$1),
_xlpm.Customer_comp,_xlfn.XLOOKUP(_xlpm.site,_xlpm.locations,_xlpm.comp,0,0),_xlpm.ann_incr,_xlfn.XLOOKUP(YEAR(_xlfn.ANCHORARRAY($E$25)),Base!$BJ$4:$BL$4,Base!$BJ74:$BL74,0,0),
_xlpm.bad_debt,_xlfn.XLOOKUP(_xlpm.site,_xlpm.locations,Base!$D$28:$BD$28,0,0),_xlpm.Customer_comp*_xlpm.Customer*_xlpm.bad_debt*_xlpm.ann_incr*(52/12))</f>
        <v>0</v>
      </c>
      <c r="F26" s="12">
        <v>0</v>
      </c>
      <c r="G26" s="12">
        <v>0</v>
      </c>
      <c r="H26" s="12">
        <v>0</v>
      </c>
      <c r="I26" s="12">
        <v>0</v>
      </c>
      <c r="J26" s="12">
        <v>0</v>
      </c>
      <c r="K26" s="12">
        <v>0</v>
      </c>
      <c r="L26" s="12">
        <v>0</v>
      </c>
      <c r="M26" s="12">
        <v>0</v>
      </c>
      <c r="N26" s="12">
        <v>14366.8311072</v>
      </c>
      <c r="O26" s="12">
        <v>35917.077767999988</v>
      </c>
      <c r="P26" s="12">
        <v>57467.324428799999</v>
      </c>
      <c r="Q26" s="12">
        <v>81388.098222287997</v>
      </c>
      <c r="R26" s="12">
        <v>103584.85228291202</v>
      </c>
      <c r="S26" s="12">
        <v>125781.606343536</v>
      </c>
      <c r="T26" s="12">
        <v>147978.36040415996</v>
      </c>
      <c r="U26" s="12">
        <v>162776.19644457599</v>
      </c>
      <c r="V26" s="12">
        <v>184972.95050520002</v>
      </c>
      <c r="W26" s="12">
        <v>207169.70456582404</v>
      </c>
      <c r="X26" s="12">
        <v>229366.45862644797</v>
      </c>
      <c r="Y26" s="12">
        <v>251563.21268707199</v>
      </c>
      <c r="Z26" s="12">
        <v>273759.96674769599</v>
      </c>
      <c r="AA26" s="12">
        <v>295956.72080831992</v>
      </c>
      <c r="AB26" s="12">
        <v>295956.72080831992</v>
      </c>
      <c r="AC26" s="12">
        <v>295956.72080831992</v>
      </c>
      <c r="AD26" s="12">
        <v>295956.72080831992</v>
      </c>
      <c r="AE26" s="12">
        <v>295956.72080831992</v>
      </c>
      <c r="AF26" s="12">
        <v>295956.72080831992</v>
      </c>
      <c r="AG26" s="12">
        <v>295956.72080831992</v>
      </c>
      <c r="AH26" s="12">
        <v>295956.72080831992</v>
      </c>
      <c r="AI26" s="12">
        <v>295956.72080831992</v>
      </c>
      <c r="AJ26" s="12">
        <v>295956.72080831992</v>
      </c>
      <c r="AK26" s="12">
        <v>295956.72080831992</v>
      </c>
      <c r="AL26" s="12">
        <v>295956.72080831992</v>
      </c>
      <c r="AM26" s="12">
        <v>295956.72080831992</v>
      </c>
      <c r="AN26" s="12">
        <v>295956.72080831992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_xlfn.LET(_xlpm.site,$B$1&amp;"-"&amp;$C$1,_xlpm.locations,Base!$D$4:$BD$4,_xlpm.rates,Base!$D32:$BD32,_xlpm.hours,Base!$D75:$BD75,_xlpm.comp,_xlpm.rates*_xlpm.hours,_xlpm.Customer,_xlfn.ANCHORARRAY($E$1),
_xlpm.Customer_comp,_xlfn.XLOOKUP(_xlpm.site,_xlpm.locations,_xlpm.comp,0,0),_xlpm.ann_incr,_xlfn.XLOOKUP(YEAR(_xlfn.ANCHORARRAY($E$25)),Base!$BJ$4:$BL$4,Base!$BJ75:$BL75,0,0),
_xlpm.bad_debt,_xlfn.XLOOKUP(_xlpm.site,_xlpm.locations,Base!$D$28:$BD$28,0,0),_xlpm.Customer_comp*_xlpm.Customer*_xlpm.bad_debt*_xlpm.ann_incr*(52/12))</f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2754.550933333333</v>
      </c>
      <c r="O27" s="12">
        <v>6886.377333333332</v>
      </c>
      <c r="P27" s="12">
        <v>11018.203733333332</v>
      </c>
      <c r="Q27" s="12">
        <v>15604.531037333334</v>
      </c>
      <c r="R27" s="12">
        <v>19860.312229333333</v>
      </c>
      <c r="S27" s="12">
        <v>24116.093421333331</v>
      </c>
      <c r="T27" s="12">
        <v>28371.874613333326</v>
      </c>
      <c r="U27" s="12">
        <v>31209.062074666668</v>
      </c>
      <c r="V27" s="12">
        <v>35464.843266666663</v>
      </c>
      <c r="W27" s="12">
        <v>39720.624458666665</v>
      </c>
      <c r="X27" s="12">
        <v>43976.40565066666</v>
      </c>
      <c r="Y27" s="12">
        <v>48232.186842666662</v>
      </c>
      <c r="Z27" s="12">
        <v>52487.968034666657</v>
      </c>
      <c r="AA27" s="12">
        <v>56743.749226666652</v>
      </c>
      <c r="AB27" s="12">
        <v>56743.749226666652</v>
      </c>
      <c r="AC27" s="12">
        <v>56743.749226666652</v>
      </c>
      <c r="AD27" s="12">
        <v>56743.749226666652</v>
      </c>
      <c r="AE27" s="12">
        <v>56743.749226666652</v>
      </c>
      <c r="AF27" s="12">
        <v>56743.749226666652</v>
      </c>
      <c r="AG27" s="12">
        <v>56743.749226666652</v>
      </c>
      <c r="AH27" s="12">
        <v>56743.749226666652</v>
      </c>
      <c r="AI27" s="12">
        <v>56743.749226666652</v>
      </c>
      <c r="AJ27" s="12">
        <v>56743.749226666652</v>
      </c>
      <c r="AK27" s="12">
        <v>56743.749226666652</v>
      </c>
      <c r="AL27" s="12">
        <v>56743.749226666652</v>
      </c>
      <c r="AM27" s="12">
        <v>56743.749226666652</v>
      </c>
      <c r="AN27" s="12">
        <v>56743.749226666652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_xlfn.LET(_xlpm.site,$B$1&amp;"-"&amp;$C$1,_xlpm.locations,Base!$D$4:$BD$4,_xlpm.rates,Base!$D33:$BD33,_xlpm.hours,Base!$D76:$BD76,_xlpm.comp,_xlpm.rates*_xlpm.hours,_xlpm.Customer,_xlfn.ANCHORARRAY($E$1),
_xlpm.Customer_comp,_xlfn.XLOOKUP(_xlpm.site,_xlpm.locations,_xlpm.comp,0,0),_xlpm.ann_incr,_xlfn.XLOOKUP(YEAR(_xlfn.ANCHORARRAY($E$25)),Base!$BJ$4:$BL$4,Base!$BJ76:$BL76,0,0),
_xlpm.bad_debt,_xlfn.XLOOKUP(_xlpm.site,_xlpm.locations,Base!$D$28:$BD$28,0,0),_xlpm.Customer_comp*_xlpm.Customer*_xlpm.bad_debt*_xlpm.ann_incr*(52/12))</f>
        <v>0</v>
      </c>
      <c r="F28" s="12">
        <v>0</v>
      </c>
      <c r="G28" s="12">
        <v>0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0</v>
      </c>
      <c r="N28" s="12">
        <v>3033.2835935999997</v>
      </c>
      <c r="O28" s="12">
        <v>7583.208983999999</v>
      </c>
      <c r="P28" s="12">
        <v>12133.134374399999</v>
      </c>
      <c r="Q28" s="12">
        <v>17183.551557744002</v>
      </c>
      <c r="R28" s="12">
        <v>21869.974709856004</v>
      </c>
      <c r="S28" s="12">
        <v>26556.397861968002</v>
      </c>
      <c r="T28" s="12">
        <v>31242.821014079997</v>
      </c>
      <c r="U28" s="12">
        <v>34367.103115488004</v>
      </c>
      <c r="V28" s="12">
        <v>39053.526267600006</v>
      </c>
      <c r="W28" s="12">
        <v>43739.949419712008</v>
      </c>
      <c r="X28" s="12">
        <v>48426.372571824002</v>
      </c>
      <c r="Y28" s="12">
        <v>53112.795723936004</v>
      </c>
      <c r="Z28" s="12">
        <v>57799.218876048006</v>
      </c>
      <c r="AA28" s="12">
        <v>62485.642028159993</v>
      </c>
      <c r="AB28" s="12">
        <v>62485.642028159993</v>
      </c>
      <c r="AC28" s="12">
        <v>62485.642028159993</v>
      </c>
      <c r="AD28" s="12">
        <v>62485.642028159993</v>
      </c>
      <c r="AE28" s="12">
        <v>62485.642028159993</v>
      </c>
      <c r="AF28" s="12">
        <v>62485.642028159993</v>
      </c>
      <c r="AG28" s="12">
        <v>62485.642028159993</v>
      </c>
      <c r="AH28" s="12">
        <v>62485.642028159993</v>
      </c>
      <c r="AI28" s="12">
        <v>62485.642028159993</v>
      </c>
      <c r="AJ28" s="12">
        <v>62485.642028159993</v>
      </c>
      <c r="AK28" s="12">
        <v>62485.642028159993</v>
      </c>
      <c r="AL28" s="12">
        <v>62485.642028159993</v>
      </c>
      <c r="AM28" s="12">
        <v>62485.642028159993</v>
      </c>
      <c r="AN28" s="12">
        <v>62485.642028159993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_xlfn.LET(_xlpm.site,$B$1&amp;"-"&amp;$C$1,_xlpm.locations,Base!$D$4:$BD$4,_xlpm.rates,Base!$D34:$BD34,_xlpm.hours,Base!$D77:$BD77,_xlpm.comp,_xlpm.rates*_xlpm.hours,_xlpm.Customer,_xlfn.ANCHORARRAY($E$1),
_xlpm.Customer_comp,_xlfn.XLOOKUP(_xlpm.site,_xlpm.locations,_xlpm.comp,0,0),_xlpm.ann_incr,_xlfn.XLOOKUP(YEAR(_xlfn.ANCHORARRAY($E$25)),Base!$BJ$4:$BL$4,Base!$BJ77:$BL77,0,0),
_xlpm.bad_debt,_xlfn.XLOOKUP(_xlpm.site,_xlpm.locations,Base!$D$28:$BD$28,0,0),_xlpm.Customer_comp*_xlpm.Customer*_xlpm.bad_debt*_xlpm.ann_incr*(52/12))</f>
        <v>0</v>
      </c>
      <c r="F29" s="12">
        <v>0</v>
      </c>
      <c r="G29" s="12">
        <v>0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0</v>
      </c>
      <c r="N29" s="12">
        <v>171.62971199999998</v>
      </c>
      <c r="O29" s="12">
        <v>429.07427999999999</v>
      </c>
      <c r="P29" s="12">
        <v>686.51884799999993</v>
      </c>
      <c r="Q29" s="12">
        <v>972.28231847999984</v>
      </c>
      <c r="R29" s="12">
        <v>1237.45022352</v>
      </c>
      <c r="S29" s="12">
        <v>1502.6181285599998</v>
      </c>
      <c r="T29" s="12">
        <v>1767.7860336000001</v>
      </c>
      <c r="U29" s="12">
        <v>1944.5646369599997</v>
      </c>
      <c r="V29" s="12">
        <v>2209.7325420000002</v>
      </c>
      <c r="W29" s="12">
        <v>2474.90044704</v>
      </c>
      <c r="X29" s="12">
        <v>2740.0683520799998</v>
      </c>
      <c r="Y29" s="12">
        <v>3005.2362571199997</v>
      </c>
      <c r="Z29" s="12">
        <v>3270.4041621600004</v>
      </c>
      <c r="AA29" s="12">
        <v>3535.5720672000002</v>
      </c>
      <c r="AB29" s="12">
        <v>3535.5720672000002</v>
      </c>
      <c r="AC29" s="12">
        <v>3535.5720672000002</v>
      </c>
      <c r="AD29" s="12">
        <v>3535.5720672000002</v>
      </c>
      <c r="AE29" s="12">
        <v>3535.5720672000002</v>
      </c>
      <c r="AF29" s="12">
        <v>3535.5720672000002</v>
      </c>
      <c r="AG29" s="12">
        <v>3535.5720672000002</v>
      </c>
      <c r="AH29" s="12">
        <v>3535.5720672000002</v>
      </c>
      <c r="AI29" s="12">
        <v>3535.5720672000002</v>
      </c>
      <c r="AJ29" s="12">
        <v>3535.5720672000002</v>
      </c>
      <c r="AK29" s="12">
        <v>3535.5720672000002</v>
      </c>
      <c r="AL29" s="12">
        <v>3535.5720672000002</v>
      </c>
      <c r="AM29" s="12">
        <v>3535.5720672000002</v>
      </c>
      <c r="AN29" s="12">
        <v>3535.5720672000002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_xlfn.LET(_xlpm.site,$B$1&amp;"-"&amp;$C$1,_xlpm.locations,Base!$D$4:$BD$4,_xlpm.rates,Base!$D35:$BD35,_xlpm.hours,Base!$D78:$BD78,_xlpm.comp,_xlpm.rates*_xlpm.hours,_xlpm.Customer,_xlfn.ANCHORARRAY($E$1),
_xlpm.Customer_comp,_xlfn.XLOOKUP(_xlpm.site,_xlpm.locations,_xlpm.comp,0,0),_xlpm.ann_incr,_xlfn.XLOOKUP(YEAR(_xlfn.ANCHORARRAY($E$25)),Base!$BJ$4:$BL$4,Base!$BJ78:$BL78,0,0),
_xlpm.bad_debt,_xlfn.XLOOKUP(_xlpm.site,_xlpm.locations,Base!$D$28:$BD$28,0,0),_xlpm.Customer_comp*_xlpm.Customer*_xlpm.bad_debt*_xlpm.ann_incr*(52/12))</f>
        <v>0</v>
      </c>
      <c r="F30" s="12">
        <v>0</v>
      </c>
      <c r="G30" s="12">
        <v>0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0</v>
      </c>
      <c r="N30" s="12">
        <v>309.03590400000002</v>
      </c>
      <c r="O30" s="12">
        <v>772.58975999999996</v>
      </c>
      <c r="P30" s="12">
        <v>1236.1436160000001</v>
      </c>
      <c r="Q30" s="12">
        <v>1750.6883961599999</v>
      </c>
      <c r="R30" s="12">
        <v>2228.1488678400001</v>
      </c>
      <c r="S30" s="12">
        <v>2705.6093395199996</v>
      </c>
      <c r="T30" s="12">
        <v>3183.0698112</v>
      </c>
      <c r="U30" s="12">
        <v>3501.3767923199998</v>
      </c>
      <c r="V30" s="12">
        <v>3978.8372640000002</v>
      </c>
      <c r="W30" s="12">
        <v>4456.2977356800002</v>
      </c>
      <c r="X30" s="12">
        <v>4933.7582073599997</v>
      </c>
      <c r="Y30" s="12">
        <v>5411.2186790399992</v>
      </c>
      <c r="Z30" s="12">
        <v>5888.6791507199996</v>
      </c>
      <c r="AA30" s="12">
        <v>6366.1396224</v>
      </c>
      <c r="AB30" s="12">
        <v>6366.1396224</v>
      </c>
      <c r="AC30" s="12">
        <v>6366.1396224</v>
      </c>
      <c r="AD30" s="12">
        <v>6366.1396224</v>
      </c>
      <c r="AE30" s="12">
        <v>6366.1396224</v>
      </c>
      <c r="AF30" s="12">
        <v>6366.1396224</v>
      </c>
      <c r="AG30" s="12">
        <v>6366.1396224</v>
      </c>
      <c r="AH30" s="12">
        <v>6366.1396224</v>
      </c>
      <c r="AI30" s="12">
        <v>6366.1396224</v>
      </c>
      <c r="AJ30" s="12">
        <v>6366.1396224</v>
      </c>
      <c r="AK30" s="12">
        <v>6366.1396224</v>
      </c>
      <c r="AL30" s="12">
        <v>6366.1396224</v>
      </c>
      <c r="AM30" s="12">
        <v>6366.1396224</v>
      </c>
      <c r="AN30" s="12">
        <v>6366.1396224</v>
      </c>
    </row>
    <row r="31" spans="2:50" x14ac:dyDescent="0.25">
      <c r="B31" s="39" t="str">
        <f>Base!B36</f>
        <v>Tertiary Direct Staff - Service A</v>
      </c>
      <c r="C31" s="4"/>
      <c r="E31" s="183" cm="1">
        <f t="array" ref="E31:AN31">_xlfn.LET(_xlpm.site,$B$1&amp;"-"&amp;$C$1,_xlpm.locations,Base!$D$4:$BD$4,_xlpm.rates,Base!$D36:$BD36,_xlpm.hours,Base!$D79:$BD79,_xlpm.comp,_xlpm.rates*_xlpm.hours,_xlpm.Customer,_xlfn.ANCHORARRAY($E$1)*0,
_xlpm.Customer_comp,_xlfn.XLOOKUP(_xlpm.site,_xlpm.locations,_xlpm.comp,0,0),_xlpm.ann_incr,_xlfn.XLOOKUP(YEAR(_xlfn.ANCHORARRAY($E$25)),Base!$BJ$4:$BL$4,Base!$BJ79:$BL79,0,0),
_xlpm.bad_debt,_xlfn.XLOOKUP(_xlpm.site,_xlpm.locations,Base!$D$28:$BD$28,0,0),_xlpm.Customer_comp*_xlpm.Customer*_xlpm.bad_debt*_xlpm.ann_incr*(52/12))</f>
        <v>0</v>
      </c>
      <c r="F31" s="183">
        <v>0</v>
      </c>
      <c r="G31" s="183">
        <v>0</v>
      </c>
      <c r="H31" s="183">
        <v>0</v>
      </c>
      <c r="I31" s="183">
        <v>0</v>
      </c>
      <c r="J31" s="183">
        <v>0</v>
      </c>
      <c r="K31" s="183">
        <v>0</v>
      </c>
      <c r="L31" s="183">
        <v>0</v>
      </c>
      <c r="M31" s="183">
        <v>0</v>
      </c>
      <c r="N31" s="183">
        <v>0</v>
      </c>
      <c r="O31" s="183">
        <v>0</v>
      </c>
      <c r="P31" s="183">
        <v>0</v>
      </c>
      <c r="Q31" s="183">
        <v>0</v>
      </c>
      <c r="R31" s="183">
        <v>0</v>
      </c>
      <c r="S31" s="183">
        <v>0</v>
      </c>
      <c r="T31" s="183">
        <v>0</v>
      </c>
      <c r="U31" s="183">
        <v>0</v>
      </c>
      <c r="V31" s="183">
        <v>0</v>
      </c>
      <c r="W31" s="183">
        <v>0</v>
      </c>
      <c r="X31" s="183">
        <v>0</v>
      </c>
      <c r="Y31" s="183">
        <v>0</v>
      </c>
      <c r="Z31" s="183">
        <v>0</v>
      </c>
      <c r="AA31" s="183">
        <v>0</v>
      </c>
      <c r="AB31" s="183">
        <v>0</v>
      </c>
      <c r="AC31" s="183">
        <v>0</v>
      </c>
      <c r="AD31" s="183">
        <v>0</v>
      </c>
      <c r="AE31" s="183">
        <v>0</v>
      </c>
      <c r="AF31" s="183">
        <v>0</v>
      </c>
      <c r="AG31" s="183">
        <v>0</v>
      </c>
      <c r="AH31" s="183">
        <v>0</v>
      </c>
      <c r="AI31" s="183">
        <v>0</v>
      </c>
      <c r="AJ31" s="183">
        <v>0</v>
      </c>
      <c r="AK31" s="183">
        <v>0</v>
      </c>
      <c r="AL31" s="183">
        <v>0</v>
      </c>
      <c r="AM31" s="183">
        <v>0</v>
      </c>
      <c r="AN31" s="183">
        <v>0</v>
      </c>
    </row>
    <row r="32" spans="2:50" x14ac:dyDescent="0.25">
      <c r="B32" s="39" t="str">
        <f>Base!B37</f>
        <v>Tertiary Direct Staff - Service B</v>
      </c>
      <c r="C32" s="4"/>
      <c r="E32" s="183" cm="1">
        <f t="array" ref="E32:AN32">_xlfn.LET(_xlpm.site,$B$1&amp;"-"&amp;$C$1,_xlpm.locations,Base!$D$4:$BD$4,_xlpm.rates,Base!$D37:$BD37,_xlpm.hours,Base!$D80:$BD80,_xlpm.comp,_xlpm.rates*_xlpm.hours,_xlpm.Customer,_xlfn.ANCHORARRAY($E$1)*0,
_xlpm.Customer_comp,_xlfn.XLOOKUP(_xlpm.site,_xlpm.locations,_xlpm.comp,0,0),_xlpm.ann_incr,_xlfn.XLOOKUP(YEAR(_xlfn.ANCHORARRAY($E$25)),Base!$BJ$4:$BL$4,Base!$BJ80:$BL80,0,0),
_xlpm.bad_debt,_xlfn.XLOOKUP(_xlpm.site,_xlpm.locations,Base!$D$28:$BD$28,0,0),_xlpm.Customer_comp*_xlpm.Customer*_xlpm.bad_debt*_xlpm.ann_incr*(52/12))</f>
        <v>0</v>
      </c>
      <c r="F32" s="183">
        <v>0</v>
      </c>
      <c r="G32" s="183">
        <v>0</v>
      </c>
      <c r="H32" s="183">
        <v>0</v>
      </c>
      <c r="I32" s="183">
        <v>0</v>
      </c>
      <c r="J32" s="183">
        <v>0</v>
      </c>
      <c r="K32" s="183">
        <v>0</v>
      </c>
      <c r="L32" s="183">
        <v>0</v>
      </c>
      <c r="M32" s="183">
        <v>0</v>
      </c>
      <c r="N32" s="183">
        <v>0</v>
      </c>
      <c r="O32" s="183">
        <v>0</v>
      </c>
      <c r="P32" s="183">
        <v>0</v>
      </c>
      <c r="Q32" s="183">
        <v>0</v>
      </c>
      <c r="R32" s="183">
        <v>0</v>
      </c>
      <c r="S32" s="183">
        <v>0</v>
      </c>
      <c r="T32" s="183">
        <v>0</v>
      </c>
      <c r="U32" s="183">
        <v>0</v>
      </c>
      <c r="V32" s="183">
        <v>0</v>
      </c>
      <c r="W32" s="183">
        <v>0</v>
      </c>
      <c r="X32" s="183">
        <v>0</v>
      </c>
      <c r="Y32" s="183">
        <v>0</v>
      </c>
      <c r="Z32" s="183">
        <v>0</v>
      </c>
      <c r="AA32" s="183">
        <v>0</v>
      </c>
      <c r="AB32" s="183">
        <v>0</v>
      </c>
      <c r="AC32" s="183">
        <v>0</v>
      </c>
      <c r="AD32" s="183">
        <v>0</v>
      </c>
      <c r="AE32" s="183">
        <v>0</v>
      </c>
      <c r="AF32" s="183">
        <v>0</v>
      </c>
      <c r="AG32" s="183">
        <v>0</v>
      </c>
      <c r="AH32" s="183">
        <v>0</v>
      </c>
      <c r="AI32" s="183">
        <v>0</v>
      </c>
      <c r="AJ32" s="183">
        <v>0</v>
      </c>
      <c r="AK32" s="183">
        <v>0</v>
      </c>
      <c r="AL32" s="183">
        <v>0</v>
      </c>
      <c r="AM32" s="183">
        <v>0</v>
      </c>
      <c r="AN32" s="183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_xlpm.Customer,_xlfn.ANCHORARRAY($E$2),_xlpm.ann_incr,_xlfn.XLOOKUP(YEAR(_xlfn.ANCHORARRAY($E$25)),Base!$BJ$4:$BL$4,Base!$BJ$81:$BL$81,0,0),
_xlpm.bad_debt,_xlfn.XLOOKUP(_xlpm.site,_xlpm.locations,Base!$D$28:$BD$28,0,0),
_xlpm.comp*_xlpm.bad_debt*_xlpm.ann_incr*(52/12))</f>
        <v>0</v>
      </c>
      <c r="F33" s="12">
        <v>0</v>
      </c>
      <c r="G33" s="12">
        <v>0</v>
      </c>
      <c r="H33" s="12">
        <v>0</v>
      </c>
      <c r="I33" s="12">
        <v>0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2">
        <v>0</v>
      </c>
      <c r="Y33" s="12">
        <v>0</v>
      </c>
      <c r="Z33" s="12">
        <v>0</v>
      </c>
      <c r="AA33" s="12">
        <v>0</v>
      </c>
      <c r="AB33" s="12">
        <v>0</v>
      </c>
      <c r="AC33" s="12">
        <v>0</v>
      </c>
      <c r="AD33" s="12">
        <v>0</v>
      </c>
      <c r="AE33" s="12">
        <v>0</v>
      </c>
      <c r="AF33" s="12">
        <v>0</v>
      </c>
      <c r="AG33" s="12">
        <v>0</v>
      </c>
      <c r="AH33" s="12">
        <v>0</v>
      </c>
      <c r="AI33" s="12">
        <v>0</v>
      </c>
      <c r="AJ33" s="12">
        <v>0</v>
      </c>
      <c r="AK33" s="12">
        <v>0</v>
      </c>
      <c r="AL33" s="12">
        <v>0</v>
      </c>
      <c r="AM33" s="12">
        <v>0</v>
      </c>
      <c r="AN33" s="12">
        <v>0</v>
      </c>
    </row>
    <row r="34" spans="2:40" x14ac:dyDescent="0.25">
      <c r="B34" s="39" t="str">
        <f>Base!B39</f>
        <v>Quinary Direct Staff - Service A</v>
      </c>
      <c r="C34" s="4"/>
      <c r="E34" s="183" cm="1">
        <f t="array" ref="E34:AN34">_xlfn.LET(_xlpm.site,$B$1&amp;"-"&amp;$C$1,_xlpm.locations,Base!$D$4:$BD$4,_xlpm.rates,Base!$D39:$BD39,_xlpm.hours,Base!$D82:$BD82,_xlpm.comp,_xlpm.rates*_xlpm.hours,_xlpm.Customer,_xlfn.ANCHORARRAY($E$1)*0,
_xlpm.Customer_comp,_xlfn.XLOOKUP(_xlpm.site,_xlpm.locations,_xlpm.comp,0,0),_xlpm.ann_incr,_xlfn.XLOOKUP(YEAR(_xlfn.ANCHORARRAY($E$25)),Base!$BJ$4:$BL$4,Base!$BJ82:$BL82,0,0),
_xlpm.bad_debt,_xlfn.XLOOKUP(_xlpm.site,_xlpm.locations,Base!$D$28:$BD$28,0,0),_xlpm.Customer_comp*_xlpm.Customer*_xlpm.bad_debt*_xlpm.ann_incr*(52/12))</f>
        <v>0</v>
      </c>
      <c r="F34" s="183">
        <v>0</v>
      </c>
      <c r="G34" s="183">
        <v>0</v>
      </c>
      <c r="H34" s="183">
        <v>0</v>
      </c>
      <c r="I34" s="183">
        <v>0</v>
      </c>
      <c r="J34" s="183">
        <v>0</v>
      </c>
      <c r="K34" s="183">
        <v>0</v>
      </c>
      <c r="L34" s="183">
        <v>0</v>
      </c>
      <c r="M34" s="183">
        <v>0</v>
      </c>
      <c r="N34" s="183">
        <v>0</v>
      </c>
      <c r="O34" s="183">
        <v>0</v>
      </c>
      <c r="P34" s="183">
        <v>0</v>
      </c>
      <c r="Q34" s="183">
        <v>0</v>
      </c>
      <c r="R34" s="183">
        <v>0</v>
      </c>
      <c r="S34" s="183">
        <v>0</v>
      </c>
      <c r="T34" s="183">
        <v>0</v>
      </c>
      <c r="U34" s="183">
        <v>0</v>
      </c>
      <c r="V34" s="183">
        <v>0</v>
      </c>
      <c r="W34" s="183">
        <v>0</v>
      </c>
      <c r="X34" s="183">
        <v>0</v>
      </c>
      <c r="Y34" s="183">
        <v>0</v>
      </c>
      <c r="Z34" s="183">
        <v>0</v>
      </c>
      <c r="AA34" s="183">
        <v>0</v>
      </c>
      <c r="AB34" s="183">
        <v>0</v>
      </c>
      <c r="AC34" s="183">
        <v>0</v>
      </c>
      <c r="AD34" s="183">
        <v>0</v>
      </c>
      <c r="AE34" s="183">
        <v>0</v>
      </c>
      <c r="AF34" s="183">
        <v>0</v>
      </c>
      <c r="AG34" s="183">
        <v>0</v>
      </c>
      <c r="AH34" s="183">
        <v>0</v>
      </c>
      <c r="AI34" s="183">
        <v>0</v>
      </c>
      <c r="AJ34" s="183">
        <v>0</v>
      </c>
      <c r="AK34" s="183">
        <v>0</v>
      </c>
      <c r="AL34" s="183">
        <v>0</v>
      </c>
      <c r="AM34" s="183">
        <v>0</v>
      </c>
      <c r="AN34" s="183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0</v>
      </c>
      <c r="F35" s="12">
        <v>0</v>
      </c>
      <c r="G35" s="12">
        <v>0</v>
      </c>
      <c r="H35" s="12">
        <v>0</v>
      </c>
      <c r="I35" s="12">
        <v>0</v>
      </c>
      <c r="J35" s="12">
        <v>0</v>
      </c>
      <c r="K35" s="12">
        <v>0</v>
      </c>
      <c r="L35" s="12">
        <v>0</v>
      </c>
      <c r="M35" s="12">
        <v>0</v>
      </c>
      <c r="N35" s="12">
        <v>-2476.239750016</v>
      </c>
      <c r="O35" s="12">
        <v>-6190.5993750399984</v>
      </c>
      <c r="P35" s="12">
        <v>-9904.9590000640001</v>
      </c>
      <c r="Q35" s="12">
        <v>-14027.898183840638</v>
      </c>
      <c r="R35" s="12">
        <v>-17853.688597615364</v>
      </c>
      <c r="S35" s="12">
        <v>-21679.479011390074</v>
      </c>
      <c r="T35" s="12">
        <v>-25505.269425164788</v>
      </c>
      <c r="U35" s="12">
        <v>-28055.796367681276</v>
      </c>
      <c r="V35" s="12">
        <v>-31881.586781456004</v>
      </c>
      <c r="W35" s="12">
        <v>-35707.377195230729</v>
      </c>
      <c r="X35" s="12">
        <v>-39533.167609005432</v>
      </c>
      <c r="Y35" s="12">
        <v>-43358.958022780149</v>
      </c>
      <c r="Z35" s="12">
        <v>-47184.748436554881</v>
      </c>
      <c r="AA35" s="12">
        <v>-51010.538850329576</v>
      </c>
      <c r="AB35" s="12">
        <v>-51010.538850329576</v>
      </c>
      <c r="AC35" s="12">
        <v>-51010.538850329576</v>
      </c>
      <c r="AD35" s="12">
        <v>-51010.538850329576</v>
      </c>
      <c r="AE35" s="12">
        <v>-51010.538850329576</v>
      </c>
      <c r="AF35" s="12">
        <v>-51010.538850329576</v>
      </c>
      <c r="AG35" s="12">
        <v>-51010.538850329576</v>
      </c>
      <c r="AH35" s="12">
        <v>-51010.538850329576</v>
      </c>
      <c r="AI35" s="12">
        <v>-51010.538850329576</v>
      </c>
      <c r="AJ35" s="12">
        <v>-51010.538850329576</v>
      </c>
      <c r="AK35" s="12">
        <v>-51010.538850329576</v>
      </c>
      <c r="AL35" s="12">
        <v>-51010.538850329576</v>
      </c>
      <c r="AM35" s="12">
        <v>-51010.538850329576</v>
      </c>
      <c r="AN35" s="12">
        <v>-51010.538850329576</v>
      </c>
    </row>
    <row r="36" spans="2:40" x14ac:dyDescent="0.25">
      <c r="B36" s="39" t="s">
        <v>261</v>
      </c>
      <c r="C36" s="15"/>
      <c r="E36" s="183" cm="1">
        <f t="array" ref="E36:AN36">_xlfn.BYCOL(_xlfn.ANCHORARRAY($E$25),_xlfn.LAMBDA(_xlpm.a,0))</f>
        <v>0</v>
      </c>
      <c r="F36" s="183">
        <v>0</v>
      </c>
      <c r="G36" s="183">
        <v>0</v>
      </c>
      <c r="H36" s="183">
        <v>0</v>
      </c>
      <c r="I36" s="183">
        <v>0</v>
      </c>
      <c r="J36" s="183">
        <v>0</v>
      </c>
      <c r="K36" s="183">
        <v>0</v>
      </c>
      <c r="L36" s="183">
        <v>0</v>
      </c>
      <c r="M36" s="183">
        <v>0</v>
      </c>
      <c r="N36" s="183">
        <v>0</v>
      </c>
      <c r="O36" s="183">
        <v>0</v>
      </c>
      <c r="P36" s="183">
        <v>0</v>
      </c>
      <c r="Q36" s="183">
        <v>0</v>
      </c>
      <c r="R36" s="183">
        <v>0</v>
      </c>
      <c r="S36" s="183">
        <v>0</v>
      </c>
      <c r="T36" s="183">
        <v>0</v>
      </c>
      <c r="U36" s="183">
        <v>0</v>
      </c>
      <c r="V36" s="183">
        <v>0</v>
      </c>
      <c r="W36" s="183">
        <v>0</v>
      </c>
      <c r="X36" s="183">
        <v>0</v>
      </c>
      <c r="Y36" s="183">
        <v>0</v>
      </c>
      <c r="Z36" s="183">
        <v>0</v>
      </c>
      <c r="AA36" s="183">
        <v>0</v>
      </c>
      <c r="AB36" s="183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271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15404.540566784002</v>
      </c>
      <c r="O37" s="13">
        <v>38511.351416959988</v>
      </c>
      <c r="P37" s="13">
        <v>61618.162267136009</v>
      </c>
      <c r="Q37" s="13">
        <v>87266.722310831348</v>
      </c>
      <c r="R37" s="13">
        <v>111066.73748651266</v>
      </c>
      <c r="S37" s="13">
        <v>134866.7526621939</v>
      </c>
      <c r="T37" s="13">
        <v>158666.76783787514</v>
      </c>
      <c r="U37" s="13">
        <v>174533.4446216627</v>
      </c>
      <c r="V37" s="13">
        <v>198333.45979734405</v>
      </c>
      <c r="W37" s="13">
        <v>222133.47497302532</v>
      </c>
      <c r="X37" s="13">
        <v>245933.49014870651</v>
      </c>
      <c r="Y37" s="13">
        <v>269733.50532438781</v>
      </c>
      <c r="Z37" s="13">
        <v>293533.52050006913</v>
      </c>
      <c r="AA37" s="13">
        <v>317333.53567575029</v>
      </c>
      <c r="AB37" s="13">
        <v>317333.53567575029</v>
      </c>
      <c r="AC37" s="13">
        <v>317333.53567575029</v>
      </c>
      <c r="AD37" s="13">
        <v>317333.53567575029</v>
      </c>
      <c r="AE37" s="13">
        <v>317333.53567575029</v>
      </c>
      <c r="AF37" s="13">
        <v>317333.53567575029</v>
      </c>
      <c r="AG37" s="13">
        <v>317333.53567575029</v>
      </c>
      <c r="AH37" s="13">
        <v>317333.53567575029</v>
      </c>
      <c r="AI37" s="13">
        <v>317333.53567575029</v>
      </c>
      <c r="AJ37" s="13">
        <v>317333.53567575029</v>
      </c>
      <c r="AK37" s="13">
        <v>317333.53567575029</v>
      </c>
      <c r="AL37" s="13">
        <v>317333.53567575029</v>
      </c>
      <c r="AM37" s="13">
        <v>317333.53567575029</v>
      </c>
      <c r="AN37" s="13">
        <v>317333.53567575029</v>
      </c>
    </row>
    <row r="38" spans="2:40" x14ac:dyDescent="0.25">
      <c r="E38" s="67"/>
      <c r="F38" s="67"/>
    </row>
    <row r="39" spans="2:40" x14ac:dyDescent="0.25">
      <c r="B39" s="1" t="s">
        <v>118</v>
      </c>
    </row>
    <row r="40" spans="2:40" x14ac:dyDescent="0.25">
      <c r="B40" s="39" t="s">
        <v>23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0</v>
      </c>
      <c r="F40" s="12">
        <v>0</v>
      </c>
      <c r="G40" s="12">
        <v>0</v>
      </c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0</v>
      </c>
      <c r="N40" s="12">
        <v>20108.830793779969</v>
      </c>
      <c r="O40" s="12">
        <v>44862.900317783264</v>
      </c>
      <c r="P40" s="12">
        <v>60677.719841786544</v>
      </c>
      <c r="Q40" s="12">
        <v>83853.41730236882</v>
      </c>
      <c r="R40" s="12">
        <v>100997.1771121058</v>
      </c>
      <c r="S40" s="12">
        <v>118127.64525517606</v>
      </c>
      <c r="T40" s="12">
        <v>135294.05406491304</v>
      </c>
      <c r="U40" s="12">
        <v>146906.65227140434</v>
      </c>
      <c r="V40" s="12">
        <v>164082.31208114128</v>
      </c>
      <c r="W40" s="12">
        <v>181365.68755754494</v>
      </c>
      <c r="X40" s="12">
        <v>198496.1557006152</v>
      </c>
      <c r="Y40" s="12">
        <v>215730.29884368545</v>
      </c>
      <c r="Z40" s="12">
        <v>232838.22432008907</v>
      </c>
      <c r="AA40" s="12">
        <v>245173.05912982603</v>
      </c>
      <c r="AB40" s="12">
        <v>245452.18412982608</v>
      </c>
      <c r="AC40" s="12">
        <v>270354.15087614203</v>
      </c>
      <c r="AD40" s="12">
        <v>270661.18837614206</v>
      </c>
      <c r="AE40" s="12">
        <v>270968.22587614204</v>
      </c>
      <c r="AF40" s="12">
        <v>271260.64254280872</v>
      </c>
      <c r="AG40" s="12">
        <v>271567.6800428087</v>
      </c>
      <c r="AH40" s="12">
        <v>271874.71754280868</v>
      </c>
      <c r="AI40" s="12">
        <v>272117.42337614205</v>
      </c>
      <c r="AJ40" s="12">
        <v>272538.50337614201</v>
      </c>
      <c r="AK40" s="12">
        <v>272845.54087614204</v>
      </c>
      <c r="AL40" s="12">
        <v>273023.91504280869</v>
      </c>
      <c r="AM40" s="12">
        <v>273023.91504280869</v>
      </c>
      <c r="AN40" s="12">
        <v>273023.91504280869</v>
      </c>
    </row>
    <row r="41" spans="2:40" x14ac:dyDescent="0.25">
      <c r="B41" s="39" t="s">
        <v>388</v>
      </c>
      <c r="C41" s="142">
        <f>_xlfn.XLOOKUP($B$1&amp;"-"&amp;$C$1,Base!$D$4:$BD$4,Base!$D$12:$BD$12,0,0)</f>
        <v>0</v>
      </c>
      <c r="E41" s="183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28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6713</v>
      </c>
      <c r="O42" s="12">
        <v>6713</v>
      </c>
      <c r="P42" s="12">
        <v>6713</v>
      </c>
      <c r="Q42" s="12">
        <v>6914.39</v>
      </c>
      <c r="R42" s="12">
        <v>6914.39</v>
      </c>
      <c r="S42" s="12">
        <v>6914.39</v>
      </c>
      <c r="T42" s="12">
        <v>6914.39</v>
      </c>
      <c r="U42" s="12">
        <v>6914.39</v>
      </c>
      <c r="V42" s="12">
        <v>6914.39</v>
      </c>
      <c r="W42" s="12">
        <v>6914.39</v>
      </c>
      <c r="X42" s="12">
        <v>6914.39</v>
      </c>
      <c r="Y42" s="12">
        <v>6914.39</v>
      </c>
      <c r="Z42" s="12">
        <v>6914.39</v>
      </c>
      <c r="AA42" s="12">
        <v>6914.39</v>
      </c>
      <c r="AB42" s="12">
        <v>6914.39</v>
      </c>
      <c r="AC42" s="12">
        <v>7121.8216999999995</v>
      </c>
      <c r="AD42" s="12">
        <v>7121.8216999999995</v>
      </c>
      <c r="AE42" s="12">
        <v>7121.8216999999995</v>
      </c>
      <c r="AF42" s="12">
        <v>7121.8216999999995</v>
      </c>
      <c r="AG42" s="12">
        <v>7121.8216999999995</v>
      </c>
      <c r="AH42" s="12">
        <v>7121.8216999999995</v>
      </c>
      <c r="AI42" s="12">
        <v>7121.8216999999995</v>
      </c>
      <c r="AJ42" s="12">
        <v>7121.8216999999995</v>
      </c>
      <c r="AK42" s="12">
        <v>7121.8216999999995</v>
      </c>
      <c r="AL42" s="12">
        <v>7121.8216999999995</v>
      </c>
      <c r="AM42" s="12">
        <v>7121.8216999999995</v>
      </c>
      <c r="AN42" s="12">
        <v>7121.8216999999995</v>
      </c>
    </row>
    <row r="43" spans="2:40" x14ac:dyDescent="0.25">
      <c r="B43" s="39" t="s">
        <v>31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</v>
      </c>
      <c r="N43" s="12">
        <v>4600</v>
      </c>
      <c r="O43" s="12">
        <v>4600</v>
      </c>
      <c r="P43" s="12">
        <v>4600</v>
      </c>
      <c r="Q43" s="12">
        <v>4784</v>
      </c>
      <c r="R43" s="12">
        <v>4784</v>
      </c>
      <c r="S43" s="12">
        <v>4784</v>
      </c>
      <c r="T43" s="12">
        <v>4784</v>
      </c>
      <c r="U43" s="12">
        <v>4784</v>
      </c>
      <c r="V43" s="12">
        <v>4784</v>
      </c>
      <c r="W43" s="12">
        <v>4784</v>
      </c>
      <c r="X43" s="12">
        <v>4784</v>
      </c>
      <c r="Y43" s="12">
        <v>4784</v>
      </c>
      <c r="Z43" s="12">
        <v>4784</v>
      </c>
      <c r="AA43" s="12">
        <v>4784</v>
      </c>
      <c r="AB43" s="12">
        <v>4784</v>
      </c>
      <c r="AC43" s="12">
        <v>4975.3600000000006</v>
      </c>
      <c r="AD43" s="12">
        <v>4975.3600000000006</v>
      </c>
      <c r="AE43" s="12">
        <v>4975.3600000000006</v>
      </c>
      <c r="AF43" s="12">
        <v>4975.3600000000006</v>
      </c>
      <c r="AG43" s="12">
        <v>4975.3600000000006</v>
      </c>
      <c r="AH43" s="12">
        <v>4975.3600000000006</v>
      </c>
      <c r="AI43" s="12">
        <v>4975.3600000000006</v>
      </c>
      <c r="AJ43" s="12">
        <v>4975.3600000000006</v>
      </c>
      <c r="AK43" s="12">
        <v>4975.3600000000006</v>
      </c>
      <c r="AL43" s="12">
        <v>4975.3600000000006</v>
      </c>
      <c r="AM43" s="12">
        <v>4975.3600000000006</v>
      </c>
      <c r="AN43" s="12">
        <v>4975.3600000000006</v>
      </c>
    </row>
    <row r="44" spans="2:40" x14ac:dyDescent="0.25">
      <c r="B44" s="39" t="s">
        <v>34</v>
      </c>
      <c r="C44" s="96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357.15640000000002</v>
      </c>
      <c r="O44" s="12">
        <v>940.0626000000002</v>
      </c>
      <c r="P44" s="12">
        <v>980.49540000000002</v>
      </c>
      <c r="Q44" s="12">
        <v>1047.7486239999998</v>
      </c>
      <c r="R44" s="12">
        <v>1082.7903840000001</v>
      </c>
      <c r="S44" s="12">
        <v>1114.3279679999998</v>
      </c>
      <c r="T44" s="12">
        <v>1145.865552</v>
      </c>
      <c r="U44" s="12">
        <v>1173.8989599999998</v>
      </c>
      <c r="V44" s="12">
        <v>1205.4365440000001</v>
      </c>
      <c r="W44" s="12">
        <v>1243.9824799999999</v>
      </c>
      <c r="X44" s="12">
        <v>1275.5200639999998</v>
      </c>
      <c r="Y44" s="12">
        <v>1310.5618240000001</v>
      </c>
      <c r="Z44" s="12">
        <v>1338.5952319999999</v>
      </c>
      <c r="AA44" s="12">
        <v>1142.3613760000001</v>
      </c>
      <c r="AB44" s="12">
        <v>1156.3780800000002</v>
      </c>
      <c r="AC44" s="12">
        <v>1217.2105753600003</v>
      </c>
      <c r="AD44" s="12">
        <v>1231.7879475200002</v>
      </c>
      <c r="AE44" s="12">
        <v>1246.3653196800005</v>
      </c>
      <c r="AF44" s="12">
        <v>1257.2983488000004</v>
      </c>
      <c r="AG44" s="12">
        <v>1271.8757209600003</v>
      </c>
      <c r="AH44" s="12">
        <v>1286.4530931200002</v>
      </c>
      <c r="AI44" s="12">
        <v>1297.3861222400003</v>
      </c>
      <c r="AJ44" s="12">
        <v>1315.6078374400004</v>
      </c>
      <c r="AK44" s="12">
        <v>1330.1852096000002</v>
      </c>
      <c r="AL44" s="12">
        <v>1337.4738956800004</v>
      </c>
      <c r="AM44" s="12">
        <v>1337.4738956800004</v>
      </c>
      <c r="AN44" s="12">
        <v>1337.4738956800004</v>
      </c>
    </row>
    <row r="45" spans="2:40" x14ac:dyDescent="0.25">
      <c r="B45" s="39" t="s">
        <v>36</v>
      </c>
      <c r="C45" s="96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0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0</v>
      </c>
      <c r="N45" s="12">
        <v>4500</v>
      </c>
      <c r="O45" s="12">
        <v>4500</v>
      </c>
      <c r="P45" s="12">
        <v>4500</v>
      </c>
      <c r="Q45" s="12">
        <v>4590</v>
      </c>
      <c r="R45" s="12">
        <v>4590</v>
      </c>
      <c r="S45" s="12">
        <v>4590</v>
      </c>
      <c r="T45" s="12">
        <v>4590</v>
      </c>
      <c r="U45" s="12">
        <v>4590</v>
      </c>
      <c r="V45" s="12">
        <v>4590</v>
      </c>
      <c r="W45" s="12">
        <v>4590</v>
      </c>
      <c r="X45" s="12">
        <v>4590</v>
      </c>
      <c r="Y45" s="12">
        <v>4590</v>
      </c>
      <c r="Z45" s="12">
        <v>4590</v>
      </c>
      <c r="AA45" s="12">
        <v>4590</v>
      </c>
      <c r="AB45" s="12">
        <v>4590</v>
      </c>
      <c r="AC45" s="12">
        <v>4681.8</v>
      </c>
      <c r="AD45" s="12">
        <v>4681.8</v>
      </c>
      <c r="AE45" s="12">
        <v>4681.8</v>
      </c>
      <c r="AF45" s="12">
        <v>4681.8</v>
      </c>
      <c r="AG45" s="12">
        <v>4681.8</v>
      </c>
      <c r="AH45" s="12">
        <v>4681.8</v>
      </c>
      <c r="AI45" s="12">
        <v>4681.8</v>
      </c>
      <c r="AJ45" s="12">
        <v>4681.8</v>
      </c>
      <c r="AK45" s="12">
        <v>4681.8</v>
      </c>
      <c r="AL45" s="12">
        <v>4681.8</v>
      </c>
      <c r="AM45" s="12">
        <v>4681.8</v>
      </c>
      <c r="AN45" s="12">
        <v>4681.8</v>
      </c>
    </row>
    <row r="46" spans="2:40" x14ac:dyDescent="0.25">
      <c r="B46" s="39" t="s">
        <v>38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0</v>
      </c>
      <c r="F46" s="12">
        <v>0</v>
      </c>
      <c r="G46" s="12">
        <v>0</v>
      </c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0</v>
      </c>
      <c r="N46" s="12">
        <v>2764</v>
      </c>
      <c r="O46" s="12">
        <v>4612</v>
      </c>
      <c r="P46" s="12">
        <v>5896.5</v>
      </c>
      <c r="Q46" s="12">
        <v>7313.91</v>
      </c>
      <c r="R46" s="12">
        <v>8613.39</v>
      </c>
      <c r="S46" s="12">
        <v>9912.8700000000008</v>
      </c>
      <c r="T46" s="12">
        <v>11215.92</v>
      </c>
      <c r="U46" s="12">
        <v>12090.57</v>
      </c>
      <c r="V46" s="12">
        <v>13390.05</v>
      </c>
      <c r="W46" s="12">
        <v>14696.670000000002</v>
      </c>
      <c r="X46" s="12">
        <v>15996.150000000003</v>
      </c>
      <c r="Y46" s="12">
        <v>17299.199999999997</v>
      </c>
      <c r="Z46" s="12">
        <v>18598.68</v>
      </c>
      <c r="AA46" s="12">
        <v>19666.109999999997</v>
      </c>
      <c r="AB46" s="12">
        <v>19680.39</v>
      </c>
      <c r="AC46" s="12">
        <v>20088.563399999999</v>
      </c>
      <c r="AD46" s="12">
        <v>20103.128999999997</v>
      </c>
      <c r="AE46" s="12">
        <v>20117.694599999995</v>
      </c>
      <c r="AF46" s="12">
        <v>20128.618799999997</v>
      </c>
      <c r="AG46" s="12">
        <v>20143.184399999998</v>
      </c>
      <c r="AH46" s="12">
        <v>20157.749999999996</v>
      </c>
      <c r="AI46" s="12">
        <v>20168.674199999998</v>
      </c>
      <c r="AJ46" s="12">
        <v>20186.881199999996</v>
      </c>
      <c r="AK46" s="12">
        <v>20201.446799999998</v>
      </c>
      <c r="AL46" s="12">
        <v>20208.729599999999</v>
      </c>
      <c r="AM46" s="12">
        <v>20208.729599999999</v>
      </c>
      <c r="AN46" s="12">
        <v>20208.729599999999</v>
      </c>
    </row>
    <row r="47" spans="2:40" x14ac:dyDescent="0.25">
      <c r="B47" s="39" t="s">
        <v>40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2">
        <v>3950</v>
      </c>
      <c r="O47" s="12">
        <v>3950</v>
      </c>
      <c r="P47" s="12">
        <v>3950</v>
      </c>
      <c r="Q47" s="12">
        <v>4147.5</v>
      </c>
      <c r="R47" s="12">
        <v>4147.5</v>
      </c>
      <c r="S47" s="12">
        <v>4147.5</v>
      </c>
      <c r="T47" s="12">
        <v>4147.5</v>
      </c>
      <c r="U47" s="12">
        <v>4147.5</v>
      </c>
      <c r="V47" s="12">
        <v>4147.5</v>
      </c>
      <c r="W47" s="12">
        <v>4147.5</v>
      </c>
      <c r="X47" s="12">
        <v>4147.5</v>
      </c>
      <c r="Y47" s="12">
        <v>4147.5</v>
      </c>
      <c r="Z47" s="12">
        <v>4147.5</v>
      </c>
      <c r="AA47" s="12">
        <v>4147.5</v>
      </c>
      <c r="AB47" s="12">
        <v>4147.5</v>
      </c>
      <c r="AC47" s="12">
        <v>4354.875</v>
      </c>
      <c r="AD47" s="12">
        <v>4354.875</v>
      </c>
      <c r="AE47" s="12">
        <v>4354.875</v>
      </c>
      <c r="AF47" s="12">
        <v>4354.875</v>
      </c>
      <c r="AG47" s="12">
        <v>4354.875</v>
      </c>
      <c r="AH47" s="12">
        <v>4354.875</v>
      </c>
      <c r="AI47" s="12">
        <v>4354.875</v>
      </c>
      <c r="AJ47" s="12">
        <v>4354.875</v>
      </c>
      <c r="AK47" s="12">
        <v>4354.875</v>
      </c>
      <c r="AL47" s="12">
        <v>4354.875</v>
      </c>
      <c r="AM47" s="12">
        <v>4354.875</v>
      </c>
      <c r="AN47" s="12">
        <v>4354.875</v>
      </c>
    </row>
    <row r="48" spans="2:40" x14ac:dyDescent="0.25">
      <c r="B48" s="39" t="s">
        <v>41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103139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42</v>
      </c>
      <c r="E49" s="12">
        <f>'Corp.'!E$50*(E$37-(E31-E32-E34)*$C$35)/(SUM('MDA1:NCA9'!E$37)-SUM('MDA1:NCA9'!E$31)-SUM('MDA1:NCA9'!E$32)-SUM('MDA1:NCA9'!E$34))</f>
        <v>0</v>
      </c>
      <c r="F49" s="12">
        <f>'Corp.'!F$50*(F$37-(F31-F32-F34)*$C$35)/(SUM('MDA1:NCA9'!F$37)-SUM('MDA1:NCA9'!F$31)-SUM('MDA1:NCA9'!F$32)-SUM('MDA1:NCA9'!F$34))</f>
        <v>0</v>
      </c>
      <c r="G49" s="12">
        <f>'Corp.'!G$50*(G$37-(G31-G32-G34)*$C$35)/(SUM('MDA1:NCA9'!G$37)-SUM('MDA1:NCA9'!G$31)-SUM('MDA1:NCA9'!G$32)-SUM('MDA1:NCA9'!G$34))</f>
        <v>0</v>
      </c>
      <c r="H49" s="12">
        <f>'Corp.'!H$50*(H$37-(H31-H32-H34)*$C$35)/(SUM('MDA1:NCA9'!H$37)-SUM('MDA1:NCA9'!H$31)-SUM('MDA1:NCA9'!H$32)-SUM('MDA1:NCA9'!H$34))</f>
        <v>0</v>
      </c>
      <c r="I49" s="12">
        <f>'Corp.'!I$50*(I$37-(I31-I32-I34)*$C$35)/(SUM('MDA1:NCA9'!I$37)-SUM('MDA1:NCA9'!I$31)-SUM('MDA1:NCA9'!I$32)-SUM('MDA1:NCA9'!I$34))</f>
        <v>0</v>
      </c>
      <c r="J49" s="12">
        <f>'Corp.'!J$50*(J$37-(J31-J32-J34)*$C$35)/(SUM('MDA1:NCA9'!J$37)-SUM('MDA1:NCA9'!J$31)-SUM('MDA1:NCA9'!J$32)-SUM('MDA1:NCA9'!J$34))</f>
        <v>0</v>
      </c>
      <c r="K49" s="12">
        <f>'Corp.'!K$50*(K$37-(K31-K32-K34)*$C$35)/(SUM('MDA1:NCA9'!K$37)-SUM('MDA1:NCA9'!K$31)-SUM('MDA1:NCA9'!K$32)-SUM('MDA1:NCA9'!K$34))</f>
        <v>0</v>
      </c>
      <c r="L49" s="12">
        <f>'Corp.'!L$50*(L$37-(L31-L32-L34)*$C$35)/(SUM('MDA1:NCA9'!L$37)-SUM('MDA1:NCA9'!L$31)-SUM('MDA1:NCA9'!L$32)-SUM('MDA1:NCA9'!L$34))</f>
        <v>0</v>
      </c>
      <c r="M49" s="12">
        <f>'Corp.'!M$50*(M$37-(M31-M32-M34)*$C$35)/(SUM('MDA1:NCA9'!M$37)-SUM('MDA1:NCA9'!M$31)-SUM('MDA1:NCA9'!M$32)-SUM('MDA1:NCA9'!M$34))</f>
        <v>0</v>
      </c>
      <c r="N49" s="12">
        <f>'Corp.'!N$50*(N$37-(N31-N32-N34)*$C$35)/(SUM('MDA1:NCA9'!N$37)-SUM('MDA1:NCA9'!N$31)-SUM('MDA1:NCA9'!N$32)-SUM('MDA1:NCA9'!N$34))</f>
        <v>2688.5401438797303</v>
      </c>
      <c r="O49" s="12">
        <f>'Corp.'!O$50*(O$37-(O31-O32-O34)*$C$35)/(SUM('MDA1:NCA9'!O$37)-SUM('MDA1:NCA9'!O$31)-SUM('MDA1:NCA9'!O$32)-SUM('MDA1:NCA9'!O$34))</f>
        <v>6290.5054349598804</v>
      </c>
      <c r="P49" s="12">
        <f>'Corp.'!P$50*(P$37-(P31-P32-P34)*$C$35)/(SUM('MDA1:NCA9'!P$37)-SUM('MDA1:NCA9'!P$31)-SUM('MDA1:NCA9'!P$32)-SUM('MDA1:NCA9'!P$34))</f>
        <v>9497.6300943453825</v>
      </c>
      <c r="Q49" s="12">
        <f>'Corp.'!Q$50*(Q$37-(Q31-Q32-Q34)*$C$35)/(SUM('MDA1:NCA9'!Q$37)-SUM('MDA1:NCA9'!Q$31)-SUM('MDA1:NCA9'!Q$32)-SUM('MDA1:NCA9'!Q$34))</f>
        <v>13500.355484516269</v>
      </c>
      <c r="R49" s="12">
        <f>'Corp.'!R$50*(R$37-(R31-R32-R34)*$C$35)/(SUM('MDA1:NCA9'!R$37)-SUM('MDA1:NCA9'!R$31)-SUM('MDA1:NCA9'!R$32)-SUM('MDA1:NCA9'!R$34))</f>
        <v>16531.46265997865</v>
      </c>
      <c r="S49" s="12">
        <f>'Corp.'!S$50*(S$37-(S31-S32-S34)*$C$35)/(SUM('MDA1:NCA9'!S$37)-SUM('MDA1:NCA9'!S$31)-SUM('MDA1:NCA9'!S$32)-SUM('MDA1:NCA9'!S$34))</f>
        <v>19205.255645450867</v>
      </c>
      <c r="T49" s="12">
        <f>'Corp.'!T$50*(T$37-(T31-T32-T34)*$C$35)/(SUM('MDA1:NCA9'!T$37)-SUM('MDA1:NCA9'!T$31)-SUM('MDA1:NCA9'!T$32)-SUM('MDA1:NCA9'!T$34))</f>
        <v>21729.372678790536</v>
      </c>
      <c r="U49" s="12">
        <f>'Corp.'!U$50*(U$37-(U31-U32-U34)*$C$35)/(SUM('MDA1:NCA9'!U$37)-SUM('MDA1:NCA9'!U$31)-SUM('MDA1:NCA9'!U$32)-SUM('MDA1:NCA9'!U$34))</f>
        <v>23249.914369665734</v>
      </c>
      <c r="V49" s="12">
        <f>'Corp.'!V$50*(V$37-(V31-V32-V34)*$C$35)/(SUM('MDA1:NCA9'!V$37)-SUM('MDA1:NCA9'!V$31)-SUM('MDA1:NCA9'!V$32)-SUM('MDA1:NCA9'!V$34))</f>
        <v>25815.929313256853</v>
      </c>
      <c r="W49" s="12">
        <f>'Corp.'!W$50*(W$37-(W31-W32-W34)*$C$35)/(SUM('MDA1:NCA9'!W$37)-SUM('MDA1:NCA9'!W$31)-SUM('MDA1:NCA9'!W$32)-SUM('MDA1:NCA9'!W$34))</f>
        <v>28035.076748159703</v>
      </c>
      <c r="X49" s="12">
        <f>'Corp.'!X$50*(X$37-(X31-X32-X34)*$C$35)/(SUM('MDA1:NCA9'!X$37)-SUM('MDA1:NCA9'!X$31)-SUM('MDA1:NCA9'!X$32)-SUM('MDA1:NCA9'!X$34))</f>
        <v>30066.585122356315</v>
      </c>
      <c r="Y49" s="12">
        <f>'Corp.'!Y$50*(Y$37-(Y31-Y32-Y34)*$C$35)/(SUM('MDA1:NCA9'!Y$37)-SUM('MDA1:NCA9'!Y$31)-SUM('MDA1:NCA9'!Y$32)-SUM('MDA1:NCA9'!Y$34))</f>
        <v>32277.605931711423</v>
      </c>
      <c r="Z49" s="12">
        <f>'Corp.'!Z$50*(Z$37-(Z31-Z32-Z34)*$C$35)/(SUM('MDA1:NCA9'!Z$37)-SUM('MDA1:NCA9'!Z$31)-SUM('MDA1:NCA9'!Z$32)-SUM('MDA1:NCA9'!Z$34))</f>
        <v>34362.785600056639</v>
      </c>
      <c r="AA49" s="12">
        <f>'Corp.'!AA$50*(AA$37-(AA31-AA32-AA34)*$C$35)/(SUM('MDA1:NCA9'!AA$37)-SUM('MDA1:NCA9'!AA$31)-SUM('MDA1:NCA9'!AA$32)-SUM('MDA1:NCA9'!AA$34))</f>
        <v>36299.60828556143</v>
      </c>
      <c r="AB49" s="12">
        <f>'Corp.'!AB$50*(AB$37-(AB31-AB32-AB34)*$C$35)/(SUM('MDA1:NCA9'!AB$37)-SUM('MDA1:NCA9'!AB$31)-SUM('MDA1:NCA9'!AB$32)-SUM('MDA1:NCA9'!AB$34))</f>
        <v>35475.825337077629</v>
      </c>
      <c r="AC49" s="12">
        <f>'Corp.'!AC$50*(AC$37-(AC31-AC32-AC34)*$C$35)/(SUM('MDA1:NCA9'!AC$37)-SUM('MDA1:NCA9'!AC$31)-SUM('MDA1:NCA9'!AC$32)-SUM('MDA1:NCA9'!AC$34))</f>
        <v>38074.333052250098</v>
      </c>
      <c r="AD49" s="12">
        <f>'Corp.'!AD$50*(AD$37-(AD31-AD32-AD34)*$C$35)/(SUM('MDA1:NCA9'!AD$37)-SUM('MDA1:NCA9'!AD$31)-SUM('MDA1:NCA9'!AD$32)-SUM('MDA1:NCA9'!AD$34))</f>
        <v>37448.844941507014</v>
      </c>
      <c r="AE49" s="12">
        <f>'Corp.'!AE$50*(AE$37-(AE31-AE32-AE34)*$C$35)/(SUM('MDA1:NCA9'!AE$37)-SUM('MDA1:NCA9'!AE$31)-SUM('MDA1:NCA9'!AE$32)-SUM('MDA1:NCA9'!AE$34))</f>
        <v>36859.068858333791</v>
      </c>
      <c r="AF49" s="12">
        <f>'Corp.'!AF$50*(AF$37-(AF31-AF32-AF34)*$C$35)/(SUM('MDA1:NCA9'!AF$37)-SUM('MDA1:NCA9'!AF$31)-SUM('MDA1:NCA9'!AF$32)-SUM('MDA1:NCA9'!AF$34))</f>
        <v>36306.42933272857</v>
      </c>
      <c r="AG49" s="12">
        <f>'Corp.'!AG$50*(AG$37-(AG31-AG32-AG34)*$C$35)/(SUM('MDA1:NCA9'!AG$37)-SUM('MDA1:NCA9'!AG$31)-SUM('MDA1:NCA9'!AG$32)-SUM('MDA1:NCA9'!AG$34))</f>
        <v>35863.238142656868</v>
      </c>
      <c r="AH49" s="12">
        <f>'Corp.'!AH$50*(AH$37-(AH31-AH32-AH34)*$C$35)/(SUM('MDA1:NCA9'!AH$37)-SUM('MDA1:NCA9'!AH$31)-SUM('MDA1:NCA9'!AH$32)-SUM('MDA1:NCA9'!AH$34))</f>
        <v>35280.276257161822</v>
      </c>
      <c r="AI49" s="12">
        <f>'Corp.'!AI$50*(AI$37-(AI31-AI32-AI34)*$C$35)/(SUM('MDA1:NCA9'!AI$37)-SUM('MDA1:NCA9'!AI$31)-SUM('MDA1:NCA9'!AI$32)-SUM('MDA1:NCA9'!AI$34))</f>
        <v>34672.761775821702</v>
      </c>
      <c r="AJ49" s="12">
        <f>'Corp.'!AJ$50*(AJ$37-(AJ31-AJ32-AJ34)*$C$35)/(SUM('MDA1:NCA9'!AJ$37)-SUM('MDA1:NCA9'!AJ$31)-SUM('MDA1:NCA9'!AJ$32)-SUM('MDA1:NCA9'!AJ$34))</f>
        <v>34050.324211069419</v>
      </c>
      <c r="AK49" s="12">
        <f>'Corp.'!AK$50*(AK$37-(AK31-AK32-AK34)*$C$35)/(SUM('MDA1:NCA9'!AK$37)-SUM('MDA1:NCA9'!AK$31)-SUM('MDA1:NCA9'!AK$32)-SUM('MDA1:NCA9'!AK$34))</f>
        <v>33475.580495666625</v>
      </c>
      <c r="AL49" s="12">
        <f>'Corp.'!AL$50*(AL$37-(AL31-AL32-AL34)*$C$35)/(SUM('MDA1:NCA9'!AL$37)-SUM('MDA1:NCA9'!AL$31)-SUM('MDA1:NCA9'!AL$32)-SUM('MDA1:NCA9'!AL$34))</f>
        <v>32948.160758159123</v>
      </c>
      <c r="AM49" s="12">
        <f>'Corp.'!AM$50*(AM$37-(AM31-AM32-AM34)*$C$35)/(SUM('MDA1:NCA9'!AM$37)-SUM('MDA1:NCA9'!AM$31)-SUM('MDA1:NCA9'!AM$32)-SUM('MDA1:NCA9'!AM$34))</f>
        <v>32380.155996000933</v>
      </c>
      <c r="AN49" s="12">
        <f>'Corp.'!AN$50*(AN$37-(AN31-AN32-AN34)*$C$35)/(SUM('MDA1:NCA9'!AN$37)-SUM('MDA1:NCA9'!AN$31)-SUM('MDA1:NCA9'!AN$32)-SUM('MDA1:NCA9'!AN$34))</f>
        <v>31895.978340841273</v>
      </c>
    </row>
    <row r="50" spans="2:40" x14ac:dyDescent="0.25">
      <c r="B50" s="1" t="s">
        <v>272</v>
      </c>
      <c r="E50" s="13" cm="1">
        <f t="array" ref="E50:AN50">_xlfn.BYCOL(_xlfn.VSTACK(_xlfn.ANCHORARRAY(E40),_xlfn.ANCHORARRAY(E42),_xlfn.ANCHORARRAY(E43),_xlfn.ANCHORARRAY(E45),_xlfn.ANCHORARRAY(E46),_xlfn.ANCHORARRAY(E47),_xlfn.ANCHORARRAY(E48),_xlfn.HSTACK(E49:AN49)),_xlfn.LAMBDA(_xlpm.a,SUM(_xlpm.a)))</f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103139</v>
      </c>
      <c r="M50" s="13">
        <v>0</v>
      </c>
      <c r="N50" s="13">
        <v>45324.370937659696</v>
      </c>
      <c r="O50" s="13">
        <v>75528.405752743143</v>
      </c>
      <c r="P50" s="13">
        <v>95834.849936131926</v>
      </c>
      <c r="Q50" s="13">
        <v>125103.5727868851</v>
      </c>
      <c r="R50" s="13">
        <v>146577.91977208445</v>
      </c>
      <c r="S50" s="13">
        <v>167681.66090062694</v>
      </c>
      <c r="T50" s="13">
        <v>188675.2367437036</v>
      </c>
      <c r="U50" s="13">
        <v>202683.02664107009</v>
      </c>
      <c r="V50" s="13">
        <v>223724.18139439813</v>
      </c>
      <c r="W50" s="13">
        <v>244533.32430570468</v>
      </c>
      <c r="X50" s="13">
        <v>264994.78082297154</v>
      </c>
      <c r="Y50" s="13">
        <v>285742.99477539689</v>
      </c>
      <c r="Z50" s="13">
        <v>306235.57992014574</v>
      </c>
      <c r="AA50" s="13">
        <v>321574.66741538746</v>
      </c>
      <c r="AB50" s="13">
        <v>321044.28946690372</v>
      </c>
      <c r="AC50" s="13">
        <v>349650.90402839205</v>
      </c>
      <c r="AD50" s="13">
        <v>349347.01901764906</v>
      </c>
      <c r="AE50" s="13">
        <v>349078.84603447578</v>
      </c>
      <c r="AF50" s="13">
        <v>348829.54737553722</v>
      </c>
      <c r="AG50" s="13">
        <v>348707.95928546553</v>
      </c>
      <c r="AH50" s="13">
        <v>348446.60049997043</v>
      </c>
      <c r="AI50" s="13">
        <v>348092.71605196368</v>
      </c>
      <c r="AJ50" s="13">
        <v>347909.5654872114</v>
      </c>
      <c r="AK50" s="13">
        <v>347656.42487180862</v>
      </c>
      <c r="AL50" s="13">
        <v>347314.66210096778</v>
      </c>
      <c r="AM50" s="13">
        <v>346746.65733880957</v>
      </c>
      <c r="AN50" s="13">
        <v>346262.4796836499</v>
      </c>
    </row>
    <row r="52" spans="2:40" x14ac:dyDescent="0.25">
      <c r="B52" s="1" t="s">
        <v>48</v>
      </c>
      <c r="E52" s="74">
        <f>E37-E50</f>
        <v>0</v>
      </c>
      <c r="F52" s="74">
        <f t="shared" ref="F52:AN52" si="0">F37-F50</f>
        <v>0</v>
      </c>
      <c r="G52" s="74">
        <f t="shared" si="0"/>
        <v>0</v>
      </c>
      <c r="H52" s="74">
        <f t="shared" si="0"/>
        <v>0</v>
      </c>
      <c r="I52" s="74">
        <f t="shared" si="0"/>
        <v>0</v>
      </c>
      <c r="J52" s="74">
        <f t="shared" si="0"/>
        <v>0</v>
      </c>
      <c r="K52" s="74">
        <f t="shared" si="0"/>
        <v>0</v>
      </c>
      <c r="L52" s="74">
        <f t="shared" si="0"/>
        <v>-103139</v>
      </c>
      <c r="M52" s="74">
        <f t="shared" si="0"/>
        <v>0</v>
      </c>
      <c r="N52" s="74">
        <f t="shared" si="0"/>
        <v>-29919.830370875694</v>
      </c>
      <c r="O52" s="74">
        <f t="shared" si="0"/>
        <v>-37017.054335783156</v>
      </c>
      <c r="P52" s="74">
        <f t="shared" si="0"/>
        <v>-34216.687668995917</v>
      </c>
      <c r="Q52" s="74">
        <f t="shared" si="0"/>
        <v>-37836.850476053747</v>
      </c>
      <c r="R52" s="74">
        <f t="shared" si="0"/>
        <v>-35511.182285571791</v>
      </c>
      <c r="S52" s="74">
        <f t="shared" si="0"/>
        <v>-32814.90823843304</v>
      </c>
      <c r="T52" s="74">
        <f t="shared" si="0"/>
        <v>-30008.468905828457</v>
      </c>
      <c r="U52" s="74">
        <f t="shared" si="0"/>
        <v>-28149.582019407389</v>
      </c>
      <c r="V52" s="74">
        <f t="shared" si="0"/>
        <v>-25390.721597054071</v>
      </c>
      <c r="W52" s="74">
        <f t="shared" si="0"/>
        <v>-22399.849332679354</v>
      </c>
      <c r="X52" s="74">
        <f t="shared" si="0"/>
        <v>-19061.290674265038</v>
      </c>
      <c r="Y52" s="74">
        <f t="shared" si="0"/>
        <v>-16009.489451009082</v>
      </c>
      <c r="Z52" s="74">
        <f t="shared" si="0"/>
        <v>-12702.059420076606</v>
      </c>
      <c r="AA52" s="74">
        <f t="shared" si="0"/>
        <v>-4241.1317396371742</v>
      </c>
      <c r="AB52" s="74">
        <f t="shared" si="0"/>
        <v>-3710.7537911534309</v>
      </c>
      <c r="AC52" s="74">
        <f t="shared" si="0"/>
        <v>-32317.368352641759</v>
      </c>
      <c r="AD52" s="74">
        <f t="shared" si="0"/>
        <v>-32013.483341898769</v>
      </c>
      <c r="AE52" s="74">
        <f t="shared" si="0"/>
        <v>-31745.310358725488</v>
      </c>
      <c r="AF52" s="74">
        <f t="shared" si="0"/>
        <v>-31496.011699786934</v>
      </c>
      <c r="AG52" s="74">
        <f t="shared" si="0"/>
        <v>-31374.423609715246</v>
      </c>
      <c r="AH52" s="74">
        <f t="shared" si="0"/>
        <v>-31113.064824220142</v>
      </c>
      <c r="AI52" s="74">
        <f t="shared" si="0"/>
        <v>-30759.180376213393</v>
      </c>
      <c r="AJ52" s="74">
        <f t="shared" si="0"/>
        <v>-30576.029811461107</v>
      </c>
      <c r="AK52" s="74">
        <f t="shared" si="0"/>
        <v>-30322.889196058328</v>
      </c>
      <c r="AL52" s="74">
        <f t="shared" si="0"/>
        <v>-29981.126425217488</v>
      </c>
      <c r="AM52" s="74">
        <f t="shared" si="0"/>
        <v>-29413.121663059283</v>
      </c>
      <c r="AN52" s="74">
        <f t="shared" si="0"/>
        <v>-28928.944007899612</v>
      </c>
    </row>
    <row r="53" spans="2:40" x14ac:dyDescent="0.25">
      <c r="E53" s="105" t="str">
        <f>IFERROR(E52/E37,"")</f>
        <v/>
      </c>
      <c r="F53" s="105" t="str">
        <f t="shared" ref="F53:AN53" si="1">IFERROR(F52/F37,"")</f>
        <v/>
      </c>
      <c r="G53" s="105" t="str">
        <f t="shared" si="1"/>
        <v/>
      </c>
      <c r="H53" s="105" t="str">
        <f t="shared" si="1"/>
        <v/>
      </c>
      <c r="I53" s="105" t="str">
        <f t="shared" si="1"/>
        <v/>
      </c>
      <c r="J53" s="105" t="str">
        <f t="shared" si="1"/>
        <v/>
      </c>
      <c r="K53" s="105" t="str">
        <f t="shared" si="1"/>
        <v/>
      </c>
      <c r="L53" s="105" t="str">
        <f t="shared" si="1"/>
        <v/>
      </c>
      <c r="M53" s="105" t="str">
        <f t="shared" si="1"/>
        <v/>
      </c>
      <c r="N53" s="105">
        <f t="shared" si="1"/>
        <v>-1.9422734641882307</v>
      </c>
      <c r="O53" s="105">
        <f t="shared" si="1"/>
        <v>-0.9611985291038434</v>
      </c>
      <c r="P53" s="105">
        <f t="shared" si="1"/>
        <v>-0.55530198256570462</v>
      </c>
      <c r="Q53" s="105">
        <f t="shared" si="1"/>
        <v>-0.43357707811328583</v>
      </c>
      <c r="R53" s="105">
        <f t="shared" si="1"/>
        <v>-0.31972832811339286</v>
      </c>
      <c r="S53" s="105">
        <f t="shared" si="1"/>
        <v>-0.24331354904515154</v>
      </c>
      <c r="T53" s="105">
        <f t="shared" si="1"/>
        <v>-0.18912888511405834</v>
      </c>
      <c r="U53" s="105">
        <f t="shared" si="1"/>
        <v>-0.16128474448222474</v>
      </c>
      <c r="V53" s="105">
        <f t="shared" si="1"/>
        <v>-0.12802036339706954</v>
      </c>
      <c r="W53" s="105">
        <f t="shared" si="1"/>
        <v>-0.10083959356148131</v>
      </c>
      <c r="X53" s="105">
        <f t="shared" si="1"/>
        <v>-7.7505876335668675E-2</v>
      </c>
      <c r="Y53" s="105">
        <f t="shared" si="1"/>
        <v>-5.9352987800887755E-2</v>
      </c>
      <c r="Z53" s="105">
        <f t="shared" si="1"/>
        <v>-4.327294340502285E-2</v>
      </c>
      <c r="AA53" s="105">
        <f t="shared" si="1"/>
        <v>-1.3364902422323053E-2</v>
      </c>
      <c r="AB53" s="105">
        <f t="shared" si="1"/>
        <v>-1.1693544406680859E-2</v>
      </c>
      <c r="AC53" s="105">
        <f t="shared" si="1"/>
        <v>-0.10184038155256138</v>
      </c>
      <c r="AD53" s="105">
        <f t="shared" si="1"/>
        <v>-0.10088276133099899</v>
      </c>
      <c r="AE53" s="105">
        <f t="shared" si="1"/>
        <v>-0.10003767893968407</v>
      </c>
      <c r="AF53" s="105">
        <f t="shared" si="1"/>
        <v>-9.925207442294845E-2</v>
      </c>
      <c r="AG53" s="105">
        <f t="shared" si="1"/>
        <v>-9.8868918921237073E-2</v>
      </c>
      <c r="AH53" s="105">
        <f t="shared" si="1"/>
        <v>-9.8045309828241112E-2</v>
      </c>
      <c r="AI53" s="105">
        <f t="shared" si="1"/>
        <v>-9.6930128455263415E-2</v>
      </c>
      <c r="AJ53" s="105">
        <f t="shared" si="1"/>
        <v>-9.6352973682250626E-2</v>
      </c>
      <c r="AK53" s="105">
        <f t="shared" si="1"/>
        <v>-9.5555262167570251E-2</v>
      </c>
      <c r="AL53" s="105">
        <f t="shared" si="1"/>
        <v>-9.4478279332733506E-2</v>
      </c>
      <c r="AM53" s="105">
        <f t="shared" si="1"/>
        <v>-9.2688349500865408E-2</v>
      </c>
      <c r="AN53" s="105">
        <f t="shared" si="1"/>
        <v>-9.1162580552025405E-2</v>
      </c>
    </row>
    <row r="55" spans="2:40" x14ac:dyDescent="0.25">
      <c r="B55" t="s">
        <v>57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907240</v>
      </c>
      <c r="D55" s="12">
        <f>C55-SUM(_xlfn.ANCHORARRAY(E55))</f>
        <v>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151206.66666666666</v>
      </c>
      <c r="M55" s="12">
        <v>151206.66666666666</v>
      </c>
      <c r="N55" s="12">
        <v>151206.66666666666</v>
      </c>
      <c r="O55" s="12">
        <v>151206.66666666666</v>
      </c>
      <c r="P55" s="12">
        <v>151206.66666666666</v>
      </c>
      <c r="Q55" s="12">
        <v>151206.66666666666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</row>
    <row r="56" spans="2:40" x14ac:dyDescent="0.25">
      <c r="B56" t="s">
        <v>285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0</v>
      </c>
      <c r="F56" s="90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0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0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0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0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-37979.894767405938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-42582.001261732701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-46675.757917355506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-50130.226139456783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-48089.124514357936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-54343.367984472294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-16660.010622976897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-20230.012899329085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-23800.01517568127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-26180.016693249403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-29750.018969601606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-33320.021245953794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-36890.023522305972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-40460.025798658171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-44030.02807501037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-47600.03035136254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-47600.03035136254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-47600.03035136254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-47600.03035136254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-47600.03035136254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-47600.03035136254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-47600.03035136254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-47600.03035136254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-47600.03035136254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276</v>
      </c>
      <c r="E58" s="13">
        <f>E37-E50-E55+E56</f>
        <v>0</v>
      </c>
      <c r="F58" s="13">
        <f t="shared" ref="F58:AN58" si="2">F37-F50-F55+F56</f>
        <v>0</v>
      </c>
      <c r="G58" s="13">
        <f t="shared" si="2"/>
        <v>0</v>
      </c>
      <c r="H58" s="13">
        <f t="shared" si="2"/>
        <v>0</v>
      </c>
      <c r="I58" s="13">
        <f t="shared" si="2"/>
        <v>0</v>
      </c>
      <c r="J58" s="13">
        <f t="shared" si="2"/>
        <v>0</v>
      </c>
      <c r="K58" s="13">
        <f t="shared" si="2"/>
        <v>0</v>
      </c>
      <c r="L58" s="13">
        <f t="shared" si="2"/>
        <v>-254345.66666666666</v>
      </c>
      <c r="M58" s="13">
        <f t="shared" si="2"/>
        <v>-151206.66666666666</v>
      </c>
      <c r="N58" s="13">
        <f t="shared" si="2"/>
        <v>-181126.49703754234</v>
      </c>
      <c r="O58" s="13">
        <f t="shared" si="2"/>
        <v>-188223.72100244981</v>
      </c>
      <c r="P58" s="13">
        <f t="shared" si="2"/>
        <v>-185423.35433566256</v>
      </c>
      <c r="Q58" s="13">
        <f t="shared" si="2"/>
        <v>-227023.41191012633</v>
      </c>
      <c r="R58" s="13">
        <f t="shared" si="2"/>
        <v>-78093.183547304492</v>
      </c>
      <c r="S58" s="13">
        <f t="shared" si="2"/>
        <v>-79490.666155788553</v>
      </c>
      <c r="T58" s="13">
        <f t="shared" si="2"/>
        <v>-80138.695045285247</v>
      </c>
      <c r="U58" s="13">
        <f t="shared" si="2"/>
        <v>-76238.706533765333</v>
      </c>
      <c r="V58" s="13">
        <f t="shared" si="2"/>
        <v>-79734.089581526365</v>
      </c>
      <c r="W58" s="13">
        <f t="shared" si="2"/>
        <v>-39059.859955656255</v>
      </c>
      <c r="X58" s="13">
        <f t="shared" si="2"/>
        <v>-39291.303573594123</v>
      </c>
      <c r="Y58" s="13">
        <f t="shared" si="2"/>
        <v>-39809.504626690352</v>
      </c>
      <c r="Z58" s="13">
        <f t="shared" si="2"/>
        <v>-38882.076113326009</v>
      </c>
      <c r="AA58" s="13">
        <f t="shared" si="2"/>
        <v>-33991.150709238776</v>
      </c>
      <c r="AB58" s="13">
        <f t="shared" si="2"/>
        <v>-37030.775037107225</v>
      </c>
      <c r="AC58" s="13">
        <f t="shared" si="2"/>
        <v>-69207.391874947731</v>
      </c>
      <c r="AD58" s="13">
        <f t="shared" si="2"/>
        <v>-72473.50914055694</v>
      </c>
      <c r="AE58" s="13">
        <f t="shared" si="2"/>
        <v>-75775.338433735858</v>
      </c>
      <c r="AF58" s="13">
        <f t="shared" si="2"/>
        <v>-79096.042051149474</v>
      </c>
      <c r="AG58" s="13">
        <f t="shared" si="2"/>
        <v>-78974.453961077787</v>
      </c>
      <c r="AH58" s="13">
        <f t="shared" si="2"/>
        <v>-78713.095175582683</v>
      </c>
      <c r="AI58" s="13">
        <f t="shared" si="2"/>
        <v>-78359.210727575934</v>
      </c>
      <c r="AJ58" s="13">
        <f t="shared" si="2"/>
        <v>-78176.060162823647</v>
      </c>
      <c r="AK58" s="13">
        <f t="shared" si="2"/>
        <v>-77922.919547420868</v>
      </c>
      <c r="AL58" s="13">
        <f t="shared" si="2"/>
        <v>-77581.156776580028</v>
      </c>
      <c r="AM58" s="13">
        <f t="shared" si="2"/>
        <v>-77013.152014421823</v>
      </c>
      <c r="AN58" s="13">
        <f t="shared" si="2"/>
        <v>-76528.974359262153</v>
      </c>
    </row>
    <row r="59" spans="2:40" x14ac:dyDescent="0.25">
      <c r="B59" t="s">
        <v>277</v>
      </c>
      <c r="E59" s="12" cm="1">
        <f t="array" ref="E59:AN59">_xlfn.SCAN(-D55,E58:AN58,_xlfn.LAMBDA(_xlpm.capex,_xlpm.fcf,_xlpm.capex+_xlpm.fcf))</f>
        <v>0</v>
      </c>
      <c r="F59" s="12">
        <v>0</v>
      </c>
      <c r="G59" s="12">
        <v>0</v>
      </c>
      <c r="H59" s="12">
        <v>0</v>
      </c>
      <c r="I59" s="12">
        <v>0</v>
      </c>
      <c r="J59" s="12">
        <v>0</v>
      </c>
      <c r="K59" s="12">
        <v>0</v>
      </c>
      <c r="L59" s="12">
        <v>-254345.66666666666</v>
      </c>
      <c r="M59" s="12">
        <v>-405552.33333333331</v>
      </c>
      <c r="N59" s="12">
        <v>-586678.83037087566</v>
      </c>
      <c r="O59" s="12">
        <v>-774902.55137332552</v>
      </c>
      <c r="P59" s="12">
        <v>-960325.90570898808</v>
      </c>
      <c r="Q59" s="12">
        <v>-1187349.3176191144</v>
      </c>
      <c r="R59" s="12">
        <v>-1265442.5011664189</v>
      </c>
      <c r="S59" s="12">
        <v>-1344933.1673222075</v>
      </c>
      <c r="T59" s="12">
        <v>-1425071.8623674926</v>
      </c>
      <c r="U59" s="12">
        <v>-1501310.5689012581</v>
      </c>
      <c r="V59" s="12">
        <v>-1581044.6584827844</v>
      </c>
      <c r="W59" s="12">
        <v>-1620104.5184384407</v>
      </c>
      <c r="X59" s="12">
        <v>-1659395.8220120349</v>
      </c>
      <c r="Y59" s="12">
        <v>-1699205.3266387254</v>
      </c>
      <c r="Z59" s="12">
        <v>-1738087.4027520514</v>
      </c>
      <c r="AA59" s="12">
        <v>-1772078.5534612902</v>
      </c>
      <c r="AB59" s="12">
        <v>-1809109.3284983975</v>
      </c>
      <c r="AC59" s="12">
        <v>-1878316.7203733453</v>
      </c>
      <c r="AD59" s="12">
        <v>-1950790.2295139022</v>
      </c>
      <c r="AE59" s="12">
        <v>-2026565.567947638</v>
      </c>
      <c r="AF59" s="12">
        <v>-2105661.6099987873</v>
      </c>
      <c r="AG59" s="12">
        <v>-2184636.0639598649</v>
      </c>
      <c r="AH59" s="12">
        <v>-2263349.1591354478</v>
      </c>
      <c r="AI59" s="12">
        <v>-2341708.369863024</v>
      </c>
      <c r="AJ59" s="12">
        <v>-2419884.4300258476</v>
      </c>
      <c r="AK59" s="12">
        <v>-2497807.3495732686</v>
      </c>
      <c r="AL59" s="12">
        <v>-2575388.5063498486</v>
      </c>
      <c r="AM59" s="12">
        <v>-2652401.6583642703</v>
      </c>
      <c r="AN59" s="12">
        <v>-2728930.6327235326</v>
      </c>
    </row>
    <row r="61" spans="2:40" x14ac:dyDescent="0.25">
      <c r="B61" s="1" t="s">
        <v>302</v>
      </c>
    </row>
    <row r="63" spans="2:40" x14ac:dyDescent="0.25">
      <c r="B63" s="39" t="s">
        <v>103</v>
      </c>
      <c r="E63" s="12" cm="1">
        <f t="array" ref="E63:AN63">_xlfn.LET(_xlpm.site,$B$1&amp;"-"&amp;$C$1,_xlpm.locations,Base!$D$4:$BD$4,_xlpm.rates,Base!$D$36:$BD$36,_xlpm.hours,Base!$D$79:$BD$79,_xlpm.comp,_xlpm.rates*_xlpm.hours,_xlpm.Customer,_xlfn.ANCHORARRAY($E$1),
_xlpm.Customer_comp,_xlfn.XLOOKUP(_xlpm.site,_xlpm.locations,_xlpm.comp,0,0),_xlpm.ann_incr,_xlfn.XLOOKUP(YEAR(_xlfn.ANCHORARRAY($E$25)),Base!$BJ$4:$BL$4,Base!$BJ$79:$BL$79,0,0),
_xlpm.bad_debt,_xlfn.XLOOKUP(_xlpm.site,_xlpm.locations,Base!$D$28:$BD$28,0,0),_xlpm.Customer_comp*_xlpm.Customer*_xlpm.bad_debt*_xlpm.ann_incr*(52/12)*(1-$C$35))</f>
        <v>0</v>
      </c>
      <c r="F63" s="12">
        <v>0</v>
      </c>
      <c r="G63" s="12">
        <v>0</v>
      </c>
      <c r="H63" s="12">
        <v>0</v>
      </c>
      <c r="I63" s="12">
        <v>0</v>
      </c>
      <c r="J63" s="12">
        <v>0</v>
      </c>
      <c r="K63" s="12">
        <v>0</v>
      </c>
      <c r="L63" s="12">
        <v>0</v>
      </c>
      <c r="M63" s="12">
        <v>0</v>
      </c>
      <c r="N63" s="12">
        <v>0</v>
      </c>
      <c r="O63" s="12">
        <v>0</v>
      </c>
      <c r="P63" s="12">
        <v>0</v>
      </c>
      <c r="Q63" s="12">
        <v>0</v>
      </c>
      <c r="R63" s="12">
        <v>0</v>
      </c>
      <c r="S63" s="12">
        <v>0</v>
      </c>
      <c r="T63" s="12">
        <v>0</v>
      </c>
      <c r="U63" s="12">
        <v>0</v>
      </c>
      <c r="V63" s="12">
        <v>0</v>
      </c>
      <c r="W63" s="12">
        <v>0</v>
      </c>
      <c r="X63" s="12">
        <v>0</v>
      </c>
      <c r="Y63" s="12">
        <v>0</v>
      </c>
      <c r="Z63" s="12">
        <v>0</v>
      </c>
      <c r="AA63" s="12">
        <v>0</v>
      </c>
      <c r="AB63" s="12">
        <v>0</v>
      </c>
      <c r="AC63" s="12">
        <v>0</v>
      </c>
      <c r="AD63" s="12">
        <v>0</v>
      </c>
      <c r="AE63" s="12">
        <v>0</v>
      </c>
      <c r="AF63" s="12">
        <v>0</v>
      </c>
      <c r="AG63" s="12">
        <v>0</v>
      </c>
      <c r="AH63" s="12">
        <v>0</v>
      </c>
      <c r="AI63" s="12">
        <v>0</v>
      </c>
      <c r="AJ63" s="12">
        <v>0</v>
      </c>
      <c r="AK63" s="12">
        <v>0</v>
      </c>
      <c r="AL63" s="12">
        <v>0</v>
      </c>
      <c r="AM63" s="12">
        <v>0</v>
      </c>
      <c r="AN63" s="12">
        <v>0</v>
      </c>
    </row>
    <row r="64" spans="2:40" x14ac:dyDescent="0.25">
      <c r="B64" s="39" t="s">
        <v>104</v>
      </c>
      <c r="E64" s="12" cm="1">
        <f t="array" ref="E64:AN64">_xlfn.LET(_xlpm.site,$B$1&amp;"-"&amp;$C$1,_xlpm.locations,Base!$D$4:$BD$4,_xlpm.rates,Base!$D$37:$BD$37,_xlpm.hours,Base!$D$80:$BD$80,_xlpm.comp,_xlpm.rates*_xlpm.hours,_xlpm.Customer,_xlfn.ANCHORARRAY($E$1),
_xlpm.Customer_comp,_xlfn.XLOOKUP(_xlpm.site,_xlpm.locations,_xlpm.comp,0,0),_xlpm.ann_incr,_xlfn.XLOOKUP(YEAR(_xlfn.ANCHORARRAY($E$25)),Base!$BJ$4:$BL$4,Base!$BJ$80:$BL$80,0,0),
_xlpm.bad_debt,_xlfn.XLOOKUP(_xlpm.site,_xlpm.locations,Base!$D$28:$BD$28,0,0),_xlpm.Customer_comp*_xlpm.Customer*_xlpm.bad_debt*_xlpm.ann_incr*(52/12)*(1-$C$35))</f>
        <v>0</v>
      </c>
      <c r="F64" s="12">
        <v>0</v>
      </c>
      <c r="G64" s="12">
        <v>0</v>
      </c>
      <c r="H64" s="12">
        <v>0</v>
      </c>
      <c r="I64" s="12">
        <v>0</v>
      </c>
      <c r="J64" s="12">
        <v>0</v>
      </c>
      <c r="K64" s="12">
        <v>0</v>
      </c>
      <c r="L64" s="12">
        <v>0</v>
      </c>
      <c r="M64" s="12">
        <v>0</v>
      </c>
      <c r="N64" s="12">
        <v>0</v>
      </c>
      <c r="O64" s="12">
        <v>0</v>
      </c>
      <c r="P64" s="12">
        <v>0</v>
      </c>
      <c r="Q64" s="12">
        <v>0</v>
      </c>
      <c r="R64" s="12">
        <v>0</v>
      </c>
      <c r="S64" s="12">
        <v>0</v>
      </c>
      <c r="T64" s="12">
        <v>0</v>
      </c>
      <c r="U64" s="12">
        <v>0</v>
      </c>
      <c r="V64" s="12">
        <v>0</v>
      </c>
      <c r="W64" s="12">
        <v>0</v>
      </c>
      <c r="X64" s="12">
        <v>0</v>
      </c>
      <c r="Y64" s="12">
        <v>0</v>
      </c>
      <c r="Z64" s="12">
        <v>0</v>
      </c>
      <c r="AA64" s="12">
        <v>0</v>
      </c>
      <c r="AB64" s="12">
        <v>0</v>
      </c>
      <c r="AC64" s="12">
        <v>0</v>
      </c>
      <c r="AD64" s="12">
        <v>0</v>
      </c>
      <c r="AE64" s="12">
        <v>0</v>
      </c>
      <c r="AF64" s="12">
        <v>0</v>
      </c>
      <c r="AG64" s="12">
        <v>0</v>
      </c>
      <c r="AH64" s="12">
        <v>0</v>
      </c>
      <c r="AI64" s="12">
        <v>0</v>
      </c>
      <c r="AJ64" s="12">
        <v>0</v>
      </c>
      <c r="AK64" s="12">
        <v>0</v>
      </c>
      <c r="AL64" s="12">
        <v>0</v>
      </c>
      <c r="AM64" s="12">
        <v>0</v>
      </c>
      <c r="AN64" s="12">
        <v>0</v>
      </c>
    </row>
    <row r="65" spans="2:40" x14ac:dyDescent="0.25">
      <c r="B65" s="39" t="s">
        <v>56</v>
      </c>
      <c r="E65" s="12" cm="1">
        <f t="array" ref="E65:AN65">_xlfn.LET(_xlpm.site,$B$1&amp;"-"&amp;$C$1,_xlpm.locations,Base!$D$4:$BD$4,_xlpm.rates,Base!$D$39:$BD$39,_xlpm.hours,Base!$D$82:$BD$82,_xlpm.comp,_xlpm.rates*_xlpm.hours,_xlpm.Customer,_xlfn.ANCHORARRAY($E$1),
_xlpm.Customer_comp,_xlfn.XLOOKUP(_xlpm.site,_xlpm.locations,_xlpm.comp,0,0),_xlpm.ann_incr,_xlfn.XLOOKUP(YEAR(_xlfn.ANCHORARRAY($E$25)),Base!$BJ$4:$BL$4,Base!$BJ$82:$BL$82,0,0),
_xlpm.bad_debt,_xlfn.XLOOKUP(_xlpm.site,_xlpm.locations,Base!$D$28:$BD$28,0,0),_xlpm.Customer_comp*_xlpm.Customer*_xlpm.bad_debt*_xlpm.ann_incr*(52/12)*(1-$C$35))</f>
        <v>0</v>
      </c>
      <c r="F65" s="12">
        <v>0</v>
      </c>
      <c r="G65" s="12">
        <v>0</v>
      </c>
      <c r="H65" s="12">
        <v>0</v>
      </c>
      <c r="I65" s="12">
        <v>0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  <c r="O65" s="12">
        <v>0</v>
      </c>
      <c r="P65" s="12">
        <v>0</v>
      </c>
      <c r="Q65" s="12">
        <v>0</v>
      </c>
      <c r="R65" s="12">
        <v>0</v>
      </c>
      <c r="S65" s="12">
        <v>0</v>
      </c>
      <c r="T65" s="12">
        <v>0</v>
      </c>
      <c r="U65" s="12">
        <v>0</v>
      </c>
      <c r="V65" s="12">
        <v>0</v>
      </c>
      <c r="W65" s="12">
        <v>0</v>
      </c>
      <c r="X65" s="12">
        <v>0</v>
      </c>
      <c r="Y65" s="12">
        <v>0</v>
      </c>
      <c r="Z65" s="12">
        <v>0</v>
      </c>
      <c r="AA65" s="12">
        <v>0</v>
      </c>
      <c r="AB65" s="12">
        <v>0</v>
      </c>
      <c r="AC65" s="12">
        <v>0</v>
      </c>
      <c r="AD65" s="12">
        <v>0</v>
      </c>
      <c r="AE65" s="12">
        <v>0</v>
      </c>
      <c r="AF65" s="12">
        <v>0</v>
      </c>
      <c r="AG65" s="12">
        <v>0</v>
      </c>
      <c r="AH65" s="12">
        <v>0</v>
      </c>
      <c r="AI65" s="12">
        <v>0</v>
      </c>
      <c r="AJ65" s="12">
        <v>0</v>
      </c>
      <c r="AK65" s="12">
        <v>0</v>
      </c>
      <c r="AL65" s="12">
        <v>0</v>
      </c>
      <c r="AM65" s="12">
        <v>0</v>
      </c>
      <c r="AN65" s="12">
        <v>0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303</v>
      </c>
      <c r="C67" s="12"/>
      <c r="E67" s="13" cm="1">
        <f t="array" ref="E67:AN67">_xlfn.BYCOL(_xlfn.VSTACK(_xlfn.ANCHORARRAY($E$63),_xlfn.ANCHORARRAY($E$64),_xlfn.ANCHORARRAY($E$65)),_xlfn.LAMBDA(_xlpm.a,SUM(_xlpm.a)))</f>
        <v>0</v>
      </c>
      <c r="F67" s="13">
        <v>0</v>
      </c>
      <c r="G67" s="13">
        <v>0</v>
      </c>
      <c r="H67" s="13">
        <v>0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  <c r="W67" s="13">
        <v>0</v>
      </c>
      <c r="X67" s="13">
        <v>0</v>
      </c>
      <c r="Y67" s="13">
        <v>0</v>
      </c>
      <c r="Z67" s="13">
        <v>0</v>
      </c>
      <c r="AA67" s="13">
        <v>0</v>
      </c>
      <c r="AB67" s="13">
        <v>0</v>
      </c>
      <c r="AC67" s="13">
        <v>0</v>
      </c>
      <c r="AD67" s="13">
        <v>0</v>
      </c>
      <c r="AE67" s="13">
        <v>0</v>
      </c>
      <c r="AF67" s="13">
        <v>0</v>
      </c>
      <c r="AG67" s="13">
        <v>0</v>
      </c>
      <c r="AH67" s="13">
        <v>0</v>
      </c>
      <c r="AI67" s="13">
        <v>0</v>
      </c>
      <c r="AJ67" s="13">
        <v>0</v>
      </c>
      <c r="AK67" s="13">
        <v>0</v>
      </c>
      <c r="AL67" s="13">
        <v>0</v>
      </c>
      <c r="AM67" s="13">
        <v>0</v>
      </c>
      <c r="AN67" s="13">
        <v>0</v>
      </c>
    </row>
    <row r="68" spans="2:40" x14ac:dyDescent="0.25">
      <c r="B68" s="39"/>
      <c r="C68" s="12"/>
    </row>
    <row r="69" spans="2:40" x14ac:dyDescent="0.25">
      <c r="B69" s="39" t="s">
        <v>304</v>
      </c>
      <c r="C69" s="12"/>
      <c r="E69" s="106" cm="1">
        <f t="array" ref="E69:AN70">_xlfn.LET(_xlpm.Customer_staff,_xlfn._xlws.FILTER(Base!$D$96:$BD$97,ISNUMBER(SEARCH($B$1&amp;"-"&amp;$C$1,Base!$D$4:$BD$4))),_xlpm.Customer,_xlfn.ANCHORARRAY($E$1),_xlpm.headcount,_xlpm.Customer/_xlpm.Customer_staff,
_xlpm.rounding,_xlfn.VSTACK(0,0),IFERROR(ROUND(_xlpm.headcount,_xlpm.rounding),0))</f>
        <v>0</v>
      </c>
      <c r="F69" s="106">
        <v>0</v>
      </c>
      <c r="G69" s="106">
        <v>0</v>
      </c>
      <c r="H69" s="106">
        <v>0</v>
      </c>
      <c r="I69" s="106">
        <v>0</v>
      </c>
      <c r="J69" s="106">
        <v>0</v>
      </c>
      <c r="K69" s="106">
        <v>0</v>
      </c>
      <c r="L69" s="106">
        <v>0</v>
      </c>
      <c r="M69" s="106">
        <v>0</v>
      </c>
      <c r="N69" s="106">
        <v>0</v>
      </c>
      <c r="O69" s="106">
        <v>0</v>
      </c>
      <c r="P69" s="106">
        <v>0</v>
      </c>
      <c r="Q69" s="106">
        <v>0</v>
      </c>
      <c r="R69" s="106">
        <v>0</v>
      </c>
      <c r="S69" s="106">
        <v>0</v>
      </c>
      <c r="T69" s="106">
        <v>0</v>
      </c>
      <c r="U69" s="106">
        <v>0</v>
      </c>
      <c r="V69" s="106">
        <v>0</v>
      </c>
      <c r="W69" s="106">
        <v>0</v>
      </c>
      <c r="X69" s="106">
        <v>0</v>
      </c>
      <c r="Y69" s="106">
        <v>0</v>
      </c>
      <c r="Z69" s="106">
        <v>0</v>
      </c>
      <c r="AA69" s="106">
        <v>0</v>
      </c>
      <c r="AB69" s="106">
        <v>0</v>
      </c>
      <c r="AC69" s="106">
        <v>0</v>
      </c>
      <c r="AD69" s="106">
        <v>0</v>
      </c>
      <c r="AE69" s="106">
        <v>0</v>
      </c>
      <c r="AF69" s="106">
        <v>0</v>
      </c>
      <c r="AG69" s="106">
        <v>0</v>
      </c>
      <c r="AH69" s="106">
        <v>0</v>
      </c>
      <c r="AI69" s="106">
        <v>0</v>
      </c>
      <c r="AJ69" s="106">
        <v>0</v>
      </c>
      <c r="AK69" s="106">
        <v>0</v>
      </c>
      <c r="AL69" s="106">
        <v>0</v>
      </c>
      <c r="AM69" s="106">
        <v>0</v>
      </c>
      <c r="AN69" s="106">
        <v>0</v>
      </c>
    </row>
    <row r="70" spans="2:40" x14ac:dyDescent="0.25">
      <c r="B70" s="39" t="s">
        <v>305</v>
      </c>
      <c r="C70" s="12"/>
      <c r="E70" s="106">
        <v>0</v>
      </c>
      <c r="F70" s="106">
        <v>0</v>
      </c>
      <c r="G70" s="106">
        <v>0</v>
      </c>
      <c r="H70" s="106">
        <v>0</v>
      </c>
      <c r="I70" s="106">
        <v>0</v>
      </c>
      <c r="J70" s="106">
        <v>0</v>
      </c>
      <c r="K70" s="106">
        <v>0</v>
      </c>
      <c r="L70" s="106">
        <v>0</v>
      </c>
      <c r="M70" s="106">
        <v>0</v>
      </c>
      <c r="N70" s="106">
        <v>0</v>
      </c>
      <c r="O70" s="106">
        <v>0</v>
      </c>
      <c r="P70" s="106">
        <v>0</v>
      </c>
      <c r="Q70" s="106">
        <v>0</v>
      </c>
      <c r="R70" s="106">
        <v>0</v>
      </c>
      <c r="S70" s="106">
        <v>0</v>
      </c>
      <c r="T70" s="106">
        <v>0</v>
      </c>
      <c r="U70" s="106">
        <v>0</v>
      </c>
      <c r="V70" s="106">
        <v>0</v>
      </c>
      <c r="W70" s="106">
        <v>0</v>
      </c>
      <c r="X70" s="106">
        <v>0</v>
      </c>
      <c r="Y70" s="106">
        <v>0</v>
      </c>
      <c r="Z70" s="106">
        <v>0</v>
      </c>
      <c r="AA70" s="106">
        <v>0</v>
      </c>
      <c r="AB70" s="106">
        <v>0</v>
      </c>
      <c r="AC70" s="106">
        <v>0</v>
      </c>
      <c r="AD70" s="106">
        <v>0</v>
      </c>
      <c r="AE70" s="106">
        <v>0</v>
      </c>
      <c r="AF70" s="106">
        <v>0</v>
      </c>
      <c r="AG70" s="106">
        <v>0</v>
      </c>
      <c r="AH70" s="106">
        <v>0</v>
      </c>
      <c r="AI70" s="106">
        <v>0</v>
      </c>
      <c r="AJ70" s="106">
        <v>0</v>
      </c>
      <c r="AK70" s="106">
        <v>0</v>
      </c>
      <c r="AL70" s="106">
        <v>0</v>
      </c>
      <c r="AM70" s="106">
        <v>0</v>
      </c>
      <c r="AN70" s="106">
        <v>0</v>
      </c>
    </row>
    <row r="71" spans="2:40" x14ac:dyDescent="0.25">
      <c r="B71" s="39"/>
      <c r="C71" s="12"/>
    </row>
    <row r="72" spans="2:40" x14ac:dyDescent="0.25">
      <c r="B72" s="39" t="s">
        <v>23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0</v>
      </c>
      <c r="F72" s="12">
        <v>0</v>
      </c>
      <c r="G72" s="12">
        <v>0</v>
      </c>
      <c r="H72" s="12">
        <v>0</v>
      </c>
      <c r="I72" s="12">
        <v>0</v>
      </c>
      <c r="J72" s="12">
        <v>0</v>
      </c>
      <c r="K72" s="12">
        <v>0</v>
      </c>
      <c r="L72" s="12">
        <v>0</v>
      </c>
      <c r="M72" s="12">
        <v>0</v>
      </c>
      <c r="N72" s="12">
        <v>419.57079377997212</v>
      </c>
      <c r="O72" s="12">
        <v>1048.9269844499306</v>
      </c>
      <c r="P72" s="12">
        <v>1678.2831751198885</v>
      </c>
      <c r="Q72" s="12">
        <v>2538.4033023688321</v>
      </c>
      <c r="R72" s="12">
        <v>3230.6951121057868</v>
      </c>
      <c r="S72" s="12">
        <v>3922.9869218427389</v>
      </c>
      <c r="T72" s="12">
        <v>4615.2787315796922</v>
      </c>
      <c r="U72" s="12">
        <v>5076.8066047376642</v>
      </c>
      <c r="V72" s="12">
        <v>5769.0984144746153</v>
      </c>
      <c r="W72" s="12">
        <v>6461.3902242115737</v>
      </c>
      <c r="X72" s="12">
        <v>7153.6820339485239</v>
      </c>
      <c r="Y72" s="12">
        <v>7845.9738436854777</v>
      </c>
      <c r="Z72" s="12">
        <v>8538.2656534224334</v>
      </c>
      <c r="AA72" s="12">
        <v>9230.5574631593845</v>
      </c>
      <c r="AB72" s="12">
        <v>9230.5574631593845</v>
      </c>
      <c r="AC72" s="12">
        <v>10153.61320947533</v>
      </c>
      <c r="AD72" s="12">
        <v>10153.61320947533</v>
      </c>
      <c r="AE72" s="12">
        <v>10153.61320947533</v>
      </c>
      <c r="AF72" s="12">
        <v>10153.61320947533</v>
      </c>
      <c r="AG72" s="12">
        <v>10153.61320947533</v>
      </c>
      <c r="AH72" s="12">
        <v>10153.61320947533</v>
      </c>
      <c r="AI72" s="12">
        <v>10153.61320947533</v>
      </c>
      <c r="AJ72" s="12">
        <v>10153.61320947533</v>
      </c>
      <c r="AK72" s="12">
        <v>10153.61320947533</v>
      </c>
      <c r="AL72" s="12">
        <v>10153.61320947533</v>
      </c>
      <c r="AM72" s="12">
        <v>10153.61320947533</v>
      </c>
      <c r="AN72" s="12">
        <v>10153.61320947533</v>
      </c>
    </row>
    <row r="73" spans="2:40" x14ac:dyDescent="0.25">
      <c r="B73" s="39" t="s">
        <v>24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306</v>
      </c>
      <c r="E75" s="74" cm="1">
        <f t="array" ref="E75:AN75">_xlfn.ANCHORARRAY(E67)-_xlfn.ANCHORARRAY(E72)-_xlfn.ANCHORARRAY(E73)</f>
        <v>0</v>
      </c>
      <c r="F75" s="74">
        <v>0</v>
      </c>
      <c r="G75" s="74">
        <v>0</v>
      </c>
      <c r="H75" s="74">
        <v>0</v>
      </c>
      <c r="I75" s="74">
        <v>0</v>
      </c>
      <c r="J75" s="74">
        <v>0</v>
      </c>
      <c r="K75" s="74">
        <v>0</v>
      </c>
      <c r="L75" s="74">
        <v>0</v>
      </c>
      <c r="M75" s="74">
        <v>0</v>
      </c>
      <c r="N75" s="74">
        <v>-419.57079377997212</v>
      </c>
      <c r="O75" s="74">
        <v>-1048.9269844499306</v>
      </c>
      <c r="P75" s="74">
        <v>-1678.2831751198885</v>
      </c>
      <c r="Q75" s="74">
        <v>-2538.4033023688321</v>
      </c>
      <c r="R75" s="74">
        <v>-3230.6951121057868</v>
      </c>
      <c r="S75" s="74">
        <v>-3922.9869218427389</v>
      </c>
      <c r="T75" s="74">
        <v>-4615.2787315796922</v>
      </c>
      <c r="U75" s="74">
        <v>-5076.8066047376642</v>
      </c>
      <c r="V75" s="74">
        <v>-5769.0984144746153</v>
      </c>
      <c r="W75" s="74">
        <v>-6461.3902242115737</v>
      </c>
      <c r="X75" s="74">
        <v>-7153.6820339485239</v>
      </c>
      <c r="Y75" s="74">
        <v>-7845.9738436854777</v>
      </c>
      <c r="Z75" s="74">
        <v>-8538.2656534224334</v>
      </c>
      <c r="AA75" s="74">
        <v>-9230.5574631593845</v>
      </c>
      <c r="AB75" s="74">
        <v>-9230.5574631593845</v>
      </c>
      <c r="AC75" s="74">
        <v>-10153.61320947533</v>
      </c>
      <c r="AD75" s="74">
        <v>-10153.61320947533</v>
      </c>
      <c r="AE75" s="74">
        <v>-10153.61320947533</v>
      </c>
      <c r="AF75" s="74">
        <v>-10153.61320947533</v>
      </c>
      <c r="AG75" s="74">
        <v>-10153.61320947533</v>
      </c>
      <c r="AH75" s="74">
        <v>-10153.61320947533</v>
      </c>
      <c r="AI75" s="74">
        <v>-10153.61320947533</v>
      </c>
      <c r="AJ75" s="74">
        <v>-10153.61320947533</v>
      </c>
      <c r="AK75" s="74">
        <v>-10153.61320947533</v>
      </c>
      <c r="AL75" s="74">
        <v>-10153.61320947533</v>
      </c>
      <c r="AM75" s="74">
        <v>-10153.61320947533</v>
      </c>
      <c r="AN75" s="74">
        <v>-10153.61320947533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35B21E-AC04-464B-81EF-EE68264BFB2E}">
  <dimension ref="A1:AX75"/>
  <sheetViews>
    <sheetView workbookViewId="0">
      <pane xSplit="4" ySplit="25" topLeftCell="E32" activePane="bottomRight" state="frozen"/>
      <selection activeCell="E63" sqref="E63:E65"/>
      <selection pane="topRight" activeCell="E63" sqref="E63:E65"/>
      <selection pane="bottomLeft" activeCell="E63" sqref="E63:E65"/>
      <selection pane="bottomRight" activeCell="E63" sqref="E63:E65"/>
    </sheetView>
  </sheetViews>
  <sheetFormatPr defaultRowHeight="15" outlineLevelRow="1" x14ac:dyDescent="0.25"/>
  <cols>
    <col min="2" max="2" width="24.5703125" bestFit="1" customWidth="1"/>
    <col min="3" max="3" width="11.5703125" bestFit="1" customWidth="1"/>
    <col min="4" max="4" width="10" bestFit="1" customWidth="1"/>
    <col min="5" max="6" width="11.5703125" bestFit="1" customWidth="1"/>
    <col min="7" max="13" width="12.28515625" bestFit="1" customWidth="1"/>
    <col min="14" max="18" width="11.5703125" bestFit="1" customWidth="1"/>
    <col min="19" max="40" width="12.5703125" bestFit="1" customWidth="1"/>
  </cols>
  <sheetData>
    <row r="1" spans="1:40" x14ac:dyDescent="0.25">
      <c r="A1" s="96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>2027</v>
      </c>
      <c r="B1" s="58" t="s">
        <v>82</v>
      </c>
      <c r="C1" s="16" t="s">
        <v>61</v>
      </c>
      <c r="D1" s="3" t="s">
        <v>307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IFERROR(_xlpm.kiddos,0))</f>
        <v>0</v>
      </c>
      <c r="F1" s="69">
        <v>0</v>
      </c>
      <c r="G1" s="69">
        <v>0</v>
      </c>
      <c r="H1" s="69">
        <v>0</v>
      </c>
      <c r="I1" s="69">
        <v>0</v>
      </c>
      <c r="J1" s="69">
        <v>0</v>
      </c>
      <c r="K1" s="69">
        <v>0</v>
      </c>
      <c r="L1" s="69">
        <v>0</v>
      </c>
      <c r="M1" s="69">
        <v>0</v>
      </c>
      <c r="N1" s="69">
        <v>0</v>
      </c>
      <c r="O1" s="69">
        <v>0</v>
      </c>
      <c r="P1" s="69">
        <v>0</v>
      </c>
      <c r="Q1" s="69">
        <v>0</v>
      </c>
      <c r="R1" s="69">
        <v>0</v>
      </c>
      <c r="S1" s="69">
        <v>0</v>
      </c>
      <c r="T1" s="69">
        <v>0</v>
      </c>
      <c r="U1" s="69">
        <v>0</v>
      </c>
      <c r="V1" s="69">
        <v>0</v>
      </c>
      <c r="W1" s="69">
        <v>3</v>
      </c>
      <c r="X1" s="69">
        <v>6</v>
      </c>
      <c r="Y1" s="69">
        <v>9</v>
      </c>
      <c r="Z1" s="69">
        <v>12</v>
      </c>
      <c r="AA1" s="69">
        <v>15</v>
      </c>
      <c r="AB1" s="69">
        <v>18</v>
      </c>
      <c r="AC1" s="69">
        <v>21</v>
      </c>
      <c r="AD1" s="69">
        <v>24</v>
      </c>
      <c r="AE1" s="69">
        <v>27</v>
      </c>
      <c r="AF1" s="69">
        <v>30</v>
      </c>
      <c r="AG1" s="69">
        <v>33</v>
      </c>
      <c r="AH1" s="69">
        <v>36</v>
      </c>
      <c r="AI1" s="69">
        <v>39</v>
      </c>
      <c r="AJ1" s="69">
        <v>42</v>
      </c>
      <c r="AK1" s="69">
        <v>42</v>
      </c>
      <c r="AL1" s="69">
        <v>42</v>
      </c>
      <c r="AM1" s="69">
        <v>42</v>
      </c>
      <c r="AN1" s="69">
        <v>42</v>
      </c>
    </row>
    <row r="2" spans="1:40" x14ac:dyDescent="0.25">
      <c r="A2" s="65"/>
      <c r="B2" s="3" t="str">
        <f>_xlfn.XLOOKUP($B$1&amp;"-"&amp;$C$1,Base!$D$4:$BD$4,Base!$D$2:$BD$2,"",0)</f>
        <v>North Carolina</v>
      </c>
      <c r="C2" s="55"/>
      <c r="D2" s="55" t="s">
        <v>259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0</v>
      </c>
      <c r="F2" s="69">
        <v>0</v>
      </c>
      <c r="G2" s="69">
        <v>0</v>
      </c>
      <c r="H2" s="69">
        <v>0</v>
      </c>
      <c r="I2" s="69">
        <v>0</v>
      </c>
      <c r="J2" s="69">
        <v>0</v>
      </c>
      <c r="K2" s="69">
        <v>0</v>
      </c>
      <c r="L2" s="69">
        <v>0</v>
      </c>
      <c r="M2" s="69">
        <v>0</v>
      </c>
      <c r="N2" s="69">
        <v>0</v>
      </c>
      <c r="O2" s="69">
        <v>0</v>
      </c>
      <c r="P2" s="69">
        <v>0</v>
      </c>
      <c r="Q2" s="69">
        <v>0</v>
      </c>
      <c r="R2" s="69">
        <v>0</v>
      </c>
      <c r="S2" s="69">
        <v>0</v>
      </c>
      <c r="T2" s="69">
        <v>0</v>
      </c>
      <c r="U2" s="69">
        <v>0</v>
      </c>
      <c r="V2" s="69">
        <v>0</v>
      </c>
      <c r="W2" s="69">
        <v>0</v>
      </c>
      <c r="X2" s="69">
        <v>3.1666666666666665</v>
      </c>
      <c r="Y2" s="69">
        <v>3.3333333333333335</v>
      </c>
      <c r="Z2" s="69">
        <v>3.5</v>
      </c>
      <c r="AA2" s="69">
        <v>3.6666666666666665</v>
      </c>
      <c r="AB2" s="69">
        <v>3.8333333333333335</v>
      </c>
      <c r="AC2" s="69">
        <v>4</v>
      </c>
      <c r="AD2" s="69">
        <v>4.166666666666667</v>
      </c>
      <c r="AE2" s="69">
        <v>4.333333333333333</v>
      </c>
      <c r="AF2" s="69">
        <v>4.5</v>
      </c>
      <c r="AG2" s="69">
        <v>4.666666666666667</v>
      </c>
      <c r="AH2" s="69">
        <v>4.833333333333333</v>
      </c>
      <c r="AI2" s="69">
        <v>5</v>
      </c>
      <c r="AJ2" s="69">
        <v>2.1666666666666665</v>
      </c>
      <c r="AK2" s="69">
        <v>2.3333333333333335</v>
      </c>
      <c r="AL2" s="69">
        <v>2.5</v>
      </c>
      <c r="AM2" s="69">
        <v>2.6666666666666665</v>
      </c>
      <c r="AN2" s="69">
        <v>2.8333333333333335</v>
      </c>
    </row>
    <row r="3" spans="1:40" x14ac:dyDescent="0.25">
      <c r="A3" s="65"/>
      <c r="B3" s="55"/>
      <c r="C3" s="55"/>
      <c r="D3" s="55" t="s">
        <v>62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_xlpm.months_since,DATEDIF(_xlpm.launchdate,_xlfn.ANCHORARRAY($E$25),"m"),_xlfn.BYCOL(_xlpm.months_since,_xlfn.LAMBDA(_xlpm.a,IFERROR(MIN(_xlpm.a/6,_xlpm.max_kiddos),0))))</f>
        <v>0</v>
      </c>
      <c r="F3" s="69">
        <v>0</v>
      </c>
      <c r="G3" s="69">
        <v>0</v>
      </c>
      <c r="H3" s="69">
        <v>0</v>
      </c>
      <c r="I3" s="69">
        <v>0</v>
      </c>
      <c r="J3" s="69">
        <v>0</v>
      </c>
      <c r="K3" s="69">
        <v>0</v>
      </c>
      <c r="L3" s="69">
        <v>0</v>
      </c>
      <c r="M3" s="69">
        <v>0</v>
      </c>
      <c r="N3" s="69">
        <v>0</v>
      </c>
      <c r="O3" s="69">
        <v>0</v>
      </c>
      <c r="P3" s="69">
        <v>0</v>
      </c>
      <c r="Q3" s="69">
        <v>0</v>
      </c>
      <c r="R3" s="69">
        <v>0</v>
      </c>
      <c r="S3" s="69">
        <v>0</v>
      </c>
      <c r="T3" s="69">
        <v>0</v>
      </c>
      <c r="U3" s="69">
        <v>0</v>
      </c>
      <c r="V3" s="69">
        <v>0</v>
      </c>
      <c r="W3" s="69">
        <v>0</v>
      </c>
      <c r="X3" s="69">
        <v>0.16666666666666666</v>
      </c>
      <c r="Y3" s="69">
        <v>0.33333333333333331</v>
      </c>
      <c r="Z3" s="69">
        <v>0.5</v>
      </c>
      <c r="AA3" s="69">
        <v>0.66666666666666663</v>
      </c>
      <c r="AB3" s="69">
        <v>0.83333333333333337</v>
      </c>
      <c r="AC3" s="69">
        <v>1</v>
      </c>
      <c r="AD3" s="69">
        <v>1.1666666666666667</v>
      </c>
      <c r="AE3" s="69">
        <v>1.3333333333333333</v>
      </c>
      <c r="AF3" s="69">
        <v>1.5</v>
      </c>
      <c r="AG3" s="69">
        <v>1.6666666666666667</v>
      </c>
      <c r="AH3" s="69">
        <v>1.8333333333333333</v>
      </c>
      <c r="AI3" s="69">
        <v>2</v>
      </c>
      <c r="AJ3" s="69">
        <v>2.1666666666666665</v>
      </c>
      <c r="AK3" s="69">
        <v>2.3333333333333335</v>
      </c>
      <c r="AL3" s="69">
        <v>2.5</v>
      </c>
      <c r="AM3" s="69">
        <v>2.6666666666666665</v>
      </c>
      <c r="AN3" s="69">
        <v>2.8333333333333335</v>
      </c>
    </row>
    <row r="4" spans="1:40" x14ac:dyDescent="0.25">
      <c r="A4" s="65"/>
      <c r="B4" s="55"/>
      <c r="C4" s="55"/>
      <c r="D4" s="55" t="s">
        <v>260</v>
      </c>
      <c r="E4" s="69" cm="1">
        <f t="array" ref="E4:AN4">_xlfn.BYCOL(_xlfn.VSTACK(_xlfn.ANCHORARRAY($E$1),_xlfn.ANCHORARRAY($E$2)),_xlfn.LAMBDA(_xlpm.a,SUM(_xlpm.a)))</f>
        <v>0</v>
      </c>
      <c r="F4" s="69">
        <v>0</v>
      </c>
      <c r="G4" s="69">
        <v>0</v>
      </c>
      <c r="H4" s="69">
        <v>0</v>
      </c>
      <c r="I4" s="69">
        <v>0</v>
      </c>
      <c r="J4" s="69">
        <v>0</v>
      </c>
      <c r="K4" s="69">
        <v>0</v>
      </c>
      <c r="L4" s="69">
        <v>0</v>
      </c>
      <c r="M4" s="69">
        <v>0</v>
      </c>
      <c r="N4" s="69">
        <v>0</v>
      </c>
      <c r="O4" s="69">
        <v>0</v>
      </c>
      <c r="P4" s="69">
        <v>0</v>
      </c>
      <c r="Q4" s="69">
        <v>0</v>
      </c>
      <c r="R4" s="69">
        <v>0</v>
      </c>
      <c r="S4" s="69">
        <v>0</v>
      </c>
      <c r="T4" s="69">
        <v>0</v>
      </c>
      <c r="U4" s="69">
        <v>0</v>
      </c>
      <c r="V4" s="69">
        <v>0</v>
      </c>
      <c r="W4" s="69">
        <v>3</v>
      </c>
      <c r="X4" s="69">
        <v>9.1666666666666661</v>
      </c>
      <c r="Y4" s="69">
        <v>12.333333333333334</v>
      </c>
      <c r="Z4" s="69">
        <v>15.5</v>
      </c>
      <c r="AA4" s="69">
        <v>18.666666666666668</v>
      </c>
      <c r="AB4" s="69">
        <v>21.833333333333332</v>
      </c>
      <c r="AC4" s="69">
        <v>25</v>
      </c>
      <c r="AD4" s="69">
        <v>28.166666666666668</v>
      </c>
      <c r="AE4" s="69">
        <v>31.333333333333332</v>
      </c>
      <c r="AF4" s="69">
        <v>34.5</v>
      </c>
      <c r="AG4" s="69">
        <v>37.666666666666664</v>
      </c>
      <c r="AH4" s="69">
        <v>40.833333333333336</v>
      </c>
      <c r="AI4" s="69">
        <v>44</v>
      </c>
      <c r="AJ4" s="69">
        <v>44.166666666666664</v>
      </c>
      <c r="AK4" s="69">
        <v>44.333333333333336</v>
      </c>
      <c r="AL4" s="69">
        <v>44.5</v>
      </c>
      <c r="AM4" s="69">
        <v>44.666666666666664</v>
      </c>
      <c r="AN4" s="69">
        <v>44.833333333333336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107</v>
      </c>
      <c r="C6" s="3"/>
      <c r="D6" s="3"/>
      <c r="E6" s="66" cm="1">
        <f t="array" ref="E6:AN6">ROUND(_xlfn.BYCOL(_xlfn.ANCHORARRAY(E7),_xlfn.LAMBDA(_xlpm.a,SUM(_xlpm.a))),0)</f>
        <v>0</v>
      </c>
      <c r="F6" s="66">
        <v>0</v>
      </c>
      <c r="G6" s="66">
        <v>0</v>
      </c>
      <c r="H6" s="66">
        <v>0</v>
      </c>
      <c r="I6" s="66">
        <v>0</v>
      </c>
      <c r="J6" s="66">
        <v>0</v>
      </c>
      <c r="K6" s="66">
        <v>0</v>
      </c>
      <c r="L6" s="66">
        <v>0</v>
      </c>
      <c r="M6" s="66">
        <v>0</v>
      </c>
      <c r="N6" s="66">
        <v>0</v>
      </c>
      <c r="O6" s="66">
        <v>0</v>
      </c>
      <c r="P6" s="66">
        <v>0</v>
      </c>
      <c r="Q6" s="66">
        <v>0</v>
      </c>
      <c r="R6" s="66">
        <v>0</v>
      </c>
      <c r="S6" s="66">
        <v>0</v>
      </c>
      <c r="T6" s="66">
        <v>0</v>
      </c>
      <c r="U6" s="66">
        <v>0</v>
      </c>
      <c r="V6" s="66">
        <v>0</v>
      </c>
      <c r="W6" s="66">
        <v>6</v>
      </c>
      <c r="X6" s="66">
        <v>11</v>
      </c>
      <c r="Y6" s="66">
        <v>15</v>
      </c>
      <c r="Z6" s="66">
        <v>18</v>
      </c>
      <c r="AA6" s="66">
        <v>22</v>
      </c>
      <c r="AB6" s="66">
        <v>26</v>
      </c>
      <c r="AC6" s="66">
        <v>29</v>
      </c>
      <c r="AD6" s="66">
        <v>33</v>
      </c>
      <c r="AE6" s="66">
        <v>37</v>
      </c>
      <c r="AF6" s="66">
        <v>40</v>
      </c>
      <c r="AG6" s="66">
        <v>44</v>
      </c>
      <c r="AH6" s="66">
        <v>47</v>
      </c>
      <c r="AI6" s="66">
        <v>51</v>
      </c>
      <c r="AJ6" s="66">
        <v>54</v>
      </c>
      <c r="AK6" s="66">
        <v>54</v>
      </c>
      <c r="AL6" s="66">
        <v>54</v>
      </c>
      <c r="AM6" s="66">
        <v>54</v>
      </c>
      <c r="AN6" s="66">
        <v>54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1"/>
      <c r="E7" s="106" cm="1">
        <f t="array" ref="E7:AN20">_xlfn.LET(_xlpm.Customer_staff,_xlfn._xlws.FILTER(Base!$D$85:$BD$98,ISNUMBER(SEARCH($B$1&amp;"-"&amp;$C$1,Base!$D$4:$BD$4))),_xlpm.Customer,_xlfn.ANCHORARRAY($E$1),_xlpm.headcount,_xlpm.Customer/_xlpm.Customer_staff,
_xlpm.patient_staff,_xlfn.ANCHORARRAY($E$2)/_xlpm.Customer_staff,_xlpm.prim_staff_tr_rec,_xlfn.ANCHORARRAY($E$2)/_xlfn.CHOOSEROWS(_xlpm.Customer_staff,{7,8})+(_xlfn.ANCHORARRAY($E$1)*0.0055),_xlpm.rounding,_xlfn.VSTACK(2,2,0,0,2,2,2,2,2,2,2,0,0,0),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prim_staff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0</v>
      </c>
      <c r="F7" s="106">
        <v>0</v>
      </c>
      <c r="G7" s="106">
        <v>0</v>
      </c>
      <c r="H7" s="106">
        <v>0</v>
      </c>
      <c r="I7" s="106">
        <v>0</v>
      </c>
      <c r="J7" s="106">
        <v>0</v>
      </c>
      <c r="K7" s="106">
        <v>0</v>
      </c>
      <c r="L7" s="106">
        <v>0</v>
      </c>
      <c r="M7" s="106">
        <v>0</v>
      </c>
      <c r="N7" s="106">
        <v>0</v>
      </c>
      <c r="O7" s="106">
        <v>0</v>
      </c>
      <c r="P7" s="106">
        <v>0</v>
      </c>
      <c r="Q7" s="106">
        <v>0</v>
      </c>
      <c r="R7" s="106">
        <v>0</v>
      </c>
      <c r="S7" s="106">
        <v>0</v>
      </c>
      <c r="T7" s="106">
        <v>0</v>
      </c>
      <c r="U7" s="106">
        <v>0</v>
      </c>
      <c r="V7" s="106">
        <v>0</v>
      </c>
      <c r="W7" s="106">
        <v>2.8299999999999996</v>
      </c>
      <c r="X7" s="106">
        <v>5.6499999999999995</v>
      </c>
      <c r="Y7" s="106">
        <v>8.48</v>
      </c>
      <c r="Z7" s="106">
        <v>11.299999999999999</v>
      </c>
      <c r="AA7" s="106">
        <v>14.12</v>
      </c>
      <c r="AB7" s="106">
        <v>16.950000000000003</v>
      </c>
      <c r="AC7" s="106">
        <v>19.770000000000003</v>
      </c>
      <c r="AD7" s="106">
        <v>22.59</v>
      </c>
      <c r="AE7" s="106">
        <v>25.42</v>
      </c>
      <c r="AF7" s="106">
        <v>28.240000000000002</v>
      </c>
      <c r="AG7" s="106">
        <v>31.060000000000002</v>
      </c>
      <c r="AH7" s="106">
        <v>33.89</v>
      </c>
      <c r="AI7" s="106">
        <v>36.71</v>
      </c>
      <c r="AJ7" s="106">
        <v>39.53</v>
      </c>
      <c r="AK7" s="106">
        <v>39.53</v>
      </c>
      <c r="AL7" s="106">
        <v>39.53</v>
      </c>
      <c r="AM7" s="106">
        <v>39.53</v>
      </c>
      <c r="AN7" s="106">
        <v>39.53</v>
      </c>
    </row>
    <row r="8" spans="1:40" hidden="1" outlineLevel="1" x14ac:dyDescent="0.25">
      <c r="B8" s="39" t="str">
        <v>Secondary Direct Staff</v>
      </c>
      <c r="C8" s="3"/>
      <c r="D8" s="3"/>
      <c r="E8" s="106">
        <v>0</v>
      </c>
      <c r="F8" s="106">
        <v>0</v>
      </c>
      <c r="G8" s="106">
        <v>0</v>
      </c>
      <c r="H8" s="106">
        <v>0</v>
      </c>
      <c r="I8" s="106">
        <v>0</v>
      </c>
      <c r="J8" s="106">
        <v>0</v>
      </c>
      <c r="K8" s="106">
        <v>0</v>
      </c>
      <c r="L8" s="106">
        <v>0</v>
      </c>
      <c r="M8" s="106">
        <v>0</v>
      </c>
      <c r="N8" s="106">
        <v>0</v>
      </c>
      <c r="O8" s="106">
        <v>0</v>
      </c>
      <c r="P8" s="106">
        <v>0</v>
      </c>
      <c r="Q8" s="106">
        <v>0</v>
      </c>
      <c r="R8" s="106">
        <v>0</v>
      </c>
      <c r="S8" s="106">
        <v>0</v>
      </c>
      <c r="T8" s="106">
        <v>0</v>
      </c>
      <c r="U8" s="106">
        <v>0</v>
      </c>
      <c r="V8" s="106">
        <v>0</v>
      </c>
      <c r="W8" s="106">
        <v>0.43</v>
      </c>
      <c r="X8" s="106">
        <v>0.86</v>
      </c>
      <c r="Y8" s="106">
        <v>1.29</v>
      </c>
      <c r="Z8" s="106">
        <v>1.72</v>
      </c>
      <c r="AA8" s="106">
        <v>2.15</v>
      </c>
      <c r="AB8" s="106">
        <v>2.5799999999999996</v>
      </c>
      <c r="AC8" s="106">
        <v>3</v>
      </c>
      <c r="AD8" s="106">
        <v>3.4299999999999997</v>
      </c>
      <c r="AE8" s="106">
        <v>3.86</v>
      </c>
      <c r="AF8" s="106">
        <v>4.29</v>
      </c>
      <c r="AG8" s="106">
        <v>4.72</v>
      </c>
      <c r="AH8" s="106">
        <v>5.1499999999999995</v>
      </c>
      <c r="AI8" s="106">
        <v>5.58</v>
      </c>
      <c r="AJ8" s="106">
        <v>6</v>
      </c>
      <c r="AK8" s="106">
        <v>6</v>
      </c>
      <c r="AL8" s="106">
        <v>6</v>
      </c>
      <c r="AM8" s="106">
        <v>6</v>
      </c>
      <c r="AN8" s="106">
        <v>6</v>
      </c>
    </row>
    <row r="9" spans="1:40" hidden="1" outlineLevel="1" x14ac:dyDescent="0.25">
      <c r="B9" s="39" t="str">
        <v>Center Manager</v>
      </c>
      <c r="C9" s="3"/>
      <c r="D9" s="3"/>
      <c r="E9" s="106">
        <v>0</v>
      </c>
      <c r="F9" s="106">
        <v>0</v>
      </c>
      <c r="G9" s="106">
        <v>0</v>
      </c>
      <c r="H9" s="106">
        <v>0</v>
      </c>
      <c r="I9" s="106">
        <v>0</v>
      </c>
      <c r="J9" s="106">
        <v>0</v>
      </c>
      <c r="K9" s="106">
        <v>0</v>
      </c>
      <c r="L9" s="106">
        <v>0</v>
      </c>
      <c r="M9" s="106">
        <v>0</v>
      </c>
      <c r="N9" s="106">
        <v>0</v>
      </c>
      <c r="O9" s="106">
        <v>0</v>
      </c>
      <c r="P9" s="106">
        <v>0</v>
      </c>
      <c r="Q9" s="106">
        <v>0</v>
      </c>
      <c r="R9" s="106">
        <v>0</v>
      </c>
      <c r="S9" s="106">
        <v>0</v>
      </c>
      <c r="T9" s="106">
        <v>0</v>
      </c>
      <c r="U9" s="106">
        <v>0</v>
      </c>
      <c r="V9" s="106">
        <v>0</v>
      </c>
      <c r="W9" s="106">
        <v>1</v>
      </c>
      <c r="X9" s="106">
        <v>1</v>
      </c>
      <c r="Y9" s="106">
        <v>1</v>
      </c>
      <c r="Z9" s="106">
        <v>1</v>
      </c>
      <c r="AA9" s="106">
        <v>1</v>
      </c>
      <c r="AB9" s="106">
        <v>1</v>
      </c>
      <c r="AC9" s="106">
        <v>1</v>
      </c>
      <c r="AD9" s="106">
        <v>1</v>
      </c>
      <c r="AE9" s="106">
        <v>1</v>
      </c>
      <c r="AF9" s="106">
        <v>1</v>
      </c>
      <c r="AG9" s="106">
        <v>1</v>
      </c>
      <c r="AH9" s="106">
        <v>1</v>
      </c>
      <c r="AI9" s="106">
        <v>1</v>
      </c>
      <c r="AJ9" s="106">
        <v>1</v>
      </c>
      <c r="AK9" s="106">
        <v>1</v>
      </c>
      <c r="AL9" s="106">
        <v>1</v>
      </c>
      <c r="AM9" s="106">
        <v>1</v>
      </c>
      <c r="AN9" s="106">
        <v>1</v>
      </c>
    </row>
    <row r="10" spans="1:40" hidden="1" outlineLevel="1" x14ac:dyDescent="0.25">
      <c r="B10" s="39" t="str">
        <v>Intake</v>
      </c>
      <c r="C10" s="3"/>
      <c r="D10" s="3"/>
      <c r="E10" s="106">
        <v>0</v>
      </c>
      <c r="F10" s="106">
        <v>0</v>
      </c>
      <c r="G10" s="106">
        <v>0</v>
      </c>
      <c r="H10" s="106">
        <v>0</v>
      </c>
      <c r="I10" s="106">
        <v>0</v>
      </c>
      <c r="J10" s="106">
        <v>0</v>
      </c>
      <c r="K10" s="106">
        <v>0</v>
      </c>
      <c r="L10" s="106">
        <v>0</v>
      </c>
      <c r="M10" s="106">
        <v>0</v>
      </c>
      <c r="N10" s="106">
        <v>0</v>
      </c>
      <c r="O10" s="106">
        <v>0</v>
      </c>
      <c r="P10" s="106">
        <v>0</v>
      </c>
      <c r="Q10" s="106">
        <v>0</v>
      </c>
      <c r="R10" s="106">
        <v>0</v>
      </c>
      <c r="S10" s="106">
        <v>0</v>
      </c>
      <c r="T10" s="106">
        <v>0</v>
      </c>
      <c r="U10" s="106">
        <v>0</v>
      </c>
      <c r="V10" s="106">
        <v>0</v>
      </c>
      <c r="W10" s="106">
        <v>0</v>
      </c>
      <c r="X10" s="106">
        <v>1</v>
      </c>
      <c r="Y10" s="106">
        <v>1</v>
      </c>
      <c r="Z10" s="106">
        <v>1</v>
      </c>
      <c r="AA10" s="106">
        <v>1</v>
      </c>
      <c r="AB10" s="106">
        <v>1</v>
      </c>
      <c r="AC10" s="106">
        <v>1</v>
      </c>
      <c r="AD10" s="106">
        <v>1</v>
      </c>
      <c r="AE10" s="106">
        <v>1</v>
      </c>
      <c r="AF10" s="106">
        <v>1</v>
      </c>
      <c r="AG10" s="106">
        <v>1</v>
      </c>
      <c r="AH10" s="106">
        <v>1</v>
      </c>
      <c r="AI10" s="106">
        <v>1</v>
      </c>
      <c r="AJ10" s="106">
        <v>1</v>
      </c>
      <c r="AK10" s="106">
        <v>1</v>
      </c>
      <c r="AL10" s="106">
        <v>1</v>
      </c>
      <c r="AM10" s="106">
        <v>1</v>
      </c>
      <c r="AN10" s="106">
        <v>1</v>
      </c>
    </row>
    <row r="11" spans="1:40" hidden="1" outlineLevel="1" x14ac:dyDescent="0.25">
      <c r="B11" s="39" t="str">
        <v>Scheduler</v>
      </c>
      <c r="C11" s="3"/>
      <c r="D11" s="3"/>
      <c r="E11" s="106">
        <v>0</v>
      </c>
      <c r="F11" s="106">
        <v>0</v>
      </c>
      <c r="G11" s="106">
        <v>0</v>
      </c>
      <c r="H11" s="106">
        <v>0</v>
      </c>
      <c r="I11" s="106">
        <v>0</v>
      </c>
      <c r="J11" s="106">
        <v>0</v>
      </c>
      <c r="K11" s="106">
        <v>0</v>
      </c>
      <c r="L11" s="106">
        <v>0</v>
      </c>
      <c r="M11" s="106">
        <v>0</v>
      </c>
      <c r="N11" s="106">
        <v>0</v>
      </c>
      <c r="O11" s="106">
        <v>0</v>
      </c>
      <c r="P11" s="106">
        <v>0</v>
      </c>
      <c r="Q11" s="106">
        <v>0</v>
      </c>
      <c r="R11" s="106">
        <v>0</v>
      </c>
      <c r="S11" s="106">
        <v>0</v>
      </c>
      <c r="T11" s="106">
        <v>0</v>
      </c>
      <c r="U11" s="106">
        <v>0</v>
      </c>
      <c r="V11" s="106">
        <v>0</v>
      </c>
      <c r="W11" s="106">
        <v>0</v>
      </c>
      <c r="X11" s="106">
        <v>0</v>
      </c>
      <c r="Y11" s="106">
        <v>0</v>
      </c>
      <c r="Z11" s="106">
        <v>0</v>
      </c>
      <c r="AA11" s="106">
        <v>0</v>
      </c>
      <c r="AB11" s="106">
        <v>0</v>
      </c>
      <c r="AC11" s="106">
        <v>0</v>
      </c>
      <c r="AD11" s="106">
        <v>0</v>
      </c>
      <c r="AE11" s="106">
        <v>0</v>
      </c>
      <c r="AF11" s="106">
        <v>0</v>
      </c>
      <c r="AG11" s="106">
        <v>0</v>
      </c>
      <c r="AH11" s="106">
        <v>0</v>
      </c>
      <c r="AI11" s="106">
        <v>0</v>
      </c>
      <c r="AJ11" s="106">
        <v>0</v>
      </c>
      <c r="AK11" s="106">
        <v>0</v>
      </c>
      <c r="AL11" s="106">
        <v>0</v>
      </c>
      <c r="AM11" s="106">
        <v>0</v>
      </c>
      <c r="AN11" s="106">
        <v>0</v>
      </c>
    </row>
    <row r="12" spans="1:40" hidden="1" outlineLevel="1" x14ac:dyDescent="0.25">
      <c r="B12" s="39" t="str">
        <v>Initial Consultation Expert</v>
      </c>
      <c r="C12" s="3"/>
      <c r="D12" s="3"/>
      <c r="E12" s="106">
        <v>0</v>
      </c>
      <c r="F12" s="106">
        <v>0</v>
      </c>
      <c r="G12" s="106">
        <v>0</v>
      </c>
      <c r="H12" s="106">
        <v>0</v>
      </c>
      <c r="I12" s="106">
        <v>0</v>
      </c>
      <c r="J12" s="106">
        <v>0</v>
      </c>
      <c r="K12" s="106">
        <v>0</v>
      </c>
      <c r="L12" s="106">
        <v>0</v>
      </c>
      <c r="M12" s="106">
        <v>0</v>
      </c>
      <c r="N12" s="106">
        <v>0</v>
      </c>
      <c r="O12" s="106">
        <v>0</v>
      </c>
      <c r="P12" s="106">
        <v>0</v>
      </c>
      <c r="Q12" s="106">
        <v>0</v>
      </c>
      <c r="R12" s="106">
        <v>0</v>
      </c>
      <c r="S12" s="106">
        <v>0</v>
      </c>
      <c r="T12" s="106">
        <v>0</v>
      </c>
      <c r="U12" s="106">
        <v>0</v>
      </c>
      <c r="V12" s="106">
        <v>0</v>
      </c>
      <c r="W12" s="106">
        <v>0</v>
      </c>
      <c r="X12" s="106">
        <v>0.25</v>
      </c>
      <c r="Y12" s="106">
        <v>0.26</v>
      </c>
      <c r="Z12" s="106">
        <v>0.27</v>
      </c>
      <c r="AA12" s="106">
        <v>0.29000000000000004</v>
      </c>
      <c r="AB12" s="106">
        <v>0.3</v>
      </c>
      <c r="AC12" s="106">
        <v>0.31</v>
      </c>
      <c r="AD12" s="106">
        <v>0.33</v>
      </c>
      <c r="AE12" s="106">
        <v>0.34</v>
      </c>
      <c r="AF12" s="106">
        <v>0.35000000000000003</v>
      </c>
      <c r="AG12" s="106">
        <v>0.36</v>
      </c>
      <c r="AH12" s="106">
        <v>0.38</v>
      </c>
      <c r="AI12" s="106">
        <v>0.39</v>
      </c>
      <c r="AJ12" s="106">
        <v>0.17</v>
      </c>
      <c r="AK12" s="106">
        <v>0.18000000000000002</v>
      </c>
      <c r="AL12" s="106">
        <v>0.2</v>
      </c>
      <c r="AM12" s="106">
        <v>0.21000000000000002</v>
      </c>
      <c r="AN12" s="106">
        <v>0.22</v>
      </c>
    </row>
    <row r="13" spans="1:40" hidden="1" outlineLevel="1" x14ac:dyDescent="0.25">
      <c r="B13" s="39" t="str">
        <v>Trainer</v>
      </c>
      <c r="C13" s="3"/>
      <c r="D13" s="3"/>
      <c r="E13" s="106">
        <v>0</v>
      </c>
      <c r="F13" s="106">
        <v>0</v>
      </c>
      <c r="G13" s="106">
        <v>0</v>
      </c>
      <c r="H13" s="106">
        <v>0</v>
      </c>
      <c r="I13" s="106">
        <v>0</v>
      </c>
      <c r="J13" s="106">
        <v>0</v>
      </c>
      <c r="K13" s="106">
        <v>0</v>
      </c>
      <c r="L13" s="106">
        <v>0</v>
      </c>
      <c r="M13" s="106">
        <v>0</v>
      </c>
      <c r="N13" s="106">
        <v>0</v>
      </c>
      <c r="O13" s="106">
        <v>0</v>
      </c>
      <c r="P13" s="106">
        <v>0</v>
      </c>
      <c r="Q13" s="106">
        <v>0</v>
      </c>
      <c r="R13" s="106">
        <v>0</v>
      </c>
      <c r="S13" s="106">
        <v>0</v>
      </c>
      <c r="T13" s="106">
        <v>0</v>
      </c>
      <c r="U13" s="106">
        <v>0</v>
      </c>
      <c r="V13" s="106">
        <v>0</v>
      </c>
      <c r="W13" s="106">
        <v>0.02</v>
      </c>
      <c r="X13" s="106">
        <v>0.35000000000000003</v>
      </c>
      <c r="Y13" s="106">
        <v>0.39</v>
      </c>
      <c r="Z13" s="106">
        <v>0.42</v>
      </c>
      <c r="AA13" s="106">
        <v>0.45</v>
      </c>
      <c r="AB13" s="106">
        <v>0.49</v>
      </c>
      <c r="AC13" s="106">
        <v>0.52</v>
      </c>
      <c r="AD13" s="106">
        <v>0.55000000000000004</v>
      </c>
      <c r="AE13" s="106">
        <v>0.59</v>
      </c>
      <c r="AF13" s="106">
        <v>0.62</v>
      </c>
      <c r="AG13" s="106">
        <v>0.65</v>
      </c>
      <c r="AH13" s="106">
        <v>0.69000000000000006</v>
      </c>
      <c r="AI13" s="106">
        <v>0.72</v>
      </c>
      <c r="AJ13" s="106">
        <v>0.45</v>
      </c>
      <c r="AK13" s="106">
        <v>0.47000000000000003</v>
      </c>
      <c r="AL13" s="106">
        <v>0.49</v>
      </c>
      <c r="AM13" s="106">
        <v>0.5</v>
      </c>
      <c r="AN13" s="106">
        <v>0.52</v>
      </c>
    </row>
    <row r="14" spans="1:40" hidden="1" outlineLevel="1" x14ac:dyDescent="0.25">
      <c r="B14" s="39" t="str">
        <v>Recruiter</v>
      </c>
      <c r="C14" s="3"/>
      <c r="D14" s="3"/>
      <c r="E14" s="106">
        <v>0</v>
      </c>
      <c r="F14" s="106">
        <v>0</v>
      </c>
      <c r="G14" s="106">
        <v>0</v>
      </c>
      <c r="H14" s="106">
        <v>0</v>
      </c>
      <c r="I14" s="106">
        <v>0</v>
      </c>
      <c r="J14" s="106">
        <v>0</v>
      </c>
      <c r="K14" s="106">
        <v>0</v>
      </c>
      <c r="L14" s="106">
        <v>0</v>
      </c>
      <c r="M14" s="106">
        <v>0</v>
      </c>
      <c r="N14" s="106">
        <v>0</v>
      </c>
      <c r="O14" s="106">
        <v>0</v>
      </c>
      <c r="P14" s="106">
        <v>0</v>
      </c>
      <c r="Q14" s="106">
        <v>0</v>
      </c>
      <c r="R14" s="106">
        <v>0</v>
      </c>
      <c r="S14" s="106">
        <v>0</v>
      </c>
      <c r="T14" s="106">
        <v>0</v>
      </c>
      <c r="U14" s="106">
        <v>0</v>
      </c>
      <c r="V14" s="106">
        <v>0</v>
      </c>
      <c r="W14" s="106">
        <v>0.02</v>
      </c>
      <c r="X14" s="106">
        <v>0.2</v>
      </c>
      <c r="Y14" s="106">
        <v>0.22</v>
      </c>
      <c r="Z14" s="106">
        <v>0.25</v>
      </c>
      <c r="AA14" s="106">
        <v>0.27</v>
      </c>
      <c r="AB14" s="106">
        <v>0.3</v>
      </c>
      <c r="AC14" s="106">
        <v>0.32</v>
      </c>
      <c r="AD14" s="106">
        <v>0.35000000000000003</v>
      </c>
      <c r="AE14" s="106">
        <v>0.37</v>
      </c>
      <c r="AF14" s="106">
        <v>0.39</v>
      </c>
      <c r="AG14" s="106">
        <v>0.42</v>
      </c>
      <c r="AH14" s="106">
        <v>0.44</v>
      </c>
      <c r="AI14" s="106">
        <v>0.47000000000000003</v>
      </c>
      <c r="AJ14" s="106">
        <v>0.34</v>
      </c>
      <c r="AK14" s="106">
        <v>0.35000000000000003</v>
      </c>
      <c r="AL14" s="106">
        <v>0.36</v>
      </c>
      <c r="AM14" s="106">
        <v>0.37</v>
      </c>
      <c r="AN14" s="106">
        <v>0.38</v>
      </c>
    </row>
    <row r="15" spans="1:40" hidden="1" outlineLevel="1" x14ac:dyDescent="0.25">
      <c r="B15" s="39" t="str">
        <v>Center Director / Remote Site Director</v>
      </c>
      <c r="C15" s="3"/>
      <c r="D15" s="3"/>
      <c r="E15" s="106">
        <v>0</v>
      </c>
      <c r="F15" s="106">
        <v>0</v>
      </c>
      <c r="G15" s="106">
        <v>0</v>
      </c>
      <c r="H15" s="106">
        <v>0</v>
      </c>
      <c r="I15" s="106">
        <v>0</v>
      </c>
      <c r="J15" s="106">
        <v>0</v>
      </c>
      <c r="K15" s="106">
        <v>0</v>
      </c>
      <c r="L15" s="106">
        <v>0</v>
      </c>
      <c r="M15" s="106">
        <v>0</v>
      </c>
      <c r="N15" s="106">
        <v>0</v>
      </c>
      <c r="O15" s="106">
        <v>0</v>
      </c>
      <c r="P15" s="106">
        <v>0</v>
      </c>
      <c r="Q15" s="106">
        <v>0</v>
      </c>
      <c r="R15" s="106">
        <v>0</v>
      </c>
      <c r="S15" s="106">
        <v>0</v>
      </c>
      <c r="T15" s="106">
        <v>0</v>
      </c>
      <c r="U15" s="106">
        <v>0</v>
      </c>
      <c r="V15" s="106">
        <v>0</v>
      </c>
      <c r="W15" s="106">
        <v>0.02</v>
      </c>
      <c r="X15" s="106">
        <v>0.03</v>
      </c>
      <c r="Y15" s="106">
        <v>0.04</v>
      </c>
      <c r="Z15" s="106">
        <v>0.05</v>
      </c>
      <c r="AA15" s="106">
        <v>0.06</v>
      </c>
      <c r="AB15" s="106">
        <v>0.08</v>
      </c>
      <c r="AC15" s="106">
        <v>0.09</v>
      </c>
      <c r="AD15" s="106">
        <v>9.9999999999999992E-2</v>
      </c>
      <c r="AE15" s="106">
        <v>0.11</v>
      </c>
      <c r="AF15" s="106">
        <v>0.12</v>
      </c>
      <c r="AG15" s="106">
        <v>0.14000000000000001</v>
      </c>
      <c r="AH15" s="106">
        <v>0.15000000000000002</v>
      </c>
      <c r="AI15" s="106">
        <v>0.16</v>
      </c>
      <c r="AJ15" s="106">
        <v>0.17</v>
      </c>
      <c r="AK15" s="106">
        <v>0.17</v>
      </c>
      <c r="AL15" s="106">
        <v>0.17</v>
      </c>
      <c r="AM15" s="106">
        <v>0.17</v>
      </c>
      <c r="AN15" s="106">
        <v>0.17</v>
      </c>
    </row>
    <row r="16" spans="1:40" hidden="1" outlineLevel="1" x14ac:dyDescent="0.25">
      <c r="B16" s="39" t="str">
        <v>Center Marketing Outreach</v>
      </c>
      <c r="C16" s="3"/>
      <c r="D16" s="3"/>
      <c r="E16" s="106">
        <v>0</v>
      </c>
      <c r="F16" s="106">
        <v>0</v>
      </c>
      <c r="G16" s="106">
        <v>0</v>
      </c>
      <c r="H16" s="106">
        <v>0</v>
      </c>
      <c r="I16" s="106">
        <v>0</v>
      </c>
      <c r="J16" s="106">
        <v>0</v>
      </c>
      <c r="K16" s="106">
        <v>0</v>
      </c>
      <c r="L16" s="106">
        <v>0</v>
      </c>
      <c r="M16" s="106">
        <v>0</v>
      </c>
      <c r="N16" s="106">
        <v>0</v>
      </c>
      <c r="O16" s="106">
        <v>0</v>
      </c>
      <c r="P16" s="106">
        <v>0</v>
      </c>
      <c r="Q16" s="106">
        <v>0</v>
      </c>
      <c r="R16" s="106">
        <v>0</v>
      </c>
      <c r="S16" s="106">
        <v>0</v>
      </c>
      <c r="T16" s="106">
        <v>0</v>
      </c>
      <c r="U16" s="106">
        <v>0</v>
      </c>
      <c r="V16" s="106">
        <v>0</v>
      </c>
      <c r="W16" s="106">
        <v>0.02</v>
      </c>
      <c r="X16" s="106">
        <v>0.03</v>
      </c>
      <c r="Y16" s="106">
        <v>0.04</v>
      </c>
      <c r="Z16" s="106">
        <v>0.05</v>
      </c>
      <c r="AA16" s="106">
        <v>0.06</v>
      </c>
      <c r="AB16" s="106">
        <v>0.08</v>
      </c>
      <c r="AC16" s="106">
        <v>0.09</v>
      </c>
      <c r="AD16" s="106">
        <v>9.9999999999999992E-2</v>
      </c>
      <c r="AE16" s="106">
        <v>0.11</v>
      </c>
      <c r="AF16" s="106">
        <v>0.12</v>
      </c>
      <c r="AG16" s="106">
        <v>0.14000000000000001</v>
      </c>
      <c r="AH16" s="106">
        <v>0.15000000000000002</v>
      </c>
      <c r="AI16" s="106">
        <v>0.16</v>
      </c>
      <c r="AJ16" s="106">
        <v>0.17</v>
      </c>
      <c r="AK16" s="106">
        <v>0.17</v>
      </c>
      <c r="AL16" s="106">
        <v>0.17</v>
      </c>
      <c r="AM16" s="106">
        <v>0.17</v>
      </c>
      <c r="AN16" s="106">
        <v>0.17</v>
      </c>
    </row>
    <row r="17" spans="2:50" hidden="1" outlineLevel="1" x14ac:dyDescent="0.25">
      <c r="B17" s="39" t="str">
        <v>Primary Direct Staff Lead</v>
      </c>
      <c r="C17" s="3"/>
      <c r="D17" s="3"/>
      <c r="E17" s="106">
        <v>0</v>
      </c>
      <c r="F17" s="106">
        <v>0</v>
      </c>
      <c r="G17" s="106">
        <v>0</v>
      </c>
      <c r="H17" s="106">
        <v>0</v>
      </c>
      <c r="I17" s="106">
        <v>0</v>
      </c>
      <c r="J17" s="106">
        <v>0</v>
      </c>
      <c r="K17" s="106">
        <v>0</v>
      </c>
      <c r="L17" s="106">
        <v>0</v>
      </c>
      <c r="M17" s="106">
        <v>0</v>
      </c>
      <c r="N17" s="106">
        <v>0</v>
      </c>
      <c r="O17" s="106">
        <v>0</v>
      </c>
      <c r="P17" s="106">
        <v>0</v>
      </c>
      <c r="Q17" s="106">
        <v>0</v>
      </c>
      <c r="R17" s="106">
        <v>0</v>
      </c>
      <c r="S17" s="106">
        <v>0</v>
      </c>
      <c r="T17" s="106">
        <v>0</v>
      </c>
      <c r="U17" s="106">
        <v>0</v>
      </c>
      <c r="V17" s="106">
        <v>0</v>
      </c>
      <c r="W17" s="106">
        <v>0.3</v>
      </c>
      <c r="X17" s="106">
        <v>0.6</v>
      </c>
      <c r="Y17" s="106">
        <v>0.9</v>
      </c>
      <c r="Z17" s="106">
        <v>1.2</v>
      </c>
      <c r="AA17" s="106">
        <v>1.5</v>
      </c>
      <c r="AB17" s="106">
        <v>1.8</v>
      </c>
      <c r="AC17" s="106">
        <v>2.1</v>
      </c>
      <c r="AD17" s="106">
        <v>2.4</v>
      </c>
      <c r="AE17" s="106">
        <v>2.7</v>
      </c>
      <c r="AF17" s="106">
        <v>3</v>
      </c>
      <c r="AG17" s="106">
        <v>3.3</v>
      </c>
      <c r="AH17" s="106">
        <v>3.6</v>
      </c>
      <c r="AI17" s="106">
        <v>3.9</v>
      </c>
      <c r="AJ17" s="106">
        <v>4.2</v>
      </c>
      <c r="AK17" s="106">
        <v>4.2</v>
      </c>
      <c r="AL17" s="106">
        <v>4.2</v>
      </c>
      <c r="AM17" s="106">
        <v>4.2</v>
      </c>
      <c r="AN17" s="106">
        <v>4.2</v>
      </c>
    </row>
    <row r="18" spans="2:50" hidden="1" outlineLevel="1" x14ac:dyDescent="0.25">
      <c r="B18" s="39" t="str">
        <v>Tertiary Direct Staff</v>
      </c>
      <c r="C18" s="3"/>
      <c r="D18" s="3"/>
      <c r="E18" s="106">
        <v>0</v>
      </c>
      <c r="F18" s="106">
        <v>0</v>
      </c>
      <c r="G18" s="106">
        <v>0</v>
      </c>
      <c r="H18" s="106">
        <v>0</v>
      </c>
      <c r="I18" s="106">
        <v>0</v>
      </c>
      <c r="J18" s="106">
        <v>0</v>
      </c>
      <c r="K18" s="106">
        <v>0</v>
      </c>
      <c r="L18" s="106">
        <v>0</v>
      </c>
      <c r="M18" s="106">
        <v>0</v>
      </c>
      <c r="N18" s="106">
        <v>0</v>
      </c>
      <c r="O18" s="106">
        <v>0</v>
      </c>
      <c r="P18" s="106">
        <v>0</v>
      </c>
      <c r="Q18" s="106">
        <v>0</v>
      </c>
      <c r="R18" s="106">
        <v>0</v>
      </c>
      <c r="S18" s="106">
        <v>0</v>
      </c>
      <c r="T18" s="106">
        <v>0</v>
      </c>
      <c r="U18" s="106">
        <v>0</v>
      </c>
      <c r="V18" s="106">
        <v>0</v>
      </c>
      <c r="W18" s="106">
        <v>0</v>
      </c>
      <c r="X18" s="106">
        <v>0</v>
      </c>
      <c r="Y18" s="106">
        <v>0</v>
      </c>
      <c r="Z18" s="106">
        <v>0</v>
      </c>
      <c r="AA18" s="106">
        <v>0</v>
      </c>
      <c r="AB18" s="106">
        <v>0</v>
      </c>
      <c r="AC18" s="106">
        <v>0</v>
      </c>
      <c r="AD18" s="106">
        <v>0</v>
      </c>
      <c r="AE18" s="106">
        <v>0</v>
      </c>
      <c r="AF18" s="106">
        <v>0</v>
      </c>
      <c r="AG18" s="106">
        <v>0</v>
      </c>
      <c r="AH18" s="106">
        <v>0</v>
      </c>
      <c r="AI18" s="106">
        <v>0</v>
      </c>
      <c r="AJ18" s="106">
        <v>0</v>
      </c>
      <c r="AK18" s="106">
        <v>0</v>
      </c>
      <c r="AL18" s="106">
        <v>0</v>
      </c>
      <c r="AM18" s="106">
        <v>0</v>
      </c>
      <c r="AN18" s="106">
        <v>0</v>
      </c>
    </row>
    <row r="19" spans="2:50" hidden="1" outlineLevel="1" x14ac:dyDescent="0.25">
      <c r="B19" s="39" t="str">
        <v>Quinary Direct Staff</v>
      </c>
      <c r="C19" s="3"/>
      <c r="D19" s="3"/>
      <c r="E19" s="106">
        <v>0</v>
      </c>
      <c r="F19" s="106">
        <v>0</v>
      </c>
      <c r="G19" s="106">
        <v>0</v>
      </c>
      <c r="H19" s="106">
        <v>0</v>
      </c>
      <c r="I19" s="106">
        <v>0</v>
      </c>
      <c r="J19" s="106">
        <v>0</v>
      </c>
      <c r="K19" s="106">
        <v>0</v>
      </c>
      <c r="L19" s="106">
        <v>0</v>
      </c>
      <c r="M19" s="106">
        <v>0</v>
      </c>
      <c r="N19" s="106">
        <v>0</v>
      </c>
      <c r="O19" s="106">
        <v>0</v>
      </c>
      <c r="P19" s="106">
        <v>0</v>
      </c>
      <c r="Q19" s="106">
        <v>0</v>
      </c>
      <c r="R19" s="106">
        <v>0</v>
      </c>
      <c r="S19" s="106">
        <v>0</v>
      </c>
      <c r="T19" s="106">
        <v>0</v>
      </c>
      <c r="U19" s="106">
        <v>0</v>
      </c>
      <c r="V19" s="106">
        <v>0</v>
      </c>
      <c r="W19" s="106">
        <v>0</v>
      </c>
      <c r="X19" s="106">
        <v>0</v>
      </c>
      <c r="Y19" s="106">
        <v>0</v>
      </c>
      <c r="Z19" s="106">
        <v>0</v>
      </c>
      <c r="AA19" s="106">
        <v>0</v>
      </c>
      <c r="AB19" s="106">
        <v>0</v>
      </c>
      <c r="AC19" s="106">
        <v>0</v>
      </c>
      <c r="AD19" s="106">
        <v>0</v>
      </c>
      <c r="AE19" s="106">
        <v>0</v>
      </c>
      <c r="AF19" s="106">
        <v>0</v>
      </c>
      <c r="AG19" s="106">
        <v>0</v>
      </c>
      <c r="AH19" s="106">
        <v>0</v>
      </c>
      <c r="AI19" s="106">
        <v>0</v>
      </c>
      <c r="AJ19" s="106">
        <v>0</v>
      </c>
      <c r="AK19" s="106">
        <v>0</v>
      </c>
      <c r="AL19" s="106">
        <v>0</v>
      </c>
      <c r="AM19" s="106">
        <v>0</v>
      </c>
      <c r="AN19" s="106">
        <v>0</v>
      </c>
    </row>
    <row r="20" spans="2:50" hidden="1" outlineLevel="1" x14ac:dyDescent="0.25">
      <c r="B20" s="39" t="str">
        <v>Quaternary Direct Staff</v>
      </c>
      <c r="C20" s="3"/>
      <c r="D20" s="3"/>
      <c r="E20" s="106">
        <v>0</v>
      </c>
      <c r="F20" s="106">
        <v>0</v>
      </c>
      <c r="G20" s="106">
        <v>0</v>
      </c>
      <c r="H20" s="106">
        <v>0</v>
      </c>
      <c r="I20" s="106">
        <v>0</v>
      </c>
      <c r="J20" s="106">
        <v>0</v>
      </c>
      <c r="K20" s="106">
        <v>0</v>
      </c>
      <c r="L20" s="106">
        <v>0</v>
      </c>
      <c r="M20" s="106">
        <v>0</v>
      </c>
      <c r="N20" s="106">
        <v>0</v>
      </c>
      <c r="O20" s="106">
        <v>0</v>
      </c>
      <c r="P20" s="106">
        <v>0</v>
      </c>
      <c r="Q20" s="106">
        <v>0</v>
      </c>
      <c r="R20" s="106">
        <v>0</v>
      </c>
      <c r="S20" s="106">
        <v>0</v>
      </c>
      <c r="T20" s="106">
        <v>0</v>
      </c>
      <c r="U20" s="106">
        <v>0</v>
      </c>
      <c r="V20" s="106">
        <v>0</v>
      </c>
      <c r="W20" s="106">
        <v>1</v>
      </c>
      <c r="X20" s="106">
        <v>1</v>
      </c>
      <c r="Y20" s="106">
        <v>1</v>
      </c>
      <c r="Z20" s="106">
        <v>1</v>
      </c>
      <c r="AA20" s="106">
        <v>1</v>
      </c>
      <c r="AB20" s="106">
        <v>1</v>
      </c>
      <c r="AC20" s="106">
        <v>1</v>
      </c>
      <c r="AD20" s="106">
        <v>1</v>
      </c>
      <c r="AE20" s="106">
        <v>1</v>
      </c>
      <c r="AF20" s="106">
        <v>1</v>
      </c>
      <c r="AG20" s="106">
        <v>1</v>
      </c>
      <c r="AH20" s="106">
        <v>1</v>
      </c>
      <c r="AI20" s="106">
        <v>1</v>
      </c>
      <c r="AJ20" s="106">
        <v>1</v>
      </c>
      <c r="AK20" s="106">
        <v>1</v>
      </c>
      <c r="AL20" s="106">
        <v>1</v>
      </c>
      <c r="AM20" s="106">
        <v>1</v>
      </c>
      <c r="AN20" s="106">
        <v>1</v>
      </c>
    </row>
    <row r="21" spans="2:50" collapsed="1" x14ac:dyDescent="0.25">
      <c r="B21" s="39" t="s">
        <v>389</v>
      </c>
      <c r="C21" s="3"/>
      <c r="D21" s="5"/>
      <c r="E21" s="117" cm="1">
        <f t="array" ref="E21:AN21">ROUND(_xlfn.BYCOL(_xlfn.CHOOSEROWS(_xlfn.ANCHORARRAY(E7),1,2),_xlfn.LAMBDA(_xlpm.col,SUM(_xlpm.col))),0)</f>
        <v>0</v>
      </c>
      <c r="F21" s="117">
        <v>0</v>
      </c>
      <c r="G21" s="117">
        <v>0</v>
      </c>
      <c r="H21" s="117">
        <v>0</v>
      </c>
      <c r="I21" s="117">
        <v>0</v>
      </c>
      <c r="J21" s="117">
        <v>0</v>
      </c>
      <c r="K21" s="117">
        <v>0</v>
      </c>
      <c r="L21" s="117">
        <v>0</v>
      </c>
      <c r="M21" s="117">
        <v>0</v>
      </c>
      <c r="N21" s="117">
        <v>0</v>
      </c>
      <c r="O21" s="117">
        <v>0</v>
      </c>
      <c r="P21" s="117">
        <v>0</v>
      </c>
      <c r="Q21" s="117">
        <v>0</v>
      </c>
      <c r="R21" s="117">
        <v>0</v>
      </c>
      <c r="S21" s="117">
        <v>0</v>
      </c>
      <c r="T21" s="117">
        <v>0</v>
      </c>
      <c r="U21" s="117">
        <v>0</v>
      </c>
      <c r="V21" s="117">
        <v>0</v>
      </c>
      <c r="W21" s="117">
        <v>3</v>
      </c>
      <c r="X21" s="117">
        <v>7</v>
      </c>
      <c r="Y21" s="117">
        <v>10</v>
      </c>
      <c r="Z21" s="117">
        <v>13</v>
      </c>
      <c r="AA21" s="117">
        <v>16</v>
      </c>
      <c r="AB21" s="117">
        <v>20</v>
      </c>
      <c r="AC21" s="117">
        <v>23</v>
      </c>
      <c r="AD21" s="117">
        <v>26</v>
      </c>
      <c r="AE21" s="117">
        <v>29</v>
      </c>
      <c r="AF21" s="117">
        <v>33</v>
      </c>
      <c r="AG21" s="117">
        <v>36</v>
      </c>
      <c r="AH21" s="117">
        <v>39</v>
      </c>
      <c r="AI21" s="117">
        <v>42</v>
      </c>
      <c r="AJ21" s="117">
        <v>46</v>
      </c>
      <c r="AK21" s="117">
        <v>46</v>
      </c>
      <c r="AL21" s="117">
        <v>46</v>
      </c>
      <c r="AM21" s="117">
        <v>46</v>
      </c>
      <c r="AN21" s="117">
        <v>46</v>
      </c>
    </row>
    <row r="22" spans="2:50" x14ac:dyDescent="0.25">
      <c r="B22" s="2" t="s">
        <v>394</v>
      </c>
      <c r="C22" s="3"/>
      <c r="D22" s="77">
        <f>MAX(_xlfn.ANCHORARRAY(E22))</f>
        <v>94.739054978770966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0</v>
      </c>
      <c r="F22" s="78">
        <v>0</v>
      </c>
      <c r="G22" s="78">
        <v>0</v>
      </c>
      <c r="H22" s="78">
        <v>0</v>
      </c>
      <c r="I22" s="78">
        <v>0</v>
      </c>
      <c r="J22" s="78">
        <v>0</v>
      </c>
      <c r="K22" s="78">
        <v>0</v>
      </c>
      <c r="L22" s="78">
        <v>0</v>
      </c>
      <c r="M22" s="78">
        <v>0</v>
      </c>
      <c r="N22" s="78">
        <v>0</v>
      </c>
      <c r="O22" s="78">
        <v>0</v>
      </c>
      <c r="P22" s="78">
        <v>0</v>
      </c>
      <c r="Q22" s="78">
        <v>0</v>
      </c>
      <c r="R22" s="78">
        <v>0</v>
      </c>
      <c r="S22" s="78">
        <v>0</v>
      </c>
      <c r="T22" s="78">
        <v>0</v>
      </c>
      <c r="U22" s="78">
        <v>0</v>
      </c>
      <c r="V22" s="78">
        <v>0</v>
      </c>
      <c r="W22" s="78">
        <v>94.739054978770966</v>
      </c>
      <c r="X22" s="78">
        <v>94.739054978770966</v>
      </c>
      <c r="Y22" s="78">
        <v>94.739054978770952</v>
      </c>
      <c r="Z22" s="78">
        <v>94.739054978770966</v>
      </c>
      <c r="AA22" s="78">
        <v>94.739054978770966</v>
      </c>
      <c r="AB22" s="78">
        <v>94.739054978770952</v>
      </c>
      <c r="AC22" s="78">
        <v>94.739054978770966</v>
      </c>
      <c r="AD22" s="78">
        <v>94.739054978770966</v>
      </c>
      <c r="AE22" s="78">
        <v>94.739054978770966</v>
      </c>
      <c r="AF22" s="78">
        <v>94.739054978770966</v>
      </c>
      <c r="AG22" s="78">
        <v>94.739054978770966</v>
      </c>
      <c r="AH22" s="78">
        <v>94.739054978770952</v>
      </c>
      <c r="AI22" s="78">
        <v>94.739054978770966</v>
      </c>
      <c r="AJ22" s="78">
        <v>94.739054978770966</v>
      </c>
      <c r="AK22" s="78">
        <v>94.739054978770966</v>
      </c>
      <c r="AL22" s="78">
        <v>94.739054978770966</v>
      </c>
      <c r="AM22" s="78">
        <v>94.739054978770966</v>
      </c>
      <c r="AN22" s="78">
        <v>94.739054978770966</v>
      </c>
    </row>
    <row r="23" spans="2:50" x14ac:dyDescent="0.25">
      <c r="B23" s="2" t="s">
        <v>53</v>
      </c>
      <c r="C23" s="3"/>
      <c r="D23" s="72"/>
      <c r="E23" s="52" cm="1">
        <f t="array" ref="E23:AN23">_xlfn.LET(_xlpm.site,$B$1&amp;"-"&amp;$C$1,_xlpm.locations,Base!$D$4:$BD$4,_xlpm.Customer,_xlfn.ANCHORARRAY(E1),_xlpm.hours,SUM(_xlfn.XLOOKUP(_xlpm.site,_xlpm.locations,Base!$D$74:$BD$78,0,0)),
_xlpm.collection,1-_xlfn.XLOOKUP(_xlpm.site,_xlpm.locations,Base!$D$26:$BD$26,0,0),
_xlpm.Customer*_xlpm.hours*_xlpm.collection*(52/12))</f>
        <v>0</v>
      </c>
      <c r="F23" s="52">
        <v>0</v>
      </c>
      <c r="G23" s="52">
        <v>0</v>
      </c>
      <c r="H23" s="52">
        <v>0</v>
      </c>
      <c r="I23" s="52">
        <v>0</v>
      </c>
      <c r="J23" s="52">
        <v>0</v>
      </c>
      <c r="K23" s="52">
        <v>0</v>
      </c>
      <c r="L23" s="52">
        <v>0</v>
      </c>
      <c r="M23" s="52">
        <v>0</v>
      </c>
      <c r="N23" s="52">
        <v>0</v>
      </c>
      <c r="O23" s="52">
        <v>0</v>
      </c>
      <c r="P23" s="52">
        <v>0</v>
      </c>
      <c r="Q23" s="52">
        <v>0</v>
      </c>
      <c r="R23" s="52">
        <v>0</v>
      </c>
      <c r="S23" s="52">
        <v>0</v>
      </c>
      <c r="T23" s="52">
        <v>0</v>
      </c>
      <c r="U23" s="52">
        <v>0</v>
      </c>
      <c r="V23" s="52">
        <v>0</v>
      </c>
      <c r="W23" s="52">
        <v>315.03999999999996</v>
      </c>
      <c r="X23" s="52">
        <v>630.07999999999993</v>
      </c>
      <c r="Y23" s="52">
        <v>945.11999999999989</v>
      </c>
      <c r="Z23" s="52">
        <v>1260.1599999999999</v>
      </c>
      <c r="AA23" s="52">
        <v>1575.1999999999996</v>
      </c>
      <c r="AB23" s="52">
        <v>1890.2399999999998</v>
      </c>
      <c r="AC23" s="52">
        <v>2205.2799999999997</v>
      </c>
      <c r="AD23" s="52">
        <v>2520.3199999999997</v>
      </c>
      <c r="AE23" s="52">
        <v>2835.3599999999992</v>
      </c>
      <c r="AF23" s="52">
        <v>3150.3999999999992</v>
      </c>
      <c r="AG23" s="52">
        <v>3465.4399999999996</v>
      </c>
      <c r="AH23" s="52">
        <v>3780.4799999999996</v>
      </c>
      <c r="AI23" s="52">
        <v>4095.5199999999995</v>
      </c>
      <c r="AJ23" s="52">
        <v>4410.5599999999995</v>
      </c>
      <c r="AK23" s="52">
        <v>4410.5599999999995</v>
      </c>
      <c r="AL23" s="52">
        <v>4410.5599999999995</v>
      </c>
      <c r="AM23" s="52">
        <v>4410.5599999999995</v>
      </c>
      <c r="AN23" s="52">
        <v>4410.5599999999995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21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_xlfn.LET(_xlpm.site,$B$1&amp;"-"&amp;$C$1,_xlpm.locations,Base!$D$4:$BD$4,_xlpm.rates,Base!$D31:$BD31,_xlpm.hours,Base!$D74:$BD74,_xlpm.comp,_xlpm.rates*_xlpm.hours,_xlpm.Customer,_xlfn.ANCHORARRAY($E$1),
_xlpm.Customer_comp,_xlfn.XLOOKUP(_xlpm.site,_xlpm.locations,_xlpm.comp,0,0),_xlpm.ann_incr,_xlfn.XLOOKUP(YEAR(_xlfn.ANCHORARRAY($E$25)),Base!$BJ$4:$BL$4,Base!$BJ74:$BL74,0,0),
_xlpm.bad_debt,_xlfn.XLOOKUP(_xlpm.site,_xlpm.locations,Base!$D$28:$BD$28,0,0),_xlpm.Customer_comp*_xlpm.Customer*_xlpm.bad_debt*_xlpm.ann_incr*(52/12))</f>
        <v>0</v>
      </c>
      <c r="F26" s="12">
        <v>0</v>
      </c>
      <c r="G26" s="12">
        <v>0</v>
      </c>
      <c r="H26" s="12">
        <v>0</v>
      </c>
      <c r="I26" s="12">
        <v>0</v>
      </c>
      <c r="J26" s="12">
        <v>0</v>
      </c>
      <c r="K26" s="12">
        <v>0</v>
      </c>
      <c r="L26" s="12">
        <v>0</v>
      </c>
      <c r="M26" s="12">
        <v>0</v>
      </c>
      <c r="N26" s="12">
        <v>0</v>
      </c>
      <c r="O26" s="12">
        <v>0</v>
      </c>
      <c r="P26" s="12">
        <v>0</v>
      </c>
      <c r="Q26" s="12">
        <v>0</v>
      </c>
      <c r="R26" s="12">
        <v>0</v>
      </c>
      <c r="S26" s="12">
        <v>0</v>
      </c>
      <c r="T26" s="12">
        <v>0</v>
      </c>
      <c r="U26" s="12">
        <v>0</v>
      </c>
      <c r="V26" s="12">
        <v>0</v>
      </c>
      <c r="W26" s="12">
        <v>22196.754060623996</v>
      </c>
      <c r="X26" s="12">
        <v>44393.508121247993</v>
      </c>
      <c r="Y26" s="12">
        <v>66590.262181871993</v>
      </c>
      <c r="Z26" s="12">
        <v>88787.016242495985</v>
      </c>
      <c r="AA26" s="12">
        <v>110983.77030312001</v>
      </c>
      <c r="AB26" s="12">
        <v>133180.52436374399</v>
      </c>
      <c r="AC26" s="12">
        <v>155377.27842436801</v>
      </c>
      <c r="AD26" s="12">
        <v>177574.03248499197</v>
      </c>
      <c r="AE26" s="12">
        <v>199770.78654561599</v>
      </c>
      <c r="AF26" s="12">
        <v>221967.54060624001</v>
      </c>
      <c r="AG26" s="12">
        <v>244164.29466686401</v>
      </c>
      <c r="AH26" s="12">
        <v>266361.04872748797</v>
      </c>
      <c r="AI26" s="12">
        <v>288557.80278811202</v>
      </c>
      <c r="AJ26" s="12">
        <v>310754.55684873601</v>
      </c>
      <c r="AK26" s="12">
        <v>310754.55684873601</v>
      </c>
      <c r="AL26" s="12">
        <v>310754.55684873601</v>
      </c>
      <c r="AM26" s="12">
        <v>310754.55684873601</v>
      </c>
      <c r="AN26" s="12">
        <v>310754.55684873601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_xlfn.LET(_xlpm.site,$B$1&amp;"-"&amp;$C$1,_xlpm.locations,Base!$D$4:$BD$4,_xlpm.rates,Base!$D32:$BD32,_xlpm.hours,Base!$D75:$BD75,_xlpm.comp,_xlpm.rates*_xlpm.hours,_xlpm.Customer,_xlfn.ANCHORARRAY($E$1),
_xlpm.Customer_comp,_xlfn.XLOOKUP(_xlpm.site,_xlpm.locations,_xlpm.comp,0,0),_xlpm.ann_incr,_xlfn.XLOOKUP(YEAR(_xlfn.ANCHORARRAY($E$25)),Base!$BJ$4:$BL$4,Base!$BJ75:$BL75,0,0),
_xlpm.bad_debt,_xlfn.XLOOKUP(_xlpm.site,_xlpm.locations,Base!$D$28:$BD$28,0,0),_xlpm.Customer_comp*_xlpm.Customer*_xlpm.bad_debt*_xlpm.ann_incr*(52/12))</f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4255.7811919999995</v>
      </c>
      <c r="X27" s="12">
        <v>8511.5623839999989</v>
      </c>
      <c r="Y27" s="12">
        <v>12767.343575999997</v>
      </c>
      <c r="Z27" s="12">
        <v>17023.124767999998</v>
      </c>
      <c r="AA27" s="12">
        <v>21278.90596</v>
      </c>
      <c r="AB27" s="12">
        <v>25534.687151999995</v>
      </c>
      <c r="AC27" s="12">
        <v>29790.468344000001</v>
      </c>
      <c r="AD27" s="12">
        <v>34046.249535999996</v>
      </c>
      <c r="AE27" s="12">
        <v>38302.030727999998</v>
      </c>
      <c r="AF27" s="12">
        <v>42557.81192</v>
      </c>
      <c r="AG27" s="12">
        <v>46813.593112000002</v>
      </c>
      <c r="AH27" s="12">
        <v>51069.37430399999</v>
      </c>
      <c r="AI27" s="12">
        <v>55325.155495999992</v>
      </c>
      <c r="AJ27" s="12">
        <v>59580.936688000002</v>
      </c>
      <c r="AK27" s="12">
        <v>59580.936688000002</v>
      </c>
      <c r="AL27" s="12">
        <v>59580.936688000002</v>
      </c>
      <c r="AM27" s="12">
        <v>59580.936688000002</v>
      </c>
      <c r="AN27" s="12">
        <v>59580.936688000002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_xlfn.LET(_xlpm.site,$B$1&amp;"-"&amp;$C$1,_xlpm.locations,Base!$D$4:$BD$4,_xlpm.rates,Base!$D33:$BD33,_xlpm.hours,Base!$D76:$BD76,_xlpm.comp,_xlpm.rates*_xlpm.hours,_xlpm.Customer,_xlfn.ANCHORARRAY($E$1),
_xlpm.Customer_comp,_xlfn.XLOOKUP(_xlpm.site,_xlpm.locations,_xlpm.comp,0,0),_xlpm.ann_incr,_xlfn.XLOOKUP(YEAR(_xlfn.ANCHORARRAY($E$25)),Base!$BJ$4:$BL$4,Base!$BJ76:$BL76,0,0),
_xlpm.bad_debt,_xlfn.XLOOKUP(_xlpm.site,_xlpm.locations,Base!$D$28:$BD$28,0,0),_xlpm.Customer_comp*_xlpm.Customer*_xlpm.bad_debt*_xlpm.ann_incr*(52/12))</f>
        <v>0</v>
      </c>
      <c r="F28" s="12">
        <v>0</v>
      </c>
      <c r="G28" s="12">
        <v>0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0</v>
      </c>
      <c r="N28" s="12">
        <v>0</v>
      </c>
      <c r="O28" s="12">
        <v>0</v>
      </c>
      <c r="P28" s="12">
        <v>0</v>
      </c>
      <c r="Q28" s="12">
        <v>0</v>
      </c>
      <c r="R28" s="12">
        <v>0</v>
      </c>
      <c r="S28" s="12">
        <v>0</v>
      </c>
      <c r="T28" s="12">
        <v>0</v>
      </c>
      <c r="U28" s="12">
        <v>0</v>
      </c>
      <c r="V28" s="12">
        <v>0</v>
      </c>
      <c r="W28" s="12">
        <v>4686.4231521120009</v>
      </c>
      <c r="X28" s="12">
        <v>9372.8463042240019</v>
      </c>
      <c r="Y28" s="12">
        <v>14059.269456336</v>
      </c>
      <c r="Z28" s="12">
        <v>18745.692608448004</v>
      </c>
      <c r="AA28" s="12">
        <v>23432.115760560002</v>
      </c>
      <c r="AB28" s="12">
        <v>28118.538912672</v>
      </c>
      <c r="AC28" s="12">
        <v>32804.962064784006</v>
      </c>
      <c r="AD28" s="12">
        <v>37491.385216896007</v>
      </c>
      <c r="AE28" s="12">
        <v>42177.808369008009</v>
      </c>
      <c r="AF28" s="12">
        <v>46864.231521120004</v>
      </c>
      <c r="AG28" s="12">
        <v>51550.654673231998</v>
      </c>
      <c r="AH28" s="12">
        <v>56237.077825344</v>
      </c>
      <c r="AI28" s="12">
        <v>60923.500977456002</v>
      </c>
      <c r="AJ28" s="12">
        <v>65609.924129568011</v>
      </c>
      <c r="AK28" s="12">
        <v>65609.924129568011</v>
      </c>
      <c r="AL28" s="12">
        <v>65609.924129568011</v>
      </c>
      <c r="AM28" s="12">
        <v>65609.924129568011</v>
      </c>
      <c r="AN28" s="12">
        <v>65609.924129568011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_xlfn.LET(_xlpm.site,$B$1&amp;"-"&amp;$C$1,_xlpm.locations,Base!$D$4:$BD$4,_xlpm.rates,Base!$D34:$BD34,_xlpm.hours,Base!$D77:$BD77,_xlpm.comp,_xlpm.rates*_xlpm.hours,_xlpm.Customer,_xlfn.ANCHORARRAY($E$1),
_xlpm.Customer_comp,_xlfn.XLOOKUP(_xlpm.site,_xlpm.locations,_xlpm.comp,0,0),_xlpm.ann_incr,_xlfn.XLOOKUP(YEAR(_xlfn.ANCHORARRAY($E$25)),Base!$BJ$4:$BL$4,Base!$BJ77:$BL77,0,0),
_xlpm.bad_debt,_xlfn.XLOOKUP(_xlpm.site,_xlpm.locations,Base!$D$28:$BD$28,0,0),_xlpm.Customer_comp*_xlpm.Customer*_xlpm.bad_debt*_xlpm.ann_incr*(52/12))</f>
        <v>0</v>
      </c>
      <c r="F29" s="12">
        <v>0</v>
      </c>
      <c r="G29" s="12">
        <v>0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0</v>
      </c>
      <c r="N29" s="12">
        <v>0</v>
      </c>
      <c r="O29" s="12">
        <v>0</v>
      </c>
      <c r="P29" s="12">
        <v>0</v>
      </c>
      <c r="Q29" s="12">
        <v>0</v>
      </c>
      <c r="R29" s="12">
        <v>0</v>
      </c>
      <c r="S29" s="12">
        <v>0</v>
      </c>
      <c r="T29" s="12">
        <v>0</v>
      </c>
      <c r="U29" s="12">
        <v>0</v>
      </c>
      <c r="V29" s="12">
        <v>0</v>
      </c>
      <c r="W29" s="12">
        <v>265.16790503999999</v>
      </c>
      <c r="X29" s="12">
        <v>530.33581007999999</v>
      </c>
      <c r="Y29" s="12">
        <v>795.50371512000004</v>
      </c>
      <c r="Z29" s="12">
        <v>1060.67162016</v>
      </c>
      <c r="AA29" s="12">
        <v>1325.8395252</v>
      </c>
      <c r="AB29" s="12">
        <v>1591.0074302400001</v>
      </c>
      <c r="AC29" s="12">
        <v>1856.1753352799999</v>
      </c>
      <c r="AD29" s="12">
        <v>2121.3432403199999</v>
      </c>
      <c r="AE29" s="12">
        <v>2386.5111453600002</v>
      </c>
      <c r="AF29" s="12">
        <v>2651.6790504000001</v>
      </c>
      <c r="AG29" s="12">
        <v>2916.8469554399999</v>
      </c>
      <c r="AH29" s="12">
        <v>3182.0148604800002</v>
      </c>
      <c r="AI29" s="12">
        <v>3447.18276552</v>
      </c>
      <c r="AJ29" s="12">
        <v>3712.3506705599998</v>
      </c>
      <c r="AK29" s="12">
        <v>3712.3506705599998</v>
      </c>
      <c r="AL29" s="12">
        <v>3712.3506705599998</v>
      </c>
      <c r="AM29" s="12">
        <v>3712.3506705599998</v>
      </c>
      <c r="AN29" s="12">
        <v>3712.3506705599998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_xlfn.LET(_xlpm.site,$B$1&amp;"-"&amp;$C$1,_xlpm.locations,Base!$D$4:$BD$4,_xlpm.rates,Base!$D35:$BD35,_xlpm.hours,Base!$D78:$BD78,_xlpm.comp,_xlpm.rates*_xlpm.hours,_xlpm.Customer,_xlfn.ANCHORARRAY($E$1),
_xlpm.Customer_comp,_xlfn.XLOOKUP(_xlpm.site,_xlpm.locations,_xlpm.comp,0,0),_xlpm.ann_incr,_xlfn.XLOOKUP(YEAR(_xlfn.ANCHORARRAY($E$25)),Base!$BJ$4:$BL$4,Base!$BJ78:$BL78,0,0),
_xlpm.bad_debt,_xlfn.XLOOKUP(_xlpm.site,_xlpm.locations,Base!$D$28:$BD$28,0,0),_xlpm.Customer_comp*_xlpm.Customer*_xlpm.bad_debt*_xlpm.ann_incr*(52/12))</f>
        <v>0</v>
      </c>
      <c r="F30" s="12">
        <v>0</v>
      </c>
      <c r="G30" s="12">
        <v>0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0</v>
      </c>
      <c r="N30" s="12">
        <v>0</v>
      </c>
      <c r="O30" s="12">
        <v>0</v>
      </c>
      <c r="P30" s="12">
        <v>0</v>
      </c>
      <c r="Q30" s="12">
        <v>0</v>
      </c>
      <c r="R30" s="12">
        <v>0</v>
      </c>
      <c r="S30" s="12">
        <v>0</v>
      </c>
      <c r="T30" s="12">
        <v>0</v>
      </c>
      <c r="U30" s="12">
        <v>0</v>
      </c>
      <c r="V30" s="12">
        <v>0</v>
      </c>
      <c r="W30" s="12">
        <v>477.46047167999996</v>
      </c>
      <c r="X30" s="12">
        <v>954.92094335999991</v>
      </c>
      <c r="Y30" s="12">
        <v>1432.3814150400001</v>
      </c>
      <c r="Z30" s="12">
        <v>1909.8418867199998</v>
      </c>
      <c r="AA30" s="12">
        <v>2387.3023584000002</v>
      </c>
      <c r="AB30" s="12">
        <v>2864.7628300800002</v>
      </c>
      <c r="AC30" s="12">
        <v>3342.2233017600001</v>
      </c>
      <c r="AD30" s="12">
        <v>3819.6837734399996</v>
      </c>
      <c r="AE30" s="12">
        <v>4297.1442451199991</v>
      </c>
      <c r="AF30" s="12">
        <v>4774.6047168000005</v>
      </c>
      <c r="AG30" s="12">
        <v>5252.06518848</v>
      </c>
      <c r="AH30" s="12">
        <v>5729.5256601600004</v>
      </c>
      <c r="AI30" s="12">
        <v>6206.9861318399999</v>
      </c>
      <c r="AJ30" s="12">
        <v>6684.4466035200003</v>
      </c>
      <c r="AK30" s="12">
        <v>6684.4466035200003</v>
      </c>
      <c r="AL30" s="12">
        <v>6684.4466035200003</v>
      </c>
      <c r="AM30" s="12">
        <v>6684.4466035200003</v>
      </c>
      <c r="AN30" s="12">
        <v>6684.4466035200003</v>
      </c>
    </row>
    <row r="31" spans="2:50" x14ac:dyDescent="0.25">
      <c r="B31" s="39" t="str">
        <f>Base!B36</f>
        <v>Tertiary Direct Staff - Service A</v>
      </c>
      <c r="C31" s="4"/>
      <c r="E31" s="183" cm="1">
        <f t="array" ref="E31:AN31">_xlfn.LET(_xlpm.site,$B$1&amp;"-"&amp;$C$1,_xlpm.locations,Base!$D$4:$BD$4,_xlpm.rates,Base!$D36:$BD36,_xlpm.hours,Base!$D79:$BD79,_xlpm.comp,_xlpm.rates*_xlpm.hours,_xlpm.Customer,_xlfn.ANCHORARRAY($E$1)*0,
_xlpm.Customer_comp,_xlfn.XLOOKUP(_xlpm.site,_xlpm.locations,_xlpm.comp,0,0),_xlpm.ann_incr,_xlfn.XLOOKUP(YEAR(_xlfn.ANCHORARRAY($E$25)),Base!$BJ$4:$BL$4,Base!$BJ79:$BL79,0,0),
_xlpm.bad_debt,_xlfn.XLOOKUP(_xlpm.site,_xlpm.locations,Base!$D$28:$BD$28,0,0),_xlpm.Customer_comp*_xlpm.Customer*_xlpm.bad_debt*_xlpm.ann_incr*(52/12))</f>
        <v>0</v>
      </c>
      <c r="F31" s="183">
        <v>0</v>
      </c>
      <c r="G31" s="183">
        <v>0</v>
      </c>
      <c r="H31" s="183">
        <v>0</v>
      </c>
      <c r="I31" s="183">
        <v>0</v>
      </c>
      <c r="J31" s="183">
        <v>0</v>
      </c>
      <c r="K31" s="183">
        <v>0</v>
      </c>
      <c r="L31" s="183">
        <v>0</v>
      </c>
      <c r="M31" s="183">
        <v>0</v>
      </c>
      <c r="N31" s="183">
        <v>0</v>
      </c>
      <c r="O31" s="183">
        <v>0</v>
      </c>
      <c r="P31" s="183">
        <v>0</v>
      </c>
      <c r="Q31" s="183">
        <v>0</v>
      </c>
      <c r="R31" s="183">
        <v>0</v>
      </c>
      <c r="S31" s="183">
        <v>0</v>
      </c>
      <c r="T31" s="183">
        <v>0</v>
      </c>
      <c r="U31" s="183">
        <v>0</v>
      </c>
      <c r="V31" s="183">
        <v>0</v>
      </c>
      <c r="W31" s="183">
        <v>0</v>
      </c>
      <c r="X31" s="183">
        <v>0</v>
      </c>
      <c r="Y31" s="183">
        <v>0</v>
      </c>
      <c r="Z31" s="183">
        <v>0</v>
      </c>
      <c r="AA31" s="183">
        <v>0</v>
      </c>
      <c r="AB31" s="183">
        <v>0</v>
      </c>
      <c r="AC31" s="183">
        <v>0</v>
      </c>
      <c r="AD31" s="183">
        <v>0</v>
      </c>
      <c r="AE31" s="183">
        <v>0</v>
      </c>
      <c r="AF31" s="183">
        <v>0</v>
      </c>
      <c r="AG31" s="183">
        <v>0</v>
      </c>
      <c r="AH31" s="183">
        <v>0</v>
      </c>
      <c r="AI31" s="183">
        <v>0</v>
      </c>
      <c r="AJ31" s="183">
        <v>0</v>
      </c>
      <c r="AK31" s="183">
        <v>0</v>
      </c>
      <c r="AL31" s="183">
        <v>0</v>
      </c>
      <c r="AM31" s="183">
        <v>0</v>
      </c>
      <c r="AN31" s="183">
        <v>0</v>
      </c>
    </row>
    <row r="32" spans="2:50" x14ac:dyDescent="0.25">
      <c r="B32" s="39" t="str">
        <f>Base!B37</f>
        <v>Tertiary Direct Staff - Service B</v>
      </c>
      <c r="C32" s="4"/>
      <c r="E32" s="183" cm="1">
        <f t="array" ref="E32:AN32">_xlfn.LET(_xlpm.site,$B$1&amp;"-"&amp;$C$1,_xlpm.locations,Base!$D$4:$BD$4,_xlpm.rates,Base!$D37:$BD37,_xlpm.hours,Base!$D80:$BD80,_xlpm.comp,_xlpm.rates*_xlpm.hours,_xlpm.Customer,_xlfn.ANCHORARRAY($E$1)*0,
_xlpm.Customer_comp,_xlfn.XLOOKUP(_xlpm.site,_xlpm.locations,_xlpm.comp,0,0),_xlpm.ann_incr,_xlfn.XLOOKUP(YEAR(_xlfn.ANCHORARRAY($E$25)),Base!$BJ$4:$BL$4,Base!$BJ80:$BL80,0,0),
_xlpm.bad_debt,_xlfn.XLOOKUP(_xlpm.site,_xlpm.locations,Base!$D$28:$BD$28,0,0),_xlpm.Customer_comp*_xlpm.Customer*_xlpm.bad_debt*_xlpm.ann_incr*(52/12))</f>
        <v>0</v>
      </c>
      <c r="F32" s="183">
        <v>0</v>
      </c>
      <c r="G32" s="183">
        <v>0</v>
      </c>
      <c r="H32" s="183">
        <v>0</v>
      </c>
      <c r="I32" s="183">
        <v>0</v>
      </c>
      <c r="J32" s="183">
        <v>0</v>
      </c>
      <c r="K32" s="183">
        <v>0</v>
      </c>
      <c r="L32" s="183">
        <v>0</v>
      </c>
      <c r="M32" s="183">
        <v>0</v>
      </c>
      <c r="N32" s="183">
        <v>0</v>
      </c>
      <c r="O32" s="183">
        <v>0</v>
      </c>
      <c r="P32" s="183">
        <v>0</v>
      </c>
      <c r="Q32" s="183">
        <v>0</v>
      </c>
      <c r="R32" s="183">
        <v>0</v>
      </c>
      <c r="S32" s="183">
        <v>0</v>
      </c>
      <c r="T32" s="183">
        <v>0</v>
      </c>
      <c r="U32" s="183">
        <v>0</v>
      </c>
      <c r="V32" s="183">
        <v>0</v>
      </c>
      <c r="W32" s="183">
        <v>0</v>
      </c>
      <c r="X32" s="183">
        <v>0</v>
      </c>
      <c r="Y32" s="183">
        <v>0</v>
      </c>
      <c r="Z32" s="183">
        <v>0</v>
      </c>
      <c r="AA32" s="183">
        <v>0</v>
      </c>
      <c r="AB32" s="183">
        <v>0</v>
      </c>
      <c r="AC32" s="183">
        <v>0</v>
      </c>
      <c r="AD32" s="183">
        <v>0</v>
      </c>
      <c r="AE32" s="183">
        <v>0</v>
      </c>
      <c r="AF32" s="183">
        <v>0</v>
      </c>
      <c r="AG32" s="183">
        <v>0</v>
      </c>
      <c r="AH32" s="183">
        <v>0</v>
      </c>
      <c r="AI32" s="183">
        <v>0</v>
      </c>
      <c r="AJ32" s="183">
        <v>0</v>
      </c>
      <c r="AK32" s="183">
        <v>0</v>
      </c>
      <c r="AL32" s="183">
        <v>0</v>
      </c>
      <c r="AM32" s="183">
        <v>0</v>
      </c>
      <c r="AN32" s="183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_xlpm.Customer,_xlfn.ANCHORARRAY($E$2),_xlpm.ann_incr,_xlfn.XLOOKUP(YEAR(_xlfn.ANCHORARRAY($E$25)),Base!$BJ$4:$BL$4,Base!$BJ$81:$BL$81,0,0),
_xlpm.bad_debt,_xlfn.XLOOKUP(_xlpm.site,_xlpm.locations,Base!$D$28:$BD$28,0,0),
_xlpm.comp*_xlpm.bad_debt*_xlpm.ann_incr*(52/12))</f>
        <v>0</v>
      </c>
      <c r="F33" s="12">
        <v>0</v>
      </c>
      <c r="G33" s="12">
        <v>0</v>
      </c>
      <c r="H33" s="12">
        <v>0</v>
      </c>
      <c r="I33" s="12">
        <v>0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24474.433923333334</v>
      </c>
      <c r="X33" s="12">
        <v>24474.433923333334</v>
      </c>
      <c r="Y33" s="12">
        <v>24474.433923333334</v>
      </c>
      <c r="Z33" s="12">
        <v>24474.433923333334</v>
      </c>
      <c r="AA33" s="12">
        <v>24474.433923333334</v>
      </c>
      <c r="AB33" s="12">
        <v>24474.433923333334</v>
      </c>
      <c r="AC33" s="12">
        <v>24474.433923333334</v>
      </c>
      <c r="AD33" s="12">
        <v>24474.433923333334</v>
      </c>
      <c r="AE33" s="12">
        <v>24474.433923333334</v>
      </c>
      <c r="AF33" s="12">
        <v>24474.433923333334</v>
      </c>
      <c r="AG33" s="12">
        <v>24474.433923333334</v>
      </c>
      <c r="AH33" s="12">
        <v>24474.433923333334</v>
      </c>
      <c r="AI33" s="12">
        <v>24474.433923333334</v>
      </c>
      <c r="AJ33" s="12">
        <v>24474.433923333334</v>
      </c>
      <c r="AK33" s="12">
        <v>24474.433923333334</v>
      </c>
      <c r="AL33" s="12">
        <v>24474.433923333334</v>
      </c>
      <c r="AM33" s="12">
        <v>24474.433923333334</v>
      </c>
      <c r="AN33" s="12">
        <v>24474.433923333334</v>
      </c>
    </row>
    <row r="34" spans="2:40" x14ac:dyDescent="0.25">
      <c r="B34" s="39" t="str">
        <f>Base!B39</f>
        <v>Quinary Direct Staff - Service A</v>
      </c>
      <c r="C34" s="4"/>
      <c r="E34" s="183" cm="1">
        <f t="array" ref="E34:AN34">_xlfn.LET(_xlpm.site,$B$1&amp;"-"&amp;$C$1,_xlpm.locations,Base!$D$4:$BD$4,_xlpm.rates,Base!$D39:$BD39,_xlpm.hours,Base!$D82:$BD82,_xlpm.comp,_xlpm.rates*_xlpm.hours,_xlpm.Customer,_xlfn.ANCHORARRAY($E$1)*0,
_xlpm.Customer_comp,_xlfn.XLOOKUP(_xlpm.site,_xlpm.locations,_xlpm.comp,0,0),_xlpm.ann_incr,_xlfn.XLOOKUP(YEAR(_xlfn.ANCHORARRAY($E$25)),Base!$BJ$4:$BL$4,Base!$BJ82:$BL82,0,0),
_xlpm.bad_debt,_xlfn.XLOOKUP(_xlpm.site,_xlpm.locations,Base!$D$28:$BD$28,0,0),_xlpm.Customer_comp*_xlpm.Customer*_xlpm.bad_debt*_xlpm.ann_incr*(52/12))</f>
        <v>0</v>
      </c>
      <c r="F34" s="183">
        <v>0</v>
      </c>
      <c r="G34" s="183">
        <v>0</v>
      </c>
      <c r="H34" s="183">
        <v>0</v>
      </c>
      <c r="I34" s="183">
        <v>0</v>
      </c>
      <c r="J34" s="183">
        <v>0</v>
      </c>
      <c r="K34" s="183">
        <v>0</v>
      </c>
      <c r="L34" s="183">
        <v>0</v>
      </c>
      <c r="M34" s="183">
        <v>0</v>
      </c>
      <c r="N34" s="183">
        <v>0</v>
      </c>
      <c r="O34" s="183">
        <v>0</v>
      </c>
      <c r="P34" s="183">
        <v>0</v>
      </c>
      <c r="Q34" s="183">
        <v>0</v>
      </c>
      <c r="R34" s="183">
        <v>0</v>
      </c>
      <c r="S34" s="183">
        <v>0</v>
      </c>
      <c r="T34" s="183">
        <v>0</v>
      </c>
      <c r="U34" s="183">
        <v>0</v>
      </c>
      <c r="V34" s="183">
        <v>0</v>
      </c>
      <c r="W34" s="183">
        <v>0</v>
      </c>
      <c r="X34" s="183">
        <v>0</v>
      </c>
      <c r="Y34" s="183">
        <v>0</v>
      </c>
      <c r="Z34" s="183">
        <v>0</v>
      </c>
      <c r="AA34" s="183">
        <v>0</v>
      </c>
      <c r="AB34" s="183">
        <v>0</v>
      </c>
      <c r="AC34" s="183">
        <v>0</v>
      </c>
      <c r="AD34" s="183">
        <v>0</v>
      </c>
      <c r="AE34" s="183">
        <v>0</v>
      </c>
      <c r="AF34" s="183">
        <v>0</v>
      </c>
      <c r="AG34" s="183">
        <v>0</v>
      </c>
      <c r="AH34" s="183">
        <v>0</v>
      </c>
      <c r="AI34" s="183">
        <v>0</v>
      </c>
      <c r="AJ34" s="183">
        <v>0</v>
      </c>
      <c r="AK34" s="183">
        <v>0</v>
      </c>
      <c r="AL34" s="183">
        <v>0</v>
      </c>
      <c r="AM34" s="183">
        <v>0</v>
      </c>
      <c r="AN34" s="183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0</v>
      </c>
      <c r="F35" s="12">
        <v>0</v>
      </c>
      <c r="G35" s="12">
        <v>0</v>
      </c>
      <c r="H35" s="12">
        <v>0</v>
      </c>
      <c r="I35" s="12">
        <v>0</v>
      </c>
      <c r="J35" s="12">
        <v>0</v>
      </c>
      <c r="K35" s="12">
        <v>0</v>
      </c>
      <c r="L35" s="12">
        <v>0</v>
      </c>
      <c r="M35" s="12">
        <v>0</v>
      </c>
      <c r="N35" s="12">
        <v>0</v>
      </c>
      <c r="O35" s="12">
        <v>0</v>
      </c>
      <c r="P35" s="12">
        <v>0</v>
      </c>
      <c r="Q35" s="12">
        <v>0</v>
      </c>
      <c r="R35" s="12">
        <v>0</v>
      </c>
      <c r="S35" s="12">
        <v>0</v>
      </c>
      <c r="T35" s="12">
        <v>0</v>
      </c>
      <c r="U35" s="12">
        <v>0</v>
      </c>
      <c r="V35" s="12">
        <v>0</v>
      </c>
      <c r="W35" s="12">
        <v>-6762.7224845747196</v>
      </c>
      <c r="X35" s="12">
        <v>-10588.512898349438</v>
      </c>
      <c r="Y35" s="12">
        <v>-14414.303312124157</v>
      </c>
      <c r="Z35" s="12">
        <v>-18240.093725898878</v>
      </c>
      <c r="AA35" s="12">
        <v>-22065.884139673595</v>
      </c>
      <c r="AB35" s="12">
        <v>-25891.674553448316</v>
      </c>
      <c r="AC35" s="12">
        <v>-29717.464967223041</v>
      </c>
      <c r="AD35" s="12">
        <v>-33543.255380997762</v>
      </c>
      <c r="AE35" s="12">
        <v>-37369.045794772479</v>
      </c>
      <c r="AF35" s="12">
        <v>-41194.836208547196</v>
      </c>
      <c r="AG35" s="12">
        <v>-45020.626622321928</v>
      </c>
      <c r="AH35" s="12">
        <v>-48846.417036096631</v>
      </c>
      <c r="AI35" s="12">
        <v>-52672.207449871363</v>
      </c>
      <c r="AJ35" s="12">
        <v>-56497.997863646087</v>
      </c>
      <c r="AK35" s="12">
        <v>-56497.997863646087</v>
      </c>
      <c r="AL35" s="12">
        <v>-56497.997863646087</v>
      </c>
      <c r="AM35" s="12">
        <v>-56497.997863646087</v>
      </c>
      <c r="AN35" s="12">
        <v>-56497.997863646087</v>
      </c>
    </row>
    <row r="36" spans="2:40" x14ac:dyDescent="0.25">
      <c r="B36" s="39" t="s">
        <v>261</v>
      </c>
      <c r="C36" s="15"/>
      <c r="E36" s="183" cm="1">
        <f t="array" ref="E36:AN36">_xlfn.BYCOL(_xlfn.ANCHORARRAY($E$25),_xlfn.LAMBDA(_xlpm.a,0))</f>
        <v>0</v>
      </c>
      <c r="F36" s="183">
        <v>0</v>
      </c>
      <c r="G36" s="183">
        <v>0</v>
      </c>
      <c r="H36" s="183">
        <v>0</v>
      </c>
      <c r="I36" s="183">
        <v>0</v>
      </c>
      <c r="J36" s="183">
        <v>0</v>
      </c>
      <c r="K36" s="183">
        <v>0</v>
      </c>
      <c r="L36" s="183">
        <v>0</v>
      </c>
      <c r="M36" s="183">
        <v>0</v>
      </c>
      <c r="N36" s="183">
        <v>0</v>
      </c>
      <c r="O36" s="183">
        <v>0</v>
      </c>
      <c r="P36" s="183">
        <v>0</v>
      </c>
      <c r="Q36" s="183">
        <v>0</v>
      </c>
      <c r="R36" s="183">
        <v>0</v>
      </c>
      <c r="S36" s="183">
        <v>0</v>
      </c>
      <c r="T36" s="183">
        <v>0</v>
      </c>
      <c r="U36" s="183">
        <v>0</v>
      </c>
      <c r="V36" s="183">
        <v>0</v>
      </c>
      <c r="W36" s="183">
        <v>0</v>
      </c>
      <c r="X36" s="183">
        <v>0</v>
      </c>
      <c r="Y36" s="183">
        <v>0</v>
      </c>
      <c r="Z36" s="183">
        <v>0</v>
      </c>
      <c r="AA36" s="183">
        <v>0</v>
      </c>
      <c r="AB36" s="183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271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0</v>
      </c>
      <c r="S37" s="13">
        <v>0</v>
      </c>
      <c r="T37" s="13">
        <v>0</v>
      </c>
      <c r="U37" s="13">
        <v>0</v>
      </c>
      <c r="V37" s="13">
        <v>0</v>
      </c>
      <c r="W37" s="13">
        <v>45337.517028214614</v>
      </c>
      <c r="X37" s="13">
        <v>69137.532203895898</v>
      </c>
      <c r="Y37" s="13">
        <v>92937.547379577154</v>
      </c>
      <c r="Z37" s="13">
        <v>116737.56255525845</v>
      </c>
      <c r="AA37" s="13">
        <v>140537.57773093972</v>
      </c>
      <c r="AB37" s="13">
        <v>164337.59290662099</v>
      </c>
      <c r="AC37" s="13">
        <v>188137.60808230232</v>
      </c>
      <c r="AD37" s="13">
        <v>211937.62325798356</v>
      </c>
      <c r="AE37" s="13">
        <v>235737.63843366489</v>
      </c>
      <c r="AF37" s="13">
        <v>259537.6536093461</v>
      </c>
      <c r="AG37" s="13">
        <v>283337.66878502746</v>
      </c>
      <c r="AH37" s="13">
        <v>307137.68396070867</v>
      </c>
      <c r="AI37" s="13">
        <v>330937.69913639</v>
      </c>
      <c r="AJ37" s="13">
        <v>354737.71431207133</v>
      </c>
      <c r="AK37" s="13">
        <v>354737.71431207133</v>
      </c>
      <c r="AL37" s="13">
        <v>354737.71431207133</v>
      </c>
      <c r="AM37" s="13">
        <v>354737.71431207133</v>
      </c>
      <c r="AN37" s="13">
        <v>354737.71431207133</v>
      </c>
    </row>
    <row r="38" spans="2:40" x14ac:dyDescent="0.25">
      <c r="E38" s="67"/>
      <c r="F38" s="67"/>
    </row>
    <row r="39" spans="2:40" x14ac:dyDescent="0.25">
      <c r="B39" s="1" t="s">
        <v>118</v>
      </c>
    </row>
    <row r="40" spans="2:40" x14ac:dyDescent="0.25">
      <c r="B40" s="39" t="s">
        <v>23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0</v>
      </c>
      <c r="F40" s="12">
        <v>0</v>
      </c>
      <c r="G40" s="12">
        <v>0</v>
      </c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0</v>
      </c>
      <c r="N40" s="12">
        <v>0</v>
      </c>
      <c r="O40" s="12">
        <v>0</v>
      </c>
      <c r="P40" s="12">
        <v>0</v>
      </c>
      <c r="Q40" s="12">
        <v>0</v>
      </c>
      <c r="R40" s="12">
        <v>0</v>
      </c>
      <c r="S40" s="12">
        <v>0</v>
      </c>
      <c r="T40" s="12">
        <v>0</v>
      </c>
      <c r="U40" s="12">
        <v>0</v>
      </c>
      <c r="V40" s="12">
        <v>0</v>
      </c>
      <c r="W40" s="12">
        <v>44079.375476403628</v>
      </c>
      <c r="X40" s="12">
        <v>71922.926952807233</v>
      </c>
      <c r="Y40" s="12">
        <v>89429.602429210878</v>
      </c>
      <c r="Z40" s="12">
        <v>106900.33723894779</v>
      </c>
      <c r="AA40" s="12">
        <v>124413.60538201811</v>
      </c>
      <c r="AB40" s="12">
        <v>142186.11419175507</v>
      </c>
      <c r="AC40" s="12">
        <v>175450.00806830791</v>
      </c>
      <c r="AD40" s="12">
        <v>194778.93469235185</v>
      </c>
      <c r="AE40" s="12">
        <v>214036.27771639585</v>
      </c>
      <c r="AF40" s="12">
        <v>233189.75434043986</v>
      </c>
      <c r="AG40" s="12">
        <v>252635.64763115047</v>
      </c>
      <c r="AH40" s="12">
        <v>272004.10898852779</v>
      </c>
      <c r="AI40" s="12">
        <v>291221.91727923846</v>
      </c>
      <c r="AJ40" s="12">
        <v>304816.55306994915</v>
      </c>
      <c r="AK40" s="12">
        <v>305120.66640328243</v>
      </c>
      <c r="AL40" s="12">
        <v>305535.89806994918</v>
      </c>
      <c r="AM40" s="12">
        <v>305775.6797366158</v>
      </c>
      <c r="AN40" s="12">
        <v>306079.79306994908</v>
      </c>
    </row>
    <row r="41" spans="2:40" x14ac:dyDescent="0.25">
      <c r="B41" s="39" t="s">
        <v>388</v>
      </c>
      <c r="C41" s="142">
        <f>_xlfn.XLOOKUP($B$1&amp;"-"&amp;$C$1,Base!$D$4:$BD$4,Base!$D$12:$BD$12,0,0)</f>
        <v>0</v>
      </c>
      <c r="E41" s="183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28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6914.39</v>
      </c>
      <c r="X42" s="12">
        <v>6914.39</v>
      </c>
      <c r="Y42" s="12">
        <v>6914.39</v>
      </c>
      <c r="Z42" s="12">
        <v>6914.39</v>
      </c>
      <c r="AA42" s="12">
        <v>6914.39</v>
      </c>
      <c r="AB42" s="12">
        <v>6914.39</v>
      </c>
      <c r="AC42" s="12">
        <v>7121.8216999999995</v>
      </c>
      <c r="AD42" s="12">
        <v>7121.8216999999995</v>
      </c>
      <c r="AE42" s="12">
        <v>7121.8216999999995</v>
      </c>
      <c r="AF42" s="12">
        <v>7121.8216999999995</v>
      </c>
      <c r="AG42" s="12">
        <v>7121.8216999999995</v>
      </c>
      <c r="AH42" s="12">
        <v>7121.8216999999995</v>
      </c>
      <c r="AI42" s="12">
        <v>7121.8216999999995</v>
      </c>
      <c r="AJ42" s="12">
        <v>7121.8216999999995</v>
      </c>
      <c r="AK42" s="12">
        <v>7121.8216999999995</v>
      </c>
      <c r="AL42" s="12">
        <v>7121.8216999999995</v>
      </c>
      <c r="AM42" s="12">
        <v>7121.8216999999995</v>
      </c>
      <c r="AN42" s="12">
        <v>7121.8216999999995</v>
      </c>
    </row>
    <row r="43" spans="2:40" x14ac:dyDescent="0.25">
      <c r="B43" s="39" t="s">
        <v>31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5824</v>
      </c>
      <c r="X43" s="12">
        <v>5824</v>
      </c>
      <c r="Y43" s="12">
        <v>5824</v>
      </c>
      <c r="Z43" s="12">
        <v>5824</v>
      </c>
      <c r="AA43" s="12">
        <v>5824</v>
      </c>
      <c r="AB43" s="12">
        <v>5824</v>
      </c>
      <c r="AC43" s="12">
        <v>6056.9600000000009</v>
      </c>
      <c r="AD43" s="12">
        <v>6056.9600000000009</v>
      </c>
      <c r="AE43" s="12">
        <v>6056.9600000000009</v>
      </c>
      <c r="AF43" s="12">
        <v>6056.9600000000009</v>
      </c>
      <c r="AG43" s="12">
        <v>6056.9600000000009</v>
      </c>
      <c r="AH43" s="12">
        <v>6056.9600000000009</v>
      </c>
      <c r="AI43" s="12">
        <v>6056.9600000000009</v>
      </c>
      <c r="AJ43" s="12">
        <v>6056.9600000000009</v>
      </c>
      <c r="AK43" s="12">
        <v>6056.9600000000009</v>
      </c>
      <c r="AL43" s="12">
        <v>6056.9600000000009</v>
      </c>
      <c r="AM43" s="12">
        <v>6056.9600000000009</v>
      </c>
      <c r="AN43" s="12">
        <v>6056.9600000000009</v>
      </c>
    </row>
    <row r="44" spans="2:40" x14ac:dyDescent="0.25">
      <c r="B44" s="39" t="s">
        <v>34</v>
      </c>
      <c r="C44" s="96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  <c r="O44" s="12">
        <v>0</v>
      </c>
      <c r="P44" s="12">
        <v>0</v>
      </c>
      <c r="Q44" s="12">
        <v>0</v>
      </c>
      <c r="R44" s="12">
        <v>0</v>
      </c>
      <c r="S44" s="12">
        <v>0</v>
      </c>
      <c r="T44" s="12">
        <v>0</v>
      </c>
      <c r="U44" s="12">
        <v>0</v>
      </c>
      <c r="V44" s="12">
        <v>0</v>
      </c>
      <c r="W44" s="12">
        <v>378.451008</v>
      </c>
      <c r="X44" s="12">
        <v>1002.1943359999999</v>
      </c>
      <c r="Y44" s="12">
        <v>1033.7319199999999</v>
      </c>
      <c r="Z44" s="12">
        <v>1065.2695039999999</v>
      </c>
      <c r="AA44" s="12">
        <v>1096.807088</v>
      </c>
      <c r="AB44" s="12">
        <v>1138.8571999999999</v>
      </c>
      <c r="AC44" s="12">
        <v>1213.5662323200002</v>
      </c>
      <c r="AD44" s="12">
        <v>1250.0096627200003</v>
      </c>
      <c r="AE44" s="12">
        <v>1282.80875008</v>
      </c>
      <c r="AF44" s="12">
        <v>1311.9634944000004</v>
      </c>
      <c r="AG44" s="12">
        <v>1352.0512678400003</v>
      </c>
      <c r="AH44" s="12">
        <v>1388.4946982400002</v>
      </c>
      <c r="AI44" s="12">
        <v>1421.2937856000005</v>
      </c>
      <c r="AJ44" s="12">
        <v>1202.6332032</v>
      </c>
      <c r="AK44" s="12">
        <v>1217.2105753600003</v>
      </c>
      <c r="AL44" s="12">
        <v>1235.4322905600002</v>
      </c>
      <c r="AM44" s="12">
        <v>1246.3653196800001</v>
      </c>
      <c r="AN44" s="12">
        <v>1260.9426918400002</v>
      </c>
    </row>
    <row r="45" spans="2:40" x14ac:dyDescent="0.25">
      <c r="B45" s="39" t="s">
        <v>36</v>
      </c>
      <c r="C45" s="96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0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12">
        <v>0</v>
      </c>
      <c r="R45" s="12">
        <v>0</v>
      </c>
      <c r="S45" s="12">
        <v>0</v>
      </c>
      <c r="T45" s="12">
        <v>0</v>
      </c>
      <c r="U45" s="12">
        <v>0</v>
      </c>
      <c r="V45" s="12">
        <v>0</v>
      </c>
      <c r="W45" s="12">
        <v>6120</v>
      </c>
      <c r="X45" s="12">
        <v>6120</v>
      </c>
      <c r="Y45" s="12">
        <v>6120</v>
      </c>
      <c r="Z45" s="12">
        <v>6120</v>
      </c>
      <c r="AA45" s="12">
        <v>6120</v>
      </c>
      <c r="AB45" s="12">
        <v>6120</v>
      </c>
      <c r="AC45" s="12">
        <v>6242.4</v>
      </c>
      <c r="AD45" s="12">
        <v>6242.4</v>
      </c>
      <c r="AE45" s="12">
        <v>6242.4</v>
      </c>
      <c r="AF45" s="12">
        <v>6242.4</v>
      </c>
      <c r="AG45" s="12">
        <v>6242.4</v>
      </c>
      <c r="AH45" s="12">
        <v>6242.4</v>
      </c>
      <c r="AI45" s="12">
        <v>6242.4</v>
      </c>
      <c r="AJ45" s="12">
        <v>6242.4</v>
      </c>
      <c r="AK45" s="12">
        <v>6242.4</v>
      </c>
      <c r="AL45" s="12">
        <v>6242.4</v>
      </c>
      <c r="AM45" s="12">
        <v>6242.4</v>
      </c>
      <c r="AN45" s="12">
        <v>6242.4</v>
      </c>
    </row>
    <row r="46" spans="2:40" x14ac:dyDescent="0.25">
      <c r="B46" s="39" t="s">
        <v>38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0</v>
      </c>
      <c r="F46" s="12">
        <v>0</v>
      </c>
      <c r="G46" s="12">
        <v>0</v>
      </c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0</v>
      </c>
      <c r="N46" s="12">
        <v>0</v>
      </c>
      <c r="O46" s="12">
        <v>0</v>
      </c>
      <c r="P46" s="12">
        <v>0</v>
      </c>
      <c r="Q46" s="12">
        <v>0</v>
      </c>
      <c r="R46" s="12">
        <v>0</v>
      </c>
      <c r="S46" s="12">
        <v>0</v>
      </c>
      <c r="T46" s="12">
        <v>0</v>
      </c>
      <c r="U46" s="12">
        <v>0</v>
      </c>
      <c r="V46" s="12">
        <v>0</v>
      </c>
      <c r="W46" s="12">
        <v>3604.6799999999994</v>
      </c>
      <c r="X46" s="12">
        <v>5507.4899999999989</v>
      </c>
      <c r="Y46" s="12">
        <v>6810.54</v>
      </c>
      <c r="Z46" s="12">
        <v>8110.0199999999995</v>
      </c>
      <c r="AA46" s="12">
        <v>9409.4999999999982</v>
      </c>
      <c r="AB46" s="12">
        <v>10723.26</v>
      </c>
      <c r="AC46" s="12">
        <v>12255.912</v>
      </c>
      <c r="AD46" s="12">
        <v>13585.022999999999</v>
      </c>
      <c r="AE46" s="12">
        <v>14914.133999999998</v>
      </c>
      <c r="AF46" s="12">
        <v>16235.962199999998</v>
      </c>
      <c r="AG46" s="12">
        <v>17568.714599999999</v>
      </c>
      <c r="AH46" s="12">
        <v>18901.467000000001</v>
      </c>
      <c r="AI46" s="12">
        <v>20226.936599999997</v>
      </c>
      <c r="AJ46" s="12">
        <v>21297.508200000007</v>
      </c>
      <c r="AK46" s="12">
        <v>21312.073800000002</v>
      </c>
      <c r="AL46" s="12">
        <v>21330.280800000004</v>
      </c>
      <c r="AM46" s="12">
        <v>21341.205000000002</v>
      </c>
      <c r="AN46" s="12">
        <v>21355.770600000003</v>
      </c>
    </row>
    <row r="47" spans="2:40" x14ac:dyDescent="0.25">
      <c r="B47" s="39" t="s">
        <v>40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  <c r="O47" s="12">
        <v>0</v>
      </c>
      <c r="P47" s="12">
        <v>0</v>
      </c>
      <c r="Q47" s="12">
        <v>0</v>
      </c>
      <c r="R47" s="12">
        <v>0</v>
      </c>
      <c r="S47" s="12">
        <v>0</v>
      </c>
      <c r="T47" s="12">
        <v>0</v>
      </c>
      <c r="U47" s="12">
        <v>0</v>
      </c>
      <c r="V47" s="12">
        <v>0</v>
      </c>
      <c r="W47" s="12">
        <v>4987.5</v>
      </c>
      <c r="X47" s="12">
        <v>4987.5</v>
      </c>
      <c r="Y47" s="12">
        <v>4987.5</v>
      </c>
      <c r="Z47" s="12">
        <v>4987.5</v>
      </c>
      <c r="AA47" s="12">
        <v>4987.5</v>
      </c>
      <c r="AB47" s="12">
        <v>4987.5</v>
      </c>
      <c r="AC47" s="12">
        <v>5236.875</v>
      </c>
      <c r="AD47" s="12">
        <v>5236.875</v>
      </c>
      <c r="AE47" s="12">
        <v>5236.875</v>
      </c>
      <c r="AF47" s="12">
        <v>5236.875</v>
      </c>
      <c r="AG47" s="12">
        <v>5236.875</v>
      </c>
      <c r="AH47" s="12">
        <v>5236.875</v>
      </c>
      <c r="AI47" s="12">
        <v>5236.875</v>
      </c>
      <c r="AJ47" s="12">
        <v>5236.875</v>
      </c>
      <c r="AK47" s="12">
        <v>5236.875</v>
      </c>
      <c r="AL47" s="12">
        <v>5236.875</v>
      </c>
      <c r="AM47" s="12">
        <v>5236.875</v>
      </c>
      <c r="AN47" s="12">
        <v>5236.875</v>
      </c>
    </row>
    <row r="48" spans="2:40" x14ac:dyDescent="0.25">
      <c r="B48" s="39" t="s">
        <v>41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104139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42</v>
      </c>
      <c r="E49" s="12">
        <f>'Corp.'!E$50*(E$37-(E31-E32-E34)*$C$35)/(SUM('MDA1:NCA9'!E$37)-SUM('MDA1:NCA9'!E$31)-SUM('MDA1:NCA9'!E$32)-SUM('MDA1:NCA9'!E$34))</f>
        <v>0</v>
      </c>
      <c r="F49" s="12">
        <f>'Corp.'!F$50*(F$37-(F31-F32-F34)*$C$35)/(SUM('MDA1:NCA9'!F$37)-SUM('MDA1:NCA9'!F$31)-SUM('MDA1:NCA9'!F$32)-SUM('MDA1:NCA9'!F$34))</f>
        <v>0</v>
      </c>
      <c r="G49" s="12">
        <f>'Corp.'!G$50*(G$37-(G31-G32-G34)*$C$35)/(SUM('MDA1:NCA9'!G$37)-SUM('MDA1:NCA9'!G$31)-SUM('MDA1:NCA9'!G$32)-SUM('MDA1:NCA9'!G$34))</f>
        <v>0</v>
      </c>
      <c r="H49" s="12">
        <f>'Corp.'!H$50*(H$37-(H31-H32-H34)*$C$35)/(SUM('MDA1:NCA9'!H$37)-SUM('MDA1:NCA9'!H$31)-SUM('MDA1:NCA9'!H$32)-SUM('MDA1:NCA9'!H$34))</f>
        <v>0</v>
      </c>
      <c r="I49" s="12">
        <f>'Corp.'!I$50*(I$37-(I31-I32-I34)*$C$35)/(SUM('MDA1:NCA9'!I$37)-SUM('MDA1:NCA9'!I$31)-SUM('MDA1:NCA9'!I$32)-SUM('MDA1:NCA9'!I$34))</f>
        <v>0</v>
      </c>
      <c r="J49" s="12">
        <f>'Corp.'!J$50*(J$37-(J31-J32-J34)*$C$35)/(SUM('MDA1:NCA9'!J$37)-SUM('MDA1:NCA9'!J$31)-SUM('MDA1:NCA9'!J$32)-SUM('MDA1:NCA9'!J$34))</f>
        <v>0</v>
      </c>
      <c r="K49" s="12">
        <f>'Corp.'!K$50*(K$37-(K31-K32-K34)*$C$35)/(SUM('MDA1:NCA9'!K$37)-SUM('MDA1:NCA9'!K$31)-SUM('MDA1:NCA9'!K$32)-SUM('MDA1:NCA9'!K$34))</f>
        <v>0</v>
      </c>
      <c r="L49" s="12">
        <f>'Corp.'!L$50*(L$37-(L31-L32-L34)*$C$35)/(SUM('MDA1:NCA9'!L$37)-SUM('MDA1:NCA9'!L$31)-SUM('MDA1:NCA9'!L$32)-SUM('MDA1:NCA9'!L$34))</f>
        <v>0</v>
      </c>
      <c r="M49" s="12">
        <f>'Corp.'!M$50*(M$37-(M31-M32-M34)*$C$35)/(SUM('MDA1:NCA9'!M$37)-SUM('MDA1:NCA9'!M$31)-SUM('MDA1:NCA9'!M$32)-SUM('MDA1:NCA9'!M$34))</f>
        <v>0</v>
      </c>
      <c r="N49" s="12">
        <f>'Corp.'!N$50*(N$37-(N31-N32-N34)*$C$35)/(SUM('MDA1:NCA9'!N$37)-SUM('MDA1:NCA9'!N$31)-SUM('MDA1:NCA9'!N$32)-SUM('MDA1:NCA9'!N$34))</f>
        <v>0</v>
      </c>
      <c r="O49" s="12">
        <f>'Corp.'!O$50*(O$37-(O31-O32-O34)*$C$35)/(SUM('MDA1:NCA9'!O$37)-SUM('MDA1:NCA9'!O$31)-SUM('MDA1:NCA9'!O$32)-SUM('MDA1:NCA9'!O$34))</f>
        <v>0</v>
      </c>
      <c r="P49" s="12">
        <f>'Corp.'!P$50*(P$37-(P31-P32-P34)*$C$35)/(SUM('MDA1:NCA9'!P$37)-SUM('MDA1:NCA9'!P$31)-SUM('MDA1:NCA9'!P$32)-SUM('MDA1:NCA9'!P$34))</f>
        <v>0</v>
      </c>
      <c r="Q49" s="12">
        <f>'Corp.'!Q$50*(Q$37-(Q31-Q32-Q34)*$C$35)/(SUM('MDA1:NCA9'!Q$37)-SUM('MDA1:NCA9'!Q$31)-SUM('MDA1:NCA9'!Q$32)-SUM('MDA1:NCA9'!Q$34))</f>
        <v>0</v>
      </c>
      <c r="R49" s="12">
        <f>'Corp.'!R$50*(R$37-(R31-R32-R34)*$C$35)/(SUM('MDA1:NCA9'!R$37)-SUM('MDA1:NCA9'!R$31)-SUM('MDA1:NCA9'!R$32)-SUM('MDA1:NCA9'!R$34))</f>
        <v>0</v>
      </c>
      <c r="S49" s="12">
        <f>'Corp.'!S$50*(S$37-(S31-S32-S34)*$C$35)/(SUM('MDA1:NCA9'!S$37)-SUM('MDA1:NCA9'!S$31)-SUM('MDA1:NCA9'!S$32)-SUM('MDA1:NCA9'!S$34))</f>
        <v>0</v>
      </c>
      <c r="T49" s="12">
        <f>'Corp.'!T$50*(T$37-(T31-T32-T34)*$C$35)/(SUM('MDA1:NCA9'!T$37)-SUM('MDA1:NCA9'!T$31)-SUM('MDA1:NCA9'!T$32)-SUM('MDA1:NCA9'!T$34))</f>
        <v>0</v>
      </c>
      <c r="U49" s="12">
        <f>'Corp.'!U$50*(U$37-(U31-U32-U34)*$C$35)/(SUM('MDA1:NCA9'!U$37)-SUM('MDA1:NCA9'!U$31)-SUM('MDA1:NCA9'!U$32)-SUM('MDA1:NCA9'!U$34))</f>
        <v>0</v>
      </c>
      <c r="V49" s="12">
        <f>'Corp.'!V$50*(V$37-(V31-V32-V34)*$C$35)/(SUM('MDA1:NCA9'!V$37)-SUM('MDA1:NCA9'!V$31)-SUM('MDA1:NCA9'!V$32)-SUM('MDA1:NCA9'!V$34))</f>
        <v>0</v>
      </c>
      <c r="W49" s="12">
        <f>'Corp.'!W$50*(W$37-(W31-W32-W34)*$C$35)/(SUM('MDA1:NCA9'!W$37)-SUM('MDA1:NCA9'!W$31)-SUM('MDA1:NCA9'!W$32)-SUM('MDA1:NCA9'!W$34))</f>
        <v>5721.9686029372315</v>
      </c>
      <c r="X49" s="12">
        <f>'Corp.'!X$50*(X$37-(X31-X32-X34)*$C$35)/(SUM('MDA1:NCA9'!X$37)-SUM('MDA1:NCA9'!X$31)-SUM('MDA1:NCA9'!X$32)-SUM('MDA1:NCA9'!X$34))</f>
        <v>8452.4051437693961</v>
      </c>
      <c r="Y49" s="12">
        <f>'Corp.'!Y$50*(Y$37-(Y31-Y32-Y34)*$C$35)/(SUM('MDA1:NCA9'!Y$37)-SUM('MDA1:NCA9'!Y$31)-SUM('MDA1:NCA9'!Y$32)-SUM('MDA1:NCA9'!Y$34))</f>
        <v>11121.353007184331</v>
      </c>
      <c r="Z49" s="12">
        <f>'Corp.'!Z$50*(Z$37-(Z31-Z32-Z34)*$C$35)/(SUM('MDA1:NCA9'!Z$37)-SUM('MDA1:NCA9'!Z$31)-SUM('MDA1:NCA9'!Z$32)-SUM('MDA1:NCA9'!Z$34))</f>
        <v>13665.995715670237</v>
      </c>
      <c r="AA49" s="12">
        <f>'Corp.'!AA$50*(AA$37-(AA31-AA32-AA34)*$C$35)/(SUM('MDA1:NCA9'!AA$37)-SUM('MDA1:NCA9'!AA$31)-SUM('MDA1:NCA9'!AA$32)-SUM('MDA1:NCA9'!AA$34))</f>
        <v>16076.016076181111</v>
      </c>
      <c r="AB49" s="12">
        <f>'Corp.'!AB$50*(AB$37-(AB31-AB32-AB34)*$C$35)/(SUM('MDA1:NCA9'!AB$37)-SUM('MDA1:NCA9'!AB$31)-SUM('MDA1:NCA9'!AB$32)-SUM('MDA1:NCA9'!AB$34))</f>
        <v>18371.874027925398</v>
      </c>
      <c r="AC49" s="12">
        <f>'Corp.'!AC$50*(AC$37-(AC31-AC32-AC34)*$C$35)/(SUM('MDA1:NCA9'!AC$37)-SUM('MDA1:NCA9'!AC$31)-SUM('MDA1:NCA9'!AC$32)-SUM('MDA1:NCA9'!AC$34))</f>
        <v>22573.138809692689</v>
      </c>
      <c r="AD49" s="12">
        <f>'Corp.'!AD$50*(AD$37-(AD31-AD32-AD34)*$C$35)/(SUM('MDA1:NCA9'!AD$37)-SUM('MDA1:NCA9'!AD$31)-SUM('MDA1:NCA9'!AD$32)-SUM('MDA1:NCA9'!AD$34))</f>
        <v>25010.968896680235</v>
      </c>
      <c r="AE49" s="12">
        <f>'Corp.'!AE$50*(AE$37-(AE31-AE32-AE34)*$C$35)/(SUM('MDA1:NCA9'!AE$37)-SUM('MDA1:NCA9'!AE$31)-SUM('MDA1:NCA9'!AE$32)-SUM('MDA1:NCA9'!AE$34))</f>
        <v>27381.505169393422</v>
      </c>
      <c r="AF49" s="12">
        <f>'Corp.'!AF$50*(AF$37-(AF31-AF32-AF34)*$C$35)/(SUM('MDA1:NCA9'!AF$37)-SUM('MDA1:NCA9'!AF$31)-SUM('MDA1:NCA9'!AF$32)-SUM('MDA1:NCA9'!AF$34))</f>
        <v>29693.947914720757</v>
      </c>
      <c r="AG49" s="12">
        <f>'Corp.'!AG$50*(AG$37-(AG31-AG32-AG34)*$C$35)/(SUM('MDA1:NCA9'!AG$37)-SUM('MDA1:NCA9'!AG$31)-SUM('MDA1:NCA9'!AG$32)-SUM('MDA1:NCA9'!AG$34))</f>
        <v>32021.217892348908</v>
      </c>
      <c r="AH49" s="12">
        <f>'Corp.'!AH$50*(AH$37-(AH31-AH32-AH34)*$C$35)/(SUM('MDA1:NCA9'!AH$37)-SUM('MDA1:NCA9'!AH$31)-SUM('MDA1:NCA9'!AH$32)-SUM('MDA1:NCA9'!AH$34))</f>
        <v>34146.729295547026</v>
      </c>
      <c r="AI49" s="12">
        <f>'Corp.'!AI$50*(AI$37-(AI31-AI32-AI34)*$C$35)/(SUM('MDA1:NCA9'!AI$37)-SUM('MDA1:NCA9'!AI$31)-SUM('MDA1:NCA9'!AI$32)-SUM('MDA1:NCA9'!AI$34))</f>
        <v>36159.19124450563</v>
      </c>
      <c r="AJ49" s="12">
        <f>'Corp.'!AJ$50*(AJ$37-(AJ31-AJ32-AJ34)*$C$35)/(SUM('MDA1:NCA9'!AJ$37)-SUM('MDA1:NCA9'!AJ$31)-SUM('MDA1:NCA9'!AJ$32)-SUM('MDA1:NCA9'!AJ$34))</f>
        <v>38063.84395049233</v>
      </c>
      <c r="AK49" s="12">
        <f>'Corp.'!AK$50*(AK$37-(AK31-AK32-AK34)*$C$35)/(SUM('MDA1:NCA9'!AK$37)-SUM('MDA1:NCA9'!AK$31)-SUM('MDA1:NCA9'!AK$32)-SUM('MDA1:NCA9'!AK$34))</f>
        <v>37421.355057904744</v>
      </c>
      <c r="AL49" s="12">
        <f>'Corp.'!AL$50*(AL$37-(AL31-AL32-AL34)*$C$35)/(SUM('MDA1:NCA9'!AL$37)-SUM('MDA1:NCA9'!AL$31)-SUM('MDA1:NCA9'!AL$32)-SUM('MDA1:NCA9'!AL$34))</f>
        <v>36831.76823163985</v>
      </c>
      <c r="AM49" s="12">
        <f>'Corp.'!AM$50*(AM$37-(AM31-AM32-AM34)*$C$35)/(SUM('MDA1:NCA9'!AM$37)-SUM('MDA1:NCA9'!AM$31)-SUM('MDA1:NCA9'!AM$32)-SUM('MDA1:NCA9'!AM$34))</f>
        <v>36196.812614303984</v>
      </c>
      <c r="AN49" s="12">
        <f>'Corp.'!AN$50*(AN$37-(AN31-AN32-AN34)*$C$35)/(SUM('MDA1:NCA9'!AN$37)-SUM('MDA1:NCA9'!AN$31)-SUM('MDA1:NCA9'!AN$32)-SUM('MDA1:NCA9'!AN$34))</f>
        <v>35655.564824824171</v>
      </c>
    </row>
    <row r="50" spans="2:40" x14ac:dyDescent="0.25">
      <c r="B50" s="1" t="s">
        <v>272</v>
      </c>
      <c r="E50" s="13" cm="1">
        <f t="array" ref="E50:AN50">_xlfn.BYCOL(_xlfn.VSTACK(_xlfn.ANCHORARRAY(E40),_xlfn.ANCHORARRAY(E42),_xlfn.ANCHORARRAY(E43),_xlfn.ANCHORARRAY(E45),_xlfn.ANCHORARRAY(E46),_xlfn.ANCHORARRAY(E47),_xlfn.ANCHORARRAY(E48),_xlfn.HSTACK(E49:AN49)),_xlfn.LAMBDA(_xlpm.a,SUM(_xlpm.a)))</f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0</v>
      </c>
      <c r="Q50" s="13">
        <v>0</v>
      </c>
      <c r="R50" s="13">
        <v>0</v>
      </c>
      <c r="S50" s="13">
        <v>0</v>
      </c>
      <c r="T50" s="13">
        <v>0</v>
      </c>
      <c r="U50" s="13">
        <v>104139</v>
      </c>
      <c r="V50" s="13">
        <v>0</v>
      </c>
      <c r="W50" s="13">
        <v>77251.914079340844</v>
      </c>
      <c r="X50" s="13">
        <v>109728.71209657664</v>
      </c>
      <c r="Y50" s="13">
        <v>131207.38543639521</v>
      </c>
      <c r="Z50" s="13">
        <v>152522.24295461801</v>
      </c>
      <c r="AA50" s="13">
        <v>173745.01145819924</v>
      </c>
      <c r="AB50" s="13">
        <v>195127.13821968049</v>
      </c>
      <c r="AC50" s="13">
        <v>234937.11557800061</v>
      </c>
      <c r="AD50" s="13">
        <v>258032.98328903207</v>
      </c>
      <c r="AE50" s="13">
        <v>280989.97358578927</v>
      </c>
      <c r="AF50" s="13">
        <v>303777.72115516057</v>
      </c>
      <c r="AG50" s="13">
        <v>326883.6368234994</v>
      </c>
      <c r="AH50" s="13">
        <v>349710.36198407481</v>
      </c>
      <c r="AI50" s="13">
        <v>372266.10182374413</v>
      </c>
      <c r="AJ50" s="13">
        <v>388835.96192044148</v>
      </c>
      <c r="AK50" s="13">
        <v>388512.15196118719</v>
      </c>
      <c r="AL50" s="13">
        <v>388356.00380158908</v>
      </c>
      <c r="AM50" s="13">
        <v>387971.75405091979</v>
      </c>
      <c r="AN50" s="13">
        <v>387749.18519477325</v>
      </c>
    </row>
    <row r="52" spans="2:40" x14ac:dyDescent="0.25">
      <c r="B52" s="1" t="s">
        <v>48</v>
      </c>
      <c r="E52" s="74">
        <f>E37-E50</f>
        <v>0</v>
      </c>
      <c r="F52" s="74">
        <f t="shared" ref="F52:AN52" si="0">F37-F50</f>
        <v>0</v>
      </c>
      <c r="G52" s="74">
        <f t="shared" si="0"/>
        <v>0</v>
      </c>
      <c r="H52" s="74">
        <f t="shared" si="0"/>
        <v>0</v>
      </c>
      <c r="I52" s="74">
        <f t="shared" si="0"/>
        <v>0</v>
      </c>
      <c r="J52" s="74">
        <f t="shared" si="0"/>
        <v>0</v>
      </c>
      <c r="K52" s="74">
        <f t="shared" si="0"/>
        <v>0</v>
      </c>
      <c r="L52" s="74">
        <f t="shared" si="0"/>
        <v>0</v>
      </c>
      <c r="M52" s="74">
        <f t="shared" si="0"/>
        <v>0</v>
      </c>
      <c r="N52" s="74">
        <f t="shared" si="0"/>
        <v>0</v>
      </c>
      <c r="O52" s="74">
        <f t="shared" si="0"/>
        <v>0</v>
      </c>
      <c r="P52" s="74">
        <f t="shared" si="0"/>
        <v>0</v>
      </c>
      <c r="Q52" s="74">
        <f t="shared" si="0"/>
        <v>0</v>
      </c>
      <c r="R52" s="74">
        <f t="shared" si="0"/>
        <v>0</v>
      </c>
      <c r="S52" s="74">
        <f t="shared" si="0"/>
        <v>0</v>
      </c>
      <c r="T52" s="74">
        <f t="shared" si="0"/>
        <v>0</v>
      </c>
      <c r="U52" s="74">
        <f t="shared" si="0"/>
        <v>-104139</v>
      </c>
      <c r="V52" s="74">
        <f t="shared" si="0"/>
        <v>0</v>
      </c>
      <c r="W52" s="74">
        <f t="shared" si="0"/>
        <v>-31914.397051126231</v>
      </c>
      <c r="X52" s="74">
        <f t="shared" si="0"/>
        <v>-40591.179892680739</v>
      </c>
      <c r="Y52" s="74">
        <f t="shared" si="0"/>
        <v>-38269.838056818058</v>
      </c>
      <c r="Z52" s="74">
        <f t="shared" si="0"/>
        <v>-35784.680399359553</v>
      </c>
      <c r="AA52" s="74">
        <f t="shared" si="0"/>
        <v>-33207.433727259515</v>
      </c>
      <c r="AB52" s="74">
        <f t="shared" si="0"/>
        <v>-30789.545313059498</v>
      </c>
      <c r="AC52" s="74">
        <f t="shared" si="0"/>
        <v>-46799.507495698286</v>
      </c>
      <c r="AD52" s="74">
        <f t="shared" si="0"/>
        <v>-46095.360031048505</v>
      </c>
      <c r="AE52" s="74">
        <f t="shared" si="0"/>
        <v>-45252.335152124375</v>
      </c>
      <c r="AF52" s="74">
        <f t="shared" si="0"/>
        <v>-44240.067545814469</v>
      </c>
      <c r="AG52" s="74">
        <f t="shared" si="0"/>
        <v>-43545.96803847194</v>
      </c>
      <c r="AH52" s="74">
        <f t="shared" si="0"/>
        <v>-42572.678023366141</v>
      </c>
      <c r="AI52" s="74">
        <f t="shared" si="0"/>
        <v>-41328.40268735413</v>
      </c>
      <c r="AJ52" s="74">
        <f t="shared" si="0"/>
        <v>-34098.247608370148</v>
      </c>
      <c r="AK52" s="74">
        <f t="shared" si="0"/>
        <v>-33774.437649115862</v>
      </c>
      <c r="AL52" s="74">
        <f t="shared" si="0"/>
        <v>-33618.289489517745</v>
      </c>
      <c r="AM52" s="74">
        <f t="shared" si="0"/>
        <v>-33234.039738848456</v>
      </c>
      <c r="AN52" s="74">
        <f t="shared" si="0"/>
        <v>-33011.47088270192</v>
      </c>
    </row>
    <row r="53" spans="2:40" x14ac:dyDescent="0.25">
      <c r="E53" s="105" t="str">
        <f>IFERROR(E52/E37,"")</f>
        <v/>
      </c>
      <c r="F53" s="105" t="str">
        <f t="shared" ref="F53:AN53" si="1">IFERROR(F52/F37,"")</f>
        <v/>
      </c>
      <c r="G53" s="105" t="str">
        <f t="shared" si="1"/>
        <v/>
      </c>
      <c r="H53" s="105" t="str">
        <f t="shared" si="1"/>
        <v/>
      </c>
      <c r="I53" s="105" t="str">
        <f t="shared" si="1"/>
        <v/>
      </c>
      <c r="J53" s="105" t="str">
        <f t="shared" si="1"/>
        <v/>
      </c>
      <c r="K53" s="105" t="str">
        <f t="shared" si="1"/>
        <v/>
      </c>
      <c r="L53" s="105" t="str">
        <f t="shared" si="1"/>
        <v/>
      </c>
      <c r="M53" s="105" t="str">
        <f t="shared" si="1"/>
        <v/>
      </c>
      <c r="N53" s="105" t="str">
        <f t="shared" si="1"/>
        <v/>
      </c>
      <c r="O53" s="105" t="str">
        <f t="shared" si="1"/>
        <v/>
      </c>
      <c r="P53" s="105" t="str">
        <f t="shared" si="1"/>
        <v/>
      </c>
      <c r="Q53" s="105" t="str">
        <f t="shared" si="1"/>
        <v/>
      </c>
      <c r="R53" s="105" t="str">
        <f t="shared" si="1"/>
        <v/>
      </c>
      <c r="S53" s="105" t="str">
        <f t="shared" si="1"/>
        <v/>
      </c>
      <c r="T53" s="105" t="str">
        <f t="shared" si="1"/>
        <v/>
      </c>
      <c r="U53" s="105" t="str">
        <f t="shared" si="1"/>
        <v/>
      </c>
      <c r="V53" s="105" t="str">
        <f t="shared" si="1"/>
        <v/>
      </c>
      <c r="W53" s="105">
        <f t="shared" si="1"/>
        <v>-0.70392908882207073</v>
      </c>
      <c r="X53" s="105">
        <f t="shared" si="1"/>
        <v>-0.58710773437749963</v>
      </c>
      <c r="Y53" s="105">
        <f t="shared" si="1"/>
        <v>-0.4117801592128929</v>
      </c>
      <c r="Z53" s="105">
        <f t="shared" si="1"/>
        <v>-0.30653955433085772</v>
      </c>
      <c r="AA53" s="105">
        <f t="shared" si="1"/>
        <v>-0.23628864438545685</v>
      </c>
      <c r="AB53" s="105">
        <f t="shared" si="1"/>
        <v>-0.18735545999237413</v>
      </c>
      <c r="AC53" s="105">
        <f t="shared" si="1"/>
        <v>-0.24875147490567362</v>
      </c>
      <c r="AD53" s="105">
        <f t="shared" si="1"/>
        <v>-0.21749493705956296</v>
      </c>
      <c r="AE53" s="105">
        <f t="shared" si="1"/>
        <v>-0.19196058572911387</v>
      </c>
      <c r="AF53" s="105">
        <f t="shared" si="1"/>
        <v>-0.17045722241291528</v>
      </c>
      <c r="AG53" s="105">
        <f t="shared" si="1"/>
        <v>-0.15368930020918228</v>
      </c>
      <c r="AH53" s="105">
        <f t="shared" si="1"/>
        <v>-0.13861105376054197</v>
      </c>
      <c r="AI53" s="105">
        <f t="shared" si="1"/>
        <v>-0.12488272806393499</v>
      </c>
      <c r="AJ53" s="105">
        <f t="shared" si="1"/>
        <v>-9.6122420122414995E-2</v>
      </c>
      <c r="AK53" s="105">
        <f t="shared" si="1"/>
        <v>-9.5209604974236473E-2</v>
      </c>
      <c r="AL53" s="105">
        <f t="shared" si="1"/>
        <v>-9.4769425784659939E-2</v>
      </c>
      <c r="AM53" s="105">
        <f t="shared" si="1"/>
        <v>-9.3686231821439966E-2</v>
      </c>
      <c r="AN53" s="105">
        <f t="shared" si="1"/>
        <v>-9.3058813739947968E-2</v>
      </c>
    </row>
    <row r="55" spans="2:40" x14ac:dyDescent="0.25">
      <c r="B55" t="s">
        <v>57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786840</v>
      </c>
      <c r="D55" s="12">
        <f>C55-SUM(_xlfn.ANCHORARRAY(E55))</f>
        <v>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131140</v>
      </c>
      <c r="V55" s="12">
        <v>131140</v>
      </c>
      <c r="W55" s="12">
        <v>131140</v>
      </c>
      <c r="X55" s="12">
        <v>131140</v>
      </c>
      <c r="Y55" s="12">
        <v>131140</v>
      </c>
      <c r="Z55" s="12">
        <v>131140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</row>
    <row r="56" spans="2:40" x14ac:dyDescent="0.25">
      <c r="B56" t="s">
        <v>285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0</v>
      </c>
      <c r="F56" s="90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0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0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0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0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-44654.400503007448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-48337.528445517019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-50830.655629242538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-54400.657905594795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-57970.660181946922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-61540.662458299172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-21080.636659640957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-24650.638935993149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-28220.641212345348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-31790.643488697533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-35360.645765049732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-38930.648041401917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-42500.650317754116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-46070.652594106301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-49640.6548704585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276</v>
      </c>
      <c r="E58" s="13">
        <f>E37-E50-E55+E56</f>
        <v>0</v>
      </c>
      <c r="F58" s="13">
        <f t="shared" ref="F58:AN58" si="2">F37-F50-F55+F56</f>
        <v>0</v>
      </c>
      <c r="G58" s="13">
        <f t="shared" si="2"/>
        <v>0</v>
      </c>
      <c r="H58" s="13">
        <f t="shared" si="2"/>
        <v>0</v>
      </c>
      <c r="I58" s="13">
        <f t="shared" si="2"/>
        <v>0</v>
      </c>
      <c r="J58" s="13">
        <f t="shared" si="2"/>
        <v>0</v>
      </c>
      <c r="K58" s="13">
        <f t="shared" si="2"/>
        <v>0</v>
      </c>
      <c r="L58" s="13">
        <f t="shared" si="2"/>
        <v>0</v>
      </c>
      <c r="M58" s="13">
        <f t="shared" si="2"/>
        <v>0</v>
      </c>
      <c r="N58" s="13">
        <f t="shared" si="2"/>
        <v>0</v>
      </c>
      <c r="O58" s="13">
        <f t="shared" si="2"/>
        <v>0</v>
      </c>
      <c r="P58" s="13">
        <f t="shared" si="2"/>
        <v>0</v>
      </c>
      <c r="Q58" s="13">
        <f t="shared" si="2"/>
        <v>0</v>
      </c>
      <c r="R58" s="13">
        <f t="shared" si="2"/>
        <v>0</v>
      </c>
      <c r="S58" s="13">
        <f t="shared" si="2"/>
        <v>0</v>
      </c>
      <c r="T58" s="13">
        <f t="shared" si="2"/>
        <v>0</v>
      </c>
      <c r="U58" s="13">
        <f t="shared" si="2"/>
        <v>-235279</v>
      </c>
      <c r="V58" s="13">
        <f t="shared" si="2"/>
        <v>-131140</v>
      </c>
      <c r="W58" s="13">
        <f t="shared" si="2"/>
        <v>-163054.39705112623</v>
      </c>
      <c r="X58" s="13">
        <f t="shared" si="2"/>
        <v>-171731.17989268072</v>
      </c>
      <c r="Y58" s="13">
        <f t="shared" si="2"/>
        <v>-169409.83805681806</v>
      </c>
      <c r="Z58" s="13">
        <f t="shared" si="2"/>
        <v>-211579.08090236702</v>
      </c>
      <c r="AA58" s="13">
        <f t="shared" si="2"/>
        <v>-81544.962172776533</v>
      </c>
      <c r="AB58" s="13">
        <f t="shared" si="2"/>
        <v>-81620.200942302035</v>
      </c>
      <c r="AC58" s="13">
        <f t="shared" si="2"/>
        <v>-101200.16540129308</v>
      </c>
      <c r="AD58" s="13">
        <f t="shared" si="2"/>
        <v>-104066.02021299543</v>
      </c>
      <c r="AE58" s="13">
        <f t="shared" si="2"/>
        <v>-106792.99761042354</v>
      </c>
      <c r="AF58" s="13">
        <f t="shared" si="2"/>
        <v>-65320.704205455426</v>
      </c>
      <c r="AG58" s="13">
        <f t="shared" si="2"/>
        <v>-68196.606974465089</v>
      </c>
      <c r="AH58" s="13">
        <f t="shared" si="2"/>
        <v>-70793.319235711489</v>
      </c>
      <c r="AI58" s="13">
        <f t="shared" si="2"/>
        <v>-73119.046176051663</v>
      </c>
      <c r="AJ58" s="13">
        <f t="shared" si="2"/>
        <v>-69458.89337341988</v>
      </c>
      <c r="AK58" s="13">
        <f t="shared" si="2"/>
        <v>-72705.085690517779</v>
      </c>
      <c r="AL58" s="13">
        <f t="shared" si="2"/>
        <v>-76118.939807271861</v>
      </c>
      <c r="AM58" s="13">
        <f t="shared" si="2"/>
        <v>-79304.692332954757</v>
      </c>
      <c r="AN58" s="13">
        <f t="shared" si="2"/>
        <v>-82652.125753160421</v>
      </c>
    </row>
    <row r="59" spans="2:40" x14ac:dyDescent="0.25">
      <c r="B59" t="s">
        <v>277</v>
      </c>
      <c r="E59" s="12" cm="1">
        <f t="array" ref="E59:AN59">_xlfn.SCAN(-D55,E58:AN58,_xlfn.LAMBDA(_xlpm.capex,_xlpm.fcf,_xlpm.capex+_xlpm.fcf))</f>
        <v>0</v>
      </c>
      <c r="F59" s="12">
        <v>0</v>
      </c>
      <c r="G59" s="12">
        <v>0</v>
      </c>
      <c r="H59" s="12">
        <v>0</v>
      </c>
      <c r="I59" s="12">
        <v>0</v>
      </c>
      <c r="J59" s="12">
        <v>0</v>
      </c>
      <c r="K59" s="12">
        <v>0</v>
      </c>
      <c r="L59" s="12">
        <v>0</v>
      </c>
      <c r="M59" s="12">
        <v>0</v>
      </c>
      <c r="N59" s="12">
        <v>0</v>
      </c>
      <c r="O59" s="12">
        <v>0</v>
      </c>
      <c r="P59" s="12">
        <v>0</v>
      </c>
      <c r="Q59" s="12">
        <v>0</v>
      </c>
      <c r="R59" s="12">
        <v>0</v>
      </c>
      <c r="S59" s="12">
        <v>0</v>
      </c>
      <c r="T59" s="12">
        <v>0</v>
      </c>
      <c r="U59" s="12">
        <v>-235279</v>
      </c>
      <c r="V59" s="12">
        <v>-366419</v>
      </c>
      <c r="W59" s="12">
        <v>-529473.39705112623</v>
      </c>
      <c r="X59" s="12">
        <v>-701204.57694380695</v>
      </c>
      <c r="Y59" s="12">
        <v>-870614.41500062495</v>
      </c>
      <c r="Z59" s="12">
        <v>-1082193.4959029919</v>
      </c>
      <c r="AA59" s="12">
        <v>-1163738.4580757683</v>
      </c>
      <c r="AB59" s="12">
        <v>-1245358.6590180704</v>
      </c>
      <c r="AC59" s="12">
        <v>-1346558.8244193634</v>
      </c>
      <c r="AD59" s="12">
        <v>-1450624.8446323588</v>
      </c>
      <c r="AE59" s="12">
        <v>-1557417.8422427822</v>
      </c>
      <c r="AF59" s="12">
        <v>-1622738.5464482377</v>
      </c>
      <c r="AG59" s="12">
        <v>-1690935.1534227028</v>
      </c>
      <c r="AH59" s="12">
        <v>-1761728.4726584144</v>
      </c>
      <c r="AI59" s="12">
        <v>-1834847.5188344661</v>
      </c>
      <c r="AJ59" s="12">
        <v>-1904306.4122078861</v>
      </c>
      <c r="AK59" s="12">
        <v>-1977011.4978984038</v>
      </c>
      <c r="AL59" s="12">
        <v>-2053130.4377056756</v>
      </c>
      <c r="AM59" s="12">
        <v>-2132435.1300386302</v>
      </c>
      <c r="AN59" s="12">
        <v>-2215087.2557917908</v>
      </c>
    </row>
    <row r="61" spans="2:40" x14ac:dyDescent="0.25">
      <c r="B61" s="1" t="s">
        <v>302</v>
      </c>
    </row>
    <row r="63" spans="2:40" x14ac:dyDescent="0.25">
      <c r="B63" s="39" t="s">
        <v>103</v>
      </c>
      <c r="E63" s="12" cm="1">
        <f t="array" ref="E63:AN63">_xlfn.LET(_xlpm.site,$B$1&amp;"-"&amp;$C$1,_xlpm.locations,Base!$D$4:$BD$4,_xlpm.rates,Base!$D$36:$BD$36,_xlpm.hours,Base!$D$79:$BD$79,_xlpm.comp,_xlpm.rates*_xlpm.hours,_xlpm.Customer,_xlfn.ANCHORARRAY($E$1),
_xlpm.Customer_comp,_xlfn.XLOOKUP(_xlpm.site,_xlpm.locations,_xlpm.comp,0,0),_xlpm.ann_incr,_xlfn.XLOOKUP(YEAR(_xlfn.ANCHORARRAY($E$25)),Base!$BJ$4:$BL$4,Base!$BJ$79:$BL$79,0,0),
_xlpm.bad_debt,_xlfn.XLOOKUP(_xlpm.site,_xlpm.locations,Base!$D$28:$BD$28,0,0),_xlpm.Customer_comp*_xlpm.Customer*_xlpm.bad_debt*_xlpm.ann_incr*(52/12)*(1-$C$35))</f>
        <v>0</v>
      </c>
      <c r="F63" s="12">
        <v>0</v>
      </c>
      <c r="G63" s="12">
        <v>0</v>
      </c>
      <c r="H63" s="12">
        <v>0</v>
      </c>
      <c r="I63" s="12">
        <v>0</v>
      </c>
      <c r="J63" s="12">
        <v>0</v>
      </c>
      <c r="K63" s="12">
        <v>0</v>
      </c>
      <c r="L63" s="12">
        <v>0</v>
      </c>
      <c r="M63" s="12">
        <v>0</v>
      </c>
      <c r="N63" s="12">
        <v>0</v>
      </c>
      <c r="O63" s="12">
        <v>0</v>
      </c>
      <c r="P63" s="12">
        <v>0</v>
      </c>
      <c r="Q63" s="12">
        <v>0</v>
      </c>
      <c r="R63" s="12">
        <v>0</v>
      </c>
      <c r="S63" s="12">
        <v>0</v>
      </c>
      <c r="T63" s="12">
        <v>0</v>
      </c>
      <c r="U63" s="12">
        <v>0</v>
      </c>
      <c r="V63" s="12">
        <v>0</v>
      </c>
      <c r="W63" s="12">
        <v>1346.9342361446402</v>
      </c>
      <c r="X63" s="12">
        <v>2693.8684722892804</v>
      </c>
      <c r="Y63" s="12">
        <v>4040.8027084339196</v>
      </c>
      <c r="Z63" s="12">
        <v>5387.7369445785607</v>
      </c>
      <c r="AA63" s="12">
        <v>6734.6711807232014</v>
      </c>
      <c r="AB63" s="12">
        <v>8081.6054168678393</v>
      </c>
      <c r="AC63" s="12">
        <v>9428.5396530124799</v>
      </c>
      <c r="AD63" s="12">
        <v>10775.473889157121</v>
      </c>
      <c r="AE63" s="12">
        <v>12122.408125301761</v>
      </c>
      <c r="AF63" s="12">
        <v>13469.342361446403</v>
      </c>
      <c r="AG63" s="12">
        <v>14816.276597591041</v>
      </c>
      <c r="AH63" s="12">
        <v>16163.210833735679</v>
      </c>
      <c r="AI63" s="12">
        <v>17510.145069880324</v>
      </c>
      <c r="AJ63" s="12">
        <v>18857.07930602496</v>
      </c>
      <c r="AK63" s="12">
        <v>18857.07930602496</v>
      </c>
      <c r="AL63" s="12">
        <v>18857.07930602496</v>
      </c>
      <c r="AM63" s="12">
        <v>18857.07930602496</v>
      </c>
      <c r="AN63" s="12">
        <v>18857.07930602496</v>
      </c>
    </row>
    <row r="64" spans="2:40" x14ac:dyDescent="0.25">
      <c r="B64" s="39" t="s">
        <v>104</v>
      </c>
      <c r="E64" s="12" cm="1">
        <f t="array" ref="E64:AN64">_xlfn.LET(_xlpm.site,$B$1&amp;"-"&amp;$C$1,_xlpm.locations,Base!$D$4:$BD$4,_xlpm.rates,Base!$D$37:$BD$37,_xlpm.hours,Base!$D$80:$BD$80,_xlpm.comp,_xlpm.rates*_xlpm.hours,_xlpm.Customer,_xlfn.ANCHORARRAY($E$1),
_xlpm.Customer_comp,_xlfn.XLOOKUP(_xlpm.site,_xlpm.locations,_xlpm.comp,0,0),_xlpm.ann_incr,_xlfn.XLOOKUP(YEAR(_xlfn.ANCHORARRAY($E$25)),Base!$BJ$4:$BL$4,Base!$BJ$80:$BL$80,0,0),
_xlpm.bad_debt,_xlfn.XLOOKUP(_xlpm.site,_xlpm.locations,Base!$D$28:$BD$28,0,0),_xlpm.Customer_comp*_xlpm.Customer*_xlpm.bad_debt*_xlpm.ann_incr*(52/12)*(1-$C$35))</f>
        <v>0</v>
      </c>
      <c r="F64" s="12">
        <v>0</v>
      </c>
      <c r="G64" s="12">
        <v>0</v>
      </c>
      <c r="H64" s="12">
        <v>0</v>
      </c>
      <c r="I64" s="12">
        <v>0</v>
      </c>
      <c r="J64" s="12">
        <v>0</v>
      </c>
      <c r="K64" s="12">
        <v>0</v>
      </c>
      <c r="L64" s="12">
        <v>0</v>
      </c>
      <c r="M64" s="12">
        <v>0</v>
      </c>
      <c r="N64" s="12">
        <v>0</v>
      </c>
      <c r="O64" s="12">
        <v>0</v>
      </c>
      <c r="P64" s="12">
        <v>0</v>
      </c>
      <c r="Q64" s="12">
        <v>0</v>
      </c>
      <c r="R64" s="12">
        <v>0</v>
      </c>
      <c r="S64" s="12">
        <v>0</v>
      </c>
      <c r="T64" s="12">
        <v>0</v>
      </c>
      <c r="U64" s="12">
        <v>0</v>
      </c>
      <c r="V64" s="12">
        <v>0</v>
      </c>
      <c r="W64" s="12">
        <v>364.20187326336008</v>
      </c>
      <c r="X64" s="12">
        <v>728.40374652672017</v>
      </c>
      <c r="Y64" s="12">
        <v>1092.6056197900805</v>
      </c>
      <c r="Z64" s="12">
        <v>1456.8074930534403</v>
      </c>
      <c r="AA64" s="12">
        <v>1821.0093663168002</v>
      </c>
      <c r="AB64" s="12">
        <v>2185.211239580161</v>
      </c>
      <c r="AC64" s="12">
        <v>2549.4131128435206</v>
      </c>
      <c r="AD64" s="12">
        <v>2913.6149861068807</v>
      </c>
      <c r="AE64" s="12">
        <v>3277.8168593702403</v>
      </c>
      <c r="AF64" s="12">
        <v>3642.0187326336004</v>
      </c>
      <c r="AG64" s="12">
        <v>4006.2206058969605</v>
      </c>
      <c r="AH64" s="12">
        <v>4370.4224791603219</v>
      </c>
      <c r="AI64" s="12">
        <v>4734.6243524236816</v>
      </c>
      <c r="AJ64" s="12">
        <v>5098.8262256870412</v>
      </c>
      <c r="AK64" s="12">
        <v>5098.8262256870412</v>
      </c>
      <c r="AL64" s="12">
        <v>5098.8262256870412</v>
      </c>
      <c r="AM64" s="12">
        <v>5098.8262256870412</v>
      </c>
      <c r="AN64" s="12">
        <v>5098.8262256870412</v>
      </c>
    </row>
    <row r="65" spans="2:40" x14ac:dyDescent="0.25">
      <c r="B65" s="39" t="s">
        <v>56</v>
      </c>
      <c r="E65" s="12" cm="1">
        <f t="array" ref="E65:AN65">_xlfn.LET(_xlpm.site,$B$1&amp;"-"&amp;$C$1,_xlpm.locations,Base!$D$4:$BD$4,_xlpm.rates,Base!$D$39:$BD$39,_xlpm.hours,Base!$D$82:$BD$82,_xlpm.comp,_xlpm.rates*_xlpm.hours,_xlpm.Customer,_xlfn.ANCHORARRAY($E$1),
_xlpm.Customer_comp,_xlfn.XLOOKUP(_xlpm.site,_xlpm.locations,_xlpm.comp,0,0),_xlpm.ann_incr,_xlfn.XLOOKUP(YEAR(_xlfn.ANCHORARRAY($E$25)),Base!$BJ$4:$BL$4,Base!$BJ$82:$BL$82,0,0),
_xlpm.bad_debt,_xlfn.XLOOKUP(_xlpm.site,_xlpm.locations,Base!$D$28:$BD$28,0,0),_xlpm.Customer_comp*_xlpm.Customer*_xlpm.bad_debt*_xlpm.ann_incr*(52/12)*(1-$C$35))</f>
        <v>0</v>
      </c>
      <c r="F65" s="12">
        <v>0</v>
      </c>
      <c r="G65" s="12">
        <v>0</v>
      </c>
      <c r="H65" s="12">
        <v>0</v>
      </c>
      <c r="I65" s="12">
        <v>0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  <c r="O65" s="12">
        <v>0</v>
      </c>
      <c r="P65" s="12">
        <v>0</v>
      </c>
      <c r="Q65" s="12">
        <v>0</v>
      </c>
      <c r="R65" s="12">
        <v>0</v>
      </c>
      <c r="S65" s="12">
        <v>0</v>
      </c>
      <c r="T65" s="12">
        <v>0</v>
      </c>
      <c r="U65" s="12">
        <v>0</v>
      </c>
      <c r="V65" s="12">
        <v>0</v>
      </c>
      <c r="W65" s="12">
        <v>1003.8872385484801</v>
      </c>
      <c r="X65" s="12">
        <v>2007.7744770969603</v>
      </c>
      <c r="Y65" s="12">
        <v>3011.6617156454399</v>
      </c>
      <c r="Z65" s="12">
        <v>4015.5489541939205</v>
      </c>
      <c r="AA65" s="12">
        <v>5019.4361927424006</v>
      </c>
      <c r="AB65" s="12">
        <v>6023.3234312908799</v>
      </c>
      <c r="AC65" s="12">
        <v>7027.2106698393609</v>
      </c>
      <c r="AD65" s="12">
        <v>8031.097908387841</v>
      </c>
      <c r="AE65" s="12">
        <v>9034.9851469363202</v>
      </c>
      <c r="AF65" s="12">
        <v>10038.872385484801</v>
      </c>
      <c r="AG65" s="12">
        <v>11042.759624033282</v>
      </c>
      <c r="AH65" s="12">
        <v>12046.64686258176</v>
      </c>
      <c r="AI65" s="12">
        <v>13050.534101130241</v>
      </c>
      <c r="AJ65" s="12">
        <v>14054.421339678722</v>
      </c>
      <c r="AK65" s="12">
        <v>14054.421339678722</v>
      </c>
      <c r="AL65" s="12">
        <v>14054.421339678722</v>
      </c>
      <c r="AM65" s="12">
        <v>14054.421339678722</v>
      </c>
      <c r="AN65" s="12">
        <v>14054.421339678722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303</v>
      </c>
      <c r="C67" s="12"/>
      <c r="E67" s="13" cm="1">
        <f t="array" ref="E67:AN67">_xlfn.BYCOL(_xlfn.VSTACK(_xlfn.ANCHORARRAY($E$63),_xlfn.ANCHORARRAY($E$64),_xlfn.ANCHORARRAY($E$65)),_xlfn.LAMBDA(_xlpm.a,SUM(_xlpm.a)))</f>
        <v>0</v>
      </c>
      <c r="F67" s="13">
        <v>0</v>
      </c>
      <c r="G67" s="13">
        <v>0</v>
      </c>
      <c r="H67" s="13">
        <v>0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  <c r="W67" s="13">
        <v>2715.0233479564804</v>
      </c>
      <c r="X67" s="13">
        <v>5430.0466959129608</v>
      </c>
      <c r="Y67" s="13">
        <v>8145.0700438694403</v>
      </c>
      <c r="Z67" s="13">
        <v>10860.093391825922</v>
      </c>
      <c r="AA67" s="13">
        <v>13575.116739782403</v>
      </c>
      <c r="AB67" s="13">
        <v>16290.140087738881</v>
      </c>
      <c r="AC67" s="13">
        <v>19005.163435695362</v>
      </c>
      <c r="AD67" s="13">
        <v>21720.186783651843</v>
      </c>
      <c r="AE67" s="13">
        <v>24435.210131608321</v>
      </c>
      <c r="AF67" s="13">
        <v>27150.233479564806</v>
      </c>
      <c r="AG67" s="13">
        <v>29865.256827521283</v>
      </c>
      <c r="AH67" s="13">
        <v>32580.280175477761</v>
      </c>
      <c r="AI67" s="13">
        <v>35295.303523434246</v>
      </c>
      <c r="AJ67" s="13">
        <v>38010.326871390724</v>
      </c>
      <c r="AK67" s="13">
        <v>38010.326871390724</v>
      </c>
      <c r="AL67" s="13">
        <v>38010.326871390724</v>
      </c>
      <c r="AM67" s="13">
        <v>38010.326871390724</v>
      </c>
      <c r="AN67" s="13">
        <v>38010.326871390724</v>
      </c>
    </row>
    <row r="68" spans="2:40" x14ac:dyDescent="0.25">
      <c r="B68" s="39"/>
      <c r="C68" s="12"/>
    </row>
    <row r="69" spans="2:40" x14ac:dyDescent="0.25">
      <c r="B69" s="39" t="s">
        <v>304</v>
      </c>
      <c r="C69" s="12"/>
      <c r="E69" s="106" cm="1">
        <f t="array" ref="E69:AN70">_xlfn.LET(_xlpm.Customer_staff,_xlfn._xlws.FILTER(Base!$D$96:$BD$97,ISNUMBER(SEARCH($B$1&amp;"-"&amp;$C$1,Base!$D$4:$BD$4))),_xlpm.Customer,_xlfn.ANCHORARRAY($E$1),_xlpm.headcount,_xlpm.Customer/_xlpm.Customer_staff,
_xlpm.rounding,_xlfn.VSTACK(0,0),IFERROR(ROUND(_xlpm.headcount,_xlpm.rounding),0))</f>
        <v>0</v>
      </c>
      <c r="F69" s="106">
        <v>0</v>
      </c>
      <c r="G69" s="106">
        <v>0</v>
      </c>
      <c r="H69" s="106">
        <v>0</v>
      </c>
      <c r="I69" s="106">
        <v>0</v>
      </c>
      <c r="J69" s="106">
        <v>0</v>
      </c>
      <c r="K69" s="106">
        <v>0</v>
      </c>
      <c r="L69" s="106">
        <v>0</v>
      </c>
      <c r="M69" s="106">
        <v>0</v>
      </c>
      <c r="N69" s="106">
        <v>0</v>
      </c>
      <c r="O69" s="106">
        <v>0</v>
      </c>
      <c r="P69" s="106">
        <v>0</v>
      </c>
      <c r="Q69" s="106">
        <v>0</v>
      </c>
      <c r="R69" s="106">
        <v>0</v>
      </c>
      <c r="S69" s="106">
        <v>0</v>
      </c>
      <c r="T69" s="106">
        <v>0</v>
      </c>
      <c r="U69" s="106">
        <v>0</v>
      </c>
      <c r="V69" s="106">
        <v>0</v>
      </c>
      <c r="W69" s="106">
        <v>0</v>
      </c>
      <c r="X69" s="106">
        <v>0</v>
      </c>
      <c r="Y69" s="106">
        <v>0</v>
      </c>
      <c r="Z69" s="106">
        <v>0</v>
      </c>
      <c r="AA69" s="106">
        <v>0</v>
      </c>
      <c r="AB69" s="106">
        <v>0</v>
      </c>
      <c r="AC69" s="106">
        <v>1</v>
      </c>
      <c r="AD69" s="106">
        <v>1</v>
      </c>
      <c r="AE69" s="106">
        <v>1</v>
      </c>
      <c r="AF69" s="106">
        <v>1</v>
      </c>
      <c r="AG69" s="106">
        <v>1</v>
      </c>
      <c r="AH69" s="106">
        <v>1</v>
      </c>
      <c r="AI69" s="106">
        <v>1</v>
      </c>
      <c r="AJ69" s="106">
        <v>1</v>
      </c>
      <c r="AK69" s="106">
        <v>1</v>
      </c>
      <c r="AL69" s="106">
        <v>1</v>
      </c>
      <c r="AM69" s="106">
        <v>1</v>
      </c>
      <c r="AN69" s="106">
        <v>1</v>
      </c>
    </row>
    <row r="70" spans="2:40" x14ac:dyDescent="0.25">
      <c r="B70" s="39" t="s">
        <v>305</v>
      </c>
      <c r="C70" s="12"/>
      <c r="E70" s="106">
        <v>0</v>
      </c>
      <c r="F70" s="106">
        <v>0</v>
      </c>
      <c r="G70" s="106">
        <v>0</v>
      </c>
      <c r="H70" s="106">
        <v>0</v>
      </c>
      <c r="I70" s="106">
        <v>0</v>
      </c>
      <c r="J70" s="106">
        <v>0</v>
      </c>
      <c r="K70" s="106">
        <v>0</v>
      </c>
      <c r="L70" s="106">
        <v>0</v>
      </c>
      <c r="M70" s="106">
        <v>0</v>
      </c>
      <c r="N70" s="106">
        <v>0</v>
      </c>
      <c r="O70" s="106">
        <v>0</v>
      </c>
      <c r="P70" s="106">
        <v>0</v>
      </c>
      <c r="Q70" s="106">
        <v>0</v>
      </c>
      <c r="R70" s="106">
        <v>0</v>
      </c>
      <c r="S70" s="106">
        <v>0</v>
      </c>
      <c r="T70" s="106">
        <v>0</v>
      </c>
      <c r="U70" s="106">
        <v>0</v>
      </c>
      <c r="V70" s="106">
        <v>0</v>
      </c>
      <c r="W70" s="106">
        <v>0</v>
      </c>
      <c r="X70" s="106">
        <v>0</v>
      </c>
      <c r="Y70" s="106">
        <v>0</v>
      </c>
      <c r="Z70" s="106">
        <v>0</v>
      </c>
      <c r="AA70" s="106">
        <v>0</v>
      </c>
      <c r="AB70" s="106">
        <v>0</v>
      </c>
      <c r="AC70" s="106">
        <v>0</v>
      </c>
      <c r="AD70" s="106">
        <v>1</v>
      </c>
      <c r="AE70" s="106">
        <v>1</v>
      </c>
      <c r="AF70" s="106">
        <v>1</v>
      </c>
      <c r="AG70" s="106">
        <v>1</v>
      </c>
      <c r="AH70" s="106">
        <v>1</v>
      </c>
      <c r="AI70" s="106">
        <v>1</v>
      </c>
      <c r="AJ70" s="106">
        <v>1</v>
      </c>
      <c r="AK70" s="106">
        <v>1</v>
      </c>
      <c r="AL70" s="106">
        <v>1</v>
      </c>
      <c r="AM70" s="106">
        <v>1</v>
      </c>
      <c r="AN70" s="106">
        <v>1</v>
      </c>
    </row>
    <row r="71" spans="2:40" x14ac:dyDescent="0.25">
      <c r="B71" s="39"/>
      <c r="C71" s="12"/>
    </row>
    <row r="72" spans="2:40" x14ac:dyDescent="0.25">
      <c r="B72" s="39" t="s">
        <v>23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0</v>
      </c>
      <c r="F72" s="12">
        <v>0</v>
      </c>
      <c r="G72" s="12">
        <v>0</v>
      </c>
      <c r="H72" s="12">
        <v>0</v>
      </c>
      <c r="I72" s="12">
        <v>0</v>
      </c>
      <c r="J72" s="12">
        <v>0</v>
      </c>
      <c r="K72" s="12">
        <v>0</v>
      </c>
      <c r="L72" s="12">
        <v>0</v>
      </c>
      <c r="M72" s="12">
        <v>0</v>
      </c>
      <c r="N72" s="12">
        <v>0</v>
      </c>
      <c r="O72" s="12">
        <v>0</v>
      </c>
      <c r="P72" s="12">
        <v>0</v>
      </c>
      <c r="Q72" s="12">
        <v>0</v>
      </c>
      <c r="R72" s="12">
        <v>0</v>
      </c>
      <c r="S72" s="12">
        <v>0</v>
      </c>
      <c r="T72" s="12">
        <v>0</v>
      </c>
      <c r="U72" s="12">
        <v>0</v>
      </c>
      <c r="V72" s="12">
        <v>0</v>
      </c>
      <c r="W72" s="12">
        <v>692.29180973695384</v>
      </c>
      <c r="X72" s="12">
        <v>1384.5836194739077</v>
      </c>
      <c r="Y72" s="12">
        <v>2076.8754292108624</v>
      </c>
      <c r="Z72" s="12">
        <v>2769.1672389478153</v>
      </c>
      <c r="AA72" s="12">
        <v>3461.459048684771</v>
      </c>
      <c r="AB72" s="12">
        <v>4153.7508584217248</v>
      </c>
      <c r="AC72" s="12">
        <v>22033.486934974546</v>
      </c>
      <c r="AD72" s="12">
        <v>39497.847925685193</v>
      </c>
      <c r="AE72" s="12">
        <v>40259.368916395848</v>
      </c>
      <c r="AF72" s="12">
        <v>41020.889907106495</v>
      </c>
      <c r="AG72" s="12">
        <v>41782.410897817143</v>
      </c>
      <c r="AH72" s="12">
        <v>42543.93188852779</v>
      </c>
      <c r="AI72" s="12">
        <v>43305.452879238444</v>
      </c>
      <c r="AJ72" s="12">
        <v>44066.973869949092</v>
      </c>
      <c r="AK72" s="12">
        <v>44066.973869949092</v>
      </c>
      <c r="AL72" s="12">
        <v>44066.973869949092</v>
      </c>
      <c r="AM72" s="12">
        <v>44066.973869949092</v>
      </c>
      <c r="AN72" s="12">
        <v>44066.973869949092</v>
      </c>
    </row>
    <row r="73" spans="2:40" x14ac:dyDescent="0.25">
      <c r="B73" s="39" t="s">
        <v>24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306</v>
      </c>
      <c r="E75" s="74" cm="1">
        <f t="array" ref="E75:AN75">_xlfn.ANCHORARRAY(E67)-_xlfn.ANCHORARRAY(E72)-_xlfn.ANCHORARRAY(E73)</f>
        <v>0</v>
      </c>
      <c r="F75" s="74">
        <v>0</v>
      </c>
      <c r="G75" s="74">
        <v>0</v>
      </c>
      <c r="H75" s="74">
        <v>0</v>
      </c>
      <c r="I75" s="74">
        <v>0</v>
      </c>
      <c r="J75" s="74">
        <v>0</v>
      </c>
      <c r="K75" s="74">
        <v>0</v>
      </c>
      <c r="L75" s="74">
        <v>0</v>
      </c>
      <c r="M75" s="74">
        <v>0</v>
      </c>
      <c r="N75" s="74">
        <v>0</v>
      </c>
      <c r="O75" s="74">
        <v>0</v>
      </c>
      <c r="P75" s="74">
        <v>0</v>
      </c>
      <c r="Q75" s="74">
        <v>0</v>
      </c>
      <c r="R75" s="74">
        <v>0</v>
      </c>
      <c r="S75" s="74">
        <v>0</v>
      </c>
      <c r="T75" s="74">
        <v>0</v>
      </c>
      <c r="U75" s="74">
        <v>0</v>
      </c>
      <c r="V75" s="74">
        <v>0</v>
      </c>
      <c r="W75" s="74">
        <v>2022.7315382195266</v>
      </c>
      <c r="X75" s="74">
        <v>4045.4630764390531</v>
      </c>
      <c r="Y75" s="74">
        <v>6068.1946146585778</v>
      </c>
      <c r="Z75" s="74">
        <v>8090.9261528781062</v>
      </c>
      <c r="AA75" s="74">
        <v>10113.657691097633</v>
      </c>
      <c r="AB75" s="74">
        <v>12136.389229317156</v>
      </c>
      <c r="AC75" s="74">
        <v>-3028.323499279184</v>
      </c>
      <c r="AD75" s="74">
        <v>-17777.66114203335</v>
      </c>
      <c r="AE75" s="74">
        <v>-15824.158784787527</v>
      </c>
      <c r="AF75" s="74">
        <v>-13870.656427541689</v>
      </c>
      <c r="AG75" s="74">
        <v>-11917.154070295859</v>
      </c>
      <c r="AH75" s="74">
        <v>-9963.6517130500288</v>
      </c>
      <c r="AI75" s="74">
        <v>-8010.1493558041984</v>
      </c>
      <c r="AJ75" s="74">
        <v>-6056.6469985583681</v>
      </c>
      <c r="AK75" s="74">
        <v>-6056.6469985583681</v>
      </c>
      <c r="AL75" s="74">
        <v>-6056.6469985583681</v>
      </c>
      <c r="AM75" s="74">
        <v>-6056.6469985583681</v>
      </c>
      <c r="AN75" s="74">
        <v>-6056.6469985583681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18F91D-E51E-424C-909F-6717EC80AD40}">
  <dimension ref="A1:AX75"/>
  <sheetViews>
    <sheetView workbookViewId="0">
      <pane xSplit="4" ySplit="25" topLeftCell="E59" activePane="bottomRight" state="frozen"/>
      <selection activeCell="E63" sqref="E63:E65"/>
      <selection pane="topRight" activeCell="E63" sqref="E63:E65"/>
      <selection pane="bottomLeft" activeCell="E63" sqref="E63:E65"/>
      <selection pane="bottomRight" activeCell="E63" sqref="E63:E65"/>
    </sheetView>
  </sheetViews>
  <sheetFormatPr defaultRowHeight="15" outlineLevelRow="1" x14ac:dyDescent="0.25"/>
  <cols>
    <col min="2" max="2" width="24.5703125" bestFit="1" customWidth="1"/>
    <col min="3" max="3" width="10.7109375" bestFit="1" customWidth="1"/>
    <col min="4" max="4" width="10" bestFit="1" customWidth="1"/>
    <col min="5" max="5" width="11.42578125" bestFit="1" customWidth="1"/>
    <col min="6" max="6" width="11.7109375" bestFit="1" customWidth="1"/>
    <col min="7" max="13" width="12.28515625" bestFit="1" customWidth="1"/>
    <col min="14" max="18" width="11.5703125" bestFit="1" customWidth="1"/>
    <col min="19" max="40" width="12.5703125" bestFit="1" customWidth="1"/>
  </cols>
  <sheetData>
    <row r="1" spans="1:40" x14ac:dyDescent="0.25">
      <c r="A1" s="96" t="str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/>
      </c>
      <c r="B1" s="58" t="s">
        <v>433</v>
      </c>
      <c r="C1" s="16" t="s">
        <v>344</v>
      </c>
      <c r="D1" s="3" t="s">
        <v>307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IFERROR(_xlpm.kiddos,0))</f>
        <v>1</v>
      </c>
      <c r="F1" s="69">
        <v>3</v>
      </c>
      <c r="G1" s="69">
        <v>5</v>
      </c>
      <c r="H1" s="69">
        <v>7</v>
      </c>
      <c r="I1" s="69">
        <v>8</v>
      </c>
      <c r="J1" s="69">
        <v>10</v>
      </c>
      <c r="K1" s="69">
        <v>12</v>
      </c>
      <c r="L1" s="69">
        <v>14</v>
      </c>
      <c r="M1" s="69">
        <v>16</v>
      </c>
      <c r="N1" s="69">
        <v>17</v>
      </c>
      <c r="O1" s="69">
        <v>19</v>
      </c>
      <c r="P1" s="69">
        <v>21</v>
      </c>
      <c r="Q1" s="69">
        <v>23</v>
      </c>
      <c r="R1" s="69">
        <v>25</v>
      </c>
      <c r="S1" s="69">
        <v>25</v>
      </c>
      <c r="T1" s="69">
        <v>25</v>
      </c>
      <c r="U1" s="69">
        <v>25</v>
      </c>
      <c r="V1" s="69">
        <v>25</v>
      </c>
      <c r="W1" s="69">
        <v>25</v>
      </c>
      <c r="X1" s="69">
        <v>25</v>
      </c>
      <c r="Y1" s="69">
        <v>25</v>
      </c>
      <c r="Z1" s="69">
        <v>25</v>
      </c>
      <c r="AA1" s="69">
        <v>25</v>
      </c>
      <c r="AB1" s="69">
        <v>25</v>
      </c>
      <c r="AC1" s="69">
        <v>25</v>
      </c>
      <c r="AD1" s="69">
        <v>25</v>
      </c>
      <c r="AE1" s="69">
        <v>25</v>
      </c>
      <c r="AF1" s="69">
        <v>25</v>
      </c>
      <c r="AG1" s="69">
        <v>25</v>
      </c>
      <c r="AH1" s="69">
        <v>25</v>
      </c>
      <c r="AI1" s="69">
        <v>25</v>
      </c>
      <c r="AJ1" s="69">
        <v>25</v>
      </c>
      <c r="AK1" s="69">
        <v>25</v>
      </c>
      <c r="AL1" s="69">
        <v>25</v>
      </c>
      <c r="AM1" s="69">
        <v>25</v>
      </c>
      <c r="AN1" s="69">
        <v>25</v>
      </c>
    </row>
    <row r="2" spans="1:40" x14ac:dyDescent="0.25">
      <c r="A2" s="65"/>
      <c r="B2" s="3" t="str">
        <f>_xlfn.XLOOKUP($B$1&amp;"-"&amp;$C$1,Base!$D$4:$BD$4,Base!$D$2:$BD$2,"",0)</f>
        <v>Arizona</v>
      </c>
      <c r="C2" s="55"/>
      <c r="D2" s="55" t="s">
        <v>259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0</v>
      </c>
      <c r="F2" s="69">
        <v>1.9523809523809526</v>
      </c>
      <c r="G2" s="69">
        <v>2.1190476190476191</v>
      </c>
      <c r="H2" s="69">
        <v>2.2857142857142856</v>
      </c>
      <c r="I2" s="69">
        <v>2.4523809523809526</v>
      </c>
      <c r="J2" s="69">
        <v>2.6190476190476191</v>
      </c>
      <c r="K2" s="69">
        <v>2.7857142857142856</v>
      </c>
      <c r="L2" s="69">
        <v>2.9523809523809526</v>
      </c>
      <c r="M2" s="69">
        <v>3.1190476190476191</v>
      </c>
      <c r="N2" s="69">
        <v>3.2857142857142856</v>
      </c>
      <c r="O2" s="69">
        <v>3.4523809523809526</v>
      </c>
      <c r="P2" s="69">
        <v>3.6190476190476191</v>
      </c>
      <c r="Q2" s="69">
        <v>3.7857142857142856</v>
      </c>
      <c r="R2" s="69">
        <v>2</v>
      </c>
      <c r="S2" s="69">
        <v>2</v>
      </c>
      <c r="T2" s="69">
        <v>2</v>
      </c>
      <c r="U2" s="69">
        <v>2</v>
      </c>
      <c r="V2" s="69">
        <v>2</v>
      </c>
      <c r="W2" s="69">
        <v>2</v>
      </c>
      <c r="X2" s="69">
        <v>2</v>
      </c>
      <c r="Y2" s="69">
        <v>2</v>
      </c>
      <c r="Z2" s="69">
        <v>2</v>
      </c>
      <c r="AA2" s="69">
        <v>2</v>
      </c>
      <c r="AB2" s="69">
        <v>2</v>
      </c>
      <c r="AC2" s="69">
        <v>2</v>
      </c>
      <c r="AD2" s="69">
        <v>2</v>
      </c>
      <c r="AE2" s="69">
        <v>2</v>
      </c>
      <c r="AF2" s="69">
        <v>2</v>
      </c>
      <c r="AG2" s="69">
        <v>2</v>
      </c>
      <c r="AH2" s="69">
        <v>2</v>
      </c>
      <c r="AI2" s="69">
        <v>2</v>
      </c>
      <c r="AJ2" s="69">
        <v>2</v>
      </c>
      <c r="AK2" s="69">
        <v>2</v>
      </c>
      <c r="AL2" s="69">
        <v>2</v>
      </c>
      <c r="AM2" s="69">
        <v>2</v>
      </c>
      <c r="AN2" s="69">
        <v>2</v>
      </c>
    </row>
    <row r="3" spans="1:40" x14ac:dyDescent="0.25">
      <c r="A3" s="65"/>
      <c r="B3" s="55"/>
      <c r="C3" s="55"/>
      <c r="D3" s="55" t="s">
        <v>62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_xlpm.months_since,DATEDIF(_xlpm.launchdate,_xlfn.ANCHORARRAY($E$25),"m"),_xlfn.BYCOL(_xlpm.months_since,_xlfn.LAMBDA(_xlpm.a,IFERROR(MIN(_xlpm.a/6,_xlpm.max_kiddos),0))))</f>
        <v>0</v>
      </c>
      <c r="F3" s="69">
        <v>0.16666666666666666</v>
      </c>
      <c r="G3" s="69">
        <v>0.33333333333333331</v>
      </c>
      <c r="H3" s="69">
        <v>0.5</v>
      </c>
      <c r="I3" s="69">
        <v>0.66666666666666663</v>
      </c>
      <c r="J3" s="69">
        <v>0.83333333333333337</v>
      </c>
      <c r="K3" s="69">
        <v>1</v>
      </c>
      <c r="L3" s="69">
        <v>1.1666666666666667</v>
      </c>
      <c r="M3" s="69">
        <v>1.3333333333333333</v>
      </c>
      <c r="N3" s="69">
        <v>1.5</v>
      </c>
      <c r="O3" s="69">
        <v>1.6666666666666667</v>
      </c>
      <c r="P3" s="69">
        <v>1.8333333333333333</v>
      </c>
      <c r="Q3" s="69">
        <v>2</v>
      </c>
      <c r="R3" s="69">
        <v>2</v>
      </c>
      <c r="S3" s="69">
        <v>2</v>
      </c>
      <c r="T3" s="69">
        <v>2</v>
      </c>
      <c r="U3" s="69">
        <v>2</v>
      </c>
      <c r="V3" s="69">
        <v>2</v>
      </c>
      <c r="W3" s="69">
        <v>2</v>
      </c>
      <c r="X3" s="69">
        <v>2</v>
      </c>
      <c r="Y3" s="69">
        <v>2</v>
      </c>
      <c r="Z3" s="69">
        <v>2</v>
      </c>
      <c r="AA3" s="69">
        <v>2</v>
      </c>
      <c r="AB3" s="69">
        <v>2</v>
      </c>
      <c r="AC3" s="69">
        <v>2</v>
      </c>
      <c r="AD3" s="69">
        <v>2</v>
      </c>
      <c r="AE3" s="69">
        <v>2</v>
      </c>
      <c r="AF3" s="69">
        <v>2</v>
      </c>
      <c r="AG3" s="69">
        <v>2</v>
      </c>
      <c r="AH3" s="69">
        <v>2</v>
      </c>
      <c r="AI3" s="69">
        <v>2</v>
      </c>
      <c r="AJ3" s="69">
        <v>2</v>
      </c>
      <c r="AK3" s="69">
        <v>2</v>
      </c>
      <c r="AL3" s="69">
        <v>2</v>
      </c>
      <c r="AM3" s="69">
        <v>2</v>
      </c>
      <c r="AN3" s="69">
        <v>2</v>
      </c>
    </row>
    <row r="4" spans="1:40" x14ac:dyDescent="0.25">
      <c r="A4" s="65"/>
      <c r="B4" s="55"/>
      <c r="C4" s="55"/>
      <c r="D4" s="55" t="s">
        <v>260</v>
      </c>
      <c r="E4" s="69" cm="1">
        <f t="array" ref="E4:AN4">_xlfn.BYCOL(_xlfn.VSTACK(_xlfn.ANCHORARRAY($E$1),_xlfn.ANCHORARRAY($E$2)),_xlfn.LAMBDA(_xlpm.a,SUM(_xlpm.a)))</f>
        <v>1</v>
      </c>
      <c r="F4" s="69">
        <v>4.9523809523809526</v>
      </c>
      <c r="G4" s="69">
        <v>7.1190476190476186</v>
      </c>
      <c r="H4" s="69">
        <v>9.2857142857142847</v>
      </c>
      <c r="I4" s="69">
        <v>10.452380952380953</v>
      </c>
      <c r="J4" s="69">
        <v>12.619047619047619</v>
      </c>
      <c r="K4" s="69">
        <v>14.785714285714285</v>
      </c>
      <c r="L4" s="69">
        <v>16.952380952380953</v>
      </c>
      <c r="M4" s="69">
        <v>19.11904761904762</v>
      </c>
      <c r="N4" s="69">
        <v>20.285714285714285</v>
      </c>
      <c r="O4" s="69">
        <v>22.452380952380953</v>
      </c>
      <c r="P4" s="69">
        <v>24.61904761904762</v>
      </c>
      <c r="Q4" s="69">
        <v>26.785714285714285</v>
      </c>
      <c r="R4" s="69">
        <v>27</v>
      </c>
      <c r="S4" s="69">
        <v>27</v>
      </c>
      <c r="T4" s="69">
        <v>27</v>
      </c>
      <c r="U4" s="69">
        <v>27</v>
      </c>
      <c r="V4" s="69">
        <v>27</v>
      </c>
      <c r="W4" s="69">
        <v>27</v>
      </c>
      <c r="X4" s="69">
        <v>27</v>
      </c>
      <c r="Y4" s="69">
        <v>27</v>
      </c>
      <c r="Z4" s="69">
        <v>27</v>
      </c>
      <c r="AA4" s="69">
        <v>27</v>
      </c>
      <c r="AB4" s="69">
        <v>27</v>
      </c>
      <c r="AC4" s="69">
        <v>27</v>
      </c>
      <c r="AD4" s="69">
        <v>27</v>
      </c>
      <c r="AE4" s="69">
        <v>27</v>
      </c>
      <c r="AF4" s="69">
        <v>27</v>
      </c>
      <c r="AG4" s="69">
        <v>27</v>
      </c>
      <c r="AH4" s="69">
        <v>27</v>
      </c>
      <c r="AI4" s="69">
        <v>27</v>
      </c>
      <c r="AJ4" s="69">
        <v>27</v>
      </c>
      <c r="AK4" s="69">
        <v>27</v>
      </c>
      <c r="AL4" s="69">
        <v>27</v>
      </c>
      <c r="AM4" s="69">
        <v>27</v>
      </c>
      <c r="AN4" s="69">
        <v>27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107</v>
      </c>
      <c r="C6" s="3"/>
      <c r="D6" s="3"/>
      <c r="E6" s="66" cm="1">
        <f t="array" ref="E6:AN6">ROUND(_xlfn.BYCOL(_xlfn.ANCHORARRAY(E7),_xlfn.LAMBDA(_xlpm.a,SUM(_xlpm.a))),0)</f>
        <v>2</v>
      </c>
      <c r="F6" s="66">
        <v>4</v>
      </c>
      <c r="G6" s="66">
        <v>5</v>
      </c>
      <c r="H6" s="66">
        <v>6</v>
      </c>
      <c r="I6" s="66">
        <v>7</v>
      </c>
      <c r="J6" s="66">
        <v>8</v>
      </c>
      <c r="K6" s="66">
        <v>9</v>
      </c>
      <c r="L6" s="66">
        <v>11</v>
      </c>
      <c r="M6" s="66">
        <v>12</v>
      </c>
      <c r="N6" s="66">
        <v>12</v>
      </c>
      <c r="O6" s="66">
        <v>13</v>
      </c>
      <c r="P6" s="66">
        <v>15</v>
      </c>
      <c r="Q6" s="66">
        <v>16</v>
      </c>
      <c r="R6" s="66">
        <v>17</v>
      </c>
      <c r="S6" s="66">
        <v>17</v>
      </c>
      <c r="T6" s="66">
        <v>17</v>
      </c>
      <c r="U6" s="66">
        <v>17</v>
      </c>
      <c r="V6" s="66">
        <v>17</v>
      </c>
      <c r="W6" s="66">
        <v>17</v>
      </c>
      <c r="X6" s="66">
        <v>17</v>
      </c>
      <c r="Y6" s="66">
        <v>17</v>
      </c>
      <c r="Z6" s="66">
        <v>17</v>
      </c>
      <c r="AA6" s="66">
        <v>17</v>
      </c>
      <c r="AB6" s="66">
        <v>17</v>
      </c>
      <c r="AC6" s="66">
        <v>17</v>
      </c>
      <c r="AD6" s="66">
        <v>17</v>
      </c>
      <c r="AE6" s="66">
        <v>17</v>
      </c>
      <c r="AF6" s="66">
        <v>17</v>
      </c>
      <c r="AG6" s="66">
        <v>17</v>
      </c>
      <c r="AH6" s="66">
        <v>17</v>
      </c>
      <c r="AI6" s="66">
        <v>17</v>
      </c>
      <c r="AJ6" s="66">
        <v>17</v>
      </c>
      <c r="AK6" s="66">
        <v>17</v>
      </c>
      <c r="AL6" s="66">
        <v>17</v>
      </c>
      <c r="AM6" s="66">
        <v>17</v>
      </c>
      <c r="AN6" s="66">
        <v>17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1"/>
      <c r="E7" s="106" cm="1">
        <f t="array" ref="E7:AN20">_xlfn.LET(_xlpm.Customer_staff,_xlfn._xlws.FILTER(Base!$D$85:$BD$98,ISNUMBER(SEARCH($B$1&amp;"-"&amp;$C$1,Base!$D$4:$BD$4))),_xlpm.Customer,_xlfn.ANCHORARRAY($E$1),_xlpm.headcount,_xlpm.Customer/_xlpm.Customer_staff,
_xlpm.patient_staff,_xlfn.ANCHORARRAY($E$2)/_xlpm.Customer_staff,_xlpm.prim_staff_tr_rec,_xlfn.ANCHORARRAY($E$2)/_xlfn.CHOOSEROWS(_xlpm.Customer_staff,{7,8})+(_xlfn.ANCHORARRAY($E$1)*0.0055),_xlpm.rounding,_xlfn.VSTACK(2,2,0,0,2,2,2,2,2,2,2,0,0,0),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prim_staff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0.46</v>
      </c>
      <c r="F7" s="106">
        <v>1.36</v>
      </c>
      <c r="G7" s="106">
        <v>2.2599999999999998</v>
      </c>
      <c r="H7" s="106">
        <v>3.1599999999999997</v>
      </c>
      <c r="I7" s="106">
        <v>3.61</v>
      </c>
      <c r="J7" s="106">
        <v>4.51</v>
      </c>
      <c r="K7" s="106">
        <v>5.42</v>
      </c>
      <c r="L7" s="106">
        <v>6.3199999999999994</v>
      </c>
      <c r="M7" s="106">
        <v>7.22</v>
      </c>
      <c r="N7" s="106">
        <v>7.67</v>
      </c>
      <c r="O7" s="106">
        <v>8.57</v>
      </c>
      <c r="P7" s="106">
        <v>9.48</v>
      </c>
      <c r="Q7" s="106">
        <v>10.379999999999999</v>
      </c>
      <c r="R7" s="106">
        <v>11.28</v>
      </c>
      <c r="S7" s="106">
        <v>11.28</v>
      </c>
      <c r="T7" s="106">
        <v>11.28</v>
      </c>
      <c r="U7" s="106">
        <v>11.28</v>
      </c>
      <c r="V7" s="106">
        <v>11.28</v>
      </c>
      <c r="W7" s="106">
        <v>11.28</v>
      </c>
      <c r="X7" s="106">
        <v>11.28</v>
      </c>
      <c r="Y7" s="106">
        <v>11.28</v>
      </c>
      <c r="Z7" s="106">
        <v>11.28</v>
      </c>
      <c r="AA7" s="106">
        <v>11.28</v>
      </c>
      <c r="AB7" s="106">
        <v>11.28</v>
      </c>
      <c r="AC7" s="106">
        <v>11.28</v>
      </c>
      <c r="AD7" s="106">
        <v>11.28</v>
      </c>
      <c r="AE7" s="106">
        <v>11.28</v>
      </c>
      <c r="AF7" s="106">
        <v>11.28</v>
      </c>
      <c r="AG7" s="106">
        <v>11.28</v>
      </c>
      <c r="AH7" s="106">
        <v>11.28</v>
      </c>
      <c r="AI7" s="106">
        <v>11.28</v>
      </c>
      <c r="AJ7" s="106">
        <v>11.28</v>
      </c>
      <c r="AK7" s="106">
        <v>11.28</v>
      </c>
      <c r="AL7" s="106">
        <v>11.28</v>
      </c>
      <c r="AM7" s="106">
        <v>11.28</v>
      </c>
      <c r="AN7" s="106">
        <v>11.28</v>
      </c>
    </row>
    <row r="8" spans="1:40" hidden="1" outlineLevel="1" x14ac:dyDescent="0.25">
      <c r="B8" s="39" t="str">
        <v>Secondary Direct Staff</v>
      </c>
      <c r="C8" s="3"/>
      <c r="D8" s="3"/>
      <c r="E8" s="106">
        <v>9.9999999999999992E-2</v>
      </c>
      <c r="F8" s="106">
        <v>0.28000000000000003</v>
      </c>
      <c r="G8" s="106">
        <v>0.46</v>
      </c>
      <c r="H8" s="106">
        <v>0.64</v>
      </c>
      <c r="I8" s="106">
        <v>0.73</v>
      </c>
      <c r="J8" s="106">
        <v>0.91</v>
      </c>
      <c r="K8" s="106">
        <v>1.1000000000000001</v>
      </c>
      <c r="L8" s="106">
        <v>1.28</v>
      </c>
      <c r="M8" s="106">
        <v>1.46</v>
      </c>
      <c r="N8" s="106">
        <v>1.55</v>
      </c>
      <c r="O8" s="106">
        <v>1.73</v>
      </c>
      <c r="P8" s="106">
        <v>1.91</v>
      </c>
      <c r="Q8" s="106">
        <v>2.0999999999999996</v>
      </c>
      <c r="R8" s="106">
        <v>2.2799999999999998</v>
      </c>
      <c r="S8" s="106">
        <v>2.2799999999999998</v>
      </c>
      <c r="T8" s="106">
        <v>2.2799999999999998</v>
      </c>
      <c r="U8" s="106">
        <v>2.2799999999999998</v>
      </c>
      <c r="V8" s="106">
        <v>2.2799999999999998</v>
      </c>
      <c r="W8" s="106">
        <v>2.2799999999999998</v>
      </c>
      <c r="X8" s="106">
        <v>2.2799999999999998</v>
      </c>
      <c r="Y8" s="106">
        <v>2.2799999999999998</v>
      </c>
      <c r="Z8" s="106">
        <v>2.2799999999999998</v>
      </c>
      <c r="AA8" s="106">
        <v>2.2799999999999998</v>
      </c>
      <c r="AB8" s="106">
        <v>2.2799999999999998</v>
      </c>
      <c r="AC8" s="106">
        <v>2.2799999999999998</v>
      </c>
      <c r="AD8" s="106">
        <v>2.2799999999999998</v>
      </c>
      <c r="AE8" s="106">
        <v>2.2799999999999998</v>
      </c>
      <c r="AF8" s="106">
        <v>2.2799999999999998</v>
      </c>
      <c r="AG8" s="106">
        <v>2.2799999999999998</v>
      </c>
      <c r="AH8" s="106">
        <v>2.2799999999999998</v>
      </c>
      <c r="AI8" s="106">
        <v>2.2799999999999998</v>
      </c>
      <c r="AJ8" s="106">
        <v>2.2799999999999998</v>
      </c>
      <c r="AK8" s="106">
        <v>2.2799999999999998</v>
      </c>
      <c r="AL8" s="106">
        <v>2.2799999999999998</v>
      </c>
      <c r="AM8" s="106">
        <v>2.2799999999999998</v>
      </c>
      <c r="AN8" s="106">
        <v>2.2799999999999998</v>
      </c>
    </row>
    <row r="9" spans="1:40" hidden="1" outlineLevel="1" x14ac:dyDescent="0.25">
      <c r="B9" s="39" t="str">
        <v>Center Manager</v>
      </c>
      <c r="C9" s="3"/>
      <c r="D9" s="3"/>
      <c r="E9" s="106">
        <v>1</v>
      </c>
      <c r="F9" s="106">
        <v>1</v>
      </c>
      <c r="G9" s="106">
        <v>1</v>
      </c>
      <c r="H9" s="106">
        <v>1</v>
      </c>
      <c r="I9" s="106">
        <v>1</v>
      </c>
      <c r="J9" s="106">
        <v>1</v>
      </c>
      <c r="K9" s="106">
        <v>1</v>
      </c>
      <c r="L9" s="106">
        <v>1</v>
      </c>
      <c r="M9" s="106">
        <v>1</v>
      </c>
      <c r="N9" s="106">
        <v>1</v>
      </c>
      <c r="O9" s="106">
        <v>1</v>
      </c>
      <c r="P9" s="106">
        <v>1</v>
      </c>
      <c r="Q9" s="106">
        <v>1</v>
      </c>
      <c r="R9" s="106">
        <v>1</v>
      </c>
      <c r="S9" s="106">
        <v>1</v>
      </c>
      <c r="T9" s="106">
        <v>1</v>
      </c>
      <c r="U9" s="106">
        <v>1</v>
      </c>
      <c r="V9" s="106">
        <v>1</v>
      </c>
      <c r="W9" s="106">
        <v>1</v>
      </c>
      <c r="X9" s="106">
        <v>1</v>
      </c>
      <c r="Y9" s="106">
        <v>1</v>
      </c>
      <c r="Z9" s="106">
        <v>1</v>
      </c>
      <c r="AA9" s="106">
        <v>1</v>
      </c>
      <c r="AB9" s="106">
        <v>1</v>
      </c>
      <c r="AC9" s="106">
        <v>1</v>
      </c>
      <c r="AD9" s="106">
        <v>1</v>
      </c>
      <c r="AE9" s="106">
        <v>1</v>
      </c>
      <c r="AF9" s="106">
        <v>1</v>
      </c>
      <c r="AG9" s="106">
        <v>1</v>
      </c>
      <c r="AH9" s="106">
        <v>1</v>
      </c>
      <c r="AI9" s="106">
        <v>1</v>
      </c>
      <c r="AJ9" s="106">
        <v>1</v>
      </c>
      <c r="AK9" s="106">
        <v>1</v>
      </c>
      <c r="AL9" s="106">
        <v>1</v>
      </c>
      <c r="AM9" s="106">
        <v>1</v>
      </c>
      <c r="AN9" s="106">
        <v>1</v>
      </c>
    </row>
    <row r="10" spans="1:40" hidden="1" outlineLevel="1" x14ac:dyDescent="0.25">
      <c r="B10" s="39" t="str">
        <v>Intake</v>
      </c>
      <c r="C10" s="3"/>
      <c r="D10" s="3"/>
      <c r="E10" s="106">
        <v>0</v>
      </c>
      <c r="F10" s="106">
        <v>1</v>
      </c>
      <c r="G10" s="106">
        <v>1</v>
      </c>
      <c r="H10" s="106">
        <v>1</v>
      </c>
      <c r="I10" s="106">
        <v>1</v>
      </c>
      <c r="J10" s="106">
        <v>1</v>
      </c>
      <c r="K10" s="106">
        <v>1</v>
      </c>
      <c r="L10" s="106">
        <v>1</v>
      </c>
      <c r="M10" s="106">
        <v>1</v>
      </c>
      <c r="N10" s="106">
        <v>1</v>
      </c>
      <c r="O10" s="106">
        <v>1</v>
      </c>
      <c r="P10" s="106">
        <v>1</v>
      </c>
      <c r="Q10" s="106">
        <v>1</v>
      </c>
      <c r="R10" s="106">
        <v>1</v>
      </c>
      <c r="S10" s="106">
        <v>1</v>
      </c>
      <c r="T10" s="106">
        <v>1</v>
      </c>
      <c r="U10" s="106">
        <v>1</v>
      </c>
      <c r="V10" s="106">
        <v>1</v>
      </c>
      <c r="W10" s="106">
        <v>1</v>
      </c>
      <c r="X10" s="106">
        <v>1</v>
      </c>
      <c r="Y10" s="106">
        <v>1</v>
      </c>
      <c r="Z10" s="106">
        <v>1</v>
      </c>
      <c r="AA10" s="106">
        <v>1</v>
      </c>
      <c r="AB10" s="106">
        <v>1</v>
      </c>
      <c r="AC10" s="106">
        <v>1</v>
      </c>
      <c r="AD10" s="106">
        <v>1</v>
      </c>
      <c r="AE10" s="106">
        <v>1</v>
      </c>
      <c r="AF10" s="106">
        <v>1</v>
      </c>
      <c r="AG10" s="106">
        <v>1</v>
      </c>
      <c r="AH10" s="106">
        <v>1</v>
      </c>
      <c r="AI10" s="106">
        <v>1</v>
      </c>
      <c r="AJ10" s="106">
        <v>1</v>
      </c>
      <c r="AK10" s="106">
        <v>1</v>
      </c>
      <c r="AL10" s="106">
        <v>1</v>
      </c>
      <c r="AM10" s="106">
        <v>1</v>
      </c>
      <c r="AN10" s="106">
        <v>1</v>
      </c>
    </row>
    <row r="11" spans="1:40" hidden="1" outlineLevel="1" x14ac:dyDescent="0.25">
      <c r="B11" s="39" t="str">
        <v>Scheduler</v>
      </c>
      <c r="C11" s="3"/>
      <c r="D11" s="3"/>
      <c r="E11" s="106">
        <v>0</v>
      </c>
      <c r="F11" s="106">
        <v>0</v>
      </c>
      <c r="G11" s="106">
        <v>0</v>
      </c>
      <c r="H11" s="106">
        <v>0</v>
      </c>
      <c r="I11" s="106">
        <v>0</v>
      </c>
      <c r="J11" s="106">
        <v>0</v>
      </c>
      <c r="K11" s="106">
        <v>0</v>
      </c>
      <c r="L11" s="106">
        <v>0</v>
      </c>
      <c r="M11" s="106">
        <v>0</v>
      </c>
      <c r="N11" s="106">
        <v>0</v>
      </c>
      <c r="O11" s="106">
        <v>0</v>
      </c>
      <c r="P11" s="106">
        <v>0</v>
      </c>
      <c r="Q11" s="106">
        <v>0</v>
      </c>
      <c r="R11" s="106">
        <v>0</v>
      </c>
      <c r="S11" s="106">
        <v>0</v>
      </c>
      <c r="T11" s="106">
        <v>0</v>
      </c>
      <c r="U11" s="106">
        <v>0</v>
      </c>
      <c r="V11" s="106">
        <v>0</v>
      </c>
      <c r="W11" s="106">
        <v>0</v>
      </c>
      <c r="X11" s="106">
        <v>0</v>
      </c>
      <c r="Y11" s="106">
        <v>0</v>
      </c>
      <c r="Z11" s="106">
        <v>0</v>
      </c>
      <c r="AA11" s="106">
        <v>0</v>
      </c>
      <c r="AB11" s="106">
        <v>0</v>
      </c>
      <c r="AC11" s="106">
        <v>0</v>
      </c>
      <c r="AD11" s="106">
        <v>0</v>
      </c>
      <c r="AE11" s="106">
        <v>0</v>
      </c>
      <c r="AF11" s="106">
        <v>0</v>
      </c>
      <c r="AG11" s="106">
        <v>0</v>
      </c>
      <c r="AH11" s="106">
        <v>0</v>
      </c>
      <c r="AI11" s="106">
        <v>0</v>
      </c>
      <c r="AJ11" s="106">
        <v>0</v>
      </c>
      <c r="AK11" s="106">
        <v>0</v>
      </c>
      <c r="AL11" s="106">
        <v>0</v>
      </c>
      <c r="AM11" s="106">
        <v>0</v>
      </c>
      <c r="AN11" s="106">
        <v>0</v>
      </c>
    </row>
    <row r="12" spans="1:40" hidden="1" outlineLevel="1" x14ac:dyDescent="0.25">
      <c r="B12" s="39" t="str">
        <v>Initial Consultation Expert</v>
      </c>
      <c r="C12" s="3"/>
      <c r="D12" s="3"/>
      <c r="E12" s="106">
        <v>0</v>
      </c>
      <c r="F12" s="106">
        <v>0.16</v>
      </c>
      <c r="G12" s="106">
        <v>0.17</v>
      </c>
      <c r="H12" s="106">
        <v>0.18000000000000002</v>
      </c>
      <c r="I12" s="106">
        <v>0.19</v>
      </c>
      <c r="J12" s="106">
        <v>0.21000000000000002</v>
      </c>
      <c r="K12" s="106">
        <v>0.22</v>
      </c>
      <c r="L12" s="106">
        <v>0.23</v>
      </c>
      <c r="M12" s="106">
        <v>0.24000000000000002</v>
      </c>
      <c r="N12" s="106">
        <v>0.26</v>
      </c>
      <c r="O12" s="106">
        <v>0.27</v>
      </c>
      <c r="P12" s="106">
        <v>0.28000000000000003</v>
      </c>
      <c r="Q12" s="106">
        <v>0.3</v>
      </c>
      <c r="R12" s="106">
        <v>0.16</v>
      </c>
      <c r="S12" s="106">
        <v>0.16</v>
      </c>
      <c r="T12" s="106">
        <v>0.16</v>
      </c>
      <c r="U12" s="106">
        <v>0.16</v>
      </c>
      <c r="V12" s="106">
        <v>0.16</v>
      </c>
      <c r="W12" s="106">
        <v>0.16</v>
      </c>
      <c r="X12" s="106">
        <v>0.16</v>
      </c>
      <c r="Y12" s="106">
        <v>0.16</v>
      </c>
      <c r="Z12" s="106">
        <v>0.16</v>
      </c>
      <c r="AA12" s="106">
        <v>0.16</v>
      </c>
      <c r="AB12" s="106">
        <v>0.16</v>
      </c>
      <c r="AC12" s="106">
        <v>0.16</v>
      </c>
      <c r="AD12" s="106">
        <v>0.16</v>
      </c>
      <c r="AE12" s="106">
        <v>0.16</v>
      </c>
      <c r="AF12" s="106">
        <v>0.16</v>
      </c>
      <c r="AG12" s="106">
        <v>0.16</v>
      </c>
      <c r="AH12" s="106">
        <v>0.16</v>
      </c>
      <c r="AI12" s="106">
        <v>0.16</v>
      </c>
      <c r="AJ12" s="106">
        <v>0.16</v>
      </c>
      <c r="AK12" s="106">
        <v>0.16</v>
      </c>
      <c r="AL12" s="106">
        <v>0.16</v>
      </c>
      <c r="AM12" s="106">
        <v>0.16</v>
      </c>
      <c r="AN12" s="106">
        <v>0.16</v>
      </c>
    </row>
    <row r="13" spans="1:40" hidden="1" outlineLevel="1" x14ac:dyDescent="0.25">
      <c r="B13" s="39" t="str">
        <v>Trainer</v>
      </c>
      <c r="C13" s="3"/>
      <c r="D13" s="3"/>
      <c r="E13" s="106">
        <v>0.01</v>
      </c>
      <c r="F13" s="106">
        <v>0.22</v>
      </c>
      <c r="G13" s="106">
        <v>0.24000000000000002</v>
      </c>
      <c r="H13" s="106">
        <v>0.27</v>
      </c>
      <c r="I13" s="106">
        <v>0.29000000000000004</v>
      </c>
      <c r="J13" s="106">
        <v>0.32</v>
      </c>
      <c r="K13" s="106">
        <v>0.35000000000000003</v>
      </c>
      <c r="L13" s="106">
        <v>0.38</v>
      </c>
      <c r="M13" s="106">
        <v>0.4</v>
      </c>
      <c r="N13" s="106">
        <v>0.43</v>
      </c>
      <c r="O13" s="106">
        <v>0.45</v>
      </c>
      <c r="P13" s="106">
        <v>0.48</v>
      </c>
      <c r="Q13" s="106">
        <v>0.51</v>
      </c>
      <c r="R13" s="106">
        <v>0.34</v>
      </c>
      <c r="S13" s="106">
        <v>0.34</v>
      </c>
      <c r="T13" s="106">
        <v>0.34</v>
      </c>
      <c r="U13" s="106">
        <v>0.34</v>
      </c>
      <c r="V13" s="106">
        <v>0.34</v>
      </c>
      <c r="W13" s="106">
        <v>0.34</v>
      </c>
      <c r="X13" s="106">
        <v>0.34</v>
      </c>
      <c r="Y13" s="106">
        <v>0.34</v>
      </c>
      <c r="Z13" s="106">
        <v>0.34</v>
      </c>
      <c r="AA13" s="106">
        <v>0.34</v>
      </c>
      <c r="AB13" s="106">
        <v>0.34</v>
      </c>
      <c r="AC13" s="106">
        <v>0.34</v>
      </c>
      <c r="AD13" s="106">
        <v>0.34</v>
      </c>
      <c r="AE13" s="106">
        <v>0.34</v>
      </c>
      <c r="AF13" s="106">
        <v>0.34</v>
      </c>
      <c r="AG13" s="106">
        <v>0.34</v>
      </c>
      <c r="AH13" s="106">
        <v>0.34</v>
      </c>
      <c r="AI13" s="106">
        <v>0.34</v>
      </c>
      <c r="AJ13" s="106">
        <v>0.34</v>
      </c>
      <c r="AK13" s="106">
        <v>0.34</v>
      </c>
      <c r="AL13" s="106">
        <v>0.34</v>
      </c>
      <c r="AM13" s="106">
        <v>0.34</v>
      </c>
      <c r="AN13" s="106">
        <v>0.34</v>
      </c>
    </row>
    <row r="14" spans="1:40" hidden="1" outlineLevel="1" x14ac:dyDescent="0.25">
      <c r="B14" s="39" t="str">
        <v>Recruiter</v>
      </c>
      <c r="C14" s="3"/>
      <c r="D14" s="3"/>
      <c r="E14" s="106">
        <v>0.01</v>
      </c>
      <c r="F14" s="106">
        <v>0.12</v>
      </c>
      <c r="G14" s="106">
        <v>0.14000000000000001</v>
      </c>
      <c r="H14" s="106">
        <v>0.16</v>
      </c>
      <c r="I14" s="106">
        <v>0.17</v>
      </c>
      <c r="J14" s="106">
        <v>0.19</v>
      </c>
      <c r="K14" s="106">
        <v>0.21000000000000002</v>
      </c>
      <c r="L14" s="106">
        <v>0.23</v>
      </c>
      <c r="M14" s="106">
        <v>0.25</v>
      </c>
      <c r="N14" s="106">
        <v>0.26</v>
      </c>
      <c r="O14" s="106">
        <v>0.28000000000000003</v>
      </c>
      <c r="P14" s="106">
        <v>0.3</v>
      </c>
      <c r="Q14" s="106">
        <v>0.32</v>
      </c>
      <c r="R14" s="106">
        <v>0.24000000000000002</v>
      </c>
      <c r="S14" s="106">
        <v>0.24000000000000002</v>
      </c>
      <c r="T14" s="106">
        <v>0.24000000000000002</v>
      </c>
      <c r="U14" s="106">
        <v>0.24000000000000002</v>
      </c>
      <c r="V14" s="106">
        <v>0.24000000000000002</v>
      </c>
      <c r="W14" s="106">
        <v>0.24000000000000002</v>
      </c>
      <c r="X14" s="106">
        <v>0.24000000000000002</v>
      </c>
      <c r="Y14" s="106">
        <v>0.24000000000000002</v>
      </c>
      <c r="Z14" s="106">
        <v>0.24000000000000002</v>
      </c>
      <c r="AA14" s="106">
        <v>0.24000000000000002</v>
      </c>
      <c r="AB14" s="106">
        <v>0.24000000000000002</v>
      </c>
      <c r="AC14" s="106">
        <v>0.24000000000000002</v>
      </c>
      <c r="AD14" s="106">
        <v>0.24000000000000002</v>
      </c>
      <c r="AE14" s="106">
        <v>0.24000000000000002</v>
      </c>
      <c r="AF14" s="106">
        <v>0.24000000000000002</v>
      </c>
      <c r="AG14" s="106">
        <v>0.24000000000000002</v>
      </c>
      <c r="AH14" s="106">
        <v>0.24000000000000002</v>
      </c>
      <c r="AI14" s="106">
        <v>0.24000000000000002</v>
      </c>
      <c r="AJ14" s="106">
        <v>0.24000000000000002</v>
      </c>
      <c r="AK14" s="106">
        <v>0.24000000000000002</v>
      </c>
      <c r="AL14" s="106">
        <v>0.24000000000000002</v>
      </c>
      <c r="AM14" s="106">
        <v>0.24000000000000002</v>
      </c>
      <c r="AN14" s="106">
        <v>0.24000000000000002</v>
      </c>
    </row>
    <row r="15" spans="1:40" hidden="1" outlineLevel="1" x14ac:dyDescent="0.25">
      <c r="B15" s="39" t="str">
        <v>Center Director / Remote Site Director</v>
      </c>
      <c r="C15" s="3"/>
      <c r="D15" s="3"/>
      <c r="E15" s="106">
        <v>0.01</v>
      </c>
      <c r="F15" s="106">
        <v>0.02</v>
      </c>
      <c r="G15" s="106">
        <v>0.02</v>
      </c>
      <c r="H15" s="106">
        <v>0.03</v>
      </c>
      <c r="I15" s="106">
        <v>0.04</v>
      </c>
      <c r="J15" s="106">
        <v>0.04</v>
      </c>
      <c r="K15" s="106">
        <v>0.05</v>
      </c>
      <c r="L15" s="106">
        <v>6.0000000000000005E-2</v>
      </c>
      <c r="M15" s="106">
        <v>6.9999999999999993E-2</v>
      </c>
      <c r="N15" s="106">
        <v>6.9999999999999993E-2</v>
      </c>
      <c r="O15" s="106">
        <v>0.08</v>
      </c>
      <c r="P15" s="106">
        <v>0.09</v>
      </c>
      <c r="Q15" s="106">
        <v>9.9999999999999992E-2</v>
      </c>
      <c r="R15" s="106">
        <v>0.1</v>
      </c>
      <c r="S15" s="106">
        <v>0.1</v>
      </c>
      <c r="T15" s="106">
        <v>0.1</v>
      </c>
      <c r="U15" s="106">
        <v>0.1</v>
      </c>
      <c r="V15" s="106">
        <v>0.1</v>
      </c>
      <c r="W15" s="106">
        <v>0.1</v>
      </c>
      <c r="X15" s="106">
        <v>0.1</v>
      </c>
      <c r="Y15" s="106">
        <v>0.1</v>
      </c>
      <c r="Z15" s="106">
        <v>0.1</v>
      </c>
      <c r="AA15" s="106">
        <v>0.1</v>
      </c>
      <c r="AB15" s="106">
        <v>0.1</v>
      </c>
      <c r="AC15" s="106">
        <v>0.1</v>
      </c>
      <c r="AD15" s="106">
        <v>0.1</v>
      </c>
      <c r="AE15" s="106">
        <v>0.1</v>
      </c>
      <c r="AF15" s="106">
        <v>0.1</v>
      </c>
      <c r="AG15" s="106">
        <v>0.1</v>
      </c>
      <c r="AH15" s="106">
        <v>0.1</v>
      </c>
      <c r="AI15" s="106">
        <v>0.1</v>
      </c>
      <c r="AJ15" s="106">
        <v>0.1</v>
      </c>
      <c r="AK15" s="106">
        <v>0.1</v>
      </c>
      <c r="AL15" s="106">
        <v>0.1</v>
      </c>
      <c r="AM15" s="106">
        <v>0.1</v>
      </c>
      <c r="AN15" s="106">
        <v>0.1</v>
      </c>
    </row>
    <row r="16" spans="1:40" hidden="1" outlineLevel="1" x14ac:dyDescent="0.25">
      <c r="B16" s="39" t="str">
        <v>Center Marketing Outreach</v>
      </c>
      <c r="C16" s="3"/>
      <c r="D16" s="3"/>
      <c r="E16" s="106">
        <v>0.01</v>
      </c>
      <c r="F16" s="106">
        <v>0.02</v>
      </c>
      <c r="G16" s="106">
        <v>0.02</v>
      </c>
      <c r="H16" s="106">
        <v>0.03</v>
      </c>
      <c r="I16" s="106">
        <v>0.04</v>
      </c>
      <c r="J16" s="106">
        <v>0.04</v>
      </c>
      <c r="K16" s="106">
        <v>0.05</v>
      </c>
      <c r="L16" s="106">
        <v>6.0000000000000005E-2</v>
      </c>
      <c r="M16" s="106">
        <v>6.9999999999999993E-2</v>
      </c>
      <c r="N16" s="106">
        <v>6.9999999999999993E-2</v>
      </c>
      <c r="O16" s="106">
        <v>0.08</v>
      </c>
      <c r="P16" s="106">
        <v>0.09</v>
      </c>
      <c r="Q16" s="106">
        <v>9.9999999999999992E-2</v>
      </c>
      <c r="R16" s="106">
        <v>0.1</v>
      </c>
      <c r="S16" s="106">
        <v>0.1</v>
      </c>
      <c r="T16" s="106">
        <v>0.1</v>
      </c>
      <c r="U16" s="106">
        <v>0.1</v>
      </c>
      <c r="V16" s="106">
        <v>0.1</v>
      </c>
      <c r="W16" s="106">
        <v>0.1</v>
      </c>
      <c r="X16" s="106">
        <v>0.1</v>
      </c>
      <c r="Y16" s="106">
        <v>0.1</v>
      </c>
      <c r="Z16" s="106">
        <v>0.1</v>
      </c>
      <c r="AA16" s="106">
        <v>0.1</v>
      </c>
      <c r="AB16" s="106">
        <v>0.1</v>
      </c>
      <c r="AC16" s="106">
        <v>0.1</v>
      </c>
      <c r="AD16" s="106">
        <v>0.1</v>
      </c>
      <c r="AE16" s="106">
        <v>0.1</v>
      </c>
      <c r="AF16" s="106">
        <v>0.1</v>
      </c>
      <c r="AG16" s="106">
        <v>0.1</v>
      </c>
      <c r="AH16" s="106">
        <v>0.1</v>
      </c>
      <c r="AI16" s="106">
        <v>0.1</v>
      </c>
      <c r="AJ16" s="106">
        <v>0.1</v>
      </c>
      <c r="AK16" s="106">
        <v>0.1</v>
      </c>
      <c r="AL16" s="106">
        <v>0.1</v>
      </c>
      <c r="AM16" s="106">
        <v>0.1</v>
      </c>
      <c r="AN16" s="106">
        <v>0.1</v>
      </c>
    </row>
    <row r="17" spans="2:50" hidden="1" outlineLevel="1" x14ac:dyDescent="0.25">
      <c r="B17" s="39" t="str">
        <v>Primary Direct Staff Lead</v>
      </c>
      <c r="C17" s="3"/>
      <c r="D17" s="3"/>
      <c r="E17" s="106">
        <v>0</v>
      </c>
      <c r="F17" s="106">
        <v>0</v>
      </c>
      <c r="G17" s="106">
        <v>0</v>
      </c>
      <c r="H17" s="106">
        <v>0</v>
      </c>
      <c r="I17" s="106">
        <v>0</v>
      </c>
      <c r="J17" s="106">
        <v>0</v>
      </c>
      <c r="K17" s="106">
        <v>0</v>
      </c>
      <c r="L17" s="106">
        <v>0</v>
      </c>
      <c r="M17" s="106">
        <v>0</v>
      </c>
      <c r="N17" s="106">
        <v>0</v>
      </c>
      <c r="O17" s="106">
        <v>0</v>
      </c>
      <c r="P17" s="106">
        <v>0</v>
      </c>
      <c r="Q17" s="106">
        <v>0</v>
      </c>
      <c r="R17" s="106">
        <v>0</v>
      </c>
      <c r="S17" s="106">
        <v>0</v>
      </c>
      <c r="T17" s="106">
        <v>0</v>
      </c>
      <c r="U17" s="106">
        <v>0</v>
      </c>
      <c r="V17" s="106">
        <v>0</v>
      </c>
      <c r="W17" s="106">
        <v>0</v>
      </c>
      <c r="X17" s="106">
        <v>0</v>
      </c>
      <c r="Y17" s="106">
        <v>0</v>
      </c>
      <c r="Z17" s="106">
        <v>0</v>
      </c>
      <c r="AA17" s="106">
        <v>0</v>
      </c>
      <c r="AB17" s="106">
        <v>0</v>
      </c>
      <c r="AC17" s="106">
        <v>0</v>
      </c>
      <c r="AD17" s="106">
        <v>0</v>
      </c>
      <c r="AE17" s="106">
        <v>0</v>
      </c>
      <c r="AF17" s="106">
        <v>0</v>
      </c>
      <c r="AG17" s="106">
        <v>0</v>
      </c>
      <c r="AH17" s="106">
        <v>0</v>
      </c>
      <c r="AI17" s="106">
        <v>0</v>
      </c>
      <c r="AJ17" s="106">
        <v>0</v>
      </c>
      <c r="AK17" s="106">
        <v>0</v>
      </c>
      <c r="AL17" s="106">
        <v>0</v>
      </c>
      <c r="AM17" s="106">
        <v>0</v>
      </c>
      <c r="AN17" s="106">
        <v>0</v>
      </c>
    </row>
    <row r="18" spans="2:50" hidden="1" outlineLevel="1" x14ac:dyDescent="0.25">
      <c r="B18" s="39" t="str">
        <v>Tertiary Direct Staff</v>
      </c>
      <c r="C18" s="3"/>
      <c r="D18" s="3"/>
      <c r="E18" s="106">
        <v>0</v>
      </c>
      <c r="F18" s="106">
        <v>0</v>
      </c>
      <c r="G18" s="106">
        <v>0</v>
      </c>
      <c r="H18" s="106">
        <v>0</v>
      </c>
      <c r="I18" s="106">
        <v>0</v>
      </c>
      <c r="J18" s="106">
        <v>0</v>
      </c>
      <c r="K18" s="106">
        <v>0</v>
      </c>
      <c r="L18" s="106">
        <v>0</v>
      </c>
      <c r="M18" s="106">
        <v>0</v>
      </c>
      <c r="N18" s="106">
        <v>0</v>
      </c>
      <c r="O18" s="106">
        <v>0</v>
      </c>
      <c r="P18" s="106">
        <v>0</v>
      </c>
      <c r="Q18" s="106">
        <v>0</v>
      </c>
      <c r="R18" s="106">
        <v>0</v>
      </c>
      <c r="S18" s="106">
        <v>0</v>
      </c>
      <c r="T18" s="106">
        <v>0</v>
      </c>
      <c r="U18" s="106">
        <v>0</v>
      </c>
      <c r="V18" s="106">
        <v>0</v>
      </c>
      <c r="W18" s="106">
        <v>0</v>
      </c>
      <c r="X18" s="106">
        <v>0</v>
      </c>
      <c r="Y18" s="106">
        <v>0</v>
      </c>
      <c r="Z18" s="106">
        <v>0</v>
      </c>
      <c r="AA18" s="106">
        <v>0</v>
      </c>
      <c r="AB18" s="106">
        <v>0</v>
      </c>
      <c r="AC18" s="106">
        <v>0</v>
      </c>
      <c r="AD18" s="106">
        <v>0</v>
      </c>
      <c r="AE18" s="106">
        <v>0</v>
      </c>
      <c r="AF18" s="106">
        <v>0</v>
      </c>
      <c r="AG18" s="106">
        <v>0</v>
      </c>
      <c r="AH18" s="106">
        <v>0</v>
      </c>
      <c r="AI18" s="106">
        <v>0</v>
      </c>
      <c r="AJ18" s="106">
        <v>0</v>
      </c>
      <c r="AK18" s="106">
        <v>0</v>
      </c>
      <c r="AL18" s="106">
        <v>0</v>
      </c>
      <c r="AM18" s="106">
        <v>0</v>
      </c>
      <c r="AN18" s="106">
        <v>0</v>
      </c>
    </row>
    <row r="19" spans="2:50" hidden="1" outlineLevel="1" x14ac:dyDescent="0.25">
      <c r="B19" s="39" t="str">
        <v>Quinary Direct Staff</v>
      </c>
      <c r="C19" s="3"/>
      <c r="D19" s="3"/>
      <c r="E19" s="106">
        <v>0</v>
      </c>
      <c r="F19" s="106">
        <v>0</v>
      </c>
      <c r="G19" s="106">
        <v>0</v>
      </c>
      <c r="H19" s="106">
        <v>0</v>
      </c>
      <c r="I19" s="106">
        <v>0</v>
      </c>
      <c r="J19" s="106">
        <v>0</v>
      </c>
      <c r="K19" s="106">
        <v>0</v>
      </c>
      <c r="L19" s="106">
        <v>0</v>
      </c>
      <c r="M19" s="106">
        <v>0</v>
      </c>
      <c r="N19" s="106">
        <v>0</v>
      </c>
      <c r="O19" s="106">
        <v>0</v>
      </c>
      <c r="P19" s="106">
        <v>0</v>
      </c>
      <c r="Q19" s="106">
        <v>0</v>
      </c>
      <c r="R19" s="106">
        <v>0</v>
      </c>
      <c r="S19" s="106">
        <v>0</v>
      </c>
      <c r="T19" s="106">
        <v>0</v>
      </c>
      <c r="U19" s="106">
        <v>0</v>
      </c>
      <c r="V19" s="106">
        <v>0</v>
      </c>
      <c r="W19" s="106">
        <v>0</v>
      </c>
      <c r="X19" s="106">
        <v>0</v>
      </c>
      <c r="Y19" s="106">
        <v>0</v>
      </c>
      <c r="Z19" s="106">
        <v>0</v>
      </c>
      <c r="AA19" s="106">
        <v>0</v>
      </c>
      <c r="AB19" s="106">
        <v>0</v>
      </c>
      <c r="AC19" s="106">
        <v>0</v>
      </c>
      <c r="AD19" s="106">
        <v>0</v>
      </c>
      <c r="AE19" s="106">
        <v>0</v>
      </c>
      <c r="AF19" s="106">
        <v>0</v>
      </c>
      <c r="AG19" s="106">
        <v>0</v>
      </c>
      <c r="AH19" s="106">
        <v>0</v>
      </c>
      <c r="AI19" s="106">
        <v>0</v>
      </c>
      <c r="AJ19" s="106">
        <v>0</v>
      </c>
      <c r="AK19" s="106">
        <v>0</v>
      </c>
      <c r="AL19" s="106">
        <v>0</v>
      </c>
      <c r="AM19" s="106">
        <v>0</v>
      </c>
      <c r="AN19" s="106">
        <v>0</v>
      </c>
    </row>
    <row r="20" spans="2:50" hidden="1" outlineLevel="1" x14ac:dyDescent="0.25">
      <c r="B20" s="39" t="str">
        <v>Quaternary Direct Staff</v>
      </c>
      <c r="C20" s="3"/>
      <c r="D20" s="3"/>
      <c r="E20" s="106">
        <v>0</v>
      </c>
      <c r="F20" s="106">
        <v>0</v>
      </c>
      <c r="G20" s="106">
        <v>0</v>
      </c>
      <c r="H20" s="106">
        <v>0</v>
      </c>
      <c r="I20" s="106">
        <v>0</v>
      </c>
      <c r="J20" s="106">
        <v>0</v>
      </c>
      <c r="K20" s="106">
        <v>0</v>
      </c>
      <c r="L20" s="106">
        <v>0</v>
      </c>
      <c r="M20" s="106">
        <v>0</v>
      </c>
      <c r="N20" s="106">
        <v>0</v>
      </c>
      <c r="O20" s="106">
        <v>0</v>
      </c>
      <c r="P20" s="106">
        <v>0</v>
      </c>
      <c r="Q20" s="106">
        <v>0</v>
      </c>
      <c r="R20" s="106">
        <v>0</v>
      </c>
      <c r="S20" s="106">
        <v>0</v>
      </c>
      <c r="T20" s="106">
        <v>0</v>
      </c>
      <c r="U20" s="106">
        <v>0</v>
      </c>
      <c r="V20" s="106">
        <v>0</v>
      </c>
      <c r="W20" s="106">
        <v>0</v>
      </c>
      <c r="X20" s="106">
        <v>0</v>
      </c>
      <c r="Y20" s="106">
        <v>0</v>
      </c>
      <c r="Z20" s="106">
        <v>0</v>
      </c>
      <c r="AA20" s="106">
        <v>0</v>
      </c>
      <c r="AB20" s="106">
        <v>0</v>
      </c>
      <c r="AC20" s="106">
        <v>0</v>
      </c>
      <c r="AD20" s="106">
        <v>0</v>
      </c>
      <c r="AE20" s="106">
        <v>0</v>
      </c>
      <c r="AF20" s="106">
        <v>0</v>
      </c>
      <c r="AG20" s="106">
        <v>0</v>
      </c>
      <c r="AH20" s="106">
        <v>0</v>
      </c>
      <c r="AI20" s="106">
        <v>0</v>
      </c>
      <c r="AJ20" s="106">
        <v>0</v>
      </c>
      <c r="AK20" s="106">
        <v>0</v>
      </c>
      <c r="AL20" s="106">
        <v>0</v>
      </c>
      <c r="AM20" s="106">
        <v>0</v>
      </c>
      <c r="AN20" s="106">
        <v>0</v>
      </c>
    </row>
    <row r="21" spans="2:50" collapsed="1" x14ac:dyDescent="0.25">
      <c r="B21" s="39" t="s">
        <v>389</v>
      </c>
      <c r="C21" s="3"/>
      <c r="D21" s="5"/>
      <c r="E21" s="117" cm="1">
        <f t="array" ref="E21:AN21">ROUND(_xlfn.BYCOL(_xlfn.CHOOSEROWS(_xlfn.ANCHORARRAY(E7),1,2),_xlfn.LAMBDA(_xlpm.col,SUM(_xlpm.col))),0)</f>
        <v>1</v>
      </c>
      <c r="F21" s="117">
        <v>2</v>
      </c>
      <c r="G21" s="117">
        <v>3</v>
      </c>
      <c r="H21" s="117">
        <v>4</v>
      </c>
      <c r="I21" s="117">
        <v>4</v>
      </c>
      <c r="J21" s="117">
        <v>5</v>
      </c>
      <c r="K21" s="117">
        <v>7</v>
      </c>
      <c r="L21" s="117">
        <v>8</v>
      </c>
      <c r="M21" s="117">
        <v>9</v>
      </c>
      <c r="N21" s="117">
        <v>9</v>
      </c>
      <c r="O21" s="117">
        <v>10</v>
      </c>
      <c r="P21" s="117">
        <v>11</v>
      </c>
      <c r="Q21" s="117">
        <v>12</v>
      </c>
      <c r="R21" s="117">
        <v>14</v>
      </c>
      <c r="S21" s="117">
        <v>14</v>
      </c>
      <c r="T21" s="117">
        <v>14</v>
      </c>
      <c r="U21" s="117">
        <v>14</v>
      </c>
      <c r="V21" s="117">
        <v>14</v>
      </c>
      <c r="W21" s="117">
        <v>14</v>
      </c>
      <c r="X21" s="117">
        <v>14</v>
      </c>
      <c r="Y21" s="117">
        <v>14</v>
      </c>
      <c r="Z21" s="117">
        <v>14</v>
      </c>
      <c r="AA21" s="117">
        <v>14</v>
      </c>
      <c r="AB21" s="117">
        <v>14</v>
      </c>
      <c r="AC21" s="117">
        <v>14</v>
      </c>
      <c r="AD21" s="117">
        <v>14</v>
      </c>
      <c r="AE21" s="117">
        <v>14</v>
      </c>
      <c r="AF21" s="117">
        <v>14</v>
      </c>
      <c r="AG21" s="117">
        <v>14</v>
      </c>
      <c r="AH21" s="117">
        <v>14</v>
      </c>
      <c r="AI21" s="117">
        <v>14</v>
      </c>
      <c r="AJ21" s="117">
        <v>14</v>
      </c>
      <c r="AK21" s="117">
        <v>14</v>
      </c>
      <c r="AL21" s="117">
        <v>14</v>
      </c>
      <c r="AM21" s="117">
        <v>14</v>
      </c>
      <c r="AN21" s="117">
        <v>14</v>
      </c>
    </row>
    <row r="22" spans="2:50" x14ac:dyDescent="0.25">
      <c r="B22" s="2" t="s">
        <v>394</v>
      </c>
      <c r="C22" s="3"/>
      <c r="D22" s="77">
        <f>MAX(_xlfn.ANCHORARRAY(E22))</f>
        <v>100.05246655681817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97.138317045454571</v>
      </c>
      <c r="F22" s="78">
        <v>97.138317045454528</v>
      </c>
      <c r="G22" s="78">
        <v>97.138317045454514</v>
      </c>
      <c r="H22" s="78">
        <v>97.138317045454514</v>
      </c>
      <c r="I22" s="78">
        <v>97.138317045454571</v>
      </c>
      <c r="J22" s="78">
        <v>97.138317045454514</v>
      </c>
      <c r="K22" s="78">
        <v>97.138317045454528</v>
      </c>
      <c r="L22" s="78">
        <v>97.138317045454514</v>
      </c>
      <c r="M22" s="78">
        <v>97.138317045454571</v>
      </c>
      <c r="N22" s="78">
        <v>97.138317045454514</v>
      </c>
      <c r="O22" s="78">
        <v>97.138317045454542</v>
      </c>
      <c r="P22" s="78">
        <v>97.138317045454556</v>
      </c>
      <c r="Q22" s="78">
        <v>100.05246655681817</v>
      </c>
      <c r="R22" s="78">
        <v>100.05246655681817</v>
      </c>
      <c r="S22" s="78">
        <v>100.05246655681817</v>
      </c>
      <c r="T22" s="78">
        <v>100.05246655681817</v>
      </c>
      <c r="U22" s="78">
        <v>100.05246655681817</v>
      </c>
      <c r="V22" s="78">
        <v>100.05246655681817</v>
      </c>
      <c r="W22" s="78">
        <v>100.05246655681817</v>
      </c>
      <c r="X22" s="78">
        <v>100.05246655681817</v>
      </c>
      <c r="Y22" s="78">
        <v>100.05246655681817</v>
      </c>
      <c r="Z22" s="78">
        <v>100.05246655681817</v>
      </c>
      <c r="AA22" s="78">
        <v>100.05246655681817</v>
      </c>
      <c r="AB22" s="78">
        <v>100.05246655681817</v>
      </c>
      <c r="AC22" s="78">
        <v>100.05246655681817</v>
      </c>
      <c r="AD22" s="78">
        <v>100.05246655681817</v>
      </c>
      <c r="AE22" s="78">
        <v>100.05246655681817</v>
      </c>
      <c r="AF22" s="78">
        <v>100.05246655681817</v>
      </c>
      <c r="AG22" s="78">
        <v>100.05246655681817</v>
      </c>
      <c r="AH22" s="78">
        <v>100.05246655681817</v>
      </c>
      <c r="AI22" s="78">
        <v>100.05246655681817</v>
      </c>
      <c r="AJ22" s="78">
        <v>100.05246655681817</v>
      </c>
      <c r="AK22" s="78">
        <v>100.05246655681817</v>
      </c>
      <c r="AL22" s="78">
        <v>100.05246655681817</v>
      </c>
      <c r="AM22" s="78">
        <v>100.05246655681817</v>
      </c>
      <c r="AN22" s="78">
        <v>100.05246655681817</v>
      </c>
    </row>
    <row r="23" spans="2:50" x14ac:dyDescent="0.25">
      <c r="B23" s="2" t="s">
        <v>53</v>
      </c>
      <c r="C23" s="3"/>
      <c r="D23" s="72"/>
      <c r="E23" s="52" cm="1">
        <f t="array" ref="E23:AN23">_xlfn.LET(_xlpm.site,$B$1&amp;"-"&amp;$C$1,_xlpm.locations,Base!$D$4:$BD$4,_xlpm.Customer,_xlfn.ANCHORARRAY(E1),_xlpm.hours,SUM(_xlfn.XLOOKUP(_xlpm.site,_xlpm.locations,Base!$D$74:$BD$78,0,0)),
_xlpm.collection,1-_xlfn.XLOOKUP(_xlpm.site,_xlpm.locations,Base!$D$26:$BD$26,0,0),
_xlpm.Customer*_xlpm.hours*_xlpm.collection*(52/12))</f>
        <v>51.626666666666658</v>
      </c>
      <c r="F23" s="52">
        <v>154.88</v>
      </c>
      <c r="G23" s="52">
        <v>258.13333333333333</v>
      </c>
      <c r="H23" s="52">
        <v>361.38666666666671</v>
      </c>
      <c r="I23" s="52">
        <v>413.01333333333326</v>
      </c>
      <c r="J23" s="52">
        <v>516.26666666666665</v>
      </c>
      <c r="K23" s="52">
        <v>619.52</v>
      </c>
      <c r="L23" s="52">
        <v>722.77333333333343</v>
      </c>
      <c r="M23" s="52">
        <v>826.02666666666653</v>
      </c>
      <c r="N23" s="52">
        <v>877.65333333333331</v>
      </c>
      <c r="O23" s="52">
        <v>980.90666666666664</v>
      </c>
      <c r="P23" s="52">
        <v>1084.1599999999999</v>
      </c>
      <c r="Q23" s="52">
        <v>1187.4133333333332</v>
      </c>
      <c r="R23" s="52">
        <v>1290.6666666666667</v>
      </c>
      <c r="S23" s="52">
        <v>1290.6666666666667</v>
      </c>
      <c r="T23" s="52">
        <v>1290.6666666666667</v>
      </c>
      <c r="U23" s="52">
        <v>1290.6666666666667</v>
      </c>
      <c r="V23" s="52">
        <v>1290.6666666666667</v>
      </c>
      <c r="W23" s="52">
        <v>1290.6666666666667</v>
      </c>
      <c r="X23" s="52">
        <v>1290.6666666666667</v>
      </c>
      <c r="Y23" s="52">
        <v>1290.6666666666667</v>
      </c>
      <c r="Z23" s="52">
        <v>1290.6666666666667</v>
      </c>
      <c r="AA23" s="52">
        <v>1290.6666666666667</v>
      </c>
      <c r="AB23" s="52">
        <v>1290.6666666666667</v>
      </c>
      <c r="AC23" s="52">
        <v>1290.6666666666667</v>
      </c>
      <c r="AD23" s="52">
        <v>1290.6666666666667</v>
      </c>
      <c r="AE23" s="52">
        <v>1290.6666666666667</v>
      </c>
      <c r="AF23" s="52">
        <v>1290.6666666666667</v>
      </c>
      <c r="AG23" s="52">
        <v>1290.6666666666667</v>
      </c>
      <c r="AH23" s="52">
        <v>1290.6666666666667</v>
      </c>
      <c r="AI23" s="52">
        <v>1290.6666666666667</v>
      </c>
      <c r="AJ23" s="52">
        <v>1290.6666666666667</v>
      </c>
      <c r="AK23" s="52">
        <v>1290.6666666666667</v>
      </c>
      <c r="AL23" s="52">
        <v>1290.6666666666667</v>
      </c>
      <c r="AM23" s="52">
        <v>1290.6666666666667</v>
      </c>
      <c r="AN23" s="52">
        <v>1290.6666666666667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21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_xlfn.LET(_xlpm.site,$B$1&amp;"-"&amp;$C$1,_xlpm.locations,Base!$D$4:$BD$4,_xlpm.rates,Base!$D31:$BD31,_xlpm.hours,Base!$D74:$BD74,_xlpm.comp,_xlpm.rates*_xlpm.hours,_xlpm.Customer,_xlfn.ANCHORARRAY($E$1),
_xlpm.Customer_comp,_xlfn.XLOOKUP(_xlpm.site,_xlpm.locations,_xlpm.comp,0,0),_xlpm.ann_incr,_xlfn.XLOOKUP(YEAR(_xlfn.ANCHORARRAY($E$25)),Base!$BJ$4:$BL$4,Base!$BJ74:$BL74,0,0),
_xlpm.bad_debt,_xlfn.XLOOKUP(_xlpm.site,_xlpm.locations,Base!$D$28:$BD$28,0,0),_xlpm.Customer_comp*_xlpm.Customer*_xlpm.bad_debt*_xlpm.ann_incr*(52/12))</f>
        <v>4192.7125499999993</v>
      </c>
      <c r="F26" s="12">
        <v>12578.137649999997</v>
      </c>
      <c r="G26" s="12">
        <v>20963.562749999994</v>
      </c>
      <c r="H26" s="12">
        <v>29348.987849999994</v>
      </c>
      <c r="I26" s="12">
        <v>33541.700399999994</v>
      </c>
      <c r="J26" s="12">
        <v>41927.125499999987</v>
      </c>
      <c r="K26" s="12">
        <v>50312.550599999988</v>
      </c>
      <c r="L26" s="12">
        <v>58697.975699999988</v>
      </c>
      <c r="M26" s="12">
        <v>67083.400799999989</v>
      </c>
      <c r="N26" s="12">
        <v>71276.113349999971</v>
      </c>
      <c r="O26" s="12">
        <v>79661.538449999993</v>
      </c>
      <c r="P26" s="12">
        <v>88046.963549999986</v>
      </c>
      <c r="Q26" s="12">
        <v>99325.360309499985</v>
      </c>
      <c r="R26" s="12">
        <v>107962.34816249998</v>
      </c>
      <c r="S26" s="12">
        <v>107962.34816249998</v>
      </c>
      <c r="T26" s="12">
        <v>107962.34816249998</v>
      </c>
      <c r="U26" s="12">
        <v>107962.34816249998</v>
      </c>
      <c r="V26" s="12">
        <v>107962.34816249998</v>
      </c>
      <c r="W26" s="12">
        <v>107962.34816249998</v>
      </c>
      <c r="X26" s="12">
        <v>107962.34816249998</v>
      </c>
      <c r="Y26" s="12">
        <v>107962.34816249998</v>
      </c>
      <c r="Z26" s="12">
        <v>107962.34816249998</v>
      </c>
      <c r="AA26" s="12">
        <v>107962.34816249998</v>
      </c>
      <c r="AB26" s="12">
        <v>107962.34816249998</v>
      </c>
      <c r="AC26" s="12">
        <v>107962.34816249998</v>
      </c>
      <c r="AD26" s="12">
        <v>107962.34816249998</v>
      </c>
      <c r="AE26" s="12">
        <v>107962.34816249998</v>
      </c>
      <c r="AF26" s="12">
        <v>107962.34816249998</v>
      </c>
      <c r="AG26" s="12">
        <v>107962.34816249998</v>
      </c>
      <c r="AH26" s="12">
        <v>107962.34816249998</v>
      </c>
      <c r="AI26" s="12">
        <v>107962.34816249998</v>
      </c>
      <c r="AJ26" s="12">
        <v>107962.34816249998</v>
      </c>
      <c r="AK26" s="12">
        <v>107962.34816249998</v>
      </c>
      <c r="AL26" s="12">
        <v>107962.34816249998</v>
      </c>
      <c r="AM26" s="12">
        <v>107962.34816249998</v>
      </c>
      <c r="AN26" s="12">
        <v>107962.34816249998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_xlfn.LET(_xlpm.site,$B$1&amp;"-"&amp;$C$1,_xlpm.locations,Base!$D$4:$BD$4,_xlpm.rates,Base!$D32:$BD32,_xlpm.hours,Base!$D75:$BD75,_xlpm.comp,_xlpm.rates*_xlpm.hours,_xlpm.Customer,_xlfn.ANCHORARRAY($E$1),
_xlpm.Customer_comp,_xlfn.XLOOKUP(_xlpm.site,_xlpm.locations,_xlpm.comp,0,0),_xlpm.ann_incr,_xlfn.XLOOKUP(YEAR(_xlfn.ANCHORARRAY($E$25)),Base!$BJ$4:$BL$4,Base!$BJ75:$BL75,0,0),
_xlpm.bad_debt,_xlfn.XLOOKUP(_xlpm.site,_xlpm.locations,Base!$D$28:$BD$28,0,0),_xlpm.Customer_comp*_xlpm.Customer*_xlpm.bad_debt*_xlpm.ann_incr*(52/12))</f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12">
        <v>0</v>
      </c>
      <c r="AA27" s="12">
        <v>0</v>
      </c>
      <c r="AB27" s="12">
        <v>0</v>
      </c>
      <c r="AC27" s="12">
        <v>0</v>
      </c>
      <c r="AD27" s="12">
        <v>0</v>
      </c>
      <c r="AE27" s="12">
        <v>0</v>
      </c>
      <c r="AF27" s="12">
        <v>0</v>
      </c>
      <c r="AG27" s="12">
        <v>0</v>
      </c>
      <c r="AH27" s="12">
        <v>0</v>
      </c>
      <c r="AI27" s="12">
        <v>0</v>
      </c>
      <c r="AJ27" s="12">
        <v>0</v>
      </c>
      <c r="AK27" s="12">
        <v>0</v>
      </c>
      <c r="AL27" s="12">
        <v>0</v>
      </c>
      <c r="AM27" s="12">
        <v>0</v>
      </c>
      <c r="AN27" s="12">
        <v>0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_xlfn.LET(_xlpm.site,$B$1&amp;"-"&amp;$C$1,_xlpm.locations,Base!$D$4:$BD$4,_xlpm.rates,Base!$D33:$BD33,_xlpm.hours,Base!$D76:$BD76,_xlpm.comp,_xlpm.rates*_xlpm.hours,_xlpm.Customer,_xlfn.ANCHORARRAY($E$1),
_xlpm.Customer_comp,_xlfn.XLOOKUP(_xlpm.site,_xlpm.locations,_xlpm.comp,0,0),_xlpm.ann_incr,_xlfn.XLOOKUP(YEAR(_xlfn.ANCHORARRAY($E$25)),Base!$BJ$4:$BL$4,Base!$BJ76:$BL76,0,0),
_xlpm.bad_debt,_xlfn.XLOOKUP(_xlpm.site,_xlpm.locations,Base!$D$28:$BD$28,0,0),_xlpm.Customer_comp*_xlpm.Customer*_xlpm.bad_debt*_xlpm.ann_incr*(52/12))</f>
        <v>846.64436999999998</v>
      </c>
      <c r="F28" s="12">
        <v>2539.9331099999999</v>
      </c>
      <c r="G28" s="12">
        <v>4233.2218499999999</v>
      </c>
      <c r="H28" s="12">
        <v>5926.510589999999</v>
      </c>
      <c r="I28" s="12">
        <v>6773.1549599999998</v>
      </c>
      <c r="J28" s="12">
        <v>8466.4436999999998</v>
      </c>
      <c r="K28" s="12">
        <v>10159.73244</v>
      </c>
      <c r="L28" s="12">
        <v>11853.021179999998</v>
      </c>
      <c r="M28" s="12">
        <v>13546.30992</v>
      </c>
      <c r="N28" s="12">
        <v>14392.954289999998</v>
      </c>
      <c r="O28" s="12">
        <v>16086.24303</v>
      </c>
      <c r="P28" s="12">
        <v>17779.531770000001</v>
      </c>
      <c r="Q28" s="12">
        <v>20057.005125299998</v>
      </c>
      <c r="R28" s="12">
        <v>21801.092527499997</v>
      </c>
      <c r="S28" s="12">
        <v>21801.092527499997</v>
      </c>
      <c r="T28" s="12">
        <v>21801.092527499997</v>
      </c>
      <c r="U28" s="12">
        <v>21801.092527499997</v>
      </c>
      <c r="V28" s="12">
        <v>21801.092527499997</v>
      </c>
      <c r="W28" s="12">
        <v>21801.092527499997</v>
      </c>
      <c r="X28" s="12">
        <v>21801.092527499997</v>
      </c>
      <c r="Y28" s="12">
        <v>21801.092527499997</v>
      </c>
      <c r="Z28" s="12">
        <v>21801.092527499997</v>
      </c>
      <c r="AA28" s="12">
        <v>21801.092527499997</v>
      </c>
      <c r="AB28" s="12">
        <v>21801.092527499997</v>
      </c>
      <c r="AC28" s="12">
        <v>21801.092527499997</v>
      </c>
      <c r="AD28" s="12">
        <v>21801.092527499997</v>
      </c>
      <c r="AE28" s="12">
        <v>21801.092527499997</v>
      </c>
      <c r="AF28" s="12">
        <v>21801.092527499997</v>
      </c>
      <c r="AG28" s="12">
        <v>21801.092527499997</v>
      </c>
      <c r="AH28" s="12">
        <v>21801.092527499997</v>
      </c>
      <c r="AI28" s="12">
        <v>21801.092527499997</v>
      </c>
      <c r="AJ28" s="12">
        <v>21801.092527499997</v>
      </c>
      <c r="AK28" s="12">
        <v>21801.092527499997</v>
      </c>
      <c r="AL28" s="12">
        <v>21801.092527499997</v>
      </c>
      <c r="AM28" s="12">
        <v>21801.092527499997</v>
      </c>
      <c r="AN28" s="12">
        <v>21801.092527499997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_xlfn.LET(_xlpm.site,$B$1&amp;"-"&amp;$C$1,_xlpm.locations,Base!$D$4:$BD$4,_xlpm.rates,Base!$D34:$BD34,_xlpm.hours,Base!$D77:$BD77,_xlpm.comp,_xlpm.rates*_xlpm.hours,_xlpm.Customer,_xlfn.ANCHORARRAY($E$1),
_xlpm.Customer_comp,_xlfn.XLOOKUP(_xlpm.site,_xlpm.locations,_xlpm.comp,0,0),_xlpm.ann_incr,_xlfn.XLOOKUP(YEAR(_xlfn.ANCHORARRAY($E$25)),Base!$BJ$4:$BL$4,Base!$BJ77:$BL77,0,0),
_xlpm.bad_debt,_xlfn.XLOOKUP(_xlpm.site,_xlpm.locations,Base!$D$28:$BD$28,0,0),_xlpm.Customer_comp*_xlpm.Customer*_xlpm.bad_debt*_xlpm.ann_incr*(52/12))</f>
        <v>130.25298000000001</v>
      </c>
      <c r="F29" s="12">
        <v>390.75894</v>
      </c>
      <c r="G29" s="12">
        <v>651.2648999999999</v>
      </c>
      <c r="H29" s="12">
        <v>911.77086000000008</v>
      </c>
      <c r="I29" s="12">
        <v>1042.0238400000001</v>
      </c>
      <c r="J29" s="12">
        <v>1302.5297999999998</v>
      </c>
      <c r="K29" s="12">
        <v>1563.03576</v>
      </c>
      <c r="L29" s="12">
        <v>1823.5417200000002</v>
      </c>
      <c r="M29" s="12">
        <v>2084.0476800000001</v>
      </c>
      <c r="N29" s="12">
        <v>2214.3006599999999</v>
      </c>
      <c r="O29" s="12">
        <v>2474.8066199999998</v>
      </c>
      <c r="P29" s="12">
        <v>2735.3125800000003</v>
      </c>
      <c r="Q29" s="12">
        <v>3085.6930962000001</v>
      </c>
      <c r="R29" s="12">
        <v>3354.0142350000001</v>
      </c>
      <c r="S29" s="12">
        <v>3354.0142350000001</v>
      </c>
      <c r="T29" s="12">
        <v>3354.0142350000001</v>
      </c>
      <c r="U29" s="12">
        <v>3354.0142350000001</v>
      </c>
      <c r="V29" s="12">
        <v>3354.0142350000001</v>
      </c>
      <c r="W29" s="12">
        <v>3354.0142350000001</v>
      </c>
      <c r="X29" s="12">
        <v>3354.0142350000001</v>
      </c>
      <c r="Y29" s="12">
        <v>3354.0142350000001</v>
      </c>
      <c r="Z29" s="12">
        <v>3354.0142350000001</v>
      </c>
      <c r="AA29" s="12">
        <v>3354.0142350000001</v>
      </c>
      <c r="AB29" s="12">
        <v>3354.0142350000001</v>
      </c>
      <c r="AC29" s="12">
        <v>3354.0142350000001</v>
      </c>
      <c r="AD29" s="12">
        <v>3354.0142350000001</v>
      </c>
      <c r="AE29" s="12">
        <v>3354.0142350000001</v>
      </c>
      <c r="AF29" s="12">
        <v>3354.0142350000001</v>
      </c>
      <c r="AG29" s="12">
        <v>3354.0142350000001</v>
      </c>
      <c r="AH29" s="12">
        <v>3354.0142350000001</v>
      </c>
      <c r="AI29" s="12">
        <v>3354.0142350000001</v>
      </c>
      <c r="AJ29" s="12">
        <v>3354.0142350000001</v>
      </c>
      <c r="AK29" s="12">
        <v>3354.0142350000001</v>
      </c>
      <c r="AL29" s="12">
        <v>3354.0142350000001</v>
      </c>
      <c r="AM29" s="12">
        <v>3354.0142350000001</v>
      </c>
      <c r="AN29" s="12">
        <v>3354.0142350000001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_xlfn.LET(_xlpm.site,$B$1&amp;"-"&amp;$C$1,_xlpm.locations,Base!$D$4:$BD$4,_xlpm.rates,Base!$D35:$BD35,_xlpm.hours,Base!$D78:$BD78,_xlpm.comp,_xlpm.rates*_xlpm.hours,_xlpm.Customer,_xlfn.ANCHORARRAY($E$1),
_xlpm.Customer_comp,_xlfn.XLOOKUP(_xlpm.site,_xlpm.locations,_xlpm.comp,0,0),_xlpm.ann_incr,_xlfn.XLOOKUP(YEAR(_xlfn.ANCHORARRAY($E$25)),Base!$BJ$4:$BL$4,Base!$BJ78:$BL78,0,0),
_xlpm.bad_debt,_xlfn.XLOOKUP(_xlpm.site,_xlpm.locations,Base!$D$28:$BD$28,0,0),_xlpm.Customer_comp*_xlpm.Customer*_xlpm.bad_debt*_xlpm.ann_incr*(52/12))</f>
        <v>187.24449066666665</v>
      </c>
      <c r="F30" s="12">
        <v>561.73347200000001</v>
      </c>
      <c r="G30" s="12">
        <v>936.22245333333331</v>
      </c>
      <c r="H30" s="12">
        <v>1310.7114346666667</v>
      </c>
      <c r="I30" s="12">
        <v>1497.9559253333332</v>
      </c>
      <c r="J30" s="12">
        <v>1872.4449066666666</v>
      </c>
      <c r="K30" s="12">
        <v>2246.933888</v>
      </c>
      <c r="L30" s="12">
        <v>2621.4228693333334</v>
      </c>
      <c r="M30" s="12">
        <v>2995.9118506666664</v>
      </c>
      <c r="N30" s="12">
        <v>3183.1563413333329</v>
      </c>
      <c r="O30" s="12">
        <v>3557.6453226666663</v>
      </c>
      <c r="P30" s="12">
        <v>3932.1343039999997</v>
      </c>
      <c r="Q30" s="12">
        <v>4435.8219838933328</v>
      </c>
      <c r="R30" s="12">
        <v>4821.545634666666</v>
      </c>
      <c r="S30" s="12">
        <v>4821.545634666666</v>
      </c>
      <c r="T30" s="12">
        <v>4821.545634666666</v>
      </c>
      <c r="U30" s="12">
        <v>4821.545634666666</v>
      </c>
      <c r="V30" s="12">
        <v>4821.545634666666</v>
      </c>
      <c r="W30" s="12">
        <v>4821.545634666666</v>
      </c>
      <c r="X30" s="12">
        <v>4821.545634666666</v>
      </c>
      <c r="Y30" s="12">
        <v>4821.545634666666</v>
      </c>
      <c r="Z30" s="12">
        <v>4821.545634666666</v>
      </c>
      <c r="AA30" s="12">
        <v>4821.545634666666</v>
      </c>
      <c r="AB30" s="12">
        <v>4821.545634666666</v>
      </c>
      <c r="AC30" s="12">
        <v>4821.545634666666</v>
      </c>
      <c r="AD30" s="12">
        <v>4821.545634666666</v>
      </c>
      <c r="AE30" s="12">
        <v>4821.545634666666</v>
      </c>
      <c r="AF30" s="12">
        <v>4821.545634666666</v>
      </c>
      <c r="AG30" s="12">
        <v>4821.545634666666</v>
      </c>
      <c r="AH30" s="12">
        <v>4821.545634666666</v>
      </c>
      <c r="AI30" s="12">
        <v>4821.545634666666</v>
      </c>
      <c r="AJ30" s="12">
        <v>4821.545634666666</v>
      </c>
      <c r="AK30" s="12">
        <v>4821.545634666666</v>
      </c>
      <c r="AL30" s="12">
        <v>4821.545634666666</v>
      </c>
      <c r="AM30" s="12">
        <v>4821.545634666666</v>
      </c>
      <c r="AN30" s="12">
        <v>4821.545634666666</v>
      </c>
    </row>
    <row r="31" spans="2:50" x14ac:dyDescent="0.25">
      <c r="B31" s="39" t="str">
        <f>Base!B36</f>
        <v>Tertiary Direct Staff - Service A</v>
      </c>
      <c r="C31" s="4"/>
      <c r="E31" s="183" cm="1">
        <f t="array" ref="E31:AN31">_xlfn.LET(_xlpm.site,$B$1&amp;"-"&amp;$C$1,_xlpm.locations,Base!$D$4:$BD$4,_xlpm.rates,Base!$D36:$BD36,_xlpm.hours,Base!$D79:$BD79,_xlpm.comp,_xlpm.rates*_xlpm.hours,_xlpm.Customer,_xlfn.ANCHORARRAY($E$1)*0,
_xlpm.Customer_comp,_xlfn.XLOOKUP(_xlpm.site,_xlpm.locations,_xlpm.comp,0,0),_xlpm.ann_incr,_xlfn.XLOOKUP(YEAR(_xlfn.ANCHORARRAY($E$25)),Base!$BJ$4:$BL$4,Base!$BJ79:$BL79,0,0),
_xlpm.bad_debt,_xlfn.XLOOKUP(_xlpm.site,_xlpm.locations,Base!$D$28:$BD$28,0,0),_xlpm.Customer_comp*_xlpm.Customer*_xlpm.bad_debt*_xlpm.ann_incr*(52/12))</f>
        <v>0</v>
      </c>
      <c r="F31" s="183">
        <v>0</v>
      </c>
      <c r="G31" s="183">
        <v>0</v>
      </c>
      <c r="H31" s="183">
        <v>0</v>
      </c>
      <c r="I31" s="183">
        <v>0</v>
      </c>
      <c r="J31" s="183">
        <v>0</v>
      </c>
      <c r="K31" s="183">
        <v>0</v>
      </c>
      <c r="L31" s="183">
        <v>0</v>
      </c>
      <c r="M31" s="183">
        <v>0</v>
      </c>
      <c r="N31" s="183">
        <v>0</v>
      </c>
      <c r="O31" s="183">
        <v>0</v>
      </c>
      <c r="P31" s="183">
        <v>0</v>
      </c>
      <c r="Q31" s="183">
        <v>0</v>
      </c>
      <c r="R31" s="183">
        <v>0</v>
      </c>
      <c r="S31" s="183">
        <v>0</v>
      </c>
      <c r="T31" s="183">
        <v>0</v>
      </c>
      <c r="U31" s="183">
        <v>0</v>
      </c>
      <c r="V31" s="183">
        <v>0</v>
      </c>
      <c r="W31" s="183">
        <v>0</v>
      </c>
      <c r="X31" s="183">
        <v>0</v>
      </c>
      <c r="Y31" s="183">
        <v>0</v>
      </c>
      <c r="Z31" s="183">
        <v>0</v>
      </c>
      <c r="AA31" s="183">
        <v>0</v>
      </c>
      <c r="AB31" s="183">
        <v>0</v>
      </c>
      <c r="AC31" s="183">
        <v>0</v>
      </c>
      <c r="AD31" s="183">
        <v>0</v>
      </c>
      <c r="AE31" s="183">
        <v>0</v>
      </c>
      <c r="AF31" s="183">
        <v>0</v>
      </c>
      <c r="AG31" s="183">
        <v>0</v>
      </c>
      <c r="AH31" s="183">
        <v>0</v>
      </c>
      <c r="AI31" s="183">
        <v>0</v>
      </c>
      <c r="AJ31" s="183">
        <v>0</v>
      </c>
      <c r="AK31" s="183">
        <v>0</v>
      </c>
      <c r="AL31" s="183">
        <v>0</v>
      </c>
      <c r="AM31" s="183">
        <v>0</v>
      </c>
      <c r="AN31" s="183">
        <v>0</v>
      </c>
    </row>
    <row r="32" spans="2:50" x14ac:dyDescent="0.25">
      <c r="B32" s="39" t="str">
        <f>Base!B37</f>
        <v>Tertiary Direct Staff - Service B</v>
      </c>
      <c r="C32" s="4"/>
      <c r="E32" s="183" cm="1">
        <f t="array" ref="E32:AN32">_xlfn.LET(_xlpm.site,$B$1&amp;"-"&amp;$C$1,_xlpm.locations,Base!$D$4:$BD$4,_xlpm.rates,Base!$D37:$BD37,_xlpm.hours,Base!$D80:$BD80,_xlpm.comp,_xlpm.rates*_xlpm.hours,_xlpm.Customer,_xlfn.ANCHORARRAY($E$1)*0,
_xlpm.Customer_comp,_xlfn.XLOOKUP(_xlpm.site,_xlpm.locations,_xlpm.comp,0,0),_xlpm.ann_incr,_xlfn.XLOOKUP(YEAR(_xlfn.ANCHORARRAY($E$25)),Base!$BJ$4:$BL$4,Base!$BJ80:$BL80,0,0),
_xlpm.bad_debt,_xlfn.XLOOKUP(_xlpm.site,_xlpm.locations,Base!$D$28:$BD$28,0,0),_xlpm.Customer_comp*_xlpm.Customer*_xlpm.bad_debt*_xlpm.ann_incr*(52/12))</f>
        <v>0</v>
      </c>
      <c r="F32" s="183">
        <v>0</v>
      </c>
      <c r="G32" s="183">
        <v>0</v>
      </c>
      <c r="H32" s="183">
        <v>0</v>
      </c>
      <c r="I32" s="183">
        <v>0</v>
      </c>
      <c r="J32" s="183">
        <v>0</v>
      </c>
      <c r="K32" s="183">
        <v>0</v>
      </c>
      <c r="L32" s="183">
        <v>0</v>
      </c>
      <c r="M32" s="183">
        <v>0</v>
      </c>
      <c r="N32" s="183">
        <v>0</v>
      </c>
      <c r="O32" s="183">
        <v>0</v>
      </c>
      <c r="P32" s="183">
        <v>0</v>
      </c>
      <c r="Q32" s="183">
        <v>0</v>
      </c>
      <c r="R32" s="183">
        <v>0</v>
      </c>
      <c r="S32" s="183">
        <v>0</v>
      </c>
      <c r="T32" s="183">
        <v>0</v>
      </c>
      <c r="U32" s="183">
        <v>0</v>
      </c>
      <c r="V32" s="183">
        <v>0</v>
      </c>
      <c r="W32" s="183">
        <v>0</v>
      </c>
      <c r="X32" s="183">
        <v>0</v>
      </c>
      <c r="Y32" s="183">
        <v>0</v>
      </c>
      <c r="Z32" s="183">
        <v>0</v>
      </c>
      <c r="AA32" s="183">
        <v>0</v>
      </c>
      <c r="AB32" s="183">
        <v>0</v>
      </c>
      <c r="AC32" s="183">
        <v>0</v>
      </c>
      <c r="AD32" s="183">
        <v>0</v>
      </c>
      <c r="AE32" s="183">
        <v>0</v>
      </c>
      <c r="AF32" s="183">
        <v>0</v>
      </c>
      <c r="AG32" s="183">
        <v>0</v>
      </c>
      <c r="AH32" s="183">
        <v>0</v>
      </c>
      <c r="AI32" s="183">
        <v>0</v>
      </c>
      <c r="AJ32" s="183">
        <v>0</v>
      </c>
      <c r="AK32" s="183">
        <v>0</v>
      </c>
      <c r="AL32" s="183">
        <v>0</v>
      </c>
      <c r="AM32" s="183">
        <v>0</v>
      </c>
      <c r="AN32" s="183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_xlpm.Customer,_xlfn.ANCHORARRAY($E$2),_xlpm.ann_incr,_xlfn.XLOOKUP(YEAR(_xlfn.ANCHORARRAY($E$25)),Base!$BJ$4:$BL$4,Base!$BJ$81:$BL$81,0,0),
_xlpm.bad_debt,_xlfn.XLOOKUP(_xlpm.site,_xlpm.locations,Base!$D$28:$BD$28,0,0),
_xlpm.comp*_xlpm.bad_debt*_xlpm.ann_incr*(52/12))</f>
        <v>0</v>
      </c>
      <c r="F33" s="12">
        <v>0</v>
      </c>
      <c r="G33" s="12">
        <v>0</v>
      </c>
      <c r="H33" s="12">
        <v>0</v>
      </c>
      <c r="I33" s="12">
        <v>0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2">
        <v>0</v>
      </c>
      <c r="Y33" s="12">
        <v>0</v>
      </c>
      <c r="Z33" s="12">
        <v>0</v>
      </c>
      <c r="AA33" s="12">
        <v>0</v>
      </c>
      <c r="AB33" s="12">
        <v>0</v>
      </c>
      <c r="AC33" s="12">
        <v>0</v>
      </c>
      <c r="AD33" s="12">
        <v>0</v>
      </c>
      <c r="AE33" s="12">
        <v>0</v>
      </c>
      <c r="AF33" s="12">
        <v>0</v>
      </c>
      <c r="AG33" s="12">
        <v>0</v>
      </c>
      <c r="AH33" s="12">
        <v>0</v>
      </c>
      <c r="AI33" s="12">
        <v>0</v>
      </c>
      <c r="AJ33" s="12">
        <v>0</v>
      </c>
      <c r="AK33" s="12">
        <v>0</v>
      </c>
      <c r="AL33" s="12">
        <v>0</v>
      </c>
      <c r="AM33" s="12">
        <v>0</v>
      </c>
      <c r="AN33" s="12">
        <v>0</v>
      </c>
    </row>
    <row r="34" spans="2:40" x14ac:dyDescent="0.25">
      <c r="B34" s="39" t="str">
        <f>Base!B39</f>
        <v>Quinary Direct Staff - Service A</v>
      </c>
      <c r="C34" s="4"/>
      <c r="E34" s="183" cm="1">
        <f t="array" ref="E34:AN34">_xlfn.LET(_xlpm.site,$B$1&amp;"-"&amp;$C$1,_xlpm.locations,Base!$D$4:$BD$4,_xlpm.rates,Base!$D39:$BD39,_xlpm.hours,Base!$D82:$BD82,_xlpm.comp,_xlpm.rates*_xlpm.hours,_xlpm.Customer,_xlfn.ANCHORARRAY($E$1)*0,
_xlpm.Customer_comp,_xlfn.XLOOKUP(_xlpm.site,_xlpm.locations,_xlpm.comp,0,0),_xlpm.ann_incr,_xlfn.XLOOKUP(YEAR(_xlfn.ANCHORARRAY($E$25)),Base!$BJ$4:$BL$4,Base!$BJ82:$BL82,0,0),
_xlpm.bad_debt,_xlfn.XLOOKUP(_xlpm.site,_xlpm.locations,Base!$D$28:$BD$28,0,0),_xlpm.Customer_comp*_xlpm.Customer*_xlpm.bad_debt*_xlpm.ann_incr*(52/12))</f>
        <v>0</v>
      </c>
      <c r="F34" s="183">
        <v>0</v>
      </c>
      <c r="G34" s="183">
        <v>0</v>
      </c>
      <c r="H34" s="183">
        <v>0</v>
      </c>
      <c r="I34" s="183">
        <v>0</v>
      </c>
      <c r="J34" s="183">
        <v>0</v>
      </c>
      <c r="K34" s="183">
        <v>0</v>
      </c>
      <c r="L34" s="183">
        <v>0</v>
      </c>
      <c r="M34" s="183">
        <v>0</v>
      </c>
      <c r="N34" s="183">
        <v>0</v>
      </c>
      <c r="O34" s="183">
        <v>0</v>
      </c>
      <c r="P34" s="183">
        <v>0</v>
      </c>
      <c r="Q34" s="183">
        <v>0</v>
      </c>
      <c r="R34" s="183">
        <v>0</v>
      </c>
      <c r="S34" s="183">
        <v>0</v>
      </c>
      <c r="T34" s="183">
        <v>0</v>
      </c>
      <c r="U34" s="183">
        <v>0</v>
      </c>
      <c r="V34" s="183">
        <v>0</v>
      </c>
      <c r="W34" s="183">
        <v>0</v>
      </c>
      <c r="X34" s="183">
        <v>0</v>
      </c>
      <c r="Y34" s="183">
        <v>0</v>
      </c>
      <c r="Z34" s="183">
        <v>0</v>
      </c>
      <c r="AA34" s="183">
        <v>0</v>
      </c>
      <c r="AB34" s="183">
        <v>0</v>
      </c>
      <c r="AC34" s="183">
        <v>0</v>
      </c>
      <c r="AD34" s="183">
        <v>0</v>
      </c>
      <c r="AE34" s="183">
        <v>0</v>
      </c>
      <c r="AF34" s="183">
        <v>0</v>
      </c>
      <c r="AG34" s="183">
        <v>0</v>
      </c>
      <c r="AH34" s="183">
        <v>0</v>
      </c>
      <c r="AI34" s="183">
        <v>0</v>
      </c>
      <c r="AJ34" s="183">
        <v>0</v>
      </c>
      <c r="AK34" s="183">
        <v>0</v>
      </c>
      <c r="AL34" s="183">
        <v>0</v>
      </c>
      <c r="AM34" s="183">
        <v>0</v>
      </c>
      <c r="AN34" s="183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-642.82252687999994</v>
      </c>
      <c r="F35" s="12">
        <v>-1928.4675806399996</v>
      </c>
      <c r="G35" s="12">
        <v>-3214.1126343999986</v>
      </c>
      <c r="H35" s="12">
        <v>-4499.7576881599989</v>
      </c>
      <c r="I35" s="12">
        <v>-5142.5802150399995</v>
      </c>
      <c r="J35" s="12">
        <v>-6428.2252687999971</v>
      </c>
      <c r="K35" s="12">
        <v>-7713.8703225599984</v>
      </c>
      <c r="L35" s="12">
        <v>-8999.5153763199978</v>
      </c>
      <c r="M35" s="12">
        <v>-10285.160430079999</v>
      </c>
      <c r="N35" s="12">
        <v>-10927.982956959995</v>
      </c>
      <c r="O35" s="12">
        <v>-12213.628010719998</v>
      </c>
      <c r="P35" s="12">
        <v>-13499.273064479998</v>
      </c>
      <c r="Q35" s="12">
        <v>-15228.465661787197</v>
      </c>
      <c r="R35" s="12">
        <v>-16552.680067159999</v>
      </c>
      <c r="S35" s="12">
        <v>-16552.680067159999</v>
      </c>
      <c r="T35" s="12">
        <v>-16552.680067159999</v>
      </c>
      <c r="U35" s="12">
        <v>-16552.680067159999</v>
      </c>
      <c r="V35" s="12">
        <v>-16552.680067159999</v>
      </c>
      <c r="W35" s="12">
        <v>-16552.680067159999</v>
      </c>
      <c r="X35" s="12">
        <v>-16552.680067159999</v>
      </c>
      <c r="Y35" s="12">
        <v>-16552.680067159999</v>
      </c>
      <c r="Z35" s="12">
        <v>-16552.680067159999</v>
      </c>
      <c r="AA35" s="12">
        <v>-16552.680067159999</v>
      </c>
      <c r="AB35" s="12">
        <v>-16552.680067159999</v>
      </c>
      <c r="AC35" s="12">
        <v>-16552.680067159999</v>
      </c>
      <c r="AD35" s="12">
        <v>-16552.680067159999</v>
      </c>
      <c r="AE35" s="12">
        <v>-16552.680067159999</v>
      </c>
      <c r="AF35" s="12">
        <v>-16552.680067159999</v>
      </c>
      <c r="AG35" s="12">
        <v>-16552.680067159999</v>
      </c>
      <c r="AH35" s="12">
        <v>-16552.680067159999</v>
      </c>
      <c r="AI35" s="12">
        <v>-16552.680067159999</v>
      </c>
      <c r="AJ35" s="12">
        <v>-16552.680067159999</v>
      </c>
      <c r="AK35" s="12">
        <v>-16552.680067159999</v>
      </c>
      <c r="AL35" s="12">
        <v>-16552.680067159999</v>
      </c>
      <c r="AM35" s="12">
        <v>-16552.680067159999</v>
      </c>
      <c r="AN35" s="12">
        <v>-16552.680067159999</v>
      </c>
    </row>
    <row r="36" spans="2:40" x14ac:dyDescent="0.25">
      <c r="B36" s="39" t="s">
        <v>261</v>
      </c>
      <c r="C36" s="15"/>
      <c r="E36" s="183" cm="1">
        <f t="array" ref="E36:AN36">_xlfn.BYCOL(_xlfn.ANCHORARRAY($E$25),_xlfn.LAMBDA(_xlpm.a,0))</f>
        <v>0</v>
      </c>
      <c r="F36" s="183">
        <v>0</v>
      </c>
      <c r="G36" s="183">
        <v>0</v>
      </c>
      <c r="H36" s="183">
        <v>0</v>
      </c>
      <c r="I36" s="183">
        <v>0</v>
      </c>
      <c r="J36" s="183">
        <v>0</v>
      </c>
      <c r="K36" s="183">
        <v>0</v>
      </c>
      <c r="L36" s="183">
        <v>0</v>
      </c>
      <c r="M36" s="183">
        <v>0</v>
      </c>
      <c r="N36" s="183">
        <v>0</v>
      </c>
      <c r="O36" s="183">
        <v>0</v>
      </c>
      <c r="P36" s="183">
        <v>0</v>
      </c>
      <c r="Q36" s="183">
        <v>0</v>
      </c>
      <c r="R36" s="183">
        <v>0</v>
      </c>
      <c r="S36" s="183">
        <v>0</v>
      </c>
      <c r="T36" s="183">
        <v>0</v>
      </c>
      <c r="U36" s="183">
        <v>0</v>
      </c>
      <c r="V36" s="183">
        <v>0</v>
      </c>
      <c r="W36" s="183">
        <v>0</v>
      </c>
      <c r="X36" s="183">
        <v>0</v>
      </c>
      <c r="Y36" s="183">
        <v>0</v>
      </c>
      <c r="Z36" s="183">
        <v>0</v>
      </c>
      <c r="AA36" s="183">
        <v>0</v>
      </c>
      <c r="AB36" s="183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271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4714.0318637866667</v>
      </c>
      <c r="F37" s="13">
        <v>14142.095591359997</v>
      </c>
      <c r="G37" s="13">
        <v>23570.159318933322</v>
      </c>
      <c r="H37" s="13">
        <v>32998.22304650666</v>
      </c>
      <c r="I37" s="13">
        <v>37712.254910293334</v>
      </c>
      <c r="J37" s="13">
        <v>47140.318637866643</v>
      </c>
      <c r="K37" s="13">
        <v>56568.382365439989</v>
      </c>
      <c r="L37" s="13">
        <v>65996.446093013321</v>
      </c>
      <c r="M37" s="13">
        <v>75424.509820586667</v>
      </c>
      <c r="N37" s="13">
        <v>80138.541684373296</v>
      </c>
      <c r="O37" s="13">
        <v>89566.605411946657</v>
      </c>
      <c r="P37" s="13">
        <v>98994.669139519989</v>
      </c>
      <c r="Q37" s="13">
        <v>111675.41485310612</v>
      </c>
      <c r="R37" s="13">
        <v>121386.32049250667</v>
      </c>
      <c r="S37" s="13">
        <v>121386.32049250667</v>
      </c>
      <c r="T37" s="13">
        <v>121386.32049250667</v>
      </c>
      <c r="U37" s="13">
        <v>121386.32049250667</v>
      </c>
      <c r="V37" s="13">
        <v>121386.32049250667</v>
      </c>
      <c r="W37" s="13">
        <v>121386.32049250667</v>
      </c>
      <c r="X37" s="13">
        <v>121386.32049250667</v>
      </c>
      <c r="Y37" s="13">
        <v>121386.32049250667</v>
      </c>
      <c r="Z37" s="13">
        <v>121386.32049250667</v>
      </c>
      <c r="AA37" s="13">
        <v>121386.32049250667</v>
      </c>
      <c r="AB37" s="13">
        <v>121386.32049250667</v>
      </c>
      <c r="AC37" s="13">
        <v>121386.32049250667</v>
      </c>
      <c r="AD37" s="13">
        <v>121386.32049250667</v>
      </c>
      <c r="AE37" s="13">
        <v>121386.32049250667</v>
      </c>
      <c r="AF37" s="13">
        <v>121386.32049250667</v>
      </c>
      <c r="AG37" s="13">
        <v>121386.32049250667</v>
      </c>
      <c r="AH37" s="13">
        <v>121386.32049250667</v>
      </c>
      <c r="AI37" s="13">
        <v>121386.32049250667</v>
      </c>
      <c r="AJ37" s="13">
        <v>121386.32049250667</v>
      </c>
      <c r="AK37" s="13">
        <v>121386.32049250667</v>
      </c>
      <c r="AL37" s="13">
        <v>121386.32049250667</v>
      </c>
      <c r="AM37" s="13">
        <v>121386.32049250667</v>
      </c>
      <c r="AN37" s="13">
        <v>121386.32049250667</v>
      </c>
    </row>
    <row r="38" spans="2:40" x14ac:dyDescent="0.25">
      <c r="E38" s="67"/>
      <c r="F38" s="67"/>
    </row>
    <row r="39" spans="2:40" x14ac:dyDescent="0.25">
      <c r="B39" s="1" t="s">
        <v>118</v>
      </c>
    </row>
    <row r="40" spans="2:40" x14ac:dyDescent="0.25">
      <c r="B40" s="39" t="s">
        <v>23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21225.399426622724</v>
      </c>
      <c r="F40" s="12">
        <v>32446.883857645946</v>
      </c>
      <c r="G40" s="12">
        <v>35741.701622002496</v>
      </c>
      <c r="H40" s="12">
        <v>39280.602719692382</v>
      </c>
      <c r="I40" s="12">
        <v>41219.219935203997</v>
      </c>
      <c r="J40" s="12">
        <v>44661.454366227212</v>
      </c>
      <c r="K40" s="12">
        <v>48301.221008361543</v>
      </c>
      <c r="L40" s="12">
        <v>51840.122106051429</v>
      </c>
      <c r="M40" s="12">
        <v>55325.856537074658</v>
      </c>
      <c r="N40" s="12">
        <v>57220.973752586258</v>
      </c>
      <c r="O40" s="12">
        <v>60706.70818360948</v>
      </c>
      <c r="P40" s="12">
        <v>64261.891492410483</v>
      </c>
      <c r="Q40" s="12">
        <v>74777.588515777068</v>
      </c>
      <c r="R40" s="12">
        <v>75150.746389902619</v>
      </c>
      <c r="S40" s="12">
        <v>75150.746389902619</v>
      </c>
      <c r="T40" s="12">
        <v>75150.746389902619</v>
      </c>
      <c r="U40" s="12">
        <v>75150.746389902619</v>
      </c>
      <c r="V40" s="12">
        <v>75150.746389902619</v>
      </c>
      <c r="W40" s="12">
        <v>75150.746389902619</v>
      </c>
      <c r="X40" s="12">
        <v>75150.746389902619</v>
      </c>
      <c r="Y40" s="12">
        <v>75150.746389902619</v>
      </c>
      <c r="Z40" s="12">
        <v>75150.746389902619</v>
      </c>
      <c r="AA40" s="12">
        <v>75150.746389902619</v>
      </c>
      <c r="AB40" s="12">
        <v>75150.746389902619</v>
      </c>
      <c r="AC40" s="12">
        <v>82665.821028892882</v>
      </c>
      <c r="AD40" s="12">
        <v>82665.821028892882</v>
      </c>
      <c r="AE40" s="12">
        <v>82665.821028892882</v>
      </c>
      <c r="AF40" s="12">
        <v>82665.821028892882</v>
      </c>
      <c r="AG40" s="12">
        <v>82665.821028892882</v>
      </c>
      <c r="AH40" s="12">
        <v>82665.821028892882</v>
      </c>
      <c r="AI40" s="12">
        <v>82665.821028892882</v>
      </c>
      <c r="AJ40" s="12">
        <v>82665.821028892882</v>
      </c>
      <c r="AK40" s="12">
        <v>82665.821028892882</v>
      </c>
      <c r="AL40" s="12">
        <v>82665.821028892882</v>
      </c>
      <c r="AM40" s="12">
        <v>82665.821028892882</v>
      </c>
      <c r="AN40" s="12">
        <v>82665.821028892882</v>
      </c>
    </row>
    <row r="41" spans="2:40" x14ac:dyDescent="0.25">
      <c r="B41" s="39" t="s">
        <v>388</v>
      </c>
      <c r="C41" s="142">
        <f>_xlfn.XLOOKUP($B$1&amp;"-"&amp;$C$1,Base!$D$4:$BD$4,Base!$D$12:$BD$12,0,0)</f>
        <v>0</v>
      </c>
      <c r="E41" s="183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28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0</v>
      </c>
      <c r="AJ42" s="12">
        <v>0</v>
      </c>
      <c r="AK42" s="12">
        <v>0</v>
      </c>
      <c r="AL42" s="12">
        <v>0</v>
      </c>
      <c r="AM42" s="12">
        <v>0</v>
      </c>
      <c r="AN42" s="12">
        <v>0</v>
      </c>
    </row>
    <row r="43" spans="2:40" x14ac:dyDescent="0.25">
      <c r="B43" s="39" t="s">
        <v>31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0</v>
      </c>
      <c r="X43" s="12">
        <v>0</v>
      </c>
      <c r="Y43" s="12">
        <v>0</v>
      </c>
      <c r="Z43" s="12">
        <v>0</v>
      </c>
      <c r="AA43" s="12">
        <v>0</v>
      </c>
      <c r="AB43" s="12">
        <v>0</v>
      </c>
      <c r="AC43" s="12">
        <v>0</v>
      </c>
      <c r="AD43" s="12">
        <v>0</v>
      </c>
      <c r="AE43" s="12">
        <v>0</v>
      </c>
      <c r="AF43" s="12">
        <v>0</v>
      </c>
      <c r="AG43" s="12">
        <v>0</v>
      </c>
      <c r="AH43" s="12">
        <v>0</v>
      </c>
      <c r="AI43" s="12">
        <v>0</v>
      </c>
      <c r="AJ43" s="12">
        <v>0</v>
      </c>
      <c r="AK43" s="12">
        <v>0</v>
      </c>
      <c r="AL43" s="12">
        <v>0</v>
      </c>
      <c r="AM43" s="12">
        <v>0</v>
      </c>
      <c r="AN43" s="12">
        <v>0</v>
      </c>
    </row>
    <row r="44" spans="2:40" x14ac:dyDescent="0.25">
      <c r="B44" s="39" t="s">
        <v>34</v>
      </c>
      <c r="C44" s="96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350.41759999999999</v>
      </c>
      <c r="F44" s="12">
        <v>855.82760000000019</v>
      </c>
      <c r="G44" s="12">
        <v>872.67460000000005</v>
      </c>
      <c r="H44" s="12">
        <v>899.62979999999993</v>
      </c>
      <c r="I44" s="12">
        <v>919.84619999999995</v>
      </c>
      <c r="J44" s="12">
        <v>943.4319999999999</v>
      </c>
      <c r="K44" s="12">
        <v>970.38720000000001</v>
      </c>
      <c r="L44" s="12">
        <v>997.3424</v>
      </c>
      <c r="M44" s="12">
        <v>1020.9281999999999</v>
      </c>
      <c r="N44" s="12">
        <v>1041.1445999999999</v>
      </c>
      <c r="O44" s="12">
        <v>1064.7304000000001</v>
      </c>
      <c r="P44" s="12">
        <v>1091.6856</v>
      </c>
      <c r="Q44" s="12">
        <v>1166.8906079999999</v>
      </c>
      <c r="R44" s="12">
        <v>1030.227744</v>
      </c>
      <c r="S44" s="12">
        <v>1030.227744</v>
      </c>
      <c r="T44" s="12">
        <v>1030.227744</v>
      </c>
      <c r="U44" s="12">
        <v>1030.227744</v>
      </c>
      <c r="V44" s="12">
        <v>1030.227744</v>
      </c>
      <c r="W44" s="12">
        <v>1030.227744</v>
      </c>
      <c r="X44" s="12">
        <v>1030.227744</v>
      </c>
      <c r="Y44" s="12">
        <v>1030.227744</v>
      </c>
      <c r="Z44" s="12">
        <v>1030.227744</v>
      </c>
      <c r="AA44" s="12">
        <v>1030.227744</v>
      </c>
      <c r="AB44" s="12">
        <v>1030.227744</v>
      </c>
      <c r="AC44" s="12">
        <v>1071.4368537600003</v>
      </c>
      <c r="AD44" s="12">
        <v>1071.4368537600003</v>
      </c>
      <c r="AE44" s="12">
        <v>1071.4368537600003</v>
      </c>
      <c r="AF44" s="12">
        <v>1071.4368537600003</v>
      </c>
      <c r="AG44" s="12">
        <v>1071.4368537600003</v>
      </c>
      <c r="AH44" s="12">
        <v>1071.4368537600003</v>
      </c>
      <c r="AI44" s="12">
        <v>1071.4368537600003</v>
      </c>
      <c r="AJ44" s="12">
        <v>1071.4368537600003</v>
      </c>
      <c r="AK44" s="12">
        <v>1071.4368537600003</v>
      </c>
      <c r="AL44" s="12">
        <v>1071.4368537600003</v>
      </c>
      <c r="AM44" s="12">
        <v>1071.4368537600003</v>
      </c>
      <c r="AN44" s="12">
        <v>1071.4368537600003</v>
      </c>
    </row>
    <row r="45" spans="2:40" x14ac:dyDescent="0.25">
      <c r="B45" s="39" t="s">
        <v>36</v>
      </c>
      <c r="C45" s="96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4500</v>
      </c>
      <c r="F45" s="12">
        <v>4500</v>
      </c>
      <c r="G45" s="12">
        <v>4500</v>
      </c>
      <c r="H45" s="12">
        <v>4500</v>
      </c>
      <c r="I45" s="12">
        <v>4500</v>
      </c>
      <c r="J45" s="12">
        <v>4500</v>
      </c>
      <c r="K45" s="12">
        <v>4500</v>
      </c>
      <c r="L45" s="12">
        <v>4500</v>
      </c>
      <c r="M45" s="12">
        <v>4500</v>
      </c>
      <c r="N45" s="12">
        <v>4500</v>
      </c>
      <c r="O45" s="12">
        <v>4500</v>
      </c>
      <c r="P45" s="12">
        <v>4500</v>
      </c>
      <c r="Q45" s="12">
        <v>4590</v>
      </c>
      <c r="R45" s="12">
        <v>4590</v>
      </c>
      <c r="S45" s="12">
        <v>4590</v>
      </c>
      <c r="T45" s="12">
        <v>4590</v>
      </c>
      <c r="U45" s="12">
        <v>4590</v>
      </c>
      <c r="V45" s="12">
        <v>4590</v>
      </c>
      <c r="W45" s="12">
        <v>4590</v>
      </c>
      <c r="X45" s="12">
        <v>4590</v>
      </c>
      <c r="Y45" s="12">
        <v>4590</v>
      </c>
      <c r="Z45" s="12">
        <v>4590</v>
      </c>
      <c r="AA45" s="12">
        <v>4590</v>
      </c>
      <c r="AB45" s="12">
        <v>4590</v>
      </c>
      <c r="AC45" s="12">
        <v>4681.8</v>
      </c>
      <c r="AD45" s="12">
        <v>4681.8</v>
      </c>
      <c r="AE45" s="12">
        <v>4681.8</v>
      </c>
      <c r="AF45" s="12">
        <v>4681.8</v>
      </c>
      <c r="AG45" s="12">
        <v>4681.8</v>
      </c>
      <c r="AH45" s="12">
        <v>4681.8</v>
      </c>
      <c r="AI45" s="12">
        <v>4681.8</v>
      </c>
      <c r="AJ45" s="12">
        <v>4681.8</v>
      </c>
      <c r="AK45" s="12">
        <v>4681.8</v>
      </c>
      <c r="AL45" s="12">
        <v>4681.8</v>
      </c>
      <c r="AM45" s="12">
        <v>4681.8</v>
      </c>
      <c r="AN45" s="12">
        <v>4681.8</v>
      </c>
    </row>
    <row r="46" spans="2:40" x14ac:dyDescent="0.25">
      <c r="B46" s="39" t="s">
        <v>38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2160</v>
      </c>
      <c r="F46" s="12">
        <v>3450</v>
      </c>
      <c r="G46" s="12">
        <v>4014.9999999999995</v>
      </c>
      <c r="H46" s="12">
        <v>4595</v>
      </c>
      <c r="I46" s="12">
        <v>4895</v>
      </c>
      <c r="J46" s="12">
        <v>5469.9999999999991</v>
      </c>
      <c r="K46" s="12">
        <v>6060.0000000000009</v>
      </c>
      <c r="L46" s="12">
        <v>6640.0000000000009</v>
      </c>
      <c r="M46" s="12">
        <v>7215</v>
      </c>
      <c r="N46" s="12">
        <v>7515</v>
      </c>
      <c r="O46" s="12">
        <v>8089.9999999999991</v>
      </c>
      <c r="P46" s="12">
        <v>8675</v>
      </c>
      <c r="Q46" s="12">
        <v>9450.2999999999993</v>
      </c>
      <c r="R46" s="12">
        <v>9802.2000000000007</v>
      </c>
      <c r="S46" s="12">
        <v>9802.2000000000007</v>
      </c>
      <c r="T46" s="12">
        <v>9802.2000000000007</v>
      </c>
      <c r="U46" s="12">
        <v>9802.2000000000007</v>
      </c>
      <c r="V46" s="12">
        <v>9802.2000000000007</v>
      </c>
      <c r="W46" s="12">
        <v>9802.2000000000007</v>
      </c>
      <c r="X46" s="12">
        <v>9802.2000000000007</v>
      </c>
      <c r="Y46" s="12">
        <v>9802.2000000000007</v>
      </c>
      <c r="Z46" s="12">
        <v>9802.2000000000007</v>
      </c>
      <c r="AA46" s="12">
        <v>9802.2000000000007</v>
      </c>
      <c r="AB46" s="12">
        <v>9802.2000000000007</v>
      </c>
      <c r="AC46" s="12">
        <v>9998.2440000000006</v>
      </c>
      <c r="AD46" s="12">
        <v>9998.2440000000006</v>
      </c>
      <c r="AE46" s="12">
        <v>9998.2440000000006</v>
      </c>
      <c r="AF46" s="12">
        <v>9998.2440000000006</v>
      </c>
      <c r="AG46" s="12">
        <v>9998.2440000000006</v>
      </c>
      <c r="AH46" s="12">
        <v>9998.2440000000006</v>
      </c>
      <c r="AI46" s="12">
        <v>9998.2440000000006</v>
      </c>
      <c r="AJ46" s="12">
        <v>9998.2440000000006</v>
      </c>
      <c r="AK46" s="12">
        <v>9998.2440000000006</v>
      </c>
      <c r="AL46" s="12">
        <v>9998.2440000000006</v>
      </c>
      <c r="AM46" s="12">
        <v>9998.2440000000006</v>
      </c>
      <c r="AN46" s="12">
        <v>9998.2440000000006</v>
      </c>
    </row>
    <row r="47" spans="2:40" x14ac:dyDescent="0.25">
      <c r="B47" s="39" t="s">
        <v>40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1950</v>
      </c>
      <c r="F47" s="12">
        <v>1950</v>
      </c>
      <c r="G47" s="12">
        <v>1950</v>
      </c>
      <c r="H47" s="12">
        <v>1950</v>
      </c>
      <c r="I47" s="12">
        <v>1950</v>
      </c>
      <c r="J47" s="12">
        <v>1950</v>
      </c>
      <c r="K47" s="12">
        <v>1950</v>
      </c>
      <c r="L47" s="12">
        <v>1950</v>
      </c>
      <c r="M47" s="12">
        <v>1950</v>
      </c>
      <c r="N47" s="12">
        <v>1950</v>
      </c>
      <c r="O47" s="12">
        <v>1950</v>
      </c>
      <c r="P47" s="12">
        <v>1950</v>
      </c>
      <c r="Q47" s="12">
        <v>2047.5</v>
      </c>
      <c r="R47" s="12">
        <v>2047.5</v>
      </c>
      <c r="S47" s="12">
        <v>2047.5</v>
      </c>
      <c r="T47" s="12">
        <v>2047.5</v>
      </c>
      <c r="U47" s="12">
        <v>2047.5</v>
      </c>
      <c r="V47" s="12">
        <v>2047.5</v>
      </c>
      <c r="W47" s="12">
        <v>2047.5</v>
      </c>
      <c r="X47" s="12">
        <v>2047.5</v>
      </c>
      <c r="Y47" s="12">
        <v>2047.5</v>
      </c>
      <c r="Z47" s="12">
        <v>2047.5</v>
      </c>
      <c r="AA47" s="12">
        <v>2047.5</v>
      </c>
      <c r="AB47" s="12">
        <v>2047.5</v>
      </c>
      <c r="AC47" s="12">
        <v>2149.875</v>
      </c>
      <c r="AD47" s="12">
        <v>2149.875</v>
      </c>
      <c r="AE47" s="12">
        <v>2149.875</v>
      </c>
      <c r="AF47" s="12">
        <v>2149.875</v>
      </c>
      <c r="AG47" s="12">
        <v>2149.875</v>
      </c>
      <c r="AH47" s="12">
        <v>2149.875</v>
      </c>
      <c r="AI47" s="12">
        <v>2149.875</v>
      </c>
      <c r="AJ47" s="12">
        <v>2149.875</v>
      </c>
      <c r="AK47" s="12">
        <v>2149.875</v>
      </c>
      <c r="AL47" s="12">
        <v>2149.875</v>
      </c>
      <c r="AM47" s="12">
        <v>2149.875</v>
      </c>
      <c r="AN47" s="12">
        <v>2149.875</v>
      </c>
    </row>
    <row r="48" spans="2:40" x14ac:dyDescent="0.25">
      <c r="B48" s="39" t="s">
        <v>41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42</v>
      </c>
      <c r="E49" s="12">
        <f>'Corp.'!E$50*(E$37-(E31-E32-E34)*$C$35)/(SUM('MDA1:NCA9'!E$37)-SUM('MDA1:NCA9'!E$31)-SUM('MDA1:NCA9'!E$32)-SUM('MDA1:NCA9'!E$34))</f>
        <v>1562.5440984818435</v>
      </c>
      <c r="F49" s="12">
        <f>'Corp.'!F$50*(F$37-(F31-F32-F34)*$C$35)/(SUM('MDA1:NCA9'!F$37)-SUM('MDA1:NCA9'!F$31)-SUM('MDA1:NCA9'!F$32)-SUM('MDA1:NCA9'!F$34))</f>
        <v>4400.0625382761482</v>
      </c>
      <c r="G49" s="12">
        <f>'Corp.'!G$50*(G$37-(G31-G32-G34)*$C$35)/(SUM('MDA1:NCA9'!G$37)-SUM('MDA1:NCA9'!G$31)-SUM('MDA1:NCA9'!G$32)-SUM('MDA1:NCA9'!G$34))</f>
        <v>6674.296877486463</v>
      </c>
      <c r="H49" s="12">
        <f>'Corp.'!H$50*(H$37-(H31-H32-H34)*$C$35)/(SUM('MDA1:NCA9'!H$37)-SUM('MDA1:NCA9'!H$31)-SUM('MDA1:NCA9'!H$32)-SUM('MDA1:NCA9'!H$34))</f>
        <v>8543.0678950562888</v>
      </c>
      <c r="I49" s="12">
        <f>'Corp.'!I$50*(I$37-(I31-I32-I34)*$C$35)/(SUM('MDA1:NCA9'!I$37)-SUM('MDA1:NCA9'!I$31)-SUM('MDA1:NCA9'!I$32)-SUM('MDA1:NCA9'!I$34))</f>
        <v>9187.5210773527288</v>
      </c>
      <c r="J49" s="12">
        <f>'Corp.'!J$50*(J$37-(J31-J32-J34)*$C$35)/(SUM('MDA1:NCA9'!J$37)-SUM('MDA1:NCA9'!J$31)-SUM('MDA1:NCA9'!J$32)-SUM('MDA1:NCA9'!J$34))</f>
        <v>10734.090567223864</v>
      </c>
      <c r="K49" s="12">
        <f>'Corp.'!K$50*(K$37-(K31-K32-K34)*$C$35)/(SUM('MDA1:NCA9'!K$37)-SUM('MDA1:NCA9'!K$31)-SUM('MDA1:NCA9'!K$32)-SUM('MDA1:NCA9'!K$34))</f>
        <v>11830.963609654515</v>
      </c>
      <c r="L49" s="12">
        <f>'Corp.'!L$50*(L$37-(L31-L32-L34)*$C$35)/(SUM('MDA1:NCA9'!L$37)-SUM('MDA1:NCA9'!L$31)-SUM('MDA1:NCA9'!L$32)-SUM('MDA1:NCA9'!L$34))</f>
        <v>13043.607632215542</v>
      </c>
      <c r="M49" s="12">
        <f>'Corp.'!M$50*(M$37-(M31-M32-M34)*$C$35)/(SUM('MDA1:NCA9'!M$37)-SUM('MDA1:NCA9'!M$31)-SUM('MDA1:NCA9'!M$32)-SUM('MDA1:NCA9'!M$34))</f>
        <v>13970.10951460202</v>
      </c>
      <c r="N49" s="12">
        <f>'Corp.'!N$50*(N$37-(N31-N32-N34)*$C$35)/(SUM('MDA1:NCA9'!N$37)-SUM('MDA1:NCA9'!N$31)-SUM('MDA1:NCA9'!N$32)-SUM('MDA1:NCA9'!N$34))</f>
        <v>13986.505177245759</v>
      </c>
      <c r="O49" s="12">
        <f>'Corp.'!O$50*(O$37-(O31-O32-O34)*$C$35)/(SUM('MDA1:NCA9'!O$37)-SUM('MDA1:NCA9'!O$31)-SUM('MDA1:NCA9'!O$32)-SUM('MDA1:NCA9'!O$34))</f>
        <v>14629.951881840057</v>
      </c>
      <c r="P49" s="12">
        <f>'Corp.'!P$50*(P$37-(P31-P32-P34)*$C$35)/(SUM('MDA1:NCA9'!P$37)-SUM('MDA1:NCA9'!P$31)-SUM('MDA1:NCA9'!P$32)-SUM('MDA1:NCA9'!P$34))</f>
        <v>15258.727527820671</v>
      </c>
      <c r="Q49" s="12">
        <f>'Corp.'!Q$50*(Q$37-(Q31-Q32-Q34)*$C$35)/(SUM('MDA1:NCA9'!Q$37)-SUM('MDA1:NCA9'!Q$31)-SUM('MDA1:NCA9'!Q$32)-SUM('MDA1:NCA9'!Q$34))</f>
        <v>17276.434355213933</v>
      </c>
      <c r="R49" s="12">
        <f>'Corp.'!R$50*(R$37-(R31-R32-R34)*$C$35)/(SUM('MDA1:NCA9'!R$37)-SUM('MDA1:NCA9'!R$31)-SUM('MDA1:NCA9'!R$32)-SUM('MDA1:NCA9'!R$34))</f>
        <v>18067.456288591868</v>
      </c>
      <c r="S49" s="12">
        <f>'Corp.'!S$50*(S$37-(S31-S32-S34)*$C$35)/(SUM('MDA1:NCA9'!S$37)-SUM('MDA1:NCA9'!S$31)-SUM('MDA1:NCA9'!S$32)-SUM('MDA1:NCA9'!S$34))</f>
        <v>17285.619108501924</v>
      </c>
      <c r="T49" s="12">
        <f>'Corp.'!T$50*(T$37-(T31-T32-T34)*$C$35)/(SUM('MDA1:NCA9'!T$37)-SUM('MDA1:NCA9'!T$31)-SUM('MDA1:NCA9'!T$32)-SUM('MDA1:NCA9'!T$34))</f>
        <v>16623.825089724654</v>
      </c>
      <c r="U49" s="12">
        <f>'Corp.'!U$50*(U$37-(U31-U32-U34)*$C$35)/(SUM('MDA1:NCA9'!U$37)-SUM('MDA1:NCA9'!U$31)-SUM('MDA1:NCA9'!U$32)-SUM('MDA1:NCA9'!U$34))</f>
        <v>16170.090283941447</v>
      </c>
      <c r="V49" s="12">
        <f>'Corp.'!V$50*(V$37-(V31-V32-V34)*$C$35)/(SUM('MDA1:NCA9'!V$37)-SUM('MDA1:NCA9'!V$31)-SUM('MDA1:NCA9'!V$32)-SUM('MDA1:NCA9'!V$34))</f>
        <v>15800.161367793868</v>
      </c>
      <c r="W49" s="12">
        <f>'Corp.'!W$50*(W$37-(W31-W32-W34)*$C$35)/(SUM('MDA1:NCA9'!W$37)-SUM('MDA1:NCA9'!W$31)-SUM('MDA1:NCA9'!W$32)-SUM('MDA1:NCA9'!W$34))</f>
        <v>15319.954867664077</v>
      </c>
      <c r="X49" s="12">
        <f>'Corp.'!X$50*(X$37-(X31-X32-X34)*$C$35)/(SUM('MDA1:NCA9'!X$37)-SUM('MDA1:NCA9'!X$31)-SUM('MDA1:NCA9'!X$32)-SUM('MDA1:NCA9'!X$34))</f>
        <v>14840.077842065186</v>
      </c>
      <c r="Y49" s="12">
        <f>'Corp.'!Y$50*(Y$37-(Y31-Y32-Y34)*$C$35)/(SUM('MDA1:NCA9'!Y$37)-SUM('MDA1:NCA9'!Y$31)-SUM('MDA1:NCA9'!Y$32)-SUM('MDA1:NCA9'!Y$34))</f>
        <v>14525.669748167204</v>
      </c>
      <c r="Z49" s="12">
        <f>'Corp.'!Z$50*(Z$37-(Z31-Z32-Z34)*$C$35)/(SUM('MDA1:NCA9'!Z$37)-SUM('MDA1:NCA9'!Z$31)-SUM('MDA1:NCA9'!Z$32)-SUM('MDA1:NCA9'!Z$34))</f>
        <v>14210.207061727335</v>
      </c>
      <c r="AA49" s="12">
        <f>'Corp.'!AA$50*(AA$37-(AA31-AA32-AA34)*$C$35)/(SUM('MDA1:NCA9'!AA$37)-SUM('MDA1:NCA9'!AA$31)-SUM('MDA1:NCA9'!AA$32)-SUM('MDA1:NCA9'!AA$34))</f>
        <v>13885.314313599431</v>
      </c>
      <c r="AB49" s="12">
        <f>'Corp.'!AB$50*(AB$37-(AB31-AB32-AB34)*$C$35)/(SUM('MDA1:NCA9'!AB$37)-SUM('MDA1:NCA9'!AB$31)-SUM('MDA1:NCA9'!AB$32)-SUM('MDA1:NCA9'!AB$34))</f>
        <v>13570.201129019113</v>
      </c>
      <c r="AC49" s="12">
        <f>'Corp.'!AC$50*(AC$37-(AC31-AC32-AC34)*$C$35)/(SUM('MDA1:NCA9'!AC$37)-SUM('MDA1:NCA9'!AC$31)-SUM('MDA1:NCA9'!AC$32)-SUM('MDA1:NCA9'!AC$34))</f>
        <v>14564.181452102503</v>
      </c>
      <c r="AD49" s="12">
        <f>'Corp.'!AD$50*(AD$37-(AD31-AD32-AD34)*$C$35)/(SUM('MDA1:NCA9'!AD$37)-SUM('MDA1:NCA9'!AD$31)-SUM('MDA1:NCA9'!AD$32)-SUM('MDA1:NCA9'!AD$34))</f>
        <v>14324.919944133509</v>
      </c>
      <c r="AE49" s="12">
        <f>'Corp.'!AE$50*(AE$37-(AE31-AE32-AE34)*$C$35)/(SUM('MDA1:NCA9'!AE$37)-SUM('MDA1:NCA9'!AE$31)-SUM('MDA1:NCA9'!AE$32)-SUM('MDA1:NCA9'!AE$34))</f>
        <v>14099.318989294523</v>
      </c>
      <c r="AF49" s="12">
        <f>'Corp.'!AF$50*(AF$37-(AF31-AF32-AF34)*$C$35)/(SUM('MDA1:NCA9'!AF$37)-SUM('MDA1:NCA9'!AF$31)-SUM('MDA1:NCA9'!AF$32)-SUM('MDA1:NCA9'!AF$34))</f>
        <v>13887.923498335485</v>
      </c>
      <c r="AG49" s="12">
        <f>'Corp.'!AG$50*(AG$37-(AG31-AG32-AG34)*$C$35)/(SUM('MDA1:NCA9'!AG$37)-SUM('MDA1:NCA9'!AG$31)-SUM('MDA1:NCA9'!AG$32)-SUM('MDA1:NCA9'!AG$34))</f>
        <v>13718.394148961997</v>
      </c>
      <c r="AH49" s="12">
        <f>'Corp.'!AH$50*(AH$37-(AH31-AH32-AH34)*$C$35)/(SUM('MDA1:NCA9'!AH$37)-SUM('MDA1:NCA9'!AH$31)-SUM('MDA1:NCA9'!AH$32)-SUM('MDA1:NCA9'!AH$34))</f>
        <v>13495.399758794791</v>
      </c>
      <c r="AI49" s="12">
        <f>'Corp.'!AI$50*(AI$37-(AI31-AI32-AI34)*$C$35)/(SUM('MDA1:NCA9'!AI$37)-SUM('MDA1:NCA9'!AI$31)-SUM('MDA1:NCA9'!AI$32)-SUM('MDA1:NCA9'!AI$34))</f>
        <v>13263.013517678623</v>
      </c>
      <c r="AJ49" s="12">
        <f>'Corp.'!AJ$50*(AJ$37-(AJ31-AJ32-AJ34)*$C$35)/(SUM('MDA1:NCA9'!AJ$37)-SUM('MDA1:NCA9'!AJ$31)-SUM('MDA1:NCA9'!AJ$32)-SUM('MDA1:NCA9'!AJ$34))</f>
        <v>13024.918903566366</v>
      </c>
      <c r="AK49" s="12">
        <f>'Corp.'!AK$50*(AK$37-(AK31-AK32-AK34)*$C$35)/(SUM('MDA1:NCA9'!AK$37)-SUM('MDA1:NCA9'!AK$31)-SUM('MDA1:NCA9'!AK$32)-SUM('MDA1:NCA9'!AK$34))</f>
        <v>12805.068125140526</v>
      </c>
      <c r="AL49" s="12">
        <f>'Corp.'!AL$50*(AL$37-(AL31-AL32-AL34)*$C$35)/(SUM('MDA1:NCA9'!AL$37)-SUM('MDA1:NCA9'!AL$31)-SUM('MDA1:NCA9'!AL$32)-SUM('MDA1:NCA9'!AL$34))</f>
        <v>12603.319699293168</v>
      </c>
      <c r="AM49" s="12">
        <f>'Corp.'!AM$50*(AM$37-(AM31-AM32-AM34)*$C$35)/(SUM('MDA1:NCA9'!AM$37)-SUM('MDA1:NCA9'!AM$31)-SUM('MDA1:NCA9'!AM$32)-SUM('MDA1:NCA9'!AM$34))</f>
        <v>12386.046703062933</v>
      </c>
      <c r="AN49" s="12">
        <f>'Corp.'!AN$50*(AN$37-(AN31-AN32-AN34)*$C$35)/(SUM('MDA1:NCA9'!AN$37)-SUM('MDA1:NCA9'!AN$31)-SUM('MDA1:NCA9'!AN$32)-SUM('MDA1:NCA9'!AN$34))</f>
        <v>12200.839224441532</v>
      </c>
    </row>
    <row r="50" spans="2:40" x14ac:dyDescent="0.25">
      <c r="B50" s="1" t="s">
        <v>272</v>
      </c>
      <c r="E50" s="13" cm="1">
        <f t="array" ref="E50:AN50">_xlfn.BYCOL(_xlfn.VSTACK(_xlfn.ANCHORARRAY(E40),_xlfn.ANCHORARRAY(E42),_xlfn.ANCHORARRAY(E43),_xlfn.ANCHORARRAY(E45),_xlfn.ANCHORARRAY(E46),_xlfn.ANCHORARRAY(E47),_xlfn.ANCHORARRAY(E48),_xlfn.HSTACK(E49:AN49)),_xlfn.LAMBDA(_xlpm.a,SUM(_xlpm.a)))</f>
        <v>31397.943525104569</v>
      </c>
      <c r="F50" s="13">
        <v>46746.946395922096</v>
      </c>
      <c r="G50" s="13">
        <v>52880.99849948896</v>
      </c>
      <c r="H50" s="13">
        <v>58868.670614748669</v>
      </c>
      <c r="I50" s="13">
        <v>61751.741012556726</v>
      </c>
      <c r="J50" s="13">
        <v>67315.544933451078</v>
      </c>
      <c r="K50" s="13">
        <v>72642.184618016065</v>
      </c>
      <c r="L50" s="13">
        <v>77973.729738266964</v>
      </c>
      <c r="M50" s="13">
        <v>82960.966051676689</v>
      </c>
      <c r="N50" s="13">
        <v>85172.478929832025</v>
      </c>
      <c r="O50" s="13">
        <v>89876.660065449527</v>
      </c>
      <c r="P50" s="13">
        <v>94645.619020231141</v>
      </c>
      <c r="Q50" s="13">
        <v>108141.822870991</v>
      </c>
      <c r="R50" s="13">
        <v>109657.90267849449</v>
      </c>
      <c r="S50" s="13">
        <v>108876.06549840454</v>
      </c>
      <c r="T50" s="13">
        <v>108214.27147962726</v>
      </c>
      <c r="U50" s="13">
        <v>107760.53667384406</v>
      </c>
      <c r="V50" s="13">
        <v>107390.60775769649</v>
      </c>
      <c r="W50" s="13">
        <v>106910.4012575667</v>
      </c>
      <c r="X50" s="13">
        <v>106430.52423196781</v>
      </c>
      <c r="Y50" s="13">
        <v>106116.11613806982</v>
      </c>
      <c r="Z50" s="13">
        <v>105800.65345162994</v>
      </c>
      <c r="AA50" s="13">
        <v>105475.76070350205</v>
      </c>
      <c r="AB50" s="13">
        <v>105160.64751892173</v>
      </c>
      <c r="AC50" s="13">
        <v>114059.9214809954</v>
      </c>
      <c r="AD50" s="13">
        <v>113820.6599730264</v>
      </c>
      <c r="AE50" s="13">
        <v>113595.05901818741</v>
      </c>
      <c r="AF50" s="13">
        <v>113383.66352722837</v>
      </c>
      <c r="AG50" s="13">
        <v>113214.1341778549</v>
      </c>
      <c r="AH50" s="13">
        <v>112991.13978768769</v>
      </c>
      <c r="AI50" s="13">
        <v>112758.75354657152</v>
      </c>
      <c r="AJ50" s="13">
        <v>112520.65893245925</v>
      </c>
      <c r="AK50" s="13">
        <v>112300.80815403341</v>
      </c>
      <c r="AL50" s="13">
        <v>112099.05972818605</v>
      </c>
      <c r="AM50" s="13">
        <v>111881.78673195583</v>
      </c>
      <c r="AN50" s="13">
        <v>111696.57925333442</v>
      </c>
    </row>
    <row r="52" spans="2:40" x14ac:dyDescent="0.25">
      <c r="B52" s="1" t="s">
        <v>48</v>
      </c>
      <c r="E52" s="74">
        <f>E37-E50</f>
        <v>-26683.911661317903</v>
      </c>
      <c r="F52" s="74">
        <f t="shared" ref="F52:AN52" si="0">F37-F50</f>
        <v>-32604.850804562098</v>
      </c>
      <c r="G52" s="74">
        <f t="shared" si="0"/>
        <v>-29310.839180555638</v>
      </c>
      <c r="H52" s="74">
        <f t="shared" si="0"/>
        <v>-25870.447568242009</v>
      </c>
      <c r="I52" s="74">
        <f t="shared" si="0"/>
        <v>-24039.486102263392</v>
      </c>
      <c r="J52" s="74">
        <f t="shared" si="0"/>
        <v>-20175.226295584434</v>
      </c>
      <c r="K52" s="74">
        <f t="shared" si="0"/>
        <v>-16073.802252576075</v>
      </c>
      <c r="L52" s="74">
        <f t="shared" si="0"/>
        <v>-11977.283645253643</v>
      </c>
      <c r="M52" s="74">
        <f t="shared" si="0"/>
        <v>-7536.4562310900219</v>
      </c>
      <c r="N52" s="74">
        <f t="shared" si="0"/>
        <v>-5033.9372454587283</v>
      </c>
      <c r="O52" s="74">
        <f t="shared" si="0"/>
        <v>-310.05465350286977</v>
      </c>
      <c r="P52" s="74">
        <f t="shared" si="0"/>
        <v>4349.0501192888478</v>
      </c>
      <c r="Q52" s="74">
        <f t="shared" si="0"/>
        <v>3533.5919821151183</v>
      </c>
      <c r="R52" s="74">
        <f t="shared" si="0"/>
        <v>11728.41781401218</v>
      </c>
      <c r="S52" s="74">
        <f t="shared" si="0"/>
        <v>12510.254994102128</v>
      </c>
      <c r="T52" s="74">
        <f t="shared" si="0"/>
        <v>13172.049012879404</v>
      </c>
      <c r="U52" s="74">
        <f t="shared" si="0"/>
        <v>13625.783818662603</v>
      </c>
      <c r="V52" s="74">
        <f t="shared" si="0"/>
        <v>13995.712734810179</v>
      </c>
      <c r="W52" s="74">
        <f t="shared" si="0"/>
        <v>14475.919234939967</v>
      </c>
      <c r="X52" s="74">
        <f t="shared" si="0"/>
        <v>14955.79626053886</v>
      </c>
      <c r="Y52" s="74">
        <f t="shared" si="0"/>
        <v>15270.20435443685</v>
      </c>
      <c r="Z52" s="74">
        <f t="shared" si="0"/>
        <v>15585.667040876724</v>
      </c>
      <c r="AA52" s="74">
        <f t="shared" si="0"/>
        <v>15910.559789004619</v>
      </c>
      <c r="AB52" s="74">
        <f t="shared" si="0"/>
        <v>16225.672973584937</v>
      </c>
      <c r="AC52" s="74">
        <f t="shared" si="0"/>
        <v>7326.3990115112683</v>
      </c>
      <c r="AD52" s="74">
        <f t="shared" si="0"/>
        <v>7565.6605194802687</v>
      </c>
      <c r="AE52" s="74">
        <f t="shared" si="0"/>
        <v>7791.2614743192535</v>
      </c>
      <c r="AF52" s="74">
        <f t="shared" si="0"/>
        <v>8002.6569652782928</v>
      </c>
      <c r="AG52" s="74">
        <f t="shared" si="0"/>
        <v>8172.1863146517717</v>
      </c>
      <c r="AH52" s="74">
        <f t="shared" si="0"/>
        <v>8395.1807048189803</v>
      </c>
      <c r="AI52" s="74">
        <f t="shared" si="0"/>
        <v>8627.5669459351484</v>
      </c>
      <c r="AJ52" s="74">
        <f t="shared" si="0"/>
        <v>8865.6615600474179</v>
      </c>
      <c r="AK52" s="74">
        <f t="shared" si="0"/>
        <v>9085.5123384732578</v>
      </c>
      <c r="AL52" s="74">
        <f t="shared" si="0"/>
        <v>9287.2607643206138</v>
      </c>
      <c r="AM52" s="74">
        <f t="shared" si="0"/>
        <v>9504.5337605508394</v>
      </c>
      <c r="AN52" s="74">
        <f t="shared" si="0"/>
        <v>9689.7412391722464</v>
      </c>
    </row>
    <row r="53" spans="2:40" x14ac:dyDescent="0.25">
      <c r="E53" s="105">
        <f>IFERROR(E52/E37,"")</f>
        <v>-5.6605284886393124</v>
      </c>
      <c r="F53" s="105">
        <f t="shared" ref="F53:AN53" si="1">IFERROR(F52/F37,"")</f>
        <v>-2.3055176366140375</v>
      </c>
      <c r="G53" s="105">
        <f t="shared" si="1"/>
        <v>-1.2435571089674804</v>
      </c>
      <c r="H53" s="105">
        <f t="shared" si="1"/>
        <v>-0.78399517246068107</v>
      </c>
      <c r="I53" s="105">
        <f t="shared" si="1"/>
        <v>-0.63744494089378778</v>
      </c>
      <c r="J53" s="105">
        <f t="shared" si="1"/>
        <v>-0.42798239126407128</v>
      </c>
      <c r="K53" s="105">
        <f t="shared" si="1"/>
        <v>-0.2841481686489985</v>
      </c>
      <c r="L53" s="105">
        <f t="shared" si="1"/>
        <v>-0.18148376699516872</v>
      </c>
      <c r="M53" s="105">
        <f t="shared" si="1"/>
        <v>-9.9920519855112022E-2</v>
      </c>
      <c r="N53" s="105">
        <f t="shared" si="1"/>
        <v>-6.2815433618507263E-2</v>
      </c>
      <c r="O53" s="105">
        <f t="shared" si="1"/>
        <v>-3.4617216101562086E-3</v>
      </c>
      <c r="P53" s="105">
        <f t="shared" si="1"/>
        <v>4.3932164803333326E-2</v>
      </c>
      <c r="Q53" s="105">
        <f t="shared" si="1"/>
        <v>3.1641628435077493E-2</v>
      </c>
      <c r="R53" s="105">
        <f t="shared" si="1"/>
        <v>9.6620589259365439E-2</v>
      </c>
      <c r="S53" s="105">
        <f t="shared" si="1"/>
        <v>0.10306148949357438</v>
      </c>
      <c r="T53" s="105">
        <f t="shared" si="1"/>
        <v>0.10851345488878651</v>
      </c>
      <c r="U53" s="105">
        <f t="shared" si="1"/>
        <v>0.11225139507794653</v>
      </c>
      <c r="V53" s="105">
        <f t="shared" si="1"/>
        <v>0.11529892889103721</v>
      </c>
      <c r="W53" s="105">
        <f t="shared" si="1"/>
        <v>0.11925494714895477</v>
      </c>
      <c r="X53" s="105">
        <f t="shared" si="1"/>
        <v>0.12320825114278096</v>
      </c>
      <c r="Y53" s="105">
        <f t="shared" si="1"/>
        <v>0.12579839550684377</v>
      </c>
      <c r="Z53" s="105">
        <f t="shared" si="1"/>
        <v>0.12839722777360935</v>
      </c>
      <c r="AA53" s="105">
        <f t="shared" si="1"/>
        <v>0.13107374640280656</v>
      </c>
      <c r="AB53" s="105">
        <f t="shared" si="1"/>
        <v>0.13366969941713133</v>
      </c>
      <c r="AC53" s="105">
        <f t="shared" si="1"/>
        <v>6.0356051503872188E-2</v>
      </c>
      <c r="AD53" s="105">
        <f t="shared" si="1"/>
        <v>6.2327126226281046E-2</v>
      </c>
      <c r="AE53" s="105">
        <f t="shared" si="1"/>
        <v>6.4185663118441899E-2</v>
      </c>
      <c r="AF53" s="105">
        <f t="shared" si="1"/>
        <v>6.5927173118096996E-2</v>
      </c>
      <c r="AG53" s="105">
        <f t="shared" si="1"/>
        <v>6.7323783120654443E-2</v>
      </c>
      <c r="AH53" s="105">
        <f t="shared" si="1"/>
        <v>6.9160846714496349E-2</v>
      </c>
      <c r="AI53" s="105">
        <f t="shared" si="1"/>
        <v>7.107528188456573E-2</v>
      </c>
      <c r="AJ53" s="105">
        <f t="shared" si="1"/>
        <v>7.3036743548007182E-2</v>
      </c>
      <c r="AK53" s="105">
        <f t="shared" si="1"/>
        <v>7.484790956353371E-2</v>
      </c>
      <c r="AL53" s="105">
        <f t="shared" si="1"/>
        <v>7.6509945491707435E-2</v>
      </c>
      <c r="AM53" s="105">
        <f t="shared" si="1"/>
        <v>7.8299875323575407E-2</v>
      </c>
      <c r="AN53" s="105">
        <f t="shared" si="1"/>
        <v>7.9825644272415411E-2</v>
      </c>
    </row>
    <row r="55" spans="2:40" x14ac:dyDescent="0.25">
      <c r="B55" t="s">
        <v>57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0</v>
      </c>
      <c r="D55" s="12">
        <f>C55-SUM(_xlfn.ANCHORARRAY(E55))</f>
        <v>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</row>
    <row r="56" spans="2:40" x14ac:dyDescent="0.25">
      <c r="B56" t="s">
        <v>285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-707.10477956800003</v>
      </c>
      <c r="F56" s="90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-707.10477956800003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-707.10477956800003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-707.10477956800003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-707.10477956800003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-707.10477956800003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-2121.3143387039995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-3535.523897839998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-4949.7334569759987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-5656.8382365440002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-7071.0477956799959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-8485.257354815998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-9899.4669139519974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-11313.676473088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-12020.781252655994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-13434.990811791999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-14849.200370927998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-16751.312227965918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-18207.948073875999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-18207.948073875999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-18207.948073875999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-18207.948073875999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-18207.948073875999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-18207.948073875999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-18207.948073875999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-18207.948073875999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-18207.948073875999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-18207.948073875999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-18207.948073875999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-18207.948073875999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-18207.948073875999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-18207.948073875999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-18207.948073875999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-18207.948073875999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-18207.948073875999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-18207.948073875999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276</v>
      </c>
      <c r="E58" s="13">
        <f>E37-E50-E55+E56</f>
        <v>-27391.016440885902</v>
      </c>
      <c r="F58" s="13">
        <f t="shared" ref="F58:AN58" si="2">F37-F50-F55+F56</f>
        <v>-33311.955584130097</v>
      </c>
      <c r="G58" s="13">
        <f t="shared" si="2"/>
        <v>-30017.943960123637</v>
      </c>
      <c r="H58" s="13">
        <f t="shared" si="2"/>
        <v>-26577.552347810008</v>
      </c>
      <c r="I58" s="13">
        <f t="shared" si="2"/>
        <v>-24746.590881831391</v>
      </c>
      <c r="J58" s="13">
        <f t="shared" si="2"/>
        <v>-20882.331075152433</v>
      </c>
      <c r="K58" s="13">
        <f t="shared" si="2"/>
        <v>-18195.116591280075</v>
      </c>
      <c r="L58" s="13">
        <f t="shared" si="2"/>
        <v>-15512.807543093641</v>
      </c>
      <c r="M58" s="13">
        <f t="shared" si="2"/>
        <v>-12486.189688066021</v>
      </c>
      <c r="N58" s="13">
        <f t="shared" si="2"/>
        <v>-10690.775482002729</v>
      </c>
      <c r="O58" s="13">
        <f t="shared" si="2"/>
        <v>-7381.1024491828657</v>
      </c>
      <c r="P58" s="13">
        <f t="shared" si="2"/>
        <v>-4136.2072355271503</v>
      </c>
      <c r="Q58" s="13">
        <f t="shared" si="2"/>
        <v>-6365.8749318368791</v>
      </c>
      <c r="R58" s="13">
        <f t="shared" si="2"/>
        <v>414.74134092417989</v>
      </c>
      <c r="S58" s="13">
        <f t="shared" si="2"/>
        <v>489.47374144613423</v>
      </c>
      <c r="T58" s="13">
        <f t="shared" si="2"/>
        <v>-262.94179891259409</v>
      </c>
      <c r="U58" s="13">
        <f t="shared" si="2"/>
        <v>-1223.4165522653948</v>
      </c>
      <c r="V58" s="13">
        <f t="shared" si="2"/>
        <v>-2755.5994931557398</v>
      </c>
      <c r="W58" s="13">
        <f t="shared" si="2"/>
        <v>-3732.0288389360321</v>
      </c>
      <c r="X58" s="13">
        <f t="shared" si="2"/>
        <v>-3252.1518133371392</v>
      </c>
      <c r="Y58" s="13">
        <f t="shared" si="2"/>
        <v>-2937.7437194391496</v>
      </c>
      <c r="Z58" s="13">
        <f t="shared" si="2"/>
        <v>-2622.2810329992753</v>
      </c>
      <c r="AA58" s="13">
        <f t="shared" si="2"/>
        <v>-2297.3882848713802</v>
      </c>
      <c r="AB58" s="13">
        <f t="shared" si="2"/>
        <v>-1982.2751002910627</v>
      </c>
      <c r="AC58" s="13">
        <f t="shared" si="2"/>
        <v>-10881.549062364731</v>
      </c>
      <c r="AD58" s="13">
        <f t="shared" si="2"/>
        <v>-10642.287554395731</v>
      </c>
      <c r="AE58" s="13">
        <f t="shared" si="2"/>
        <v>-10416.686599556746</v>
      </c>
      <c r="AF58" s="13">
        <f t="shared" si="2"/>
        <v>-10205.291108597707</v>
      </c>
      <c r="AG58" s="13">
        <f t="shared" si="2"/>
        <v>-10035.761759224228</v>
      </c>
      <c r="AH58" s="13">
        <f t="shared" si="2"/>
        <v>-9812.7673690570191</v>
      </c>
      <c r="AI58" s="13">
        <f t="shared" si="2"/>
        <v>-9580.381127940851</v>
      </c>
      <c r="AJ58" s="13">
        <f t="shared" si="2"/>
        <v>-9342.2865138285815</v>
      </c>
      <c r="AK58" s="13">
        <f t="shared" si="2"/>
        <v>-9122.4357354027416</v>
      </c>
      <c r="AL58" s="13">
        <f t="shared" si="2"/>
        <v>-8920.6873095553856</v>
      </c>
      <c r="AM58" s="13">
        <f t="shared" si="2"/>
        <v>-8703.41431332516</v>
      </c>
      <c r="AN58" s="13">
        <f t="shared" si="2"/>
        <v>-8518.206834703753</v>
      </c>
    </row>
    <row r="59" spans="2:40" x14ac:dyDescent="0.25">
      <c r="B59" t="s">
        <v>277</v>
      </c>
      <c r="E59" s="12" cm="1">
        <f t="array" ref="E59:AN59">_xlfn.SCAN(-D55,E58:AN58,_xlfn.LAMBDA(_xlpm.capex,_xlpm.fcf,_xlpm.capex+_xlpm.fcf))</f>
        <v>-27391.016440885902</v>
      </c>
      <c r="F59" s="12">
        <v>-60702.972025016003</v>
      </c>
      <c r="G59" s="12">
        <v>-90720.91598513964</v>
      </c>
      <c r="H59" s="12">
        <v>-117298.46833294965</v>
      </c>
      <c r="I59" s="12">
        <v>-142045.05921478104</v>
      </c>
      <c r="J59" s="12">
        <v>-162927.39028993348</v>
      </c>
      <c r="K59" s="12">
        <v>-181122.50688121354</v>
      </c>
      <c r="L59" s="12">
        <v>-196635.31442430717</v>
      </c>
      <c r="M59" s="12">
        <v>-209121.50411237319</v>
      </c>
      <c r="N59" s="12">
        <v>-219812.27959437593</v>
      </c>
      <c r="O59" s="12">
        <v>-227193.38204355878</v>
      </c>
      <c r="P59" s="12">
        <v>-231329.58927908592</v>
      </c>
      <c r="Q59" s="12">
        <v>-237695.4642109228</v>
      </c>
      <c r="R59" s="12">
        <v>-237280.72286999863</v>
      </c>
      <c r="S59" s="12">
        <v>-236791.2491285525</v>
      </c>
      <c r="T59" s="12">
        <v>-237054.1909274651</v>
      </c>
      <c r="U59" s="12">
        <v>-238277.6074797305</v>
      </c>
      <c r="V59" s="12">
        <v>-241033.20697288626</v>
      </c>
      <c r="W59" s="12">
        <v>-244765.23581182229</v>
      </c>
      <c r="X59" s="12">
        <v>-248017.38762515943</v>
      </c>
      <c r="Y59" s="12">
        <v>-250955.13134459857</v>
      </c>
      <c r="Z59" s="12">
        <v>-253577.41237759785</v>
      </c>
      <c r="AA59" s="12">
        <v>-255874.80066246924</v>
      </c>
      <c r="AB59" s="12">
        <v>-257857.0757627603</v>
      </c>
      <c r="AC59" s="12">
        <v>-268738.62482512504</v>
      </c>
      <c r="AD59" s="12">
        <v>-279380.91237952077</v>
      </c>
      <c r="AE59" s="12">
        <v>-289797.59897907753</v>
      </c>
      <c r="AF59" s="12">
        <v>-300002.89008767525</v>
      </c>
      <c r="AG59" s="12">
        <v>-310038.65184689948</v>
      </c>
      <c r="AH59" s="12">
        <v>-319851.41921595647</v>
      </c>
      <c r="AI59" s="12">
        <v>-329431.80034389731</v>
      </c>
      <c r="AJ59" s="12">
        <v>-338774.08685772587</v>
      </c>
      <c r="AK59" s="12">
        <v>-347896.52259312861</v>
      </c>
      <c r="AL59" s="12">
        <v>-356817.20990268397</v>
      </c>
      <c r="AM59" s="12">
        <v>-365520.62421600911</v>
      </c>
      <c r="AN59" s="12">
        <v>-374038.83105071285</v>
      </c>
    </row>
    <row r="61" spans="2:40" x14ac:dyDescent="0.25">
      <c r="B61" s="1" t="s">
        <v>302</v>
      </c>
    </row>
    <row r="63" spans="2:40" x14ac:dyDescent="0.25">
      <c r="B63" s="39" t="s">
        <v>103</v>
      </c>
      <c r="E63" s="12" cm="1">
        <f t="array" ref="E63:AN63">_xlfn.LET(_xlpm.site,$B$1&amp;"-"&amp;$C$1,_xlpm.locations,Base!$D$4:$BD$4,_xlpm.rates,Base!$D$36:$BD$36,_xlpm.hours,Base!$D$79:$BD$79,_xlpm.comp,_xlpm.rates*_xlpm.hours,_xlpm.Customer,_xlfn.ANCHORARRAY($E$1),
_xlpm.Customer_comp,_xlfn.XLOOKUP(_xlpm.site,_xlpm.locations,_xlpm.comp,0,0),_xlpm.ann_incr,_xlfn.XLOOKUP(YEAR(_xlfn.ANCHORARRAY($E$25)),Base!$BJ$4:$BL$4,Base!$BJ$79:$BL$79,0,0),
_xlpm.bad_debt,_xlfn.XLOOKUP(_xlpm.site,_xlpm.locations,Base!$D$28:$BD$28,0,0),_xlpm.Customer_comp*_xlpm.Customer*_xlpm.bad_debt*_xlpm.ann_incr*(52/12)*(1-$C$35))</f>
        <v>0</v>
      </c>
      <c r="F63" s="12">
        <v>0</v>
      </c>
      <c r="G63" s="12">
        <v>0</v>
      </c>
      <c r="H63" s="12">
        <v>0</v>
      </c>
      <c r="I63" s="12">
        <v>0</v>
      </c>
      <c r="J63" s="12">
        <v>0</v>
      </c>
      <c r="K63" s="12">
        <v>0</v>
      </c>
      <c r="L63" s="12">
        <v>0</v>
      </c>
      <c r="M63" s="12">
        <v>0</v>
      </c>
      <c r="N63" s="12">
        <v>0</v>
      </c>
      <c r="O63" s="12">
        <v>0</v>
      </c>
      <c r="P63" s="12">
        <v>0</v>
      </c>
      <c r="Q63" s="12">
        <v>0</v>
      </c>
      <c r="R63" s="12">
        <v>0</v>
      </c>
      <c r="S63" s="12">
        <v>0</v>
      </c>
      <c r="T63" s="12">
        <v>0</v>
      </c>
      <c r="U63" s="12">
        <v>0</v>
      </c>
      <c r="V63" s="12">
        <v>0</v>
      </c>
      <c r="W63" s="12">
        <v>0</v>
      </c>
      <c r="X63" s="12">
        <v>0</v>
      </c>
      <c r="Y63" s="12">
        <v>0</v>
      </c>
      <c r="Z63" s="12">
        <v>0</v>
      </c>
      <c r="AA63" s="12">
        <v>0</v>
      </c>
      <c r="AB63" s="12">
        <v>0</v>
      </c>
      <c r="AC63" s="12">
        <v>0</v>
      </c>
      <c r="AD63" s="12">
        <v>0</v>
      </c>
      <c r="AE63" s="12">
        <v>0</v>
      </c>
      <c r="AF63" s="12">
        <v>0</v>
      </c>
      <c r="AG63" s="12">
        <v>0</v>
      </c>
      <c r="AH63" s="12">
        <v>0</v>
      </c>
      <c r="AI63" s="12">
        <v>0</v>
      </c>
      <c r="AJ63" s="12">
        <v>0</v>
      </c>
      <c r="AK63" s="12">
        <v>0</v>
      </c>
      <c r="AL63" s="12">
        <v>0</v>
      </c>
      <c r="AM63" s="12">
        <v>0</v>
      </c>
      <c r="AN63" s="12">
        <v>0</v>
      </c>
    </row>
    <row r="64" spans="2:40" x14ac:dyDescent="0.25">
      <c r="B64" s="39" t="s">
        <v>104</v>
      </c>
      <c r="E64" s="12" cm="1">
        <f t="array" ref="E64:AN64">_xlfn.LET(_xlpm.site,$B$1&amp;"-"&amp;$C$1,_xlpm.locations,Base!$D$4:$BD$4,_xlpm.rates,Base!$D$37:$BD$37,_xlpm.hours,Base!$D$80:$BD$80,_xlpm.comp,_xlpm.rates*_xlpm.hours,_xlpm.Customer,_xlfn.ANCHORARRAY($E$1),
_xlpm.Customer_comp,_xlfn.XLOOKUP(_xlpm.site,_xlpm.locations,_xlpm.comp,0,0),_xlpm.ann_incr,_xlfn.XLOOKUP(YEAR(_xlfn.ANCHORARRAY($E$25)),Base!$BJ$4:$BL$4,Base!$BJ$80:$BL$80,0,0),
_xlpm.bad_debt,_xlfn.XLOOKUP(_xlpm.site,_xlpm.locations,Base!$D$28:$BD$28,0,0),_xlpm.Customer_comp*_xlpm.Customer*_xlpm.bad_debt*_xlpm.ann_incr*(52/12)*(1-$C$35))</f>
        <v>0</v>
      </c>
      <c r="F64" s="12">
        <v>0</v>
      </c>
      <c r="G64" s="12">
        <v>0</v>
      </c>
      <c r="H64" s="12">
        <v>0</v>
      </c>
      <c r="I64" s="12">
        <v>0</v>
      </c>
      <c r="J64" s="12">
        <v>0</v>
      </c>
      <c r="K64" s="12">
        <v>0</v>
      </c>
      <c r="L64" s="12">
        <v>0</v>
      </c>
      <c r="M64" s="12">
        <v>0</v>
      </c>
      <c r="N64" s="12">
        <v>0</v>
      </c>
      <c r="O64" s="12">
        <v>0</v>
      </c>
      <c r="P64" s="12">
        <v>0</v>
      </c>
      <c r="Q64" s="12">
        <v>0</v>
      </c>
      <c r="R64" s="12">
        <v>0</v>
      </c>
      <c r="S64" s="12">
        <v>0</v>
      </c>
      <c r="T64" s="12">
        <v>0</v>
      </c>
      <c r="U64" s="12">
        <v>0</v>
      </c>
      <c r="V64" s="12">
        <v>0</v>
      </c>
      <c r="W64" s="12">
        <v>0</v>
      </c>
      <c r="X64" s="12">
        <v>0</v>
      </c>
      <c r="Y64" s="12">
        <v>0</v>
      </c>
      <c r="Z64" s="12">
        <v>0</v>
      </c>
      <c r="AA64" s="12">
        <v>0</v>
      </c>
      <c r="AB64" s="12">
        <v>0</v>
      </c>
      <c r="AC64" s="12">
        <v>0</v>
      </c>
      <c r="AD64" s="12">
        <v>0</v>
      </c>
      <c r="AE64" s="12">
        <v>0</v>
      </c>
      <c r="AF64" s="12">
        <v>0</v>
      </c>
      <c r="AG64" s="12">
        <v>0</v>
      </c>
      <c r="AH64" s="12">
        <v>0</v>
      </c>
      <c r="AI64" s="12">
        <v>0</v>
      </c>
      <c r="AJ64" s="12">
        <v>0</v>
      </c>
      <c r="AK64" s="12">
        <v>0</v>
      </c>
      <c r="AL64" s="12">
        <v>0</v>
      </c>
      <c r="AM64" s="12">
        <v>0</v>
      </c>
      <c r="AN64" s="12">
        <v>0</v>
      </c>
    </row>
    <row r="65" spans="2:40" x14ac:dyDescent="0.25">
      <c r="B65" s="39" t="s">
        <v>56</v>
      </c>
      <c r="E65" s="12" cm="1">
        <f t="array" ref="E65:AN65">_xlfn.LET(_xlpm.site,$B$1&amp;"-"&amp;$C$1,_xlpm.locations,Base!$D$4:$BD$4,_xlpm.rates,Base!$D$39:$BD$39,_xlpm.hours,Base!$D$82:$BD$82,_xlpm.comp,_xlpm.rates*_xlpm.hours,_xlpm.Customer,_xlfn.ANCHORARRAY($E$1),
_xlpm.Customer_comp,_xlfn.XLOOKUP(_xlpm.site,_xlpm.locations,_xlpm.comp,0,0),_xlpm.ann_incr,_xlfn.XLOOKUP(YEAR(_xlfn.ANCHORARRAY($E$25)),Base!$BJ$4:$BL$4,Base!$BJ$82:$BL$82,0,0),
_xlpm.bad_debt,_xlfn.XLOOKUP(_xlpm.site,_xlpm.locations,Base!$D$28:$BD$28,0,0),_xlpm.Customer_comp*_xlpm.Customer*_xlpm.bad_debt*_xlpm.ann_incr*(52/12)*(1-$C$35))</f>
        <v>0</v>
      </c>
      <c r="F65" s="12">
        <v>0</v>
      </c>
      <c r="G65" s="12">
        <v>0</v>
      </c>
      <c r="H65" s="12">
        <v>0</v>
      </c>
      <c r="I65" s="12">
        <v>0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  <c r="O65" s="12">
        <v>0</v>
      </c>
      <c r="P65" s="12">
        <v>0</v>
      </c>
      <c r="Q65" s="12">
        <v>0</v>
      </c>
      <c r="R65" s="12">
        <v>0</v>
      </c>
      <c r="S65" s="12">
        <v>0</v>
      </c>
      <c r="T65" s="12">
        <v>0</v>
      </c>
      <c r="U65" s="12">
        <v>0</v>
      </c>
      <c r="V65" s="12">
        <v>0</v>
      </c>
      <c r="W65" s="12">
        <v>0</v>
      </c>
      <c r="X65" s="12">
        <v>0</v>
      </c>
      <c r="Y65" s="12">
        <v>0</v>
      </c>
      <c r="Z65" s="12">
        <v>0</v>
      </c>
      <c r="AA65" s="12">
        <v>0</v>
      </c>
      <c r="AB65" s="12">
        <v>0</v>
      </c>
      <c r="AC65" s="12">
        <v>0</v>
      </c>
      <c r="AD65" s="12">
        <v>0</v>
      </c>
      <c r="AE65" s="12">
        <v>0</v>
      </c>
      <c r="AF65" s="12">
        <v>0</v>
      </c>
      <c r="AG65" s="12">
        <v>0</v>
      </c>
      <c r="AH65" s="12">
        <v>0</v>
      </c>
      <c r="AI65" s="12">
        <v>0</v>
      </c>
      <c r="AJ65" s="12">
        <v>0</v>
      </c>
      <c r="AK65" s="12">
        <v>0</v>
      </c>
      <c r="AL65" s="12">
        <v>0</v>
      </c>
      <c r="AM65" s="12">
        <v>0</v>
      </c>
      <c r="AN65" s="12">
        <v>0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303</v>
      </c>
      <c r="C67" s="12"/>
      <c r="E67" s="13" cm="1">
        <f t="array" ref="E67:AN67">_xlfn.BYCOL(_xlfn.VSTACK(_xlfn.ANCHORARRAY($E$63),_xlfn.ANCHORARRAY($E$64),_xlfn.ANCHORARRAY($E$65)),_xlfn.LAMBDA(_xlpm.a,SUM(_xlpm.a)))</f>
        <v>0</v>
      </c>
      <c r="F67" s="13">
        <v>0</v>
      </c>
      <c r="G67" s="13">
        <v>0</v>
      </c>
      <c r="H67" s="13">
        <v>0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  <c r="W67" s="13">
        <v>0</v>
      </c>
      <c r="X67" s="13">
        <v>0</v>
      </c>
      <c r="Y67" s="13">
        <v>0</v>
      </c>
      <c r="Z67" s="13">
        <v>0</v>
      </c>
      <c r="AA67" s="13">
        <v>0</v>
      </c>
      <c r="AB67" s="13">
        <v>0</v>
      </c>
      <c r="AC67" s="13">
        <v>0</v>
      </c>
      <c r="AD67" s="13">
        <v>0</v>
      </c>
      <c r="AE67" s="13">
        <v>0</v>
      </c>
      <c r="AF67" s="13">
        <v>0</v>
      </c>
      <c r="AG67" s="13">
        <v>0</v>
      </c>
      <c r="AH67" s="13">
        <v>0</v>
      </c>
      <c r="AI67" s="13">
        <v>0</v>
      </c>
      <c r="AJ67" s="13">
        <v>0</v>
      </c>
      <c r="AK67" s="13">
        <v>0</v>
      </c>
      <c r="AL67" s="13">
        <v>0</v>
      </c>
      <c r="AM67" s="13">
        <v>0</v>
      </c>
      <c r="AN67" s="13">
        <v>0</v>
      </c>
    </row>
    <row r="68" spans="2:40" x14ac:dyDescent="0.25">
      <c r="B68" s="39"/>
      <c r="C68" s="12"/>
    </row>
    <row r="69" spans="2:40" x14ac:dyDescent="0.25">
      <c r="B69" s="39" t="s">
        <v>304</v>
      </c>
      <c r="C69" s="12"/>
      <c r="E69" s="106" cm="1">
        <f t="array" ref="E69:AN70">_xlfn.LET(_xlpm.Customer_staff,_xlfn._xlws.FILTER(Base!$D$96:$BD$97,ISNUMBER(SEARCH($B$1&amp;"-"&amp;$C$1,Base!$D$4:$BD$4))),_xlpm.Customer,_xlfn.ANCHORARRAY($E$1),_xlpm.headcount,_xlpm.Customer/_xlpm.Customer_staff,
_xlpm.rounding,_xlfn.VSTACK(0,0),IFERROR(ROUND(_xlpm.headcount,_xlpm.rounding),0))</f>
        <v>0</v>
      </c>
      <c r="F69" s="106">
        <v>0</v>
      </c>
      <c r="G69" s="106">
        <v>0</v>
      </c>
      <c r="H69" s="106">
        <v>0</v>
      </c>
      <c r="I69" s="106">
        <v>0</v>
      </c>
      <c r="J69" s="106">
        <v>0</v>
      </c>
      <c r="K69" s="106">
        <v>0</v>
      </c>
      <c r="L69" s="106">
        <v>0</v>
      </c>
      <c r="M69" s="106">
        <v>0</v>
      </c>
      <c r="N69" s="106">
        <v>0</v>
      </c>
      <c r="O69" s="106">
        <v>0</v>
      </c>
      <c r="P69" s="106">
        <v>0</v>
      </c>
      <c r="Q69" s="106">
        <v>0</v>
      </c>
      <c r="R69" s="106">
        <v>0</v>
      </c>
      <c r="S69" s="106">
        <v>0</v>
      </c>
      <c r="T69" s="106">
        <v>0</v>
      </c>
      <c r="U69" s="106">
        <v>0</v>
      </c>
      <c r="V69" s="106">
        <v>0</v>
      </c>
      <c r="W69" s="106">
        <v>0</v>
      </c>
      <c r="X69" s="106">
        <v>0</v>
      </c>
      <c r="Y69" s="106">
        <v>0</v>
      </c>
      <c r="Z69" s="106">
        <v>0</v>
      </c>
      <c r="AA69" s="106">
        <v>0</v>
      </c>
      <c r="AB69" s="106">
        <v>0</v>
      </c>
      <c r="AC69" s="106">
        <v>0</v>
      </c>
      <c r="AD69" s="106">
        <v>0</v>
      </c>
      <c r="AE69" s="106">
        <v>0</v>
      </c>
      <c r="AF69" s="106">
        <v>0</v>
      </c>
      <c r="AG69" s="106">
        <v>0</v>
      </c>
      <c r="AH69" s="106">
        <v>0</v>
      </c>
      <c r="AI69" s="106">
        <v>0</v>
      </c>
      <c r="AJ69" s="106">
        <v>0</v>
      </c>
      <c r="AK69" s="106">
        <v>0</v>
      </c>
      <c r="AL69" s="106">
        <v>0</v>
      </c>
      <c r="AM69" s="106">
        <v>0</v>
      </c>
      <c r="AN69" s="106">
        <v>0</v>
      </c>
    </row>
    <row r="70" spans="2:40" x14ac:dyDescent="0.25">
      <c r="B70" s="39" t="s">
        <v>305</v>
      </c>
      <c r="C70" s="12"/>
      <c r="E70" s="106">
        <v>0</v>
      </c>
      <c r="F70" s="106">
        <v>0</v>
      </c>
      <c r="G70" s="106">
        <v>0</v>
      </c>
      <c r="H70" s="106">
        <v>0</v>
      </c>
      <c r="I70" s="106">
        <v>0</v>
      </c>
      <c r="J70" s="106">
        <v>0</v>
      </c>
      <c r="K70" s="106">
        <v>0</v>
      </c>
      <c r="L70" s="106">
        <v>0</v>
      </c>
      <c r="M70" s="106">
        <v>0</v>
      </c>
      <c r="N70" s="106">
        <v>0</v>
      </c>
      <c r="O70" s="106">
        <v>0</v>
      </c>
      <c r="P70" s="106">
        <v>0</v>
      </c>
      <c r="Q70" s="106">
        <v>0</v>
      </c>
      <c r="R70" s="106">
        <v>0</v>
      </c>
      <c r="S70" s="106">
        <v>0</v>
      </c>
      <c r="T70" s="106">
        <v>0</v>
      </c>
      <c r="U70" s="106">
        <v>0</v>
      </c>
      <c r="V70" s="106">
        <v>0</v>
      </c>
      <c r="W70" s="106">
        <v>0</v>
      </c>
      <c r="X70" s="106">
        <v>0</v>
      </c>
      <c r="Y70" s="106">
        <v>0</v>
      </c>
      <c r="Z70" s="106">
        <v>0</v>
      </c>
      <c r="AA70" s="106">
        <v>0</v>
      </c>
      <c r="AB70" s="106">
        <v>0</v>
      </c>
      <c r="AC70" s="106">
        <v>0</v>
      </c>
      <c r="AD70" s="106">
        <v>0</v>
      </c>
      <c r="AE70" s="106">
        <v>0</v>
      </c>
      <c r="AF70" s="106">
        <v>0</v>
      </c>
      <c r="AG70" s="106">
        <v>0</v>
      </c>
      <c r="AH70" s="106">
        <v>0</v>
      </c>
      <c r="AI70" s="106">
        <v>0</v>
      </c>
      <c r="AJ70" s="106">
        <v>0</v>
      </c>
      <c r="AK70" s="106">
        <v>0</v>
      </c>
      <c r="AL70" s="106">
        <v>0</v>
      </c>
      <c r="AM70" s="106">
        <v>0</v>
      </c>
      <c r="AN70" s="106">
        <v>0</v>
      </c>
    </row>
    <row r="71" spans="2:40" x14ac:dyDescent="0.25">
      <c r="B71" s="39"/>
      <c r="C71" s="12"/>
    </row>
    <row r="72" spans="2:40" x14ac:dyDescent="0.25">
      <c r="B72" s="39" t="s">
        <v>23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1.0488449438217826E-3</v>
      </c>
      <c r="F72" s="12">
        <v>3.1465348314653478E-3</v>
      </c>
      <c r="G72" s="12">
        <v>5.2442247191089144E-3</v>
      </c>
      <c r="H72" s="12">
        <v>7.3419146067524805E-3</v>
      </c>
      <c r="I72" s="12">
        <v>8.3907595505742609E-3</v>
      </c>
      <c r="J72" s="12">
        <v>1.0488449438217829E-2</v>
      </c>
      <c r="K72" s="12">
        <v>1.2586139325861391E-2</v>
      </c>
      <c r="L72" s="12">
        <v>1.4683829213504961E-2</v>
      </c>
      <c r="M72" s="12">
        <v>1.6781519101148522E-2</v>
      </c>
      <c r="N72" s="12">
        <v>1.7830364044970303E-2</v>
      </c>
      <c r="O72" s="12">
        <v>1.9928053932613873E-2</v>
      </c>
      <c r="P72" s="12">
        <v>2.2025743820257435E-2</v>
      </c>
      <c r="Q72" s="12">
        <v>2.6535777078691102E-2</v>
      </c>
      <c r="R72" s="12">
        <v>2.8843235955099022E-2</v>
      </c>
      <c r="S72" s="12">
        <v>2.8843235955099022E-2</v>
      </c>
      <c r="T72" s="12">
        <v>2.8843235955099022E-2</v>
      </c>
      <c r="U72" s="12">
        <v>2.8843235955099022E-2</v>
      </c>
      <c r="V72" s="12">
        <v>2.8843235955099022E-2</v>
      </c>
      <c r="W72" s="12">
        <v>2.8843235955099022E-2</v>
      </c>
      <c r="X72" s="12">
        <v>2.8843235955099022E-2</v>
      </c>
      <c r="Y72" s="12">
        <v>2.8843235955099022E-2</v>
      </c>
      <c r="Z72" s="12">
        <v>2.8843235955099022E-2</v>
      </c>
      <c r="AA72" s="12">
        <v>2.8843235955099022E-2</v>
      </c>
      <c r="AB72" s="12">
        <v>2.8843235955099022E-2</v>
      </c>
      <c r="AC72" s="12">
        <v>3.1727559550608936E-2</v>
      </c>
      <c r="AD72" s="12">
        <v>3.1727559550608936E-2</v>
      </c>
      <c r="AE72" s="12">
        <v>3.1727559550608936E-2</v>
      </c>
      <c r="AF72" s="12">
        <v>3.1727559550608936E-2</v>
      </c>
      <c r="AG72" s="12">
        <v>3.1727559550608936E-2</v>
      </c>
      <c r="AH72" s="12">
        <v>3.1727559550608936E-2</v>
      </c>
      <c r="AI72" s="12">
        <v>3.1727559550608936E-2</v>
      </c>
      <c r="AJ72" s="12">
        <v>3.1727559550608936E-2</v>
      </c>
      <c r="AK72" s="12">
        <v>3.1727559550608936E-2</v>
      </c>
      <c r="AL72" s="12">
        <v>3.1727559550608936E-2</v>
      </c>
      <c r="AM72" s="12">
        <v>3.1727559550608936E-2</v>
      </c>
      <c r="AN72" s="12">
        <v>3.1727559550608936E-2</v>
      </c>
    </row>
    <row r="73" spans="2:40" x14ac:dyDescent="0.25">
      <c r="B73" s="39" t="s">
        <v>24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306</v>
      </c>
      <c r="E75" s="74" cm="1">
        <f t="array" ref="E75:AN75">_xlfn.ANCHORARRAY(E67)-_xlfn.ANCHORARRAY(E72)-_xlfn.ANCHORARRAY(E73)</f>
        <v>-1.0488449438217826E-3</v>
      </c>
      <c r="F75" s="74">
        <v>-3.1465348314653478E-3</v>
      </c>
      <c r="G75" s="74">
        <v>-5.2442247191089144E-3</v>
      </c>
      <c r="H75" s="74">
        <v>-7.3419146067524805E-3</v>
      </c>
      <c r="I75" s="74">
        <v>-8.3907595505742609E-3</v>
      </c>
      <c r="J75" s="74">
        <v>-1.0488449438217829E-2</v>
      </c>
      <c r="K75" s="74">
        <v>-1.2586139325861391E-2</v>
      </c>
      <c r="L75" s="74">
        <v>-1.4683829213504961E-2</v>
      </c>
      <c r="M75" s="74">
        <v>-1.6781519101148522E-2</v>
      </c>
      <c r="N75" s="74">
        <v>-1.7830364044970303E-2</v>
      </c>
      <c r="O75" s="74">
        <v>-1.9928053932613873E-2</v>
      </c>
      <c r="P75" s="74">
        <v>-2.2025743820257435E-2</v>
      </c>
      <c r="Q75" s="74">
        <v>-2.6535777078691102E-2</v>
      </c>
      <c r="R75" s="74">
        <v>-2.8843235955099022E-2</v>
      </c>
      <c r="S75" s="74">
        <v>-2.8843235955099022E-2</v>
      </c>
      <c r="T75" s="74">
        <v>-2.8843235955099022E-2</v>
      </c>
      <c r="U75" s="74">
        <v>-2.8843235955099022E-2</v>
      </c>
      <c r="V75" s="74">
        <v>-2.8843235955099022E-2</v>
      </c>
      <c r="W75" s="74">
        <v>-2.8843235955099022E-2</v>
      </c>
      <c r="X75" s="74">
        <v>-2.8843235955099022E-2</v>
      </c>
      <c r="Y75" s="74">
        <v>-2.8843235955099022E-2</v>
      </c>
      <c r="Z75" s="74">
        <v>-2.8843235955099022E-2</v>
      </c>
      <c r="AA75" s="74">
        <v>-2.8843235955099022E-2</v>
      </c>
      <c r="AB75" s="74">
        <v>-2.8843235955099022E-2</v>
      </c>
      <c r="AC75" s="74">
        <v>-3.1727559550608936E-2</v>
      </c>
      <c r="AD75" s="74">
        <v>-3.1727559550608936E-2</v>
      </c>
      <c r="AE75" s="74">
        <v>-3.1727559550608936E-2</v>
      </c>
      <c r="AF75" s="74">
        <v>-3.1727559550608936E-2</v>
      </c>
      <c r="AG75" s="74">
        <v>-3.1727559550608936E-2</v>
      </c>
      <c r="AH75" s="74">
        <v>-3.1727559550608936E-2</v>
      </c>
      <c r="AI75" s="74">
        <v>-3.1727559550608936E-2</v>
      </c>
      <c r="AJ75" s="74">
        <v>-3.1727559550608936E-2</v>
      </c>
      <c r="AK75" s="74">
        <v>-3.1727559550608936E-2</v>
      </c>
      <c r="AL75" s="74">
        <v>-3.1727559550608936E-2</v>
      </c>
      <c r="AM75" s="74">
        <v>-3.1727559550608936E-2</v>
      </c>
      <c r="AN75" s="74">
        <v>-3.1727559550608936E-2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A6E8CC-695B-4271-9B5C-82CA74D84E8D}">
  <dimension ref="A1:AX75"/>
  <sheetViews>
    <sheetView workbookViewId="0">
      <pane xSplit="4" ySplit="25" topLeftCell="E59" activePane="bottomRight" state="frozen"/>
      <selection activeCell="E63" sqref="E63:E65"/>
      <selection pane="topRight" activeCell="E63" sqref="E63:E65"/>
      <selection pane="bottomLeft" activeCell="E63" sqref="E63:E65"/>
      <selection pane="bottomRight" activeCell="E65" sqref="E63:E65"/>
    </sheetView>
  </sheetViews>
  <sheetFormatPr defaultRowHeight="15" outlineLevelRow="1" x14ac:dyDescent="0.25"/>
  <cols>
    <col min="2" max="2" width="24.5703125" bestFit="1" customWidth="1"/>
    <col min="3" max="3" width="10.7109375" bestFit="1" customWidth="1"/>
    <col min="4" max="4" width="10" bestFit="1" customWidth="1"/>
    <col min="5" max="5" width="11.42578125" bestFit="1" customWidth="1"/>
    <col min="6" max="6" width="11.7109375" bestFit="1" customWidth="1"/>
    <col min="7" max="13" width="12.28515625" bestFit="1" customWidth="1"/>
    <col min="14" max="18" width="11.5703125" bestFit="1" customWidth="1"/>
    <col min="19" max="40" width="12.5703125" bestFit="1" customWidth="1"/>
  </cols>
  <sheetData>
    <row r="1" spans="1:40" x14ac:dyDescent="0.25">
      <c r="A1" s="96" t="str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/>
      </c>
      <c r="B1" s="58" t="s">
        <v>435</v>
      </c>
      <c r="C1" s="16" t="s">
        <v>344</v>
      </c>
      <c r="D1" s="3" t="s">
        <v>307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IFERROR(_xlpm.kiddos,0))</f>
        <v>0</v>
      </c>
      <c r="F1" s="69">
        <v>0</v>
      </c>
      <c r="G1" s="69">
        <v>0</v>
      </c>
      <c r="H1" s="69">
        <v>0</v>
      </c>
      <c r="I1" s="69">
        <v>0</v>
      </c>
      <c r="J1" s="69">
        <v>0</v>
      </c>
      <c r="K1" s="69">
        <v>0</v>
      </c>
      <c r="L1" s="69">
        <v>0</v>
      </c>
      <c r="M1" s="69">
        <v>0</v>
      </c>
      <c r="N1" s="69">
        <v>0</v>
      </c>
      <c r="O1" s="69">
        <v>0</v>
      </c>
      <c r="P1" s="69">
        <v>0</v>
      </c>
      <c r="Q1" s="69">
        <v>1</v>
      </c>
      <c r="R1" s="69">
        <v>3</v>
      </c>
      <c r="S1" s="69">
        <v>5</v>
      </c>
      <c r="T1" s="69">
        <v>6</v>
      </c>
      <c r="U1" s="69">
        <v>8</v>
      </c>
      <c r="V1" s="69">
        <v>10</v>
      </c>
      <c r="W1" s="69">
        <v>12</v>
      </c>
      <c r="X1" s="69">
        <v>13</v>
      </c>
      <c r="Y1" s="69">
        <v>15</v>
      </c>
      <c r="Z1" s="69">
        <v>17</v>
      </c>
      <c r="AA1" s="69">
        <v>18</v>
      </c>
      <c r="AB1" s="69">
        <v>20</v>
      </c>
      <c r="AC1" s="69">
        <v>22</v>
      </c>
      <c r="AD1" s="69">
        <v>24</v>
      </c>
      <c r="AE1" s="69">
        <v>24</v>
      </c>
      <c r="AF1" s="69">
        <v>24</v>
      </c>
      <c r="AG1" s="69">
        <v>24</v>
      </c>
      <c r="AH1" s="69">
        <v>24</v>
      </c>
      <c r="AI1" s="69">
        <v>24</v>
      </c>
      <c r="AJ1" s="69">
        <v>24</v>
      </c>
      <c r="AK1" s="69">
        <v>24</v>
      </c>
      <c r="AL1" s="69">
        <v>24</v>
      </c>
      <c r="AM1" s="69">
        <v>24</v>
      </c>
      <c r="AN1" s="69">
        <v>24</v>
      </c>
    </row>
    <row r="2" spans="1:40" x14ac:dyDescent="0.25">
      <c r="A2" s="65"/>
      <c r="B2" s="3" t="str">
        <f>_xlfn.XLOOKUP($B$1&amp;"-"&amp;$C$1,Base!$D$4:$BD$4,Base!$D$2:$BD$2,"",0)</f>
        <v>Arizona</v>
      </c>
      <c r="C2" s="55"/>
      <c r="D2" s="55" t="s">
        <v>259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0</v>
      </c>
      <c r="F2" s="69">
        <v>0</v>
      </c>
      <c r="G2" s="69">
        <v>0</v>
      </c>
      <c r="H2" s="69">
        <v>0</v>
      </c>
      <c r="I2" s="69">
        <v>0</v>
      </c>
      <c r="J2" s="69">
        <v>0</v>
      </c>
      <c r="K2" s="69">
        <v>0</v>
      </c>
      <c r="L2" s="69">
        <v>0</v>
      </c>
      <c r="M2" s="69">
        <v>0</v>
      </c>
      <c r="N2" s="69">
        <v>0</v>
      </c>
      <c r="O2" s="69">
        <v>0</v>
      </c>
      <c r="P2" s="69">
        <v>0</v>
      </c>
      <c r="Q2" s="69">
        <v>0</v>
      </c>
      <c r="R2" s="69">
        <v>1.8809523809523809</v>
      </c>
      <c r="S2" s="69">
        <v>2.0476190476190474</v>
      </c>
      <c r="T2" s="69">
        <v>2.2142857142857144</v>
      </c>
      <c r="U2" s="69">
        <v>2.3809523809523809</v>
      </c>
      <c r="V2" s="69">
        <v>2.5476190476190474</v>
      </c>
      <c r="W2" s="69">
        <v>2.7142857142857144</v>
      </c>
      <c r="X2" s="69">
        <v>2.8809523809523809</v>
      </c>
      <c r="Y2" s="69">
        <v>3.0476190476190474</v>
      </c>
      <c r="Z2" s="69">
        <v>3.2142857142857144</v>
      </c>
      <c r="AA2" s="69">
        <v>3.3809523809523809</v>
      </c>
      <c r="AB2" s="69">
        <v>3.5476190476190474</v>
      </c>
      <c r="AC2" s="69">
        <v>3.7142857142857144</v>
      </c>
      <c r="AD2" s="69">
        <v>2</v>
      </c>
      <c r="AE2" s="69">
        <v>2</v>
      </c>
      <c r="AF2" s="69">
        <v>2</v>
      </c>
      <c r="AG2" s="69">
        <v>2</v>
      </c>
      <c r="AH2" s="69">
        <v>2</v>
      </c>
      <c r="AI2" s="69">
        <v>2</v>
      </c>
      <c r="AJ2" s="69">
        <v>2</v>
      </c>
      <c r="AK2" s="69">
        <v>2</v>
      </c>
      <c r="AL2" s="69">
        <v>2</v>
      </c>
      <c r="AM2" s="69">
        <v>2</v>
      </c>
      <c r="AN2" s="69">
        <v>2</v>
      </c>
    </row>
    <row r="3" spans="1:40" x14ac:dyDescent="0.25">
      <c r="A3" s="65"/>
      <c r="B3" s="55"/>
      <c r="C3" s="55"/>
      <c r="D3" s="55" t="s">
        <v>62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_xlpm.months_since,DATEDIF(_xlpm.launchdate,_xlfn.ANCHORARRAY($E$25),"m"),_xlfn.BYCOL(_xlpm.months_since,_xlfn.LAMBDA(_xlpm.a,IFERROR(MIN(_xlpm.a/6,_xlpm.max_kiddos),0))))</f>
        <v>0</v>
      </c>
      <c r="F3" s="69">
        <v>0</v>
      </c>
      <c r="G3" s="69">
        <v>0</v>
      </c>
      <c r="H3" s="69">
        <v>0</v>
      </c>
      <c r="I3" s="69">
        <v>0</v>
      </c>
      <c r="J3" s="69">
        <v>0</v>
      </c>
      <c r="K3" s="69">
        <v>0</v>
      </c>
      <c r="L3" s="69">
        <v>0</v>
      </c>
      <c r="M3" s="69">
        <v>0</v>
      </c>
      <c r="N3" s="69">
        <v>0</v>
      </c>
      <c r="O3" s="69">
        <v>0</v>
      </c>
      <c r="P3" s="69">
        <v>0</v>
      </c>
      <c r="Q3" s="69">
        <v>0</v>
      </c>
      <c r="R3" s="69">
        <v>0.16666666666666666</v>
      </c>
      <c r="S3" s="69">
        <v>0.33333333333333331</v>
      </c>
      <c r="T3" s="69">
        <v>0.5</v>
      </c>
      <c r="U3" s="69">
        <v>0.66666666666666663</v>
      </c>
      <c r="V3" s="69">
        <v>0.83333333333333337</v>
      </c>
      <c r="W3" s="69">
        <v>1</v>
      </c>
      <c r="X3" s="69">
        <v>1.1666666666666667</v>
      </c>
      <c r="Y3" s="69">
        <v>1.3333333333333333</v>
      </c>
      <c r="Z3" s="69">
        <v>1.5</v>
      </c>
      <c r="AA3" s="69">
        <v>1.6666666666666667</v>
      </c>
      <c r="AB3" s="69">
        <v>1.8333333333333333</v>
      </c>
      <c r="AC3" s="69">
        <v>2</v>
      </c>
      <c r="AD3" s="69">
        <v>2</v>
      </c>
      <c r="AE3" s="69">
        <v>2</v>
      </c>
      <c r="AF3" s="69">
        <v>2</v>
      </c>
      <c r="AG3" s="69">
        <v>2</v>
      </c>
      <c r="AH3" s="69">
        <v>2</v>
      </c>
      <c r="AI3" s="69">
        <v>2</v>
      </c>
      <c r="AJ3" s="69">
        <v>2</v>
      </c>
      <c r="AK3" s="69">
        <v>2</v>
      </c>
      <c r="AL3" s="69">
        <v>2</v>
      </c>
      <c r="AM3" s="69">
        <v>2</v>
      </c>
      <c r="AN3" s="69">
        <v>2</v>
      </c>
    </row>
    <row r="4" spans="1:40" x14ac:dyDescent="0.25">
      <c r="A4" s="65"/>
      <c r="B4" s="55"/>
      <c r="C4" s="55"/>
      <c r="D4" s="55" t="s">
        <v>260</v>
      </c>
      <c r="E4" s="69" cm="1">
        <f t="array" ref="E4:AN4">_xlfn.BYCOL(_xlfn.VSTACK(_xlfn.ANCHORARRAY($E$1),_xlfn.ANCHORARRAY($E$2)),_xlfn.LAMBDA(_xlpm.a,SUM(_xlpm.a)))</f>
        <v>0</v>
      </c>
      <c r="F4" s="69">
        <v>0</v>
      </c>
      <c r="G4" s="69">
        <v>0</v>
      </c>
      <c r="H4" s="69">
        <v>0</v>
      </c>
      <c r="I4" s="69">
        <v>0</v>
      </c>
      <c r="J4" s="69">
        <v>0</v>
      </c>
      <c r="K4" s="69">
        <v>0</v>
      </c>
      <c r="L4" s="69">
        <v>0</v>
      </c>
      <c r="M4" s="69">
        <v>0</v>
      </c>
      <c r="N4" s="69">
        <v>0</v>
      </c>
      <c r="O4" s="69">
        <v>0</v>
      </c>
      <c r="P4" s="69">
        <v>0</v>
      </c>
      <c r="Q4" s="69">
        <v>1</v>
      </c>
      <c r="R4" s="69">
        <v>4.8809523809523814</v>
      </c>
      <c r="S4" s="69">
        <v>7.0476190476190474</v>
      </c>
      <c r="T4" s="69">
        <v>8.2142857142857153</v>
      </c>
      <c r="U4" s="69">
        <v>10.380952380952381</v>
      </c>
      <c r="V4" s="69">
        <v>12.547619047619047</v>
      </c>
      <c r="W4" s="69">
        <v>14.714285714285715</v>
      </c>
      <c r="X4" s="69">
        <v>15.880952380952381</v>
      </c>
      <c r="Y4" s="69">
        <v>18.047619047619047</v>
      </c>
      <c r="Z4" s="69">
        <v>20.214285714285715</v>
      </c>
      <c r="AA4" s="69">
        <v>21.38095238095238</v>
      </c>
      <c r="AB4" s="69">
        <v>23.547619047619047</v>
      </c>
      <c r="AC4" s="69">
        <v>25.714285714285715</v>
      </c>
      <c r="AD4" s="69">
        <v>26</v>
      </c>
      <c r="AE4" s="69">
        <v>26</v>
      </c>
      <c r="AF4" s="69">
        <v>26</v>
      </c>
      <c r="AG4" s="69">
        <v>26</v>
      </c>
      <c r="AH4" s="69">
        <v>26</v>
      </c>
      <c r="AI4" s="69">
        <v>26</v>
      </c>
      <c r="AJ4" s="69">
        <v>26</v>
      </c>
      <c r="AK4" s="69">
        <v>26</v>
      </c>
      <c r="AL4" s="69">
        <v>26</v>
      </c>
      <c r="AM4" s="69">
        <v>26</v>
      </c>
      <c r="AN4" s="69">
        <v>26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107</v>
      </c>
      <c r="C6" s="3"/>
      <c r="D6" s="3"/>
      <c r="E6" s="66" cm="1">
        <f t="array" ref="E6:AN6">ROUND(_xlfn.BYCOL(_xlfn.ANCHORARRAY(E7),_xlfn.LAMBDA(_xlpm.a,SUM(_xlpm.a))),0)</f>
        <v>0</v>
      </c>
      <c r="F6" s="66">
        <v>0</v>
      </c>
      <c r="G6" s="66">
        <v>0</v>
      </c>
      <c r="H6" s="66">
        <v>0</v>
      </c>
      <c r="I6" s="66">
        <v>0</v>
      </c>
      <c r="J6" s="66">
        <v>0</v>
      </c>
      <c r="K6" s="66">
        <v>0</v>
      </c>
      <c r="L6" s="66">
        <v>0</v>
      </c>
      <c r="M6" s="66">
        <v>0</v>
      </c>
      <c r="N6" s="66">
        <v>0</v>
      </c>
      <c r="O6" s="66">
        <v>0</v>
      </c>
      <c r="P6" s="66">
        <v>0</v>
      </c>
      <c r="Q6" s="66">
        <v>2</v>
      </c>
      <c r="R6" s="66">
        <v>4</v>
      </c>
      <c r="S6" s="66">
        <v>5</v>
      </c>
      <c r="T6" s="66">
        <v>6</v>
      </c>
      <c r="U6" s="66">
        <v>7</v>
      </c>
      <c r="V6" s="66">
        <v>8</v>
      </c>
      <c r="W6" s="66">
        <v>9</v>
      </c>
      <c r="X6" s="66">
        <v>10</v>
      </c>
      <c r="Y6" s="66">
        <v>11</v>
      </c>
      <c r="Z6" s="66">
        <v>12</v>
      </c>
      <c r="AA6" s="66">
        <v>13</v>
      </c>
      <c r="AB6" s="66">
        <v>14</v>
      </c>
      <c r="AC6" s="66">
        <v>15</v>
      </c>
      <c r="AD6" s="66">
        <v>16</v>
      </c>
      <c r="AE6" s="66">
        <v>16</v>
      </c>
      <c r="AF6" s="66">
        <v>16</v>
      </c>
      <c r="AG6" s="66">
        <v>16</v>
      </c>
      <c r="AH6" s="66">
        <v>16</v>
      </c>
      <c r="AI6" s="66">
        <v>16</v>
      </c>
      <c r="AJ6" s="66">
        <v>16</v>
      </c>
      <c r="AK6" s="66">
        <v>16</v>
      </c>
      <c r="AL6" s="66">
        <v>16</v>
      </c>
      <c r="AM6" s="66">
        <v>16</v>
      </c>
      <c r="AN6" s="66">
        <v>16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1"/>
      <c r="E7" s="106" cm="1">
        <f t="array" ref="E7:AN20">_xlfn.LET(_xlpm.Customer_staff,_xlfn._xlws.FILTER(Base!$D$85:$BD$98,ISNUMBER(SEARCH($B$1&amp;"-"&amp;$C$1,Base!$D$4:$BD$4))),_xlpm.Customer,_xlfn.ANCHORARRAY($E$1),_xlpm.headcount,_xlpm.Customer/_xlpm.Customer_staff,
_xlpm.patient_staff,_xlfn.ANCHORARRAY($E$2)/_xlpm.Customer_staff,_xlpm.prim_staff_tr_rec,_xlfn.ANCHORARRAY($E$2)/_xlfn.CHOOSEROWS(_xlpm.Customer_staff,{7,8})+(_xlfn.ANCHORARRAY($E$1)*0.0055),_xlpm.rounding,_xlfn.VSTACK(2,2,0,0,2,2,2,2,2,2,2,0,0,0),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prim_staff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0</v>
      </c>
      <c r="F7" s="106">
        <v>0</v>
      </c>
      <c r="G7" s="106">
        <v>0</v>
      </c>
      <c r="H7" s="106">
        <v>0</v>
      </c>
      <c r="I7" s="106">
        <v>0</v>
      </c>
      <c r="J7" s="106">
        <v>0</v>
      </c>
      <c r="K7" s="106">
        <v>0</v>
      </c>
      <c r="L7" s="106">
        <v>0</v>
      </c>
      <c r="M7" s="106">
        <v>0</v>
      </c>
      <c r="N7" s="106">
        <v>0</v>
      </c>
      <c r="O7" s="106">
        <v>0</v>
      </c>
      <c r="P7" s="106">
        <v>0</v>
      </c>
      <c r="Q7" s="106">
        <v>0.46</v>
      </c>
      <c r="R7" s="106">
        <v>1.36</v>
      </c>
      <c r="S7" s="106">
        <v>2.2599999999999998</v>
      </c>
      <c r="T7" s="106">
        <v>2.71</v>
      </c>
      <c r="U7" s="106">
        <v>3.61</v>
      </c>
      <c r="V7" s="106">
        <v>4.51</v>
      </c>
      <c r="W7" s="106">
        <v>5.42</v>
      </c>
      <c r="X7" s="106">
        <v>5.87</v>
      </c>
      <c r="Y7" s="106">
        <v>6.77</v>
      </c>
      <c r="Z7" s="106">
        <v>7.67</v>
      </c>
      <c r="AA7" s="106">
        <v>8.1199999999999992</v>
      </c>
      <c r="AB7" s="106">
        <v>9.02</v>
      </c>
      <c r="AC7" s="106">
        <v>9.93</v>
      </c>
      <c r="AD7" s="106">
        <v>10.83</v>
      </c>
      <c r="AE7" s="106">
        <v>10.83</v>
      </c>
      <c r="AF7" s="106">
        <v>10.83</v>
      </c>
      <c r="AG7" s="106">
        <v>10.83</v>
      </c>
      <c r="AH7" s="106">
        <v>10.83</v>
      </c>
      <c r="AI7" s="106">
        <v>10.83</v>
      </c>
      <c r="AJ7" s="106">
        <v>10.83</v>
      </c>
      <c r="AK7" s="106">
        <v>10.83</v>
      </c>
      <c r="AL7" s="106">
        <v>10.83</v>
      </c>
      <c r="AM7" s="106">
        <v>10.83</v>
      </c>
      <c r="AN7" s="106">
        <v>10.83</v>
      </c>
    </row>
    <row r="8" spans="1:40" hidden="1" outlineLevel="1" x14ac:dyDescent="0.25">
      <c r="B8" s="39" t="str">
        <v>Secondary Direct Staff</v>
      </c>
      <c r="C8" s="3"/>
      <c r="D8" s="3"/>
      <c r="E8" s="106">
        <v>0</v>
      </c>
      <c r="F8" s="106">
        <v>0</v>
      </c>
      <c r="G8" s="106">
        <v>0</v>
      </c>
      <c r="H8" s="106">
        <v>0</v>
      </c>
      <c r="I8" s="106">
        <v>0</v>
      </c>
      <c r="J8" s="106">
        <v>0</v>
      </c>
      <c r="K8" s="106">
        <v>0</v>
      </c>
      <c r="L8" s="106">
        <v>0</v>
      </c>
      <c r="M8" s="106">
        <v>0</v>
      </c>
      <c r="N8" s="106">
        <v>0</v>
      </c>
      <c r="O8" s="106">
        <v>0</v>
      </c>
      <c r="P8" s="106">
        <v>0</v>
      </c>
      <c r="Q8" s="106">
        <v>9.9999999999999992E-2</v>
      </c>
      <c r="R8" s="106">
        <v>0.28000000000000003</v>
      </c>
      <c r="S8" s="106">
        <v>0.46</v>
      </c>
      <c r="T8" s="106">
        <v>0.55000000000000004</v>
      </c>
      <c r="U8" s="106">
        <v>0.73</v>
      </c>
      <c r="V8" s="106">
        <v>0.91</v>
      </c>
      <c r="W8" s="106">
        <v>1.1000000000000001</v>
      </c>
      <c r="X8" s="106">
        <v>1.19</v>
      </c>
      <c r="Y8" s="106">
        <v>1.37</v>
      </c>
      <c r="Z8" s="106">
        <v>1.55</v>
      </c>
      <c r="AA8" s="106">
        <v>1.64</v>
      </c>
      <c r="AB8" s="106">
        <v>1.82</v>
      </c>
      <c r="AC8" s="106">
        <v>2</v>
      </c>
      <c r="AD8" s="106">
        <v>2.19</v>
      </c>
      <c r="AE8" s="106">
        <v>2.19</v>
      </c>
      <c r="AF8" s="106">
        <v>2.19</v>
      </c>
      <c r="AG8" s="106">
        <v>2.19</v>
      </c>
      <c r="AH8" s="106">
        <v>2.19</v>
      </c>
      <c r="AI8" s="106">
        <v>2.19</v>
      </c>
      <c r="AJ8" s="106">
        <v>2.19</v>
      </c>
      <c r="AK8" s="106">
        <v>2.19</v>
      </c>
      <c r="AL8" s="106">
        <v>2.19</v>
      </c>
      <c r="AM8" s="106">
        <v>2.19</v>
      </c>
      <c r="AN8" s="106">
        <v>2.19</v>
      </c>
    </row>
    <row r="9" spans="1:40" hidden="1" outlineLevel="1" x14ac:dyDescent="0.25">
      <c r="B9" s="39" t="str">
        <v>Center Manager</v>
      </c>
      <c r="C9" s="3"/>
      <c r="D9" s="3"/>
      <c r="E9" s="106">
        <v>0</v>
      </c>
      <c r="F9" s="106">
        <v>0</v>
      </c>
      <c r="G9" s="106">
        <v>0</v>
      </c>
      <c r="H9" s="106">
        <v>0</v>
      </c>
      <c r="I9" s="106">
        <v>0</v>
      </c>
      <c r="J9" s="106">
        <v>0</v>
      </c>
      <c r="K9" s="106">
        <v>0</v>
      </c>
      <c r="L9" s="106">
        <v>0</v>
      </c>
      <c r="M9" s="106">
        <v>0</v>
      </c>
      <c r="N9" s="106">
        <v>0</v>
      </c>
      <c r="O9" s="106">
        <v>0</v>
      </c>
      <c r="P9" s="106">
        <v>0</v>
      </c>
      <c r="Q9" s="106">
        <v>1</v>
      </c>
      <c r="R9" s="106">
        <v>1</v>
      </c>
      <c r="S9" s="106">
        <v>1</v>
      </c>
      <c r="T9" s="106">
        <v>1</v>
      </c>
      <c r="U9" s="106">
        <v>1</v>
      </c>
      <c r="V9" s="106">
        <v>1</v>
      </c>
      <c r="W9" s="106">
        <v>1</v>
      </c>
      <c r="X9" s="106">
        <v>1</v>
      </c>
      <c r="Y9" s="106">
        <v>1</v>
      </c>
      <c r="Z9" s="106">
        <v>1</v>
      </c>
      <c r="AA9" s="106">
        <v>1</v>
      </c>
      <c r="AB9" s="106">
        <v>1</v>
      </c>
      <c r="AC9" s="106">
        <v>1</v>
      </c>
      <c r="AD9" s="106">
        <v>1</v>
      </c>
      <c r="AE9" s="106">
        <v>1</v>
      </c>
      <c r="AF9" s="106">
        <v>1</v>
      </c>
      <c r="AG9" s="106">
        <v>1</v>
      </c>
      <c r="AH9" s="106">
        <v>1</v>
      </c>
      <c r="AI9" s="106">
        <v>1</v>
      </c>
      <c r="AJ9" s="106">
        <v>1</v>
      </c>
      <c r="AK9" s="106">
        <v>1</v>
      </c>
      <c r="AL9" s="106">
        <v>1</v>
      </c>
      <c r="AM9" s="106">
        <v>1</v>
      </c>
      <c r="AN9" s="106">
        <v>1</v>
      </c>
    </row>
    <row r="10" spans="1:40" hidden="1" outlineLevel="1" x14ac:dyDescent="0.25">
      <c r="B10" s="39" t="str">
        <v>Intake</v>
      </c>
      <c r="C10" s="3"/>
      <c r="D10" s="3"/>
      <c r="E10" s="106">
        <v>0</v>
      </c>
      <c r="F10" s="106">
        <v>0</v>
      </c>
      <c r="G10" s="106">
        <v>0</v>
      </c>
      <c r="H10" s="106">
        <v>0</v>
      </c>
      <c r="I10" s="106">
        <v>0</v>
      </c>
      <c r="J10" s="106">
        <v>0</v>
      </c>
      <c r="K10" s="106">
        <v>0</v>
      </c>
      <c r="L10" s="106">
        <v>0</v>
      </c>
      <c r="M10" s="106">
        <v>0</v>
      </c>
      <c r="N10" s="106">
        <v>0</v>
      </c>
      <c r="O10" s="106">
        <v>0</v>
      </c>
      <c r="P10" s="106">
        <v>0</v>
      </c>
      <c r="Q10" s="106">
        <v>0</v>
      </c>
      <c r="R10" s="106">
        <v>1</v>
      </c>
      <c r="S10" s="106">
        <v>1</v>
      </c>
      <c r="T10" s="106">
        <v>1</v>
      </c>
      <c r="U10" s="106">
        <v>1</v>
      </c>
      <c r="V10" s="106">
        <v>1</v>
      </c>
      <c r="W10" s="106">
        <v>1</v>
      </c>
      <c r="X10" s="106">
        <v>1</v>
      </c>
      <c r="Y10" s="106">
        <v>1</v>
      </c>
      <c r="Z10" s="106">
        <v>1</v>
      </c>
      <c r="AA10" s="106">
        <v>1</v>
      </c>
      <c r="AB10" s="106">
        <v>1</v>
      </c>
      <c r="AC10" s="106">
        <v>1</v>
      </c>
      <c r="AD10" s="106">
        <v>1</v>
      </c>
      <c r="AE10" s="106">
        <v>1</v>
      </c>
      <c r="AF10" s="106">
        <v>1</v>
      </c>
      <c r="AG10" s="106">
        <v>1</v>
      </c>
      <c r="AH10" s="106">
        <v>1</v>
      </c>
      <c r="AI10" s="106">
        <v>1</v>
      </c>
      <c r="AJ10" s="106">
        <v>1</v>
      </c>
      <c r="AK10" s="106">
        <v>1</v>
      </c>
      <c r="AL10" s="106">
        <v>1</v>
      </c>
      <c r="AM10" s="106">
        <v>1</v>
      </c>
      <c r="AN10" s="106">
        <v>1</v>
      </c>
    </row>
    <row r="11" spans="1:40" hidden="1" outlineLevel="1" x14ac:dyDescent="0.25">
      <c r="B11" s="39" t="str">
        <v>Scheduler</v>
      </c>
      <c r="C11" s="3"/>
      <c r="D11" s="3"/>
      <c r="E11" s="106">
        <v>0</v>
      </c>
      <c r="F11" s="106">
        <v>0</v>
      </c>
      <c r="G11" s="106">
        <v>0</v>
      </c>
      <c r="H11" s="106">
        <v>0</v>
      </c>
      <c r="I11" s="106">
        <v>0</v>
      </c>
      <c r="J11" s="106">
        <v>0</v>
      </c>
      <c r="K11" s="106">
        <v>0</v>
      </c>
      <c r="L11" s="106">
        <v>0</v>
      </c>
      <c r="M11" s="106">
        <v>0</v>
      </c>
      <c r="N11" s="106">
        <v>0</v>
      </c>
      <c r="O11" s="106">
        <v>0</v>
      </c>
      <c r="P11" s="106">
        <v>0</v>
      </c>
      <c r="Q11" s="106">
        <v>0</v>
      </c>
      <c r="R11" s="106">
        <v>0</v>
      </c>
      <c r="S11" s="106">
        <v>0</v>
      </c>
      <c r="T11" s="106">
        <v>0</v>
      </c>
      <c r="U11" s="106">
        <v>0</v>
      </c>
      <c r="V11" s="106">
        <v>0</v>
      </c>
      <c r="W11" s="106">
        <v>0</v>
      </c>
      <c r="X11" s="106">
        <v>0</v>
      </c>
      <c r="Y11" s="106">
        <v>0</v>
      </c>
      <c r="Z11" s="106">
        <v>0</v>
      </c>
      <c r="AA11" s="106">
        <v>0</v>
      </c>
      <c r="AB11" s="106">
        <v>0</v>
      </c>
      <c r="AC11" s="106">
        <v>0</v>
      </c>
      <c r="AD11" s="106">
        <v>0</v>
      </c>
      <c r="AE11" s="106">
        <v>0</v>
      </c>
      <c r="AF11" s="106">
        <v>0</v>
      </c>
      <c r="AG11" s="106">
        <v>0</v>
      </c>
      <c r="AH11" s="106">
        <v>0</v>
      </c>
      <c r="AI11" s="106">
        <v>0</v>
      </c>
      <c r="AJ11" s="106">
        <v>0</v>
      </c>
      <c r="AK11" s="106">
        <v>0</v>
      </c>
      <c r="AL11" s="106">
        <v>0</v>
      </c>
      <c r="AM11" s="106">
        <v>0</v>
      </c>
      <c r="AN11" s="106">
        <v>0</v>
      </c>
    </row>
    <row r="12" spans="1:40" hidden="1" outlineLevel="1" x14ac:dyDescent="0.25">
      <c r="B12" s="39" t="str">
        <v>Initial Consultation Expert</v>
      </c>
      <c r="C12" s="3"/>
      <c r="D12" s="3"/>
      <c r="E12" s="106">
        <v>0</v>
      </c>
      <c r="F12" s="106">
        <v>0</v>
      </c>
      <c r="G12" s="106">
        <v>0</v>
      </c>
      <c r="H12" s="106">
        <v>0</v>
      </c>
      <c r="I12" s="106">
        <v>0</v>
      </c>
      <c r="J12" s="106">
        <v>0</v>
      </c>
      <c r="K12" s="106">
        <v>0</v>
      </c>
      <c r="L12" s="106">
        <v>0</v>
      </c>
      <c r="M12" s="106">
        <v>0</v>
      </c>
      <c r="N12" s="106">
        <v>0</v>
      </c>
      <c r="O12" s="106">
        <v>0</v>
      </c>
      <c r="P12" s="106">
        <v>0</v>
      </c>
      <c r="Q12" s="106">
        <v>0</v>
      </c>
      <c r="R12" s="106">
        <v>0.15000000000000002</v>
      </c>
      <c r="S12" s="106">
        <v>0.16</v>
      </c>
      <c r="T12" s="106">
        <v>0.18000000000000002</v>
      </c>
      <c r="U12" s="106">
        <v>0.19</v>
      </c>
      <c r="V12" s="106">
        <v>0.2</v>
      </c>
      <c r="W12" s="106">
        <v>0.21000000000000002</v>
      </c>
      <c r="X12" s="106">
        <v>0.23</v>
      </c>
      <c r="Y12" s="106">
        <v>0.24000000000000002</v>
      </c>
      <c r="Z12" s="106">
        <v>0.25</v>
      </c>
      <c r="AA12" s="106">
        <v>0.27</v>
      </c>
      <c r="AB12" s="106">
        <v>0.28000000000000003</v>
      </c>
      <c r="AC12" s="106">
        <v>0.29000000000000004</v>
      </c>
      <c r="AD12" s="106">
        <v>0.16</v>
      </c>
      <c r="AE12" s="106">
        <v>0.16</v>
      </c>
      <c r="AF12" s="106">
        <v>0.16</v>
      </c>
      <c r="AG12" s="106">
        <v>0.16</v>
      </c>
      <c r="AH12" s="106">
        <v>0.16</v>
      </c>
      <c r="AI12" s="106">
        <v>0.16</v>
      </c>
      <c r="AJ12" s="106">
        <v>0.16</v>
      </c>
      <c r="AK12" s="106">
        <v>0.16</v>
      </c>
      <c r="AL12" s="106">
        <v>0.16</v>
      </c>
      <c r="AM12" s="106">
        <v>0.16</v>
      </c>
      <c r="AN12" s="106">
        <v>0.16</v>
      </c>
    </row>
    <row r="13" spans="1:40" hidden="1" outlineLevel="1" x14ac:dyDescent="0.25">
      <c r="B13" s="39" t="str">
        <v>Trainer</v>
      </c>
      <c r="C13" s="3"/>
      <c r="D13" s="3"/>
      <c r="E13" s="106">
        <v>0</v>
      </c>
      <c r="F13" s="106">
        <v>0</v>
      </c>
      <c r="G13" s="106">
        <v>0</v>
      </c>
      <c r="H13" s="106">
        <v>0</v>
      </c>
      <c r="I13" s="106">
        <v>0</v>
      </c>
      <c r="J13" s="106">
        <v>0</v>
      </c>
      <c r="K13" s="106">
        <v>0</v>
      </c>
      <c r="L13" s="106">
        <v>0</v>
      </c>
      <c r="M13" s="106">
        <v>0</v>
      </c>
      <c r="N13" s="106">
        <v>0</v>
      </c>
      <c r="O13" s="106">
        <v>0</v>
      </c>
      <c r="P13" s="106">
        <v>0</v>
      </c>
      <c r="Q13" s="106">
        <v>0.01</v>
      </c>
      <c r="R13" s="106">
        <v>0.21000000000000002</v>
      </c>
      <c r="S13" s="106">
        <v>0.24000000000000002</v>
      </c>
      <c r="T13" s="106">
        <v>0.26</v>
      </c>
      <c r="U13" s="106">
        <v>0.29000000000000004</v>
      </c>
      <c r="V13" s="106">
        <v>0.31</v>
      </c>
      <c r="W13" s="106">
        <v>0.34</v>
      </c>
      <c r="X13" s="106">
        <v>0.36</v>
      </c>
      <c r="Y13" s="106">
        <v>0.39</v>
      </c>
      <c r="Z13" s="106">
        <v>0.42</v>
      </c>
      <c r="AA13" s="106">
        <v>0.44</v>
      </c>
      <c r="AB13" s="106">
        <v>0.47000000000000003</v>
      </c>
      <c r="AC13" s="106">
        <v>0.5</v>
      </c>
      <c r="AD13" s="106">
        <v>0.34</v>
      </c>
      <c r="AE13" s="106">
        <v>0.34</v>
      </c>
      <c r="AF13" s="106">
        <v>0.34</v>
      </c>
      <c r="AG13" s="106">
        <v>0.34</v>
      </c>
      <c r="AH13" s="106">
        <v>0.34</v>
      </c>
      <c r="AI13" s="106">
        <v>0.34</v>
      </c>
      <c r="AJ13" s="106">
        <v>0.34</v>
      </c>
      <c r="AK13" s="106">
        <v>0.34</v>
      </c>
      <c r="AL13" s="106">
        <v>0.34</v>
      </c>
      <c r="AM13" s="106">
        <v>0.34</v>
      </c>
      <c r="AN13" s="106">
        <v>0.34</v>
      </c>
    </row>
    <row r="14" spans="1:40" hidden="1" outlineLevel="1" x14ac:dyDescent="0.25">
      <c r="B14" s="39" t="str">
        <v>Recruiter</v>
      </c>
      <c r="C14" s="3"/>
      <c r="D14" s="3"/>
      <c r="E14" s="106">
        <v>0</v>
      </c>
      <c r="F14" s="106">
        <v>0</v>
      </c>
      <c r="G14" s="106">
        <v>0</v>
      </c>
      <c r="H14" s="106">
        <v>0</v>
      </c>
      <c r="I14" s="106">
        <v>0</v>
      </c>
      <c r="J14" s="106">
        <v>0</v>
      </c>
      <c r="K14" s="106">
        <v>0</v>
      </c>
      <c r="L14" s="106">
        <v>0</v>
      </c>
      <c r="M14" s="106">
        <v>0</v>
      </c>
      <c r="N14" s="106">
        <v>0</v>
      </c>
      <c r="O14" s="106">
        <v>0</v>
      </c>
      <c r="P14" s="106">
        <v>0</v>
      </c>
      <c r="Q14" s="106">
        <v>0.01</v>
      </c>
      <c r="R14" s="106">
        <v>0.12</v>
      </c>
      <c r="S14" s="106">
        <v>0.13</v>
      </c>
      <c r="T14" s="106">
        <v>0.15000000000000002</v>
      </c>
      <c r="U14" s="106">
        <v>0.17</v>
      </c>
      <c r="V14" s="106">
        <v>0.19</v>
      </c>
      <c r="W14" s="106">
        <v>0.21000000000000002</v>
      </c>
      <c r="X14" s="106">
        <v>0.22</v>
      </c>
      <c r="Y14" s="106">
        <v>0.24000000000000002</v>
      </c>
      <c r="Z14" s="106">
        <v>0.26</v>
      </c>
      <c r="AA14" s="106">
        <v>0.27</v>
      </c>
      <c r="AB14" s="106">
        <v>0.29000000000000004</v>
      </c>
      <c r="AC14" s="106">
        <v>0.31</v>
      </c>
      <c r="AD14" s="106">
        <v>0.24000000000000002</v>
      </c>
      <c r="AE14" s="106">
        <v>0.24000000000000002</v>
      </c>
      <c r="AF14" s="106">
        <v>0.24000000000000002</v>
      </c>
      <c r="AG14" s="106">
        <v>0.24000000000000002</v>
      </c>
      <c r="AH14" s="106">
        <v>0.24000000000000002</v>
      </c>
      <c r="AI14" s="106">
        <v>0.24000000000000002</v>
      </c>
      <c r="AJ14" s="106">
        <v>0.24000000000000002</v>
      </c>
      <c r="AK14" s="106">
        <v>0.24000000000000002</v>
      </c>
      <c r="AL14" s="106">
        <v>0.24000000000000002</v>
      </c>
      <c r="AM14" s="106">
        <v>0.24000000000000002</v>
      </c>
      <c r="AN14" s="106">
        <v>0.24000000000000002</v>
      </c>
    </row>
    <row r="15" spans="1:40" hidden="1" outlineLevel="1" x14ac:dyDescent="0.25">
      <c r="B15" s="39" t="str">
        <v>Center Director / Remote Site Director</v>
      </c>
      <c r="C15" s="3"/>
      <c r="D15" s="3"/>
      <c r="E15" s="106">
        <v>0</v>
      </c>
      <c r="F15" s="106">
        <v>0</v>
      </c>
      <c r="G15" s="106">
        <v>0</v>
      </c>
      <c r="H15" s="106">
        <v>0</v>
      </c>
      <c r="I15" s="106">
        <v>0</v>
      </c>
      <c r="J15" s="106">
        <v>0</v>
      </c>
      <c r="K15" s="106">
        <v>0</v>
      </c>
      <c r="L15" s="106">
        <v>0</v>
      </c>
      <c r="M15" s="106">
        <v>0</v>
      </c>
      <c r="N15" s="106">
        <v>0</v>
      </c>
      <c r="O15" s="106">
        <v>0</v>
      </c>
      <c r="P15" s="106">
        <v>0</v>
      </c>
      <c r="Q15" s="106">
        <v>0.01</v>
      </c>
      <c r="R15" s="106">
        <v>0.02</v>
      </c>
      <c r="S15" s="106">
        <v>0.02</v>
      </c>
      <c r="T15" s="106">
        <v>0.03</v>
      </c>
      <c r="U15" s="106">
        <v>0.04</v>
      </c>
      <c r="V15" s="106">
        <v>0.04</v>
      </c>
      <c r="W15" s="106">
        <v>0.05</v>
      </c>
      <c r="X15" s="106">
        <v>6.0000000000000005E-2</v>
      </c>
      <c r="Y15" s="106">
        <v>0.06</v>
      </c>
      <c r="Z15" s="106">
        <v>6.9999999999999993E-2</v>
      </c>
      <c r="AA15" s="106">
        <v>0.08</v>
      </c>
      <c r="AB15" s="106">
        <v>0.08</v>
      </c>
      <c r="AC15" s="106">
        <v>0.09</v>
      </c>
      <c r="AD15" s="106">
        <v>9.9999999999999992E-2</v>
      </c>
      <c r="AE15" s="106">
        <v>9.9999999999999992E-2</v>
      </c>
      <c r="AF15" s="106">
        <v>9.9999999999999992E-2</v>
      </c>
      <c r="AG15" s="106">
        <v>9.9999999999999992E-2</v>
      </c>
      <c r="AH15" s="106">
        <v>9.9999999999999992E-2</v>
      </c>
      <c r="AI15" s="106">
        <v>9.9999999999999992E-2</v>
      </c>
      <c r="AJ15" s="106">
        <v>9.9999999999999992E-2</v>
      </c>
      <c r="AK15" s="106">
        <v>9.9999999999999992E-2</v>
      </c>
      <c r="AL15" s="106">
        <v>9.9999999999999992E-2</v>
      </c>
      <c r="AM15" s="106">
        <v>9.9999999999999992E-2</v>
      </c>
      <c r="AN15" s="106">
        <v>9.9999999999999992E-2</v>
      </c>
    </row>
    <row r="16" spans="1:40" hidden="1" outlineLevel="1" x14ac:dyDescent="0.25">
      <c r="B16" s="39" t="str">
        <v>Center Marketing Outreach</v>
      </c>
      <c r="C16" s="3"/>
      <c r="D16" s="3"/>
      <c r="E16" s="106">
        <v>0</v>
      </c>
      <c r="F16" s="106">
        <v>0</v>
      </c>
      <c r="G16" s="106">
        <v>0</v>
      </c>
      <c r="H16" s="106">
        <v>0</v>
      </c>
      <c r="I16" s="106">
        <v>0</v>
      </c>
      <c r="J16" s="106">
        <v>0</v>
      </c>
      <c r="K16" s="106">
        <v>0</v>
      </c>
      <c r="L16" s="106">
        <v>0</v>
      </c>
      <c r="M16" s="106">
        <v>0</v>
      </c>
      <c r="N16" s="106">
        <v>0</v>
      </c>
      <c r="O16" s="106">
        <v>0</v>
      </c>
      <c r="P16" s="106">
        <v>0</v>
      </c>
      <c r="Q16" s="106">
        <v>0.01</v>
      </c>
      <c r="R16" s="106">
        <v>0.02</v>
      </c>
      <c r="S16" s="106">
        <v>0.02</v>
      </c>
      <c r="T16" s="106">
        <v>0.03</v>
      </c>
      <c r="U16" s="106">
        <v>0.04</v>
      </c>
      <c r="V16" s="106">
        <v>0.04</v>
      </c>
      <c r="W16" s="106">
        <v>0.05</v>
      </c>
      <c r="X16" s="106">
        <v>6.0000000000000005E-2</v>
      </c>
      <c r="Y16" s="106">
        <v>0.06</v>
      </c>
      <c r="Z16" s="106">
        <v>6.9999999999999993E-2</v>
      </c>
      <c r="AA16" s="106">
        <v>0.08</v>
      </c>
      <c r="AB16" s="106">
        <v>0.08</v>
      </c>
      <c r="AC16" s="106">
        <v>0.09</v>
      </c>
      <c r="AD16" s="106">
        <v>9.9999999999999992E-2</v>
      </c>
      <c r="AE16" s="106">
        <v>9.9999999999999992E-2</v>
      </c>
      <c r="AF16" s="106">
        <v>9.9999999999999992E-2</v>
      </c>
      <c r="AG16" s="106">
        <v>9.9999999999999992E-2</v>
      </c>
      <c r="AH16" s="106">
        <v>9.9999999999999992E-2</v>
      </c>
      <c r="AI16" s="106">
        <v>9.9999999999999992E-2</v>
      </c>
      <c r="AJ16" s="106">
        <v>9.9999999999999992E-2</v>
      </c>
      <c r="AK16" s="106">
        <v>9.9999999999999992E-2</v>
      </c>
      <c r="AL16" s="106">
        <v>9.9999999999999992E-2</v>
      </c>
      <c r="AM16" s="106">
        <v>9.9999999999999992E-2</v>
      </c>
      <c r="AN16" s="106">
        <v>9.9999999999999992E-2</v>
      </c>
    </row>
    <row r="17" spans="2:50" hidden="1" outlineLevel="1" x14ac:dyDescent="0.25">
      <c r="B17" s="39" t="str">
        <v>Primary Direct Staff Lead</v>
      </c>
      <c r="C17" s="3"/>
      <c r="D17" s="3"/>
      <c r="E17" s="106">
        <v>0</v>
      </c>
      <c r="F17" s="106">
        <v>0</v>
      </c>
      <c r="G17" s="106">
        <v>0</v>
      </c>
      <c r="H17" s="106">
        <v>0</v>
      </c>
      <c r="I17" s="106">
        <v>0</v>
      </c>
      <c r="J17" s="106">
        <v>0</v>
      </c>
      <c r="K17" s="106">
        <v>0</v>
      </c>
      <c r="L17" s="106">
        <v>0</v>
      </c>
      <c r="M17" s="106">
        <v>0</v>
      </c>
      <c r="N17" s="106">
        <v>0</v>
      </c>
      <c r="O17" s="106">
        <v>0</v>
      </c>
      <c r="P17" s="106">
        <v>0</v>
      </c>
      <c r="Q17" s="106">
        <v>0</v>
      </c>
      <c r="R17" s="106">
        <v>0</v>
      </c>
      <c r="S17" s="106">
        <v>0</v>
      </c>
      <c r="T17" s="106">
        <v>0</v>
      </c>
      <c r="U17" s="106">
        <v>0</v>
      </c>
      <c r="V17" s="106">
        <v>0</v>
      </c>
      <c r="W17" s="106">
        <v>0</v>
      </c>
      <c r="X17" s="106">
        <v>0</v>
      </c>
      <c r="Y17" s="106">
        <v>0</v>
      </c>
      <c r="Z17" s="106">
        <v>0</v>
      </c>
      <c r="AA17" s="106">
        <v>0</v>
      </c>
      <c r="AB17" s="106">
        <v>0</v>
      </c>
      <c r="AC17" s="106">
        <v>0</v>
      </c>
      <c r="AD17" s="106">
        <v>0</v>
      </c>
      <c r="AE17" s="106">
        <v>0</v>
      </c>
      <c r="AF17" s="106">
        <v>0</v>
      </c>
      <c r="AG17" s="106">
        <v>0</v>
      </c>
      <c r="AH17" s="106">
        <v>0</v>
      </c>
      <c r="AI17" s="106">
        <v>0</v>
      </c>
      <c r="AJ17" s="106">
        <v>0</v>
      </c>
      <c r="AK17" s="106">
        <v>0</v>
      </c>
      <c r="AL17" s="106">
        <v>0</v>
      </c>
      <c r="AM17" s="106">
        <v>0</v>
      </c>
      <c r="AN17" s="106">
        <v>0</v>
      </c>
    </row>
    <row r="18" spans="2:50" hidden="1" outlineLevel="1" x14ac:dyDescent="0.25">
      <c r="B18" s="39" t="str">
        <v>Tertiary Direct Staff</v>
      </c>
      <c r="C18" s="3"/>
      <c r="D18" s="3"/>
      <c r="E18" s="106">
        <v>0</v>
      </c>
      <c r="F18" s="106">
        <v>0</v>
      </c>
      <c r="G18" s="106">
        <v>0</v>
      </c>
      <c r="H18" s="106">
        <v>0</v>
      </c>
      <c r="I18" s="106">
        <v>0</v>
      </c>
      <c r="J18" s="106">
        <v>0</v>
      </c>
      <c r="K18" s="106">
        <v>0</v>
      </c>
      <c r="L18" s="106">
        <v>0</v>
      </c>
      <c r="M18" s="106">
        <v>0</v>
      </c>
      <c r="N18" s="106">
        <v>0</v>
      </c>
      <c r="O18" s="106">
        <v>0</v>
      </c>
      <c r="P18" s="106">
        <v>0</v>
      </c>
      <c r="Q18" s="106">
        <v>0</v>
      </c>
      <c r="R18" s="106">
        <v>0</v>
      </c>
      <c r="S18" s="106">
        <v>0</v>
      </c>
      <c r="T18" s="106">
        <v>0</v>
      </c>
      <c r="U18" s="106">
        <v>0</v>
      </c>
      <c r="V18" s="106">
        <v>0</v>
      </c>
      <c r="W18" s="106">
        <v>0</v>
      </c>
      <c r="X18" s="106">
        <v>0</v>
      </c>
      <c r="Y18" s="106">
        <v>0</v>
      </c>
      <c r="Z18" s="106">
        <v>0</v>
      </c>
      <c r="AA18" s="106">
        <v>0</v>
      </c>
      <c r="AB18" s="106">
        <v>0</v>
      </c>
      <c r="AC18" s="106">
        <v>0</v>
      </c>
      <c r="AD18" s="106">
        <v>0</v>
      </c>
      <c r="AE18" s="106">
        <v>0</v>
      </c>
      <c r="AF18" s="106">
        <v>0</v>
      </c>
      <c r="AG18" s="106">
        <v>0</v>
      </c>
      <c r="AH18" s="106">
        <v>0</v>
      </c>
      <c r="AI18" s="106">
        <v>0</v>
      </c>
      <c r="AJ18" s="106">
        <v>0</v>
      </c>
      <c r="AK18" s="106">
        <v>0</v>
      </c>
      <c r="AL18" s="106">
        <v>0</v>
      </c>
      <c r="AM18" s="106">
        <v>0</v>
      </c>
      <c r="AN18" s="106">
        <v>0</v>
      </c>
    </row>
    <row r="19" spans="2:50" hidden="1" outlineLevel="1" x14ac:dyDescent="0.25">
      <c r="B19" s="39" t="str">
        <v>Quinary Direct Staff</v>
      </c>
      <c r="C19" s="3"/>
      <c r="D19" s="3"/>
      <c r="E19" s="106">
        <v>0</v>
      </c>
      <c r="F19" s="106">
        <v>0</v>
      </c>
      <c r="G19" s="106">
        <v>0</v>
      </c>
      <c r="H19" s="106">
        <v>0</v>
      </c>
      <c r="I19" s="106">
        <v>0</v>
      </c>
      <c r="J19" s="106">
        <v>0</v>
      </c>
      <c r="K19" s="106">
        <v>0</v>
      </c>
      <c r="L19" s="106">
        <v>0</v>
      </c>
      <c r="M19" s="106">
        <v>0</v>
      </c>
      <c r="N19" s="106">
        <v>0</v>
      </c>
      <c r="O19" s="106">
        <v>0</v>
      </c>
      <c r="P19" s="106">
        <v>0</v>
      </c>
      <c r="Q19" s="106">
        <v>0</v>
      </c>
      <c r="R19" s="106">
        <v>0</v>
      </c>
      <c r="S19" s="106">
        <v>0</v>
      </c>
      <c r="T19" s="106">
        <v>0</v>
      </c>
      <c r="U19" s="106">
        <v>0</v>
      </c>
      <c r="V19" s="106">
        <v>0</v>
      </c>
      <c r="W19" s="106">
        <v>0</v>
      </c>
      <c r="X19" s="106">
        <v>0</v>
      </c>
      <c r="Y19" s="106">
        <v>0</v>
      </c>
      <c r="Z19" s="106">
        <v>0</v>
      </c>
      <c r="AA19" s="106">
        <v>0</v>
      </c>
      <c r="AB19" s="106">
        <v>0</v>
      </c>
      <c r="AC19" s="106">
        <v>0</v>
      </c>
      <c r="AD19" s="106">
        <v>0</v>
      </c>
      <c r="AE19" s="106">
        <v>0</v>
      </c>
      <c r="AF19" s="106">
        <v>0</v>
      </c>
      <c r="AG19" s="106">
        <v>0</v>
      </c>
      <c r="AH19" s="106">
        <v>0</v>
      </c>
      <c r="AI19" s="106">
        <v>0</v>
      </c>
      <c r="AJ19" s="106">
        <v>0</v>
      </c>
      <c r="AK19" s="106">
        <v>0</v>
      </c>
      <c r="AL19" s="106">
        <v>0</v>
      </c>
      <c r="AM19" s="106">
        <v>0</v>
      </c>
      <c r="AN19" s="106">
        <v>0</v>
      </c>
    </row>
    <row r="20" spans="2:50" hidden="1" outlineLevel="1" x14ac:dyDescent="0.25">
      <c r="B20" s="39" t="str">
        <v>Quaternary Direct Staff</v>
      </c>
      <c r="C20" s="3"/>
      <c r="D20" s="3"/>
      <c r="E20" s="106">
        <v>0</v>
      </c>
      <c r="F20" s="106">
        <v>0</v>
      </c>
      <c r="G20" s="106">
        <v>0</v>
      </c>
      <c r="H20" s="106">
        <v>0</v>
      </c>
      <c r="I20" s="106">
        <v>0</v>
      </c>
      <c r="J20" s="106">
        <v>0</v>
      </c>
      <c r="K20" s="106">
        <v>0</v>
      </c>
      <c r="L20" s="106">
        <v>0</v>
      </c>
      <c r="M20" s="106">
        <v>0</v>
      </c>
      <c r="N20" s="106">
        <v>0</v>
      </c>
      <c r="O20" s="106">
        <v>0</v>
      </c>
      <c r="P20" s="106">
        <v>0</v>
      </c>
      <c r="Q20" s="106">
        <v>0</v>
      </c>
      <c r="R20" s="106">
        <v>0</v>
      </c>
      <c r="S20" s="106">
        <v>0</v>
      </c>
      <c r="T20" s="106">
        <v>0</v>
      </c>
      <c r="U20" s="106">
        <v>0</v>
      </c>
      <c r="V20" s="106">
        <v>0</v>
      </c>
      <c r="W20" s="106">
        <v>0</v>
      </c>
      <c r="X20" s="106">
        <v>0</v>
      </c>
      <c r="Y20" s="106">
        <v>0</v>
      </c>
      <c r="Z20" s="106">
        <v>0</v>
      </c>
      <c r="AA20" s="106">
        <v>0</v>
      </c>
      <c r="AB20" s="106">
        <v>0</v>
      </c>
      <c r="AC20" s="106">
        <v>0</v>
      </c>
      <c r="AD20" s="106">
        <v>0</v>
      </c>
      <c r="AE20" s="106">
        <v>0</v>
      </c>
      <c r="AF20" s="106">
        <v>0</v>
      </c>
      <c r="AG20" s="106">
        <v>0</v>
      </c>
      <c r="AH20" s="106">
        <v>0</v>
      </c>
      <c r="AI20" s="106">
        <v>0</v>
      </c>
      <c r="AJ20" s="106">
        <v>0</v>
      </c>
      <c r="AK20" s="106">
        <v>0</v>
      </c>
      <c r="AL20" s="106">
        <v>0</v>
      </c>
      <c r="AM20" s="106">
        <v>0</v>
      </c>
      <c r="AN20" s="106">
        <v>0</v>
      </c>
    </row>
    <row r="21" spans="2:50" collapsed="1" x14ac:dyDescent="0.25">
      <c r="B21" s="39" t="s">
        <v>389</v>
      </c>
      <c r="C21" s="3"/>
      <c r="D21" s="5"/>
      <c r="E21" s="117" cm="1">
        <f t="array" ref="E21:AN21">ROUND(_xlfn.BYCOL(_xlfn.CHOOSEROWS(_xlfn.ANCHORARRAY(E7),1,2),_xlfn.LAMBDA(_xlpm.col,SUM(_xlpm.col))),0)</f>
        <v>0</v>
      </c>
      <c r="F21" s="117">
        <v>0</v>
      </c>
      <c r="G21" s="117">
        <v>0</v>
      </c>
      <c r="H21" s="117">
        <v>0</v>
      </c>
      <c r="I21" s="117">
        <v>0</v>
      </c>
      <c r="J21" s="117">
        <v>0</v>
      </c>
      <c r="K21" s="117">
        <v>0</v>
      </c>
      <c r="L21" s="117">
        <v>0</v>
      </c>
      <c r="M21" s="117">
        <v>0</v>
      </c>
      <c r="N21" s="117">
        <v>0</v>
      </c>
      <c r="O21" s="117">
        <v>0</v>
      </c>
      <c r="P21" s="117">
        <v>0</v>
      </c>
      <c r="Q21" s="117">
        <v>1</v>
      </c>
      <c r="R21" s="117">
        <v>2</v>
      </c>
      <c r="S21" s="117">
        <v>3</v>
      </c>
      <c r="T21" s="117">
        <v>3</v>
      </c>
      <c r="U21" s="117">
        <v>4</v>
      </c>
      <c r="V21" s="117">
        <v>5</v>
      </c>
      <c r="W21" s="117">
        <v>7</v>
      </c>
      <c r="X21" s="117">
        <v>7</v>
      </c>
      <c r="Y21" s="117">
        <v>8</v>
      </c>
      <c r="Z21" s="117">
        <v>9</v>
      </c>
      <c r="AA21" s="117">
        <v>10</v>
      </c>
      <c r="AB21" s="117">
        <v>11</v>
      </c>
      <c r="AC21" s="117">
        <v>12</v>
      </c>
      <c r="AD21" s="117">
        <v>13</v>
      </c>
      <c r="AE21" s="117">
        <v>13</v>
      </c>
      <c r="AF21" s="117">
        <v>13</v>
      </c>
      <c r="AG21" s="117">
        <v>13</v>
      </c>
      <c r="AH21" s="117">
        <v>13</v>
      </c>
      <c r="AI21" s="117">
        <v>13</v>
      </c>
      <c r="AJ21" s="117">
        <v>13</v>
      </c>
      <c r="AK21" s="117">
        <v>13</v>
      </c>
      <c r="AL21" s="117">
        <v>13</v>
      </c>
      <c r="AM21" s="117">
        <v>13</v>
      </c>
      <c r="AN21" s="117">
        <v>13</v>
      </c>
    </row>
    <row r="22" spans="2:50" x14ac:dyDescent="0.25">
      <c r="B22" s="2" t="s">
        <v>394</v>
      </c>
      <c r="C22" s="3"/>
      <c r="D22" s="77">
        <f>MAX(_xlfn.ANCHORARRAY(E22))</f>
        <v>100.05246655681819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0</v>
      </c>
      <c r="F22" s="78">
        <v>0</v>
      </c>
      <c r="G22" s="78">
        <v>0</v>
      </c>
      <c r="H22" s="78">
        <v>0</v>
      </c>
      <c r="I22" s="78">
        <v>0</v>
      </c>
      <c r="J22" s="78">
        <v>0</v>
      </c>
      <c r="K22" s="78">
        <v>0</v>
      </c>
      <c r="L22" s="78">
        <v>0</v>
      </c>
      <c r="M22" s="78">
        <v>0</v>
      </c>
      <c r="N22" s="78">
        <v>0</v>
      </c>
      <c r="O22" s="78">
        <v>0</v>
      </c>
      <c r="P22" s="78">
        <v>0</v>
      </c>
      <c r="Q22" s="78">
        <v>100.05246655681819</v>
      </c>
      <c r="R22" s="78">
        <v>100.05246655681816</v>
      </c>
      <c r="S22" s="78">
        <v>100.05246655681816</v>
      </c>
      <c r="T22" s="78">
        <v>100.05246655681816</v>
      </c>
      <c r="U22" s="78">
        <v>100.05246655681819</v>
      </c>
      <c r="V22" s="78">
        <v>100.05246655681816</v>
      </c>
      <c r="W22" s="78">
        <v>100.05246655681816</v>
      </c>
      <c r="X22" s="78">
        <v>100.05246655681817</v>
      </c>
      <c r="Y22" s="78">
        <v>100.05246655681817</v>
      </c>
      <c r="Z22" s="78">
        <v>100.05246655681815</v>
      </c>
      <c r="AA22" s="78">
        <v>100.05246655681817</v>
      </c>
      <c r="AB22" s="78">
        <v>100.05246655681816</v>
      </c>
      <c r="AC22" s="78">
        <v>100.05246655681819</v>
      </c>
      <c r="AD22" s="78">
        <v>100.05246655681816</v>
      </c>
      <c r="AE22" s="78">
        <v>100.05246655681816</v>
      </c>
      <c r="AF22" s="78">
        <v>100.05246655681816</v>
      </c>
      <c r="AG22" s="78">
        <v>100.05246655681816</v>
      </c>
      <c r="AH22" s="78">
        <v>100.05246655681816</v>
      </c>
      <c r="AI22" s="78">
        <v>100.05246655681816</v>
      </c>
      <c r="AJ22" s="78">
        <v>100.05246655681816</v>
      </c>
      <c r="AK22" s="78">
        <v>100.05246655681816</v>
      </c>
      <c r="AL22" s="78">
        <v>100.05246655681816</v>
      </c>
      <c r="AM22" s="78">
        <v>100.05246655681816</v>
      </c>
      <c r="AN22" s="78">
        <v>100.05246655681816</v>
      </c>
    </row>
    <row r="23" spans="2:50" x14ac:dyDescent="0.25">
      <c r="B23" s="2" t="s">
        <v>53</v>
      </c>
      <c r="C23" s="3"/>
      <c r="D23" s="72"/>
      <c r="E23" s="52" cm="1">
        <f t="array" ref="E23:AN23">_xlfn.LET(_xlpm.site,$B$1&amp;"-"&amp;$C$1,_xlpm.locations,Base!$D$4:$BD$4,_xlpm.Customer,_xlfn.ANCHORARRAY(E1),_xlpm.hours,SUM(_xlfn.XLOOKUP(_xlpm.site,_xlpm.locations,Base!$D$74:$BD$78,0,0)),
_xlpm.collection,1-_xlfn.XLOOKUP(_xlpm.site,_xlpm.locations,Base!$D$26:$BD$26,0,0),
_xlpm.Customer*_xlpm.hours*_xlpm.collection*(52/12))</f>
        <v>0</v>
      </c>
      <c r="F23" s="52">
        <v>0</v>
      </c>
      <c r="G23" s="52">
        <v>0</v>
      </c>
      <c r="H23" s="52">
        <v>0</v>
      </c>
      <c r="I23" s="52">
        <v>0</v>
      </c>
      <c r="J23" s="52">
        <v>0</v>
      </c>
      <c r="K23" s="52">
        <v>0</v>
      </c>
      <c r="L23" s="52">
        <v>0</v>
      </c>
      <c r="M23" s="52">
        <v>0</v>
      </c>
      <c r="N23" s="52">
        <v>0</v>
      </c>
      <c r="O23" s="52">
        <v>0</v>
      </c>
      <c r="P23" s="52">
        <v>0</v>
      </c>
      <c r="Q23" s="52">
        <v>51.626666666666658</v>
      </c>
      <c r="R23" s="52">
        <v>154.88</v>
      </c>
      <c r="S23" s="52">
        <v>258.13333333333333</v>
      </c>
      <c r="T23" s="52">
        <v>309.76</v>
      </c>
      <c r="U23" s="52">
        <v>413.01333333333326</v>
      </c>
      <c r="V23" s="52">
        <v>516.26666666666665</v>
      </c>
      <c r="W23" s="52">
        <v>619.52</v>
      </c>
      <c r="X23" s="52">
        <v>671.14666666666665</v>
      </c>
      <c r="Y23" s="52">
        <v>774.39999999999986</v>
      </c>
      <c r="Z23" s="52">
        <v>877.65333333333331</v>
      </c>
      <c r="AA23" s="52">
        <v>929.27999999999986</v>
      </c>
      <c r="AB23" s="52">
        <v>1032.5333333333333</v>
      </c>
      <c r="AC23" s="52">
        <v>1135.7866666666666</v>
      </c>
      <c r="AD23" s="52">
        <v>1239.04</v>
      </c>
      <c r="AE23" s="52">
        <v>1239.04</v>
      </c>
      <c r="AF23" s="52">
        <v>1239.04</v>
      </c>
      <c r="AG23" s="52">
        <v>1239.04</v>
      </c>
      <c r="AH23" s="52">
        <v>1239.04</v>
      </c>
      <c r="AI23" s="52">
        <v>1239.04</v>
      </c>
      <c r="AJ23" s="52">
        <v>1239.04</v>
      </c>
      <c r="AK23" s="52">
        <v>1239.04</v>
      </c>
      <c r="AL23" s="52">
        <v>1239.04</v>
      </c>
      <c r="AM23" s="52">
        <v>1239.04</v>
      </c>
      <c r="AN23" s="52">
        <v>1239.04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21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_xlfn.LET(_xlpm.site,$B$1&amp;"-"&amp;$C$1,_xlpm.locations,Base!$D$4:$BD$4,_xlpm.rates,Base!$D31:$BD31,_xlpm.hours,Base!$D74:$BD74,_xlpm.comp,_xlpm.rates*_xlpm.hours,_xlpm.Customer,_xlfn.ANCHORARRAY($E$1),
_xlpm.Customer_comp,_xlfn.XLOOKUP(_xlpm.site,_xlpm.locations,_xlpm.comp,0,0),_xlpm.ann_incr,_xlfn.XLOOKUP(YEAR(_xlfn.ANCHORARRAY($E$25)),Base!$BJ$4:$BL$4,Base!$BJ74:$BL74,0,0),
_xlpm.bad_debt,_xlfn.XLOOKUP(_xlpm.site,_xlpm.locations,Base!$D$28:$BD$28,0,0),_xlpm.Customer_comp*_xlpm.Customer*_xlpm.bad_debt*_xlpm.ann_incr*(52/12))</f>
        <v>0</v>
      </c>
      <c r="F26" s="12">
        <v>0</v>
      </c>
      <c r="G26" s="12">
        <v>0</v>
      </c>
      <c r="H26" s="12">
        <v>0</v>
      </c>
      <c r="I26" s="12">
        <v>0</v>
      </c>
      <c r="J26" s="12">
        <v>0</v>
      </c>
      <c r="K26" s="12">
        <v>0</v>
      </c>
      <c r="L26" s="12">
        <v>0</v>
      </c>
      <c r="M26" s="12">
        <v>0</v>
      </c>
      <c r="N26" s="12">
        <v>0</v>
      </c>
      <c r="O26" s="12">
        <v>0</v>
      </c>
      <c r="P26" s="12">
        <v>0</v>
      </c>
      <c r="Q26" s="12">
        <v>4318.4939264999994</v>
      </c>
      <c r="R26" s="12">
        <v>12955.481779499996</v>
      </c>
      <c r="S26" s="12">
        <v>21592.469632499993</v>
      </c>
      <c r="T26" s="12">
        <v>25910.963558999993</v>
      </c>
      <c r="U26" s="12">
        <v>34547.951411999995</v>
      </c>
      <c r="V26" s="12">
        <v>43184.939264999986</v>
      </c>
      <c r="W26" s="12">
        <v>51821.927117999985</v>
      </c>
      <c r="X26" s="12">
        <v>56140.421044499984</v>
      </c>
      <c r="Y26" s="12">
        <v>64777.408897499983</v>
      </c>
      <c r="Z26" s="12">
        <v>73414.396750499975</v>
      </c>
      <c r="AA26" s="12">
        <v>77732.890676999974</v>
      </c>
      <c r="AB26" s="12">
        <v>86369.878529999973</v>
      </c>
      <c r="AC26" s="12">
        <v>95006.866383</v>
      </c>
      <c r="AD26" s="12">
        <v>103643.85423599997</v>
      </c>
      <c r="AE26" s="12">
        <v>103643.85423599997</v>
      </c>
      <c r="AF26" s="12">
        <v>103643.85423599997</v>
      </c>
      <c r="AG26" s="12">
        <v>103643.85423599997</v>
      </c>
      <c r="AH26" s="12">
        <v>103643.85423599997</v>
      </c>
      <c r="AI26" s="12">
        <v>103643.85423599997</v>
      </c>
      <c r="AJ26" s="12">
        <v>103643.85423599997</v>
      </c>
      <c r="AK26" s="12">
        <v>103643.85423599997</v>
      </c>
      <c r="AL26" s="12">
        <v>103643.85423599997</v>
      </c>
      <c r="AM26" s="12">
        <v>103643.85423599997</v>
      </c>
      <c r="AN26" s="12">
        <v>103643.85423599997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_xlfn.LET(_xlpm.site,$B$1&amp;"-"&amp;$C$1,_xlpm.locations,Base!$D$4:$BD$4,_xlpm.rates,Base!$D32:$BD32,_xlpm.hours,Base!$D75:$BD75,_xlpm.comp,_xlpm.rates*_xlpm.hours,_xlpm.Customer,_xlfn.ANCHORARRAY($E$1),
_xlpm.Customer_comp,_xlfn.XLOOKUP(_xlpm.site,_xlpm.locations,_xlpm.comp,0,0),_xlpm.ann_incr,_xlfn.XLOOKUP(YEAR(_xlfn.ANCHORARRAY($E$25)),Base!$BJ$4:$BL$4,Base!$BJ75:$BL75,0,0),
_xlpm.bad_debt,_xlfn.XLOOKUP(_xlpm.site,_xlpm.locations,Base!$D$28:$BD$28,0,0),_xlpm.Customer_comp*_xlpm.Customer*_xlpm.bad_debt*_xlpm.ann_incr*(52/12))</f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12">
        <v>0</v>
      </c>
      <c r="AA27" s="12">
        <v>0</v>
      </c>
      <c r="AB27" s="12">
        <v>0</v>
      </c>
      <c r="AC27" s="12">
        <v>0</v>
      </c>
      <c r="AD27" s="12">
        <v>0</v>
      </c>
      <c r="AE27" s="12">
        <v>0</v>
      </c>
      <c r="AF27" s="12">
        <v>0</v>
      </c>
      <c r="AG27" s="12">
        <v>0</v>
      </c>
      <c r="AH27" s="12">
        <v>0</v>
      </c>
      <c r="AI27" s="12">
        <v>0</v>
      </c>
      <c r="AJ27" s="12">
        <v>0</v>
      </c>
      <c r="AK27" s="12">
        <v>0</v>
      </c>
      <c r="AL27" s="12">
        <v>0</v>
      </c>
      <c r="AM27" s="12">
        <v>0</v>
      </c>
      <c r="AN27" s="12">
        <v>0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_xlfn.LET(_xlpm.site,$B$1&amp;"-"&amp;$C$1,_xlpm.locations,Base!$D$4:$BD$4,_xlpm.rates,Base!$D33:$BD33,_xlpm.hours,Base!$D76:$BD76,_xlpm.comp,_xlpm.rates*_xlpm.hours,_xlpm.Customer,_xlfn.ANCHORARRAY($E$1),
_xlpm.Customer_comp,_xlfn.XLOOKUP(_xlpm.site,_xlpm.locations,_xlpm.comp,0,0),_xlpm.ann_incr,_xlfn.XLOOKUP(YEAR(_xlfn.ANCHORARRAY($E$25)),Base!$BJ$4:$BL$4,Base!$BJ76:$BL76,0,0),
_xlpm.bad_debt,_xlfn.XLOOKUP(_xlpm.site,_xlpm.locations,Base!$D$28:$BD$28,0,0),_xlpm.Customer_comp*_xlpm.Customer*_xlpm.bad_debt*_xlpm.ann_incr*(52/12))</f>
        <v>0</v>
      </c>
      <c r="F28" s="12">
        <v>0</v>
      </c>
      <c r="G28" s="12">
        <v>0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0</v>
      </c>
      <c r="N28" s="12">
        <v>0</v>
      </c>
      <c r="O28" s="12">
        <v>0</v>
      </c>
      <c r="P28" s="12">
        <v>0</v>
      </c>
      <c r="Q28" s="12">
        <v>872.04370110000002</v>
      </c>
      <c r="R28" s="12">
        <v>2616.1311033000002</v>
      </c>
      <c r="S28" s="12">
        <v>4360.2185055</v>
      </c>
      <c r="T28" s="12">
        <v>5232.2622066000004</v>
      </c>
      <c r="U28" s="12">
        <v>6976.3496088000002</v>
      </c>
      <c r="V28" s="12">
        <v>8720.437011</v>
      </c>
      <c r="W28" s="12">
        <v>10464.524413200001</v>
      </c>
      <c r="X28" s="12">
        <v>11336.5681143</v>
      </c>
      <c r="Y28" s="12">
        <v>13080.655516499999</v>
      </c>
      <c r="Z28" s="12">
        <v>14824.7429187</v>
      </c>
      <c r="AA28" s="12">
        <v>15696.786619799999</v>
      </c>
      <c r="AB28" s="12">
        <v>17440.874022</v>
      </c>
      <c r="AC28" s="12">
        <v>19184.961424199995</v>
      </c>
      <c r="AD28" s="12">
        <v>20929.048826400001</v>
      </c>
      <c r="AE28" s="12">
        <v>20929.048826400001</v>
      </c>
      <c r="AF28" s="12">
        <v>20929.048826400001</v>
      </c>
      <c r="AG28" s="12">
        <v>20929.048826400001</v>
      </c>
      <c r="AH28" s="12">
        <v>20929.048826400001</v>
      </c>
      <c r="AI28" s="12">
        <v>20929.048826400001</v>
      </c>
      <c r="AJ28" s="12">
        <v>20929.048826400001</v>
      </c>
      <c r="AK28" s="12">
        <v>20929.048826400001</v>
      </c>
      <c r="AL28" s="12">
        <v>20929.048826400001</v>
      </c>
      <c r="AM28" s="12">
        <v>20929.048826400001</v>
      </c>
      <c r="AN28" s="12">
        <v>20929.048826400001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_xlfn.LET(_xlpm.site,$B$1&amp;"-"&amp;$C$1,_xlpm.locations,Base!$D$4:$BD$4,_xlpm.rates,Base!$D34:$BD34,_xlpm.hours,Base!$D77:$BD77,_xlpm.comp,_xlpm.rates*_xlpm.hours,_xlpm.Customer,_xlfn.ANCHORARRAY($E$1),
_xlpm.Customer_comp,_xlfn.XLOOKUP(_xlpm.site,_xlpm.locations,_xlpm.comp,0,0),_xlpm.ann_incr,_xlfn.XLOOKUP(YEAR(_xlfn.ANCHORARRAY($E$25)),Base!$BJ$4:$BL$4,Base!$BJ77:$BL77,0,0),
_xlpm.bad_debt,_xlfn.XLOOKUP(_xlpm.site,_xlpm.locations,Base!$D$28:$BD$28,0,0),_xlpm.Customer_comp*_xlpm.Customer*_xlpm.bad_debt*_xlpm.ann_incr*(52/12))</f>
        <v>0</v>
      </c>
      <c r="F29" s="12">
        <v>0</v>
      </c>
      <c r="G29" s="12">
        <v>0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0</v>
      </c>
      <c r="N29" s="12">
        <v>0</v>
      </c>
      <c r="O29" s="12">
        <v>0</v>
      </c>
      <c r="P29" s="12">
        <v>0</v>
      </c>
      <c r="Q29" s="12">
        <v>134.16056940000001</v>
      </c>
      <c r="R29" s="12">
        <v>402.48170819999996</v>
      </c>
      <c r="S29" s="12">
        <v>670.80284699999993</v>
      </c>
      <c r="T29" s="12">
        <v>804.96341639999991</v>
      </c>
      <c r="U29" s="12">
        <v>1073.2845552000001</v>
      </c>
      <c r="V29" s="12">
        <v>1341.6056939999999</v>
      </c>
      <c r="W29" s="12">
        <v>1609.9268327999998</v>
      </c>
      <c r="X29" s="12">
        <v>1744.0874022</v>
      </c>
      <c r="Y29" s="12">
        <v>2012.408541</v>
      </c>
      <c r="Z29" s="12">
        <v>2280.7296798000002</v>
      </c>
      <c r="AA29" s="12">
        <v>2414.8902491999997</v>
      </c>
      <c r="AB29" s="12">
        <v>2683.2113879999997</v>
      </c>
      <c r="AC29" s="12">
        <v>2951.5325268000006</v>
      </c>
      <c r="AD29" s="12">
        <v>3219.8536655999997</v>
      </c>
      <c r="AE29" s="12">
        <v>3219.8536655999997</v>
      </c>
      <c r="AF29" s="12">
        <v>3219.8536655999997</v>
      </c>
      <c r="AG29" s="12">
        <v>3219.8536655999997</v>
      </c>
      <c r="AH29" s="12">
        <v>3219.8536655999997</v>
      </c>
      <c r="AI29" s="12">
        <v>3219.8536655999997</v>
      </c>
      <c r="AJ29" s="12">
        <v>3219.8536655999997</v>
      </c>
      <c r="AK29" s="12">
        <v>3219.8536655999997</v>
      </c>
      <c r="AL29" s="12">
        <v>3219.8536655999997</v>
      </c>
      <c r="AM29" s="12">
        <v>3219.8536655999997</v>
      </c>
      <c r="AN29" s="12">
        <v>3219.8536655999997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_xlfn.LET(_xlpm.site,$B$1&amp;"-"&amp;$C$1,_xlpm.locations,Base!$D$4:$BD$4,_xlpm.rates,Base!$D35:$BD35,_xlpm.hours,Base!$D78:$BD78,_xlpm.comp,_xlpm.rates*_xlpm.hours,_xlpm.Customer,_xlfn.ANCHORARRAY($E$1),
_xlpm.Customer_comp,_xlfn.XLOOKUP(_xlpm.site,_xlpm.locations,_xlpm.comp,0,0),_xlpm.ann_incr,_xlfn.XLOOKUP(YEAR(_xlfn.ANCHORARRAY($E$25)),Base!$BJ$4:$BL$4,Base!$BJ78:$BL78,0,0),
_xlpm.bad_debt,_xlfn.XLOOKUP(_xlpm.site,_xlpm.locations,Base!$D$28:$BD$28,0,0),_xlpm.Customer_comp*_xlpm.Customer*_xlpm.bad_debt*_xlpm.ann_incr*(52/12))</f>
        <v>0</v>
      </c>
      <c r="F30" s="12">
        <v>0</v>
      </c>
      <c r="G30" s="12">
        <v>0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0</v>
      </c>
      <c r="N30" s="12">
        <v>0</v>
      </c>
      <c r="O30" s="12">
        <v>0</v>
      </c>
      <c r="P30" s="12">
        <v>0</v>
      </c>
      <c r="Q30" s="12">
        <v>192.86182538666662</v>
      </c>
      <c r="R30" s="12">
        <v>578.58547615999998</v>
      </c>
      <c r="S30" s="12">
        <v>964.30912693333323</v>
      </c>
      <c r="T30" s="12">
        <v>1157.17095232</v>
      </c>
      <c r="U30" s="12">
        <v>1542.894603093333</v>
      </c>
      <c r="V30" s="12">
        <v>1928.6182538666665</v>
      </c>
      <c r="W30" s="12">
        <v>2314.3419046399999</v>
      </c>
      <c r="X30" s="12">
        <v>2507.2037300266666</v>
      </c>
      <c r="Y30" s="12">
        <v>2892.9273807999994</v>
      </c>
      <c r="Z30" s="12">
        <v>3278.6510315733326</v>
      </c>
      <c r="AA30" s="12">
        <v>3471.5128569599992</v>
      </c>
      <c r="AB30" s="12">
        <v>3857.2365077333329</v>
      </c>
      <c r="AC30" s="12">
        <v>4242.9601585066666</v>
      </c>
      <c r="AD30" s="12">
        <v>4628.6838092799999</v>
      </c>
      <c r="AE30" s="12">
        <v>4628.6838092799999</v>
      </c>
      <c r="AF30" s="12">
        <v>4628.6838092799999</v>
      </c>
      <c r="AG30" s="12">
        <v>4628.6838092799999</v>
      </c>
      <c r="AH30" s="12">
        <v>4628.6838092799999</v>
      </c>
      <c r="AI30" s="12">
        <v>4628.6838092799999</v>
      </c>
      <c r="AJ30" s="12">
        <v>4628.6838092799999</v>
      </c>
      <c r="AK30" s="12">
        <v>4628.6838092799999</v>
      </c>
      <c r="AL30" s="12">
        <v>4628.6838092799999</v>
      </c>
      <c r="AM30" s="12">
        <v>4628.6838092799999</v>
      </c>
      <c r="AN30" s="12">
        <v>4628.6838092799999</v>
      </c>
    </row>
    <row r="31" spans="2:50" x14ac:dyDescent="0.25">
      <c r="B31" s="39" t="str">
        <f>Base!B36</f>
        <v>Tertiary Direct Staff - Service A</v>
      </c>
      <c r="C31" s="4"/>
      <c r="E31" s="183" cm="1">
        <f t="array" ref="E31:AN31">_xlfn.LET(_xlpm.site,$B$1&amp;"-"&amp;$C$1,_xlpm.locations,Base!$D$4:$BD$4,_xlpm.rates,Base!$D36:$BD36,_xlpm.hours,Base!$D79:$BD79,_xlpm.comp,_xlpm.rates*_xlpm.hours,_xlpm.Customer,_xlfn.ANCHORARRAY($E$1)*0,
_xlpm.Customer_comp,_xlfn.XLOOKUP(_xlpm.site,_xlpm.locations,_xlpm.comp,0,0),_xlpm.ann_incr,_xlfn.XLOOKUP(YEAR(_xlfn.ANCHORARRAY($E$25)),Base!$BJ$4:$BL$4,Base!$BJ79:$BL79,0,0),
_xlpm.bad_debt,_xlfn.XLOOKUP(_xlpm.site,_xlpm.locations,Base!$D$28:$BD$28,0,0),_xlpm.Customer_comp*_xlpm.Customer*_xlpm.bad_debt*_xlpm.ann_incr*(52/12))</f>
        <v>0</v>
      </c>
      <c r="F31" s="183">
        <v>0</v>
      </c>
      <c r="G31" s="183">
        <v>0</v>
      </c>
      <c r="H31" s="183">
        <v>0</v>
      </c>
      <c r="I31" s="183">
        <v>0</v>
      </c>
      <c r="J31" s="183">
        <v>0</v>
      </c>
      <c r="K31" s="183">
        <v>0</v>
      </c>
      <c r="L31" s="183">
        <v>0</v>
      </c>
      <c r="M31" s="183">
        <v>0</v>
      </c>
      <c r="N31" s="183">
        <v>0</v>
      </c>
      <c r="O31" s="183">
        <v>0</v>
      </c>
      <c r="P31" s="183">
        <v>0</v>
      </c>
      <c r="Q31" s="183">
        <v>0</v>
      </c>
      <c r="R31" s="183">
        <v>0</v>
      </c>
      <c r="S31" s="183">
        <v>0</v>
      </c>
      <c r="T31" s="183">
        <v>0</v>
      </c>
      <c r="U31" s="183">
        <v>0</v>
      </c>
      <c r="V31" s="183">
        <v>0</v>
      </c>
      <c r="W31" s="183">
        <v>0</v>
      </c>
      <c r="X31" s="183">
        <v>0</v>
      </c>
      <c r="Y31" s="183">
        <v>0</v>
      </c>
      <c r="Z31" s="183">
        <v>0</v>
      </c>
      <c r="AA31" s="183">
        <v>0</v>
      </c>
      <c r="AB31" s="183">
        <v>0</v>
      </c>
      <c r="AC31" s="183">
        <v>0</v>
      </c>
      <c r="AD31" s="183">
        <v>0</v>
      </c>
      <c r="AE31" s="183">
        <v>0</v>
      </c>
      <c r="AF31" s="183">
        <v>0</v>
      </c>
      <c r="AG31" s="183">
        <v>0</v>
      </c>
      <c r="AH31" s="183">
        <v>0</v>
      </c>
      <c r="AI31" s="183">
        <v>0</v>
      </c>
      <c r="AJ31" s="183">
        <v>0</v>
      </c>
      <c r="AK31" s="183">
        <v>0</v>
      </c>
      <c r="AL31" s="183">
        <v>0</v>
      </c>
      <c r="AM31" s="183">
        <v>0</v>
      </c>
      <c r="AN31" s="183">
        <v>0</v>
      </c>
    </row>
    <row r="32" spans="2:50" x14ac:dyDescent="0.25">
      <c r="B32" s="39" t="str">
        <f>Base!B37</f>
        <v>Tertiary Direct Staff - Service B</v>
      </c>
      <c r="C32" s="4"/>
      <c r="E32" s="183" cm="1">
        <f t="array" ref="E32:AN32">_xlfn.LET(_xlpm.site,$B$1&amp;"-"&amp;$C$1,_xlpm.locations,Base!$D$4:$BD$4,_xlpm.rates,Base!$D37:$BD37,_xlpm.hours,Base!$D80:$BD80,_xlpm.comp,_xlpm.rates*_xlpm.hours,_xlpm.Customer,_xlfn.ANCHORARRAY($E$1)*0,
_xlpm.Customer_comp,_xlfn.XLOOKUP(_xlpm.site,_xlpm.locations,_xlpm.comp,0,0),_xlpm.ann_incr,_xlfn.XLOOKUP(YEAR(_xlfn.ANCHORARRAY($E$25)),Base!$BJ$4:$BL$4,Base!$BJ80:$BL80,0,0),
_xlpm.bad_debt,_xlfn.XLOOKUP(_xlpm.site,_xlpm.locations,Base!$D$28:$BD$28,0,0),_xlpm.Customer_comp*_xlpm.Customer*_xlpm.bad_debt*_xlpm.ann_incr*(52/12))</f>
        <v>0</v>
      </c>
      <c r="F32" s="183">
        <v>0</v>
      </c>
      <c r="G32" s="183">
        <v>0</v>
      </c>
      <c r="H32" s="183">
        <v>0</v>
      </c>
      <c r="I32" s="183">
        <v>0</v>
      </c>
      <c r="J32" s="183">
        <v>0</v>
      </c>
      <c r="K32" s="183">
        <v>0</v>
      </c>
      <c r="L32" s="183">
        <v>0</v>
      </c>
      <c r="M32" s="183">
        <v>0</v>
      </c>
      <c r="N32" s="183">
        <v>0</v>
      </c>
      <c r="O32" s="183">
        <v>0</v>
      </c>
      <c r="P32" s="183">
        <v>0</v>
      </c>
      <c r="Q32" s="183">
        <v>0</v>
      </c>
      <c r="R32" s="183">
        <v>0</v>
      </c>
      <c r="S32" s="183">
        <v>0</v>
      </c>
      <c r="T32" s="183">
        <v>0</v>
      </c>
      <c r="U32" s="183">
        <v>0</v>
      </c>
      <c r="V32" s="183">
        <v>0</v>
      </c>
      <c r="W32" s="183">
        <v>0</v>
      </c>
      <c r="X32" s="183">
        <v>0</v>
      </c>
      <c r="Y32" s="183">
        <v>0</v>
      </c>
      <c r="Z32" s="183">
        <v>0</v>
      </c>
      <c r="AA32" s="183">
        <v>0</v>
      </c>
      <c r="AB32" s="183">
        <v>0</v>
      </c>
      <c r="AC32" s="183">
        <v>0</v>
      </c>
      <c r="AD32" s="183">
        <v>0</v>
      </c>
      <c r="AE32" s="183">
        <v>0</v>
      </c>
      <c r="AF32" s="183">
        <v>0</v>
      </c>
      <c r="AG32" s="183">
        <v>0</v>
      </c>
      <c r="AH32" s="183">
        <v>0</v>
      </c>
      <c r="AI32" s="183">
        <v>0</v>
      </c>
      <c r="AJ32" s="183">
        <v>0</v>
      </c>
      <c r="AK32" s="183">
        <v>0</v>
      </c>
      <c r="AL32" s="183">
        <v>0</v>
      </c>
      <c r="AM32" s="183">
        <v>0</v>
      </c>
      <c r="AN32" s="183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_xlpm.Customer,_xlfn.ANCHORARRAY($E$2),_xlpm.ann_incr,_xlfn.XLOOKUP(YEAR(_xlfn.ANCHORARRAY($E$25)),Base!$BJ$4:$BL$4,Base!$BJ$81:$BL$81,0,0),
_xlpm.bad_debt,_xlfn.XLOOKUP(_xlpm.site,_xlpm.locations,Base!$D$28:$BD$28,0,0),
_xlpm.comp*_xlpm.bad_debt*_xlpm.ann_incr*(52/12))</f>
        <v>0</v>
      </c>
      <c r="F33" s="12">
        <v>0</v>
      </c>
      <c r="G33" s="12">
        <v>0</v>
      </c>
      <c r="H33" s="12">
        <v>0</v>
      </c>
      <c r="I33" s="12">
        <v>0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2">
        <v>0</v>
      </c>
      <c r="Y33" s="12">
        <v>0</v>
      </c>
      <c r="Z33" s="12">
        <v>0</v>
      </c>
      <c r="AA33" s="12">
        <v>0</v>
      </c>
      <c r="AB33" s="12">
        <v>0</v>
      </c>
      <c r="AC33" s="12">
        <v>0</v>
      </c>
      <c r="AD33" s="12">
        <v>0</v>
      </c>
      <c r="AE33" s="12">
        <v>0</v>
      </c>
      <c r="AF33" s="12">
        <v>0</v>
      </c>
      <c r="AG33" s="12">
        <v>0</v>
      </c>
      <c r="AH33" s="12">
        <v>0</v>
      </c>
      <c r="AI33" s="12">
        <v>0</v>
      </c>
      <c r="AJ33" s="12">
        <v>0</v>
      </c>
      <c r="AK33" s="12">
        <v>0</v>
      </c>
      <c r="AL33" s="12">
        <v>0</v>
      </c>
      <c r="AM33" s="12">
        <v>0</v>
      </c>
      <c r="AN33" s="12">
        <v>0</v>
      </c>
    </row>
    <row r="34" spans="2:40" x14ac:dyDescent="0.25">
      <c r="B34" s="39" t="str">
        <f>Base!B39</f>
        <v>Quinary Direct Staff - Service A</v>
      </c>
      <c r="C34" s="4"/>
      <c r="E34" s="183" cm="1">
        <f t="array" ref="E34:AN34">_xlfn.LET(_xlpm.site,$B$1&amp;"-"&amp;$C$1,_xlpm.locations,Base!$D$4:$BD$4,_xlpm.rates,Base!$D39:$BD39,_xlpm.hours,Base!$D82:$BD82,_xlpm.comp,_xlpm.rates*_xlpm.hours,_xlpm.Customer,_xlfn.ANCHORARRAY($E$1)*0,
_xlpm.Customer_comp,_xlfn.XLOOKUP(_xlpm.site,_xlpm.locations,_xlpm.comp,0,0),_xlpm.ann_incr,_xlfn.XLOOKUP(YEAR(_xlfn.ANCHORARRAY($E$25)),Base!$BJ$4:$BL$4,Base!$BJ82:$BL82,0,0),
_xlpm.bad_debt,_xlfn.XLOOKUP(_xlpm.site,_xlpm.locations,Base!$D$28:$BD$28,0,0),_xlpm.Customer_comp*_xlpm.Customer*_xlpm.bad_debt*_xlpm.ann_incr*(52/12))</f>
        <v>0</v>
      </c>
      <c r="F34" s="183">
        <v>0</v>
      </c>
      <c r="G34" s="183">
        <v>0</v>
      </c>
      <c r="H34" s="183">
        <v>0</v>
      </c>
      <c r="I34" s="183">
        <v>0</v>
      </c>
      <c r="J34" s="183">
        <v>0</v>
      </c>
      <c r="K34" s="183">
        <v>0</v>
      </c>
      <c r="L34" s="183">
        <v>0</v>
      </c>
      <c r="M34" s="183">
        <v>0</v>
      </c>
      <c r="N34" s="183">
        <v>0</v>
      </c>
      <c r="O34" s="183">
        <v>0</v>
      </c>
      <c r="P34" s="183">
        <v>0</v>
      </c>
      <c r="Q34" s="183">
        <v>0</v>
      </c>
      <c r="R34" s="183">
        <v>0</v>
      </c>
      <c r="S34" s="183">
        <v>0</v>
      </c>
      <c r="T34" s="183">
        <v>0</v>
      </c>
      <c r="U34" s="183">
        <v>0</v>
      </c>
      <c r="V34" s="183">
        <v>0</v>
      </c>
      <c r="W34" s="183">
        <v>0</v>
      </c>
      <c r="X34" s="183">
        <v>0</v>
      </c>
      <c r="Y34" s="183">
        <v>0</v>
      </c>
      <c r="Z34" s="183">
        <v>0</v>
      </c>
      <c r="AA34" s="183">
        <v>0</v>
      </c>
      <c r="AB34" s="183">
        <v>0</v>
      </c>
      <c r="AC34" s="183">
        <v>0</v>
      </c>
      <c r="AD34" s="183">
        <v>0</v>
      </c>
      <c r="AE34" s="183">
        <v>0</v>
      </c>
      <c r="AF34" s="183">
        <v>0</v>
      </c>
      <c r="AG34" s="183">
        <v>0</v>
      </c>
      <c r="AH34" s="183">
        <v>0</v>
      </c>
      <c r="AI34" s="183">
        <v>0</v>
      </c>
      <c r="AJ34" s="183">
        <v>0</v>
      </c>
      <c r="AK34" s="183">
        <v>0</v>
      </c>
      <c r="AL34" s="183">
        <v>0</v>
      </c>
      <c r="AM34" s="183">
        <v>0</v>
      </c>
      <c r="AN34" s="183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0</v>
      </c>
      <c r="F35" s="12">
        <v>0</v>
      </c>
      <c r="G35" s="12">
        <v>0</v>
      </c>
      <c r="H35" s="12">
        <v>0</v>
      </c>
      <c r="I35" s="12">
        <v>0</v>
      </c>
      <c r="J35" s="12">
        <v>0</v>
      </c>
      <c r="K35" s="12">
        <v>0</v>
      </c>
      <c r="L35" s="12">
        <v>0</v>
      </c>
      <c r="M35" s="12">
        <v>0</v>
      </c>
      <c r="N35" s="12">
        <v>0</v>
      </c>
      <c r="O35" s="12">
        <v>0</v>
      </c>
      <c r="P35" s="12">
        <v>0</v>
      </c>
      <c r="Q35" s="12">
        <v>-662.10720268639989</v>
      </c>
      <c r="R35" s="12">
        <v>-1986.3216080591994</v>
      </c>
      <c r="S35" s="12">
        <v>-3310.536013431999</v>
      </c>
      <c r="T35" s="12">
        <v>-3972.6432161183989</v>
      </c>
      <c r="U35" s="12">
        <v>-5296.8576214911991</v>
      </c>
      <c r="V35" s="12">
        <v>-6621.072026863998</v>
      </c>
      <c r="W35" s="12">
        <v>-7945.2864322367977</v>
      </c>
      <c r="X35" s="12">
        <v>-8607.393634923199</v>
      </c>
      <c r="Y35" s="12">
        <v>-9931.608040295996</v>
      </c>
      <c r="Z35" s="12">
        <v>-11255.822445668797</v>
      </c>
      <c r="AA35" s="12">
        <v>-11917.929648355197</v>
      </c>
      <c r="AB35" s="12">
        <v>-13242.144053727996</v>
      </c>
      <c r="AC35" s="12">
        <v>-14566.3584591008</v>
      </c>
      <c r="AD35" s="12">
        <v>-15890.572864473595</v>
      </c>
      <c r="AE35" s="12">
        <v>-15890.572864473595</v>
      </c>
      <c r="AF35" s="12">
        <v>-15890.572864473595</v>
      </c>
      <c r="AG35" s="12">
        <v>-15890.572864473595</v>
      </c>
      <c r="AH35" s="12">
        <v>-15890.572864473595</v>
      </c>
      <c r="AI35" s="12">
        <v>-15890.572864473595</v>
      </c>
      <c r="AJ35" s="12">
        <v>-15890.572864473595</v>
      </c>
      <c r="AK35" s="12">
        <v>-15890.572864473595</v>
      </c>
      <c r="AL35" s="12">
        <v>-15890.572864473595</v>
      </c>
      <c r="AM35" s="12">
        <v>-15890.572864473595</v>
      </c>
      <c r="AN35" s="12">
        <v>-15890.572864473595</v>
      </c>
    </row>
    <row r="36" spans="2:40" x14ac:dyDescent="0.25">
      <c r="B36" s="39" t="s">
        <v>261</v>
      </c>
      <c r="C36" s="15"/>
      <c r="E36" s="183" cm="1">
        <f t="array" ref="E36:AN36">_xlfn.BYCOL(_xlfn.ANCHORARRAY($E$25),_xlfn.LAMBDA(_xlpm.a,0))</f>
        <v>0</v>
      </c>
      <c r="F36" s="183">
        <v>0</v>
      </c>
      <c r="G36" s="183">
        <v>0</v>
      </c>
      <c r="H36" s="183">
        <v>0</v>
      </c>
      <c r="I36" s="183">
        <v>0</v>
      </c>
      <c r="J36" s="183">
        <v>0</v>
      </c>
      <c r="K36" s="183">
        <v>0</v>
      </c>
      <c r="L36" s="183">
        <v>0</v>
      </c>
      <c r="M36" s="183">
        <v>0</v>
      </c>
      <c r="N36" s="183">
        <v>0</v>
      </c>
      <c r="O36" s="183">
        <v>0</v>
      </c>
      <c r="P36" s="183">
        <v>0</v>
      </c>
      <c r="Q36" s="183">
        <v>0</v>
      </c>
      <c r="R36" s="183">
        <v>0</v>
      </c>
      <c r="S36" s="183">
        <v>0</v>
      </c>
      <c r="T36" s="183">
        <v>0</v>
      </c>
      <c r="U36" s="183">
        <v>0</v>
      </c>
      <c r="V36" s="183">
        <v>0</v>
      </c>
      <c r="W36" s="183">
        <v>0</v>
      </c>
      <c r="X36" s="183">
        <v>0</v>
      </c>
      <c r="Y36" s="183">
        <v>0</v>
      </c>
      <c r="Z36" s="183">
        <v>0</v>
      </c>
      <c r="AA36" s="183">
        <v>0</v>
      </c>
      <c r="AB36" s="183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271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4855.4528197002655</v>
      </c>
      <c r="R37" s="13">
        <v>14566.358459100797</v>
      </c>
      <c r="S37" s="13">
        <v>24277.264098501328</v>
      </c>
      <c r="T37" s="13">
        <v>29132.716918201593</v>
      </c>
      <c r="U37" s="13">
        <v>38843.622557602124</v>
      </c>
      <c r="V37" s="13">
        <v>48554.528197002655</v>
      </c>
      <c r="W37" s="13">
        <v>58265.433836403186</v>
      </c>
      <c r="X37" s="13">
        <v>63120.886656103467</v>
      </c>
      <c r="Y37" s="13">
        <v>72831.792295503983</v>
      </c>
      <c r="Z37" s="13">
        <v>82542.697934904514</v>
      </c>
      <c r="AA37" s="13">
        <v>87398.15075460478</v>
      </c>
      <c r="AB37" s="13">
        <v>97109.056394005311</v>
      </c>
      <c r="AC37" s="13">
        <v>106819.96203340587</v>
      </c>
      <c r="AD37" s="13">
        <v>116530.86767280637</v>
      </c>
      <c r="AE37" s="13">
        <v>116530.86767280637</v>
      </c>
      <c r="AF37" s="13">
        <v>116530.86767280637</v>
      </c>
      <c r="AG37" s="13">
        <v>116530.86767280637</v>
      </c>
      <c r="AH37" s="13">
        <v>116530.86767280637</v>
      </c>
      <c r="AI37" s="13">
        <v>116530.86767280637</v>
      </c>
      <c r="AJ37" s="13">
        <v>116530.86767280637</v>
      </c>
      <c r="AK37" s="13">
        <v>116530.86767280637</v>
      </c>
      <c r="AL37" s="13">
        <v>116530.86767280637</v>
      </c>
      <c r="AM37" s="13">
        <v>116530.86767280637</v>
      </c>
      <c r="AN37" s="13">
        <v>116530.86767280637</v>
      </c>
    </row>
    <row r="38" spans="2:40" x14ac:dyDescent="0.25">
      <c r="E38" s="67"/>
      <c r="F38" s="67"/>
    </row>
    <row r="39" spans="2:40" x14ac:dyDescent="0.25">
      <c r="B39" s="1" t="s">
        <v>118</v>
      </c>
    </row>
    <row r="40" spans="2:40" x14ac:dyDescent="0.25">
      <c r="B40" s="39" t="s">
        <v>23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0</v>
      </c>
      <c r="F40" s="12">
        <v>0</v>
      </c>
      <c r="G40" s="12">
        <v>0</v>
      </c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0</v>
      </c>
      <c r="N40" s="12">
        <v>0</v>
      </c>
      <c r="O40" s="12">
        <v>0</v>
      </c>
      <c r="P40" s="12">
        <v>0</v>
      </c>
      <c r="Q40" s="12">
        <v>12714.606035951665</v>
      </c>
      <c r="R40" s="12">
        <v>24896.080576743872</v>
      </c>
      <c r="S40" s="12">
        <v>28520.380117536086</v>
      </c>
      <c r="T40" s="12">
        <v>30815.017387932185</v>
      </c>
      <c r="U40" s="12">
        <v>34707.80859539107</v>
      </c>
      <c r="V40" s="12">
        <v>38332.108136183277</v>
      </c>
      <c r="W40" s="12">
        <v>42335.851442531042</v>
      </c>
      <c r="X40" s="12">
        <v>44572.0053795938</v>
      </c>
      <c r="Y40" s="12">
        <v>48254.788253719358</v>
      </c>
      <c r="Z40" s="12">
        <v>52147.579461178226</v>
      </c>
      <c r="AA40" s="12">
        <v>54383.733398240984</v>
      </c>
      <c r="AB40" s="12">
        <v>58066.516272366534</v>
      </c>
      <c r="AC40" s="12">
        <v>68174.939703252414</v>
      </c>
      <c r="AD40" s="12">
        <v>69161.474198123848</v>
      </c>
      <c r="AE40" s="12">
        <v>69161.474198123848</v>
      </c>
      <c r="AF40" s="12">
        <v>69161.474198123848</v>
      </c>
      <c r="AG40" s="12">
        <v>69161.474198123848</v>
      </c>
      <c r="AH40" s="12">
        <v>69161.474198123848</v>
      </c>
      <c r="AI40" s="12">
        <v>69161.474198123848</v>
      </c>
      <c r="AJ40" s="12">
        <v>69161.474198123848</v>
      </c>
      <c r="AK40" s="12">
        <v>69161.474198123848</v>
      </c>
      <c r="AL40" s="12">
        <v>69161.474198123848</v>
      </c>
      <c r="AM40" s="12">
        <v>69161.474198123848</v>
      </c>
      <c r="AN40" s="12">
        <v>69161.474198123848</v>
      </c>
    </row>
    <row r="41" spans="2:40" x14ac:dyDescent="0.25">
      <c r="B41" s="39" t="s">
        <v>388</v>
      </c>
      <c r="C41" s="142">
        <f>_xlfn.XLOOKUP($B$1&amp;"-"&amp;$C$1,Base!$D$4:$BD$4,Base!$D$12:$BD$12,0,0)</f>
        <v>0</v>
      </c>
      <c r="E41" s="183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28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0</v>
      </c>
      <c r="AJ42" s="12">
        <v>0</v>
      </c>
      <c r="AK42" s="12">
        <v>0</v>
      </c>
      <c r="AL42" s="12">
        <v>0</v>
      </c>
      <c r="AM42" s="12">
        <v>0</v>
      </c>
      <c r="AN42" s="12">
        <v>0</v>
      </c>
    </row>
    <row r="43" spans="2:40" x14ac:dyDescent="0.25">
      <c r="B43" s="39" t="s">
        <v>31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0</v>
      </c>
      <c r="X43" s="12">
        <v>0</v>
      </c>
      <c r="Y43" s="12">
        <v>0</v>
      </c>
      <c r="Z43" s="12">
        <v>0</v>
      </c>
      <c r="AA43" s="12">
        <v>0</v>
      </c>
      <c r="AB43" s="12">
        <v>0</v>
      </c>
      <c r="AC43" s="12">
        <v>0</v>
      </c>
      <c r="AD43" s="12">
        <v>0</v>
      </c>
      <c r="AE43" s="12">
        <v>0</v>
      </c>
      <c r="AF43" s="12">
        <v>0</v>
      </c>
      <c r="AG43" s="12">
        <v>0</v>
      </c>
      <c r="AH43" s="12">
        <v>0</v>
      </c>
      <c r="AI43" s="12">
        <v>0</v>
      </c>
      <c r="AJ43" s="12">
        <v>0</v>
      </c>
      <c r="AK43" s="12">
        <v>0</v>
      </c>
      <c r="AL43" s="12">
        <v>0</v>
      </c>
      <c r="AM43" s="12">
        <v>0</v>
      </c>
      <c r="AN43" s="12">
        <v>0</v>
      </c>
    </row>
    <row r="44" spans="2:40" x14ac:dyDescent="0.25">
      <c r="B44" s="39" t="s">
        <v>34</v>
      </c>
      <c r="C44" s="96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  <c r="O44" s="12">
        <v>0</v>
      </c>
      <c r="P44" s="12">
        <v>0</v>
      </c>
      <c r="Q44" s="12">
        <v>364.434304</v>
      </c>
      <c r="R44" s="12">
        <v>883.05235200000004</v>
      </c>
      <c r="S44" s="12">
        <v>900.57323200000008</v>
      </c>
      <c r="T44" s="12">
        <v>928.60663999999997</v>
      </c>
      <c r="U44" s="12">
        <v>956.64004799999998</v>
      </c>
      <c r="V44" s="12">
        <v>974.16092800000001</v>
      </c>
      <c r="W44" s="12">
        <v>1002.1943359999998</v>
      </c>
      <c r="X44" s="12">
        <v>1026.7235680000001</v>
      </c>
      <c r="Y44" s="12">
        <v>1047.7486240000003</v>
      </c>
      <c r="Z44" s="12">
        <v>1075.7820319999998</v>
      </c>
      <c r="AA44" s="12">
        <v>1100.3112639999999</v>
      </c>
      <c r="AB44" s="12">
        <v>1121.3363200000001</v>
      </c>
      <c r="AC44" s="12">
        <v>1195.3445171200001</v>
      </c>
      <c r="AD44" s="12">
        <v>1071.4368537600003</v>
      </c>
      <c r="AE44" s="12">
        <v>1071.4368537600003</v>
      </c>
      <c r="AF44" s="12">
        <v>1071.4368537600003</v>
      </c>
      <c r="AG44" s="12">
        <v>1071.4368537600003</v>
      </c>
      <c r="AH44" s="12">
        <v>1071.4368537600003</v>
      </c>
      <c r="AI44" s="12">
        <v>1071.4368537600003</v>
      </c>
      <c r="AJ44" s="12">
        <v>1071.4368537600003</v>
      </c>
      <c r="AK44" s="12">
        <v>1071.4368537600003</v>
      </c>
      <c r="AL44" s="12">
        <v>1071.4368537600003</v>
      </c>
      <c r="AM44" s="12">
        <v>1071.4368537600003</v>
      </c>
      <c r="AN44" s="12">
        <v>1071.4368537600003</v>
      </c>
    </row>
    <row r="45" spans="2:40" x14ac:dyDescent="0.25">
      <c r="B45" s="39" t="s">
        <v>36</v>
      </c>
      <c r="C45" s="96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0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12">
        <v>4590</v>
      </c>
      <c r="R45" s="12">
        <v>4590</v>
      </c>
      <c r="S45" s="12">
        <v>4590</v>
      </c>
      <c r="T45" s="12">
        <v>4590</v>
      </c>
      <c r="U45" s="12">
        <v>4590</v>
      </c>
      <c r="V45" s="12">
        <v>4590</v>
      </c>
      <c r="W45" s="12">
        <v>4590</v>
      </c>
      <c r="X45" s="12">
        <v>4590</v>
      </c>
      <c r="Y45" s="12">
        <v>4590</v>
      </c>
      <c r="Z45" s="12">
        <v>4590</v>
      </c>
      <c r="AA45" s="12">
        <v>4590</v>
      </c>
      <c r="AB45" s="12">
        <v>4590</v>
      </c>
      <c r="AC45" s="12">
        <v>4681.8</v>
      </c>
      <c r="AD45" s="12">
        <v>4681.8</v>
      </c>
      <c r="AE45" s="12">
        <v>4681.8</v>
      </c>
      <c r="AF45" s="12">
        <v>4681.8</v>
      </c>
      <c r="AG45" s="12">
        <v>4681.8</v>
      </c>
      <c r="AH45" s="12">
        <v>4681.8</v>
      </c>
      <c r="AI45" s="12">
        <v>4681.8</v>
      </c>
      <c r="AJ45" s="12">
        <v>4681.8</v>
      </c>
      <c r="AK45" s="12">
        <v>4681.8</v>
      </c>
      <c r="AL45" s="12">
        <v>4681.8</v>
      </c>
      <c r="AM45" s="12">
        <v>4681.8</v>
      </c>
      <c r="AN45" s="12">
        <v>4681.8</v>
      </c>
    </row>
    <row r="46" spans="2:40" x14ac:dyDescent="0.25">
      <c r="B46" s="39" t="s">
        <v>38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0</v>
      </c>
      <c r="F46" s="12">
        <v>0</v>
      </c>
      <c r="G46" s="12">
        <v>0</v>
      </c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0</v>
      </c>
      <c r="N46" s="12">
        <v>0</v>
      </c>
      <c r="O46" s="12">
        <v>0</v>
      </c>
      <c r="P46" s="12">
        <v>0</v>
      </c>
      <c r="Q46" s="12">
        <v>2203.1999999999998</v>
      </c>
      <c r="R46" s="12">
        <v>3508.7999999999993</v>
      </c>
      <c r="S46" s="12">
        <v>4085.0999999999995</v>
      </c>
      <c r="T46" s="12">
        <v>4401.3</v>
      </c>
      <c r="U46" s="12">
        <v>4992.9000000000005</v>
      </c>
      <c r="V46" s="12">
        <v>5569.1999999999989</v>
      </c>
      <c r="W46" s="12">
        <v>6171.0000000000009</v>
      </c>
      <c r="X46" s="12">
        <v>6482.1000000000013</v>
      </c>
      <c r="Y46" s="12">
        <v>7063.5000000000009</v>
      </c>
      <c r="Z46" s="12">
        <v>7655.1</v>
      </c>
      <c r="AA46" s="12">
        <v>7966.1999999999989</v>
      </c>
      <c r="AB46" s="12">
        <v>8547.6</v>
      </c>
      <c r="AC46" s="12">
        <v>9327.1859999999997</v>
      </c>
      <c r="AD46" s="12">
        <v>9717.3359999999993</v>
      </c>
      <c r="AE46" s="12">
        <v>9717.3359999999993</v>
      </c>
      <c r="AF46" s="12">
        <v>9717.3359999999993</v>
      </c>
      <c r="AG46" s="12">
        <v>9717.3359999999993</v>
      </c>
      <c r="AH46" s="12">
        <v>9717.3359999999993</v>
      </c>
      <c r="AI46" s="12">
        <v>9717.3359999999993</v>
      </c>
      <c r="AJ46" s="12">
        <v>9717.3359999999993</v>
      </c>
      <c r="AK46" s="12">
        <v>9717.3359999999993</v>
      </c>
      <c r="AL46" s="12">
        <v>9717.3359999999993</v>
      </c>
      <c r="AM46" s="12">
        <v>9717.3359999999993</v>
      </c>
      <c r="AN46" s="12">
        <v>9717.3359999999993</v>
      </c>
    </row>
    <row r="47" spans="2:40" x14ac:dyDescent="0.25">
      <c r="B47" s="39" t="s">
        <v>40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  <c r="O47" s="12">
        <v>0</v>
      </c>
      <c r="P47" s="12">
        <v>0</v>
      </c>
      <c r="Q47" s="12">
        <v>2047.5</v>
      </c>
      <c r="R47" s="12">
        <v>2047.5</v>
      </c>
      <c r="S47" s="12">
        <v>2047.5</v>
      </c>
      <c r="T47" s="12">
        <v>2047.5</v>
      </c>
      <c r="U47" s="12">
        <v>2047.5</v>
      </c>
      <c r="V47" s="12">
        <v>2047.5</v>
      </c>
      <c r="W47" s="12">
        <v>2047.5</v>
      </c>
      <c r="X47" s="12">
        <v>2047.5</v>
      </c>
      <c r="Y47" s="12">
        <v>2047.5</v>
      </c>
      <c r="Z47" s="12">
        <v>2047.5</v>
      </c>
      <c r="AA47" s="12">
        <v>2047.5</v>
      </c>
      <c r="AB47" s="12">
        <v>2047.5</v>
      </c>
      <c r="AC47" s="12">
        <v>2149.875</v>
      </c>
      <c r="AD47" s="12">
        <v>2149.875</v>
      </c>
      <c r="AE47" s="12">
        <v>2149.875</v>
      </c>
      <c r="AF47" s="12">
        <v>2149.875</v>
      </c>
      <c r="AG47" s="12">
        <v>2149.875</v>
      </c>
      <c r="AH47" s="12">
        <v>2149.875</v>
      </c>
      <c r="AI47" s="12">
        <v>2149.875</v>
      </c>
      <c r="AJ47" s="12">
        <v>2149.875</v>
      </c>
      <c r="AK47" s="12">
        <v>2149.875</v>
      </c>
      <c r="AL47" s="12">
        <v>2149.875</v>
      </c>
      <c r="AM47" s="12">
        <v>2149.875</v>
      </c>
      <c r="AN47" s="12">
        <v>2149.875</v>
      </c>
    </row>
    <row r="48" spans="2:40" x14ac:dyDescent="0.25">
      <c r="B48" s="39" t="s">
        <v>41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42</v>
      </c>
      <c r="E49" s="12">
        <f>'Corp.'!E$50*(E$37-(E31-E32-E34)*$C$35)/(SUM('MDA1:NCA9'!E$37)-SUM('MDA1:NCA9'!E$31)-SUM('MDA1:NCA9'!E$32)-SUM('MDA1:NCA9'!E$34))</f>
        <v>0</v>
      </c>
      <c r="F49" s="12">
        <f>'Corp.'!F$50*(F$37-(F31-F32-F34)*$C$35)/(SUM('MDA1:NCA9'!F$37)-SUM('MDA1:NCA9'!F$31)-SUM('MDA1:NCA9'!F$32)-SUM('MDA1:NCA9'!F$34))</f>
        <v>0</v>
      </c>
      <c r="G49" s="12">
        <f>'Corp.'!G$50*(G$37-(G31-G32-G34)*$C$35)/(SUM('MDA1:NCA9'!G$37)-SUM('MDA1:NCA9'!G$31)-SUM('MDA1:NCA9'!G$32)-SUM('MDA1:NCA9'!G$34))</f>
        <v>0</v>
      </c>
      <c r="H49" s="12">
        <f>'Corp.'!H$50*(H$37-(H31-H32-H34)*$C$35)/(SUM('MDA1:NCA9'!H$37)-SUM('MDA1:NCA9'!H$31)-SUM('MDA1:NCA9'!H$32)-SUM('MDA1:NCA9'!H$34))</f>
        <v>0</v>
      </c>
      <c r="I49" s="12">
        <f>'Corp.'!I$50*(I$37-(I31-I32-I34)*$C$35)/(SUM('MDA1:NCA9'!I$37)-SUM('MDA1:NCA9'!I$31)-SUM('MDA1:NCA9'!I$32)-SUM('MDA1:NCA9'!I$34))</f>
        <v>0</v>
      </c>
      <c r="J49" s="12">
        <f>'Corp.'!J$50*(J$37-(J31-J32-J34)*$C$35)/(SUM('MDA1:NCA9'!J$37)-SUM('MDA1:NCA9'!J$31)-SUM('MDA1:NCA9'!J$32)-SUM('MDA1:NCA9'!J$34))</f>
        <v>0</v>
      </c>
      <c r="K49" s="12">
        <f>'Corp.'!K$50*(K$37-(K31-K32-K34)*$C$35)/(SUM('MDA1:NCA9'!K$37)-SUM('MDA1:NCA9'!K$31)-SUM('MDA1:NCA9'!K$32)-SUM('MDA1:NCA9'!K$34))</f>
        <v>0</v>
      </c>
      <c r="L49" s="12">
        <f>'Corp.'!L$50*(L$37-(L31-L32-L34)*$C$35)/(SUM('MDA1:NCA9'!L$37)-SUM('MDA1:NCA9'!L$31)-SUM('MDA1:NCA9'!L$32)-SUM('MDA1:NCA9'!L$34))</f>
        <v>0</v>
      </c>
      <c r="M49" s="12">
        <f>'Corp.'!M$50*(M$37-(M31-M32-M34)*$C$35)/(SUM('MDA1:NCA9'!M$37)-SUM('MDA1:NCA9'!M$31)-SUM('MDA1:NCA9'!M$32)-SUM('MDA1:NCA9'!M$34))</f>
        <v>0</v>
      </c>
      <c r="N49" s="12">
        <f>'Corp.'!N$50*(N$37-(N31-N32-N34)*$C$35)/(SUM('MDA1:NCA9'!N$37)-SUM('MDA1:NCA9'!N$31)-SUM('MDA1:NCA9'!N$32)-SUM('MDA1:NCA9'!N$34))</f>
        <v>0</v>
      </c>
      <c r="O49" s="12">
        <f>'Corp.'!O$50*(O$37-(O31-O32-O34)*$C$35)/(SUM('MDA1:NCA9'!O$37)-SUM('MDA1:NCA9'!O$31)-SUM('MDA1:NCA9'!O$32)-SUM('MDA1:NCA9'!O$34))</f>
        <v>0</v>
      </c>
      <c r="P49" s="12">
        <f>'Corp.'!P$50*(P$37-(P31-P32-P34)*$C$35)/(SUM('MDA1:NCA9'!P$37)-SUM('MDA1:NCA9'!P$31)-SUM('MDA1:NCA9'!P$32)-SUM('MDA1:NCA9'!P$34))</f>
        <v>0</v>
      </c>
      <c r="Q49" s="12">
        <f>'Corp.'!Q$50*(Q$37-(Q31-Q32-Q34)*$C$35)/(SUM('MDA1:NCA9'!Q$37)-SUM('MDA1:NCA9'!Q$31)-SUM('MDA1:NCA9'!Q$32)-SUM('MDA1:NCA9'!Q$34))</f>
        <v>751.14931979190987</v>
      </c>
      <c r="R49" s="12">
        <f>'Corp.'!R$50*(R$37-(R31-R32-R34)*$C$35)/(SUM('MDA1:NCA9'!R$37)-SUM('MDA1:NCA9'!R$31)-SUM('MDA1:NCA9'!R$32)-SUM('MDA1:NCA9'!R$34))</f>
        <v>2168.0947546310235</v>
      </c>
      <c r="S49" s="12">
        <f>'Corp.'!S$50*(S$37-(S31-S32-S34)*$C$35)/(SUM('MDA1:NCA9'!S$37)-SUM('MDA1:NCA9'!S$31)-SUM('MDA1:NCA9'!S$32)-SUM('MDA1:NCA9'!S$34))</f>
        <v>3457.1238217003838</v>
      </c>
      <c r="T49" s="12">
        <f>'Corp.'!T$50*(T$37-(T31-T32-T34)*$C$35)/(SUM('MDA1:NCA9'!T$37)-SUM('MDA1:NCA9'!T$31)-SUM('MDA1:NCA9'!T$32)-SUM('MDA1:NCA9'!T$34))</f>
        <v>3989.7180215339163</v>
      </c>
      <c r="U49" s="12">
        <f>'Corp.'!U$50*(U$37-(U31-U32-U34)*$C$35)/(SUM('MDA1:NCA9'!U$37)-SUM('MDA1:NCA9'!U$31)-SUM('MDA1:NCA9'!U$32)-SUM('MDA1:NCA9'!U$34))</f>
        <v>5174.4288908612616</v>
      </c>
      <c r="V49" s="12">
        <f>'Corp.'!V$50*(V$37-(V31-V32-V34)*$C$35)/(SUM('MDA1:NCA9'!V$37)-SUM('MDA1:NCA9'!V$31)-SUM('MDA1:NCA9'!V$32)-SUM('MDA1:NCA9'!V$34))</f>
        <v>6320.0645471175458</v>
      </c>
      <c r="W49" s="12">
        <f>'Corp.'!W$50*(W$37-(W31-W32-W34)*$C$35)/(SUM('MDA1:NCA9'!W$37)-SUM('MDA1:NCA9'!W$31)-SUM('MDA1:NCA9'!W$32)-SUM('MDA1:NCA9'!W$34))</f>
        <v>7353.5783364787549</v>
      </c>
      <c r="X49" s="12">
        <f>'Corp.'!X$50*(X$37-(X31-X32-X34)*$C$35)/(SUM('MDA1:NCA9'!X$37)-SUM('MDA1:NCA9'!X$31)-SUM('MDA1:NCA9'!X$32)-SUM('MDA1:NCA9'!X$34))</f>
        <v>7716.8404778738959</v>
      </c>
      <c r="Y49" s="12">
        <f>'Corp.'!Y$50*(Y$37-(Y31-Y32-Y34)*$C$35)/(SUM('MDA1:NCA9'!Y$37)-SUM('MDA1:NCA9'!Y$31)-SUM('MDA1:NCA9'!Y$32)-SUM('MDA1:NCA9'!Y$34))</f>
        <v>8715.4018489003192</v>
      </c>
      <c r="Z49" s="12">
        <f>'Corp.'!Z$50*(Z$37-(Z31-Z32-Z34)*$C$35)/(SUM('MDA1:NCA9'!Z$37)-SUM('MDA1:NCA9'!Z$31)-SUM('MDA1:NCA9'!Z$32)-SUM('MDA1:NCA9'!Z$34))</f>
        <v>9662.9408019745861</v>
      </c>
      <c r="AA49" s="12">
        <f>'Corp.'!AA$50*(AA$37-(AA31-AA32-AA34)*$C$35)/(SUM('MDA1:NCA9'!AA$37)-SUM('MDA1:NCA9'!AA$31)-SUM('MDA1:NCA9'!AA$32)-SUM('MDA1:NCA9'!AA$34))</f>
        <v>9997.4263057915869</v>
      </c>
      <c r="AB49" s="12">
        <f>'Corp.'!AB$50*(AB$37-(AB31-AB32-AB34)*$C$35)/(SUM('MDA1:NCA9'!AB$37)-SUM('MDA1:NCA9'!AB$31)-SUM('MDA1:NCA9'!AB$32)-SUM('MDA1:NCA9'!AB$34))</f>
        <v>10856.160903215286</v>
      </c>
      <c r="AC49" s="12">
        <f>'Corp.'!AC$50*(AC$37-(AC31-AC32-AC34)*$C$35)/(SUM('MDA1:NCA9'!AC$37)-SUM('MDA1:NCA9'!AC$31)-SUM('MDA1:NCA9'!AC$32)-SUM('MDA1:NCA9'!AC$34))</f>
        <v>12816.479677850204</v>
      </c>
      <c r="AD49" s="12">
        <f>'Corp.'!AD$50*(AD$37-(AD31-AD32-AD34)*$C$35)/(SUM('MDA1:NCA9'!AD$37)-SUM('MDA1:NCA9'!AD$31)-SUM('MDA1:NCA9'!AD$32)-SUM('MDA1:NCA9'!AD$34))</f>
        <v>13751.923146368166</v>
      </c>
      <c r="AE49" s="12">
        <f>'Corp.'!AE$50*(AE$37-(AE31-AE32-AE34)*$C$35)/(SUM('MDA1:NCA9'!AE$37)-SUM('MDA1:NCA9'!AE$31)-SUM('MDA1:NCA9'!AE$32)-SUM('MDA1:NCA9'!AE$34))</f>
        <v>13535.34622972274</v>
      </c>
      <c r="AF49" s="12">
        <f>'Corp.'!AF$50*(AF$37-(AF31-AF32-AF34)*$C$35)/(SUM('MDA1:NCA9'!AF$37)-SUM('MDA1:NCA9'!AF$31)-SUM('MDA1:NCA9'!AF$32)-SUM('MDA1:NCA9'!AF$34))</f>
        <v>13332.406558402063</v>
      </c>
      <c r="AG49" s="12">
        <f>'Corp.'!AG$50*(AG$37-(AG31-AG32-AG34)*$C$35)/(SUM('MDA1:NCA9'!AG$37)-SUM('MDA1:NCA9'!AG$31)-SUM('MDA1:NCA9'!AG$32)-SUM('MDA1:NCA9'!AG$34))</f>
        <v>13169.658383003514</v>
      </c>
      <c r="AH49" s="12">
        <f>'Corp.'!AH$50*(AH$37-(AH31-AH32-AH34)*$C$35)/(SUM('MDA1:NCA9'!AH$37)-SUM('MDA1:NCA9'!AH$31)-SUM('MDA1:NCA9'!AH$32)-SUM('MDA1:NCA9'!AH$34))</f>
        <v>12955.583768442993</v>
      </c>
      <c r="AI49" s="12">
        <f>'Corp.'!AI$50*(AI$37-(AI31-AI32-AI34)*$C$35)/(SUM('MDA1:NCA9'!AI$37)-SUM('MDA1:NCA9'!AI$31)-SUM('MDA1:NCA9'!AI$32)-SUM('MDA1:NCA9'!AI$34))</f>
        <v>12732.492976971474</v>
      </c>
      <c r="AJ49" s="12">
        <f>'Corp.'!AJ$50*(AJ$37-(AJ31-AJ32-AJ34)*$C$35)/(SUM('MDA1:NCA9'!AJ$37)-SUM('MDA1:NCA9'!AJ$31)-SUM('MDA1:NCA9'!AJ$32)-SUM('MDA1:NCA9'!AJ$34))</f>
        <v>12503.922147423709</v>
      </c>
      <c r="AK49" s="12">
        <f>'Corp.'!AK$50*(AK$37-(AK31-AK32-AK34)*$C$35)/(SUM('MDA1:NCA9'!AK$37)-SUM('MDA1:NCA9'!AK$31)-SUM('MDA1:NCA9'!AK$32)-SUM('MDA1:NCA9'!AK$34))</f>
        <v>12292.865400134902</v>
      </c>
      <c r="AL49" s="12">
        <f>'Corp.'!AL$50*(AL$37-(AL31-AL32-AL34)*$C$35)/(SUM('MDA1:NCA9'!AL$37)-SUM('MDA1:NCA9'!AL$31)-SUM('MDA1:NCA9'!AL$32)-SUM('MDA1:NCA9'!AL$34))</f>
        <v>12099.18691132144</v>
      </c>
      <c r="AM49" s="12">
        <f>'Corp.'!AM$50*(AM$37-(AM31-AM32-AM34)*$C$35)/(SUM('MDA1:NCA9'!AM$37)-SUM('MDA1:NCA9'!AM$31)-SUM('MDA1:NCA9'!AM$32)-SUM('MDA1:NCA9'!AM$34))</f>
        <v>11890.604834940412</v>
      </c>
      <c r="AN49" s="12">
        <f>'Corp.'!AN$50*(AN$37-(AN31-AN32-AN34)*$C$35)/(SUM('MDA1:NCA9'!AN$37)-SUM('MDA1:NCA9'!AN$31)-SUM('MDA1:NCA9'!AN$32)-SUM('MDA1:NCA9'!AN$34))</f>
        <v>11712.805655463866</v>
      </c>
    </row>
    <row r="50" spans="2:40" x14ac:dyDescent="0.25">
      <c r="B50" s="1" t="s">
        <v>272</v>
      </c>
      <c r="E50" s="13" cm="1">
        <f t="array" ref="E50:AN50">_xlfn.BYCOL(_xlfn.VSTACK(_xlfn.ANCHORARRAY(E40),_xlfn.ANCHORARRAY(E42),_xlfn.ANCHORARRAY(E43),_xlfn.ANCHORARRAY(E45),_xlfn.ANCHORARRAY(E46),_xlfn.ANCHORARRAY(E47),_xlfn.ANCHORARRAY(E48),_xlfn.HSTACK(E49:AN49)),_xlfn.LAMBDA(_xlpm.a,SUM(_xlpm.a)))</f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0</v>
      </c>
      <c r="Q50" s="13">
        <v>22306.455355743572</v>
      </c>
      <c r="R50" s="13">
        <v>37210.475331374895</v>
      </c>
      <c r="S50" s="13">
        <v>42700.103939236469</v>
      </c>
      <c r="T50" s="13">
        <v>45843.535409466102</v>
      </c>
      <c r="U50" s="13">
        <v>51512.637486252337</v>
      </c>
      <c r="V50" s="13">
        <v>56858.872683300819</v>
      </c>
      <c r="W50" s="13">
        <v>62497.929779009799</v>
      </c>
      <c r="X50" s="13">
        <v>65408.445857467697</v>
      </c>
      <c r="Y50" s="13">
        <v>70671.190102619672</v>
      </c>
      <c r="Z50" s="13">
        <v>76103.120263152814</v>
      </c>
      <c r="AA50" s="13">
        <v>78984.859704032569</v>
      </c>
      <c r="AB50" s="13">
        <v>84107.777175581825</v>
      </c>
      <c r="AC50" s="13">
        <v>97150.280381102624</v>
      </c>
      <c r="AD50" s="13">
        <v>99462.408344492011</v>
      </c>
      <c r="AE50" s="13">
        <v>99245.831427846584</v>
      </c>
      <c r="AF50" s="13">
        <v>99042.891756525903</v>
      </c>
      <c r="AG50" s="13">
        <v>98880.143581127355</v>
      </c>
      <c r="AH50" s="13">
        <v>98666.068966566847</v>
      </c>
      <c r="AI50" s="13">
        <v>98442.978175095326</v>
      </c>
      <c r="AJ50" s="13">
        <v>98214.407345547559</v>
      </c>
      <c r="AK50" s="13">
        <v>98003.350598258752</v>
      </c>
      <c r="AL50" s="13">
        <v>97809.672109445281</v>
      </c>
      <c r="AM50" s="13">
        <v>97601.090033064262</v>
      </c>
      <c r="AN50" s="13">
        <v>97423.290853587707</v>
      </c>
    </row>
    <row r="52" spans="2:40" x14ac:dyDescent="0.25">
      <c r="B52" s="1" t="s">
        <v>48</v>
      </c>
      <c r="E52" s="74">
        <f>E37-E50</f>
        <v>0</v>
      </c>
      <c r="F52" s="74">
        <f t="shared" ref="F52:AN52" si="0">F37-F50</f>
        <v>0</v>
      </c>
      <c r="G52" s="74">
        <f t="shared" si="0"/>
        <v>0</v>
      </c>
      <c r="H52" s="74">
        <f t="shared" si="0"/>
        <v>0</v>
      </c>
      <c r="I52" s="74">
        <f t="shared" si="0"/>
        <v>0</v>
      </c>
      <c r="J52" s="74">
        <f t="shared" si="0"/>
        <v>0</v>
      </c>
      <c r="K52" s="74">
        <f t="shared" si="0"/>
        <v>0</v>
      </c>
      <c r="L52" s="74">
        <f t="shared" si="0"/>
        <v>0</v>
      </c>
      <c r="M52" s="74">
        <f t="shared" si="0"/>
        <v>0</v>
      </c>
      <c r="N52" s="74">
        <f t="shared" si="0"/>
        <v>0</v>
      </c>
      <c r="O52" s="74">
        <f t="shared" si="0"/>
        <v>0</v>
      </c>
      <c r="P52" s="74">
        <f t="shared" si="0"/>
        <v>0</v>
      </c>
      <c r="Q52" s="74">
        <f t="shared" si="0"/>
        <v>-17451.002536043306</v>
      </c>
      <c r="R52" s="74">
        <f t="shared" si="0"/>
        <v>-22644.116872274099</v>
      </c>
      <c r="S52" s="74">
        <f t="shared" si="0"/>
        <v>-18422.839840735141</v>
      </c>
      <c r="T52" s="74">
        <f t="shared" si="0"/>
        <v>-16710.818491264508</v>
      </c>
      <c r="U52" s="74">
        <f t="shared" si="0"/>
        <v>-12669.014928650213</v>
      </c>
      <c r="V52" s="74">
        <f t="shared" si="0"/>
        <v>-8304.3444862981632</v>
      </c>
      <c r="W52" s="74">
        <f t="shared" si="0"/>
        <v>-4232.4959426066125</v>
      </c>
      <c r="X52" s="74">
        <f t="shared" si="0"/>
        <v>-2287.5592013642308</v>
      </c>
      <c r="Y52" s="74">
        <f t="shared" si="0"/>
        <v>2160.6021928843111</v>
      </c>
      <c r="Z52" s="74">
        <f t="shared" si="0"/>
        <v>6439.5776717517001</v>
      </c>
      <c r="AA52" s="74">
        <f t="shared" si="0"/>
        <v>8413.2910505722102</v>
      </c>
      <c r="AB52" s="74">
        <f t="shared" si="0"/>
        <v>13001.279218423486</v>
      </c>
      <c r="AC52" s="74">
        <f t="shared" si="0"/>
        <v>9669.6816523032467</v>
      </c>
      <c r="AD52" s="74">
        <f t="shared" si="0"/>
        <v>17068.459328314362</v>
      </c>
      <c r="AE52" s="74">
        <f t="shared" si="0"/>
        <v>17285.036244959789</v>
      </c>
      <c r="AF52" s="74">
        <f t="shared" si="0"/>
        <v>17487.975916280469</v>
      </c>
      <c r="AG52" s="74">
        <f t="shared" si="0"/>
        <v>17650.724091679018</v>
      </c>
      <c r="AH52" s="74">
        <f t="shared" si="0"/>
        <v>17864.798706239526</v>
      </c>
      <c r="AI52" s="74">
        <f t="shared" si="0"/>
        <v>18087.889497711047</v>
      </c>
      <c r="AJ52" s="74">
        <f t="shared" si="0"/>
        <v>18316.460327258814</v>
      </c>
      <c r="AK52" s="74">
        <f t="shared" si="0"/>
        <v>18527.517074547621</v>
      </c>
      <c r="AL52" s="74">
        <f t="shared" si="0"/>
        <v>18721.195563361092</v>
      </c>
      <c r="AM52" s="74">
        <f t="shared" si="0"/>
        <v>18929.777639742111</v>
      </c>
      <c r="AN52" s="74">
        <f t="shared" si="0"/>
        <v>19107.576819218666</v>
      </c>
    </row>
    <row r="53" spans="2:40" x14ac:dyDescent="0.25">
      <c r="E53" s="105" t="str">
        <f>IFERROR(E52/E37,"")</f>
        <v/>
      </c>
      <c r="F53" s="105" t="str">
        <f t="shared" ref="F53:AN53" si="1">IFERROR(F52/F37,"")</f>
        <v/>
      </c>
      <c r="G53" s="105" t="str">
        <f t="shared" si="1"/>
        <v/>
      </c>
      <c r="H53" s="105" t="str">
        <f t="shared" si="1"/>
        <v/>
      </c>
      <c r="I53" s="105" t="str">
        <f t="shared" si="1"/>
        <v/>
      </c>
      <c r="J53" s="105" t="str">
        <f t="shared" si="1"/>
        <v/>
      </c>
      <c r="K53" s="105" t="str">
        <f t="shared" si="1"/>
        <v/>
      </c>
      <c r="L53" s="105" t="str">
        <f t="shared" si="1"/>
        <v/>
      </c>
      <c r="M53" s="105" t="str">
        <f t="shared" si="1"/>
        <v/>
      </c>
      <c r="N53" s="105" t="str">
        <f t="shared" si="1"/>
        <v/>
      </c>
      <c r="O53" s="105" t="str">
        <f t="shared" si="1"/>
        <v/>
      </c>
      <c r="P53" s="105" t="str">
        <f t="shared" si="1"/>
        <v/>
      </c>
      <c r="Q53" s="105">
        <f t="shared" si="1"/>
        <v>-3.5941040277929388</v>
      </c>
      <c r="R53" s="105">
        <f t="shared" si="1"/>
        <v>-1.5545489242114912</v>
      </c>
      <c r="S53" s="105">
        <f t="shared" si="1"/>
        <v>-0.75885156440969848</v>
      </c>
      <c r="T53" s="105">
        <f t="shared" si="1"/>
        <v>-0.57361002539464112</v>
      </c>
      <c r="U53" s="105">
        <f t="shared" si="1"/>
        <v>-0.32615431039839377</v>
      </c>
      <c r="V53" s="105">
        <f t="shared" si="1"/>
        <v>-0.17103130840041408</v>
      </c>
      <c r="W53" s="105">
        <f t="shared" si="1"/>
        <v>-7.2641627529806976E-2</v>
      </c>
      <c r="X53" s="105">
        <f t="shared" si="1"/>
        <v>-3.6240923132581433E-2</v>
      </c>
      <c r="Y53" s="105">
        <f t="shared" si="1"/>
        <v>2.9665646344634696E-2</v>
      </c>
      <c r="Z53" s="105">
        <f t="shared" si="1"/>
        <v>7.8015110153415765E-2</v>
      </c>
      <c r="AA53" s="105">
        <f t="shared" si="1"/>
        <v>9.6263948126258672E-2</v>
      </c>
      <c r="AB53" s="105">
        <f t="shared" si="1"/>
        <v>0.13388328237556713</v>
      </c>
      <c r="AC53" s="105">
        <f t="shared" si="1"/>
        <v>9.0523170653058663E-2</v>
      </c>
      <c r="AD53" s="105">
        <f t="shared" si="1"/>
        <v>0.14647157160314747</v>
      </c>
      <c r="AE53" s="105">
        <f t="shared" si="1"/>
        <v>0.14833010849530834</v>
      </c>
      <c r="AF53" s="105">
        <f t="shared" si="1"/>
        <v>0.15007161849496348</v>
      </c>
      <c r="AG53" s="105">
        <f t="shared" si="1"/>
        <v>0.15146822849752098</v>
      </c>
      <c r="AH53" s="105">
        <f t="shared" si="1"/>
        <v>0.15330529209136279</v>
      </c>
      <c r="AI53" s="105">
        <f t="shared" si="1"/>
        <v>0.15521972726143216</v>
      </c>
      <c r="AJ53" s="105">
        <f t="shared" si="1"/>
        <v>0.15718118892487351</v>
      </c>
      <c r="AK53" s="105">
        <f t="shared" si="1"/>
        <v>0.15899235494040004</v>
      </c>
      <c r="AL53" s="105">
        <f t="shared" si="1"/>
        <v>0.16065439086857386</v>
      </c>
      <c r="AM53" s="105">
        <f t="shared" si="1"/>
        <v>0.16244432070044185</v>
      </c>
      <c r="AN53" s="105">
        <f t="shared" si="1"/>
        <v>0.16397008964928189</v>
      </c>
    </row>
    <row r="55" spans="2:40" x14ac:dyDescent="0.25">
      <c r="B55" t="s">
        <v>57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0</v>
      </c>
      <c r="D55" s="12">
        <f>C55-SUM(_xlfn.ANCHORARRAY(E55))</f>
        <v>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</row>
    <row r="56" spans="2:40" x14ac:dyDescent="0.25">
      <c r="B56" t="s">
        <v>285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0</v>
      </c>
      <c r="F56" s="90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0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0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0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0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-728.31792295503976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-2184.9537688651194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-3641.5896147751992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-4369.9075377302388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-5826.5433836403181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-7283.1792295503983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-8739.8150754604776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-9468.13299841552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-10924.768844325597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-12381.404690235677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-13109.722613190717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-14566.358459100797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-16022.99430501088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-17479.630150920955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-17479.630150920955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-17479.630150920955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-17479.630150920955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-17479.630150920955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-17479.630150920955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276</v>
      </c>
      <c r="E58" s="13">
        <f>E37-E50-E55+E56</f>
        <v>0</v>
      </c>
      <c r="F58" s="13">
        <f t="shared" ref="F58:AN58" si="2">F37-F50-F55+F56</f>
        <v>0</v>
      </c>
      <c r="G58" s="13">
        <f t="shared" si="2"/>
        <v>0</v>
      </c>
      <c r="H58" s="13">
        <f t="shared" si="2"/>
        <v>0</v>
      </c>
      <c r="I58" s="13">
        <f t="shared" si="2"/>
        <v>0</v>
      </c>
      <c r="J58" s="13">
        <f t="shared" si="2"/>
        <v>0</v>
      </c>
      <c r="K58" s="13">
        <f t="shared" si="2"/>
        <v>0</v>
      </c>
      <c r="L58" s="13">
        <f t="shared" si="2"/>
        <v>0</v>
      </c>
      <c r="M58" s="13">
        <f t="shared" si="2"/>
        <v>0</v>
      </c>
      <c r="N58" s="13">
        <f t="shared" si="2"/>
        <v>0</v>
      </c>
      <c r="O58" s="13">
        <f t="shared" si="2"/>
        <v>0</v>
      </c>
      <c r="P58" s="13">
        <f t="shared" si="2"/>
        <v>0</v>
      </c>
      <c r="Q58" s="13">
        <f t="shared" si="2"/>
        <v>-17451.002536043306</v>
      </c>
      <c r="R58" s="13">
        <f t="shared" si="2"/>
        <v>-22644.116872274099</v>
      </c>
      <c r="S58" s="13">
        <f t="shared" si="2"/>
        <v>-18422.839840735141</v>
      </c>
      <c r="T58" s="13">
        <f t="shared" si="2"/>
        <v>-16710.818491264508</v>
      </c>
      <c r="U58" s="13">
        <f t="shared" si="2"/>
        <v>-12669.014928650213</v>
      </c>
      <c r="V58" s="13">
        <f t="shared" si="2"/>
        <v>-9032.6624092532038</v>
      </c>
      <c r="W58" s="13">
        <f t="shared" si="2"/>
        <v>-6417.4497114717324</v>
      </c>
      <c r="X58" s="13">
        <f t="shared" si="2"/>
        <v>-5929.14881613943</v>
      </c>
      <c r="Y58" s="13">
        <f t="shared" si="2"/>
        <v>-2209.3053448459277</v>
      </c>
      <c r="Z58" s="13">
        <f t="shared" si="2"/>
        <v>613.03428811138201</v>
      </c>
      <c r="AA58" s="13">
        <f t="shared" si="2"/>
        <v>1130.1118210218119</v>
      </c>
      <c r="AB58" s="13">
        <f t="shared" si="2"/>
        <v>4261.4641429630083</v>
      </c>
      <c r="AC58" s="13">
        <f t="shared" si="2"/>
        <v>201.54865388772669</v>
      </c>
      <c r="AD58" s="13">
        <f t="shared" si="2"/>
        <v>6143.6904839887648</v>
      </c>
      <c r="AE58" s="13">
        <f t="shared" si="2"/>
        <v>4903.631554724112</v>
      </c>
      <c r="AF58" s="13">
        <f t="shared" si="2"/>
        <v>4378.2533030897521</v>
      </c>
      <c r="AG58" s="13">
        <f t="shared" si="2"/>
        <v>3084.3656325782213</v>
      </c>
      <c r="AH58" s="13">
        <f t="shared" si="2"/>
        <v>1841.8044012286464</v>
      </c>
      <c r="AI58" s="13">
        <f t="shared" si="2"/>
        <v>608.25934679009151</v>
      </c>
      <c r="AJ58" s="13">
        <f t="shared" si="2"/>
        <v>836.83017633785857</v>
      </c>
      <c r="AK58" s="13">
        <f t="shared" si="2"/>
        <v>1047.8869236266655</v>
      </c>
      <c r="AL58" s="13">
        <f t="shared" si="2"/>
        <v>1241.5654124401372</v>
      </c>
      <c r="AM58" s="13">
        <f t="shared" si="2"/>
        <v>1450.147488821156</v>
      </c>
      <c r="AN58" s="13">
        <f t="shared" si="2"/>
        <v>1627.9466682977109</v>
      </c>
    </row>
    <row r="59" spans="2:40" x14ac:dyDescent="0.25">
      <c r="B59" t="s">
        <v>277</v>
      </c>
      <c r="E59" s="12" cm="1">
        <f t="array" ref="E59:AN59">_xlfn.SCAN(-D55,E58:AN58,_xlfn.LAMBDA(_xlpm.capex,_xlpm.fcf,_xlpm.capex+_xlpm.fcf))</f>
        <v>0</v>
      </c>
      <c r="F59" s="12">
        <v>0</v>
      </c>
      <c r="G59" s="12">
        <v>0</v>
      </c>
      <c r="H59" s="12">
        <v>0</v>
      </c>
      <c r="I59" s="12">
        <v>0</v>
      </c>
      <c r="J59" s="12">
        <v>0</v>
      </c>
      <c r="K59" s="12">
        <v>0</v>
      </c>
      <c r="L59" s="12">
        <v>0</v>
      </c>
      <c r="M59" s="12">
        <v>0</v>
      </c>
      <c r="N59" s="12">
        <v>0</v>
      </c>
      <c r="O59" s="12">
        <v>0</v>
      </c>
      <c r="P59" s="12">
        <v>0</v>
      </c>
      <c r="Q59" s="12">
        <v>-17451.002536043306</v>
      </c>
      <c r="R59" s="12">
        <v>-40095.119408317405</v>
      </c>
      <c r="S59" s="12">
        <v>-58517.959249052547</v>
      </c>
      <c r="T59" s="12">
        <v>-75228.777740317048</v>
      </c>
      <c r="U59" s="12">
        <v>-87897.79266896726</v>
      </c>
      <c r="V59" s="12">
        <v>-96930.455078220461</v>
      </c>
      <c r="W59" s="12">
        <v>-103347.9047896922</v>
      </c>
      <c r="X59" s="12">
        <v>-109277.05360583164</v>
      </c>
      <c r="Y59" s="12">
        <v>-111486.35895067756</v>
      </c>
      <c r="Z59" s="12">
        <v>-110873.32466256618</v>
      </c>
      <c r="AA59" s="12">
        <v>-109743.21284154437</v>
      </c>
      <c r="AB59" s="12">
        <v>-105481.74869858136</v>
      </c>
      <c r="AC59" s="12">
        <v>-105280.20004469363</v>
      </c>
      <c r="AD59" s="12">
        <v>-99136.509560704872</v>
      </c>
      <c r="AE59" s="12">
        <v>-94232.878005980761</v>
      </c>
      <c r="AF59" s="12">
        <v>-89854.624702891015</v>
      </c>
      <c r="AG59" s="12">
        <v>-86770.259070312793</v>
      </c>
      <c r="AH59" s="12">
        <v>-84928.454669084153</v>
      </c>
      <c r="AI59" s="12">
        <v>-84320.195322294065</v>
      </c>
      <c r="AJ59" s="12">
        <v>-83483.36514595621</v>
      </c>
      <c r="AK59" s="12">
        <v>-82435.478222329548</v>
      </c>
      <c r="AL59" s="12">
        <v>-81193.912809889414</v>
      </c>
      <c r="AM59" s="12">
        <v>-79743.765321068262</v>
      </c>
      <c r="AN59" s="12">
        <v>-78115.818652770555</v>
      </c>
    </row>
    <row r="61" spans="2:40" x14ac:dyDescent="0.25">
      <c r="B61" s="1" t="s">
        <v>302</v>
      </c>
    </row>
    <row r="63" spans="2:40" x14ac:dyDescent="0.25">
      <c r="B63" s="39" t="s">
        <v>103</v>
      </c>
      <c r="E63" s="12" cm="1">
        <f t="array" ref="E63:AN63">_xlfn.LET(_xlpm.site,$B$1&amp;"-"&amp;$C$1,_xlpm.locations,Base!$D$4:$BD$4,_xlpm.rates,Base!$D$36:$BD$36,_xlpm.hours,Base!$D$79:$BD$79,_xlpm.comp,_xlpm.rates*_xlpm.hours,_xlpm.Customer,_xlfn.ANCHORARRAY($E$1),
_xlpm.Customer_comp,_xlfn.XLOOKUP(_xlpm.site,_xlpm.locations,_xlpm.comp,0,0),_xlpm.ann_incr,_xlfn.XLOOKUP(YEAR(_xlfn.ANCHORARRAY($E$25)),Base!$BJ$4:$BL$4,Base!$BJ$79:$BL$79,0,0),
_xlpm.bad_debt,_xlfn.XLOOKUP(_xlpm.site,_xlpm.locations,Base!$D$28:$BD$28,0,0),_xlpm.Customer_comp*_xlpm.Customer*_xlpm.bad_debt*_xlpm.ann_incr*(52/12)*(1-$C$35))</f>
        <v>0</v>
      </c>
      <c r="F63" s="12">
        <v>0</v>
      </c>
      <c r="G63" s="12">
        <v>0</v>
      </c>
      <c r="H63" s="12">
        <v>0</v>
      </c>
      <c r="I63" s="12">
        <v>0</v>
      </c>
      <c r="J63" s="12">
        <v>0</v>
      </c>
      <c r="K63" s="12">
        <v>0</v>
      </c>
      <c r="L63" s="12">
        <v>0</v>
      </c>
      <c r="M63" s="12">
        <v>0</v>
      </c>
      <c r="N63" s="12">
        <v>0</v>
      </c>
      <c r="O63" s="12">
        <v>0</v>
      </c>
      <c r="P63" s="12">
        <v>0</v>
      </c>
      <c r="Q63" s="12">
        <v>0</v>
      </c>
      <c r="R63" s="12">
        <v>0</v>
      </c>
      <c r="S63" s="12">
        <v>0</v>
      </c>
      <c r="T63" s="12">
        <v>0</v>
      </c>
      <c r="U63" s="12">
        <v>0</v>
      </c>
      <c r="V63" s="12">
        <v>0</v>
      </c>
      <c r="W63" s="12">
        <v>0</v>
      </c>
      <c r="X63" s="12">
        <v>0</v>
      </c>
      <c r="Y63" s="12">
        <v>0</v>
      </c>
      <c r="Z63" s="12">
        <v>0</v>
      </c>
      <c r="AA63" s="12">
        <v>0</v>
      </c>
      <c r="AB63" s="12">
        <v>0</v>
      </c>
      <c r="AC63" s="12">
        <v>0</v>
      </c>
      <c r="AD63" s="12">
        <v>0</v>
      </c>
      <c r="AE63" s="12">
        <v>0</v>
      </c>
      <c r="AF63" s="12">
        <v>0</v>
      </c>
      <c r="AG63" s="12">
        <v>0</v>
      </c>
      <c r="AH63" s="12">
        <v>0</v>
      </c>
      <c r="AI63" s="12">
        <v>0</v>
      </c>
      <c r="AJ63" s="12">
        <v>0</v>
      </c>
      <c r="AK63" s="12">
        <v>0</v>
      </c>
      <c r="AL63" s="12">
        <v>0</v>
      </c>
      <c r="AM63" s="12">
        <v>0</v>
      </c>
      <c r="AN63" s="12">
        <v>0</v>
      </c>
    </row>
    <row r="64" spans="2:40" x14ac:dyDescent="0.25">
      <c r="B64" s="39" t="s">
        <v>104</v>
      </c>
      <c r="E64" s="12" cm="1">
        <f t="array" ref="E64:AN64">_xlfn.LET(_xlpm.site,$B$1&amp;"-"&amp;$C$1,_xlpm.locations,Base!$D$4:$BD$4,_xlpm.rates,Base!$D$37:$BD$37,_xlpm.hours,Base!$D$80:$BD$80,_xlpm.comp,_xlpm.rates*_xlpm.hours,_xlpm.Customer,_xlfn.ANCHORARRAY($E$1),
_xlpm.Customer_comp,_xlfn.XLOOKUP(_xlpm.site,_xlpm.locations,_xlpm.comp,0,0),_xlpm.ann_incr,_xlfn.XLOOKUP(YEAR(_xlfn.ANCHORARRAY($E$25)),Base!$BJ$4:$BL$4,Base!$BJ$80:$BL$80,0,0),
_xlpm.bad_debt,_xlfn.XLOOKUP(_xlpm.site,_xlpm.locations,Base!$D$28:$BD$28,0,0),_xlpm.Customer_comp*_xlpm.Customer*_xlpm.bad_debt*_xlpm.ann_incr*(52/12)*(1-$C$35))</f>
        <v>0</v>
      </c>
      <c r="F64" s="12">
        <v>0</v>
      </c>
      <c r="G64" s="12">
        <v>0</v>
      </c>
      <c r="H64" s="12">
        <v>0</v>
      </c>
      <c r="I64" s="12">
        <v>0</v>
      </c>
      <c r="J64" s="12">
        <v>0</v>
      </c>
      <c r="K64" s="12">
        <v>0</v>
      </c>
      <c r="L64" s="12">
        <v>0</v>
      </c>
      <c r="M64" s="12">
        <v>0</v>
      </c>
      <c r="N64" s="12">
        <v>0</v>
      </c>
      <c r="O64" s="12">
        <v>0</v>
      </c>
      <c r="P64" s="12">
        <v>0</v>
      </c>
      <c r="Q64" s="12">
        <v>0</v>
      </c>
      <c r="R64" s="12">
        <v>0</v>
      </c>
      <c r="S64" s="12">
        <v>0</v>
      </c>
      <c r="T64" s="12">
        <v>0</v>
      </c>
      <c r="U64" s="12">
        <v>0</v>
      </c>
      <c r="V64" s="12">
        <v>0</v>
      </c>
      <c r="W64" s="12">
        <v>0</v>
      </c>
      <c r="X64" s="12">
        <v>0</v>
      </c>
      <c r="Y64" s="12">
        <v>0</v>
      </c>
      <c r="Z64" s="12">
        <v>0</v>
      </c>
      <c r="AA64" s="12">
        <v>0</v>
      </c>
      <c r="AB64" s="12">
        <v>0</v>
      </c>
      <c r="AC64" s="12">
        <v>0</v>
      </c>
      <c r="AD64" s="12">
        <v>0</v>
      </c>
      <c r="AE64" s="12">
        <v>0</v>
      </c>
      <c r="AF64" s="12">
        <v>0</v>
      </c>
      <c r="AG64" s="12">
        <v>0</v>
      </c>
      <c r="AH64" s="12">
        <v>0</v>
      </c>
      <c r="AI64" s="12">
        <v>0</v>
      </c>
      <c r="AJ64" s="12">
        <v>0</v>
      </c>
      <c r="AK64" s="12">
        <v>0</v>
      </c>
      <c r="AL64" s="12">
        <v>0</v>
      </c>
      <c r="AM64" s="12">
        <v>0</v>
      </c>
      <c r="AN64" s="12">
        <v>0</v>
      </c>
    </row>
    <row r="65" spans="2:40" x14ac:dyDescent="0.25">
      <c r="B65" s="39" t="s">
        <v>56</v>
      </c>
      <c r="E65" s="12" cm="1">
        <f t="array" ref="E65:AN65">_xlfn.LET(_xlpm.site,$B$1&amp;"-"&amp;$C$1,_xlpm.locations,Base!$D$4:$BD$4,_xlpm.rates,Base!$D$39:$BD$39,_xlpm.hours,Base!$D$82:$BD$82,_xlpm.comp,_xlpm.rates*_xlpm.hours,_xlpm.Customer,_xlfn.ANCHORARRAY($E$1),
_xlpm.Customer_comp,_xlfn.XLOOKUP(_xlpm.site,_xlpm.locations,_xlpm.comp,0,0),_xlpm.ann_incr,_xlfn.XLOOKUP(YEAR(_xlfn.ANCHORARRAY($E$25)),Base!$BJ$4:$BL$4,Base!$BJ$82:$BL$82,0,0),
_xlpm.bad_debt,_xlfn.XLOOKUP(_xlpm.site,_xlpm.locations,Base!$D$28:$BD$28,0,0),_xlpm.Customer_comp*_xlpm.Customer*_xlpm.bad_debt*_xlpm.ann_incr*(52/12)*(1-$C$35))</f>
        <v>0</v>
      </c>
      <c r="F65" s="12">
        <v>0</v>
      </c>
      <c r="G65" s="12">
        <v>0</v>
      </c>
      <c r="H65" s="12">
        <v>0</v>
      </c>
      <c r="I65" s="12">
        <v>0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  <c r="O65" s="12">
        <v>0</v>
      </c>
      <c r="P65" s="12">
        <v>0</v>
      </c>
      <c r="Q65" s="12">
        <v>0</v>
      </c>
      <c r="R65" s="12">
        <v>0</v>
      </c>
      <c r="S65" s="12">
        <v>0</v>
      </c>
      <c r="T65" s="12">
        <v>0</v>
      </c>
      <c r="U65" s="12">
        <v>0</v>
      </c>
      <c r="V65" s="12">
        <v>0</v>
      </c>
      <c r="W65" s="12">
        <v>0</v>
      </c>
      <c r="X65" s="12">
        <v>0</v>
      </c>
      <c r="Y65" s="12">
        <v>0</v>
      </c>
      <c r="Z65" s="12">
        <v>0</v>
      </c>
      <c r="AA65" s="12">
        <v>0</v>
      </c>
      <c r="AB65" s="12">
        <v>0</v>
      </c>
      <c r="AC65" s="12">
        <v>0</v>
      </c>
      <c r="AD65" s="12">
        <v>0</v>
      </c>
      <c r="AE65" s="12">
        <v>0</v>
      </c>
      <c r="AF65" s="12">
        <v>0</v>
      </c>
      <c r="AG65" s="12">
        <v>0</v>
      </c>
      <c r="AH65" s="12">
        <v>0</v>
      </c>
      <c r="AI65" s="12">
        <v>0</v>
      </c>
      <c r="AJ65" s="12">
        <v>0</v>
      </c>
      <c r="AK65" s="12">
        <v>0</v>
      </c>
      <c r="AL65" s="12">
        <v>0</v>
      </c>
      <c r="AM65" s="12">
        <v>0</v>
      </c>
      <c r="AN65" s="12">
        <v>0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303</v>
      </c>
      <c r="C67" s="12"/>
      <c r="E67" s="13" cm="1">
        <f t="array" ref="E67:AN67">_xlfn.BYCOL(_xlfn.VSTACK(_xlfn.ANCHORARRAY($E$63),_xlfn.ANCHORARRAY($E$64),_xlfn.ANCHORARRAY($E$65)),_xlfn.LAMBDA(_xlpm.a,SUM(_xlpm.a)))</f>
        <v>0</v>
      </c>
      <c r="F67" s="13">
        <v>0</v>
      </c>
      <c r="G67" s="13">
        <v>0</v>
      </c>
      <c r="H67" s="13">
        <v>0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  <c r="W67" s="13">
        <v>0</v>
      </c>
      <c r="X67" s="13">
        <v>0</v>
      </c>
      <c r="Y67" s="13">
        <v>0</v>
      </c>
      <c r="Z67" s="13">
        <v>0</v>
      </c>
      <c r="AA67" s="13">
        <v>0</v>
      </c>
      <c r="AB67" s="13">
        <v>0</v>
      </c>
      <c r="AC67" s="13">
        <v>0</v>
      </c>
      <c r="AD67" s="13">
        <v>0</v>
      </c>
      <c r="AE67" s="13">
        <v>0</v>
      </c>
      <c r="AF67" s="13">
        <v>0</v>
      </c>
      <c r="AG67" s="13">
        <v>0</v>
      </c>
      <c r="AH67" s="13">
        <v>0</v>
      </c>
      <c r="AI67" s="13">
        <v>0</v>
      </c>
      <c r="AJ67" s="13">
        <v>0</v>
      </c>
      <c r="AK67" s="13">
        <v>0</v>
      </c>
      <c r="AL67" s="13">
        <v>0</v>
      </c>
      <c r="AM67" s="13">
        <v>0</v>
      </c>
      <c r="AN67" s="13">
        <v>0</v>
      </c>
    </row>
    <row r="68" spans="2:40" x14ac:dyDescent="0.25">
      <c r="B68" s="39"/>
      <c r="C68" s="12"/>
    </row>
    <row r="69" spans="2:40" x14ac:dyDescent="0.25">
      <c r="B69" s="39" t="s">
        <v>304</v>
      </c>
      <c r="C69" s="12"/>
      <c r="E69" s="106" cm="1">
        <f t="array" ref="E69:AN70">_xlfn.LET(_xlpm.Customer_staff,_xlfn._xlws.FILTER(Base!$D$96:$BD$97,ISNUMBER(SEARCH($B$1&amp;"-"&amp;$C$1,Base!$D$4:$BD$4))),_xlpm.Customer,_xlfn.ANCHORARRAY($E$1),_xlpm.headcount,_xlpm.Customer/_xlpm.Customer_staff,
_xlpm.rounding,_xlfn.VSTACK(0,0),IFERROR(ROUND(_xlpm.headcount,_xlpm.rounding),0))</f>
        <v>0</v>
      </c>
      <c r="F69" s="106">
        <v>0</v>
      </c>
      <c r="G69" s="106">
        <v>0</v>
      </c>
      <c r="H69" s="106">
        <v>0</v>
      </c>
      <c r="I69" s="106">
        <v>0</v>
      </c>
      <c r="J69" s="106">
        <v>0</v>
      </c>
      <c r="K69" s="106">
        <v>0</v>
      </c>
      <c r="L69" s="106">
        <v>0</v>
      </c>
      <c r="M69" s="106">
        <v>0</v>
      </c>
      <c r="N69" s="106">
        <v>0</v>
      </c>
      <c r="O69" s="106">
        <v>0</v>
      </c>
      <c r="P69" s="106">
        <v>0</v>
      </c>
      <c r="Q69" s="106">
        <v>0</v>
      </c>
      <c r="R69" s="106">
        <v>0</v>
      </c>
      <c r="S69" s="106">
        <v>0</v>
      </c>
      <c r="T69" s="106">
        <v>0</v>
      </c>
      <c r="U69" s="106">
        <v>0</v>
      </c>
      <c r="V69" s="106">
        <v>0</v>
      </c>
      <c r="W69" s="106">
        <v>0</v>
      </c>
      <c r="X69" s="106">
        <v>0</v>
      </c>
      <c r="Y69" s="106">
        <v>0</v>
      </c>
      <c r="Z69" s="106">
        <v>0</v>
      </c>
      <c r="AA69" s="106">
        <v>0</v>
      </c>
      <c r="AB69" s="106">
        <v>0</v>
      </c>
      <c r="AC69" s="106">
        <v>0</v>
      </c>
      <c r="AD69" s="106">
        <v>0</v>
      </c>
      <c r="AE69" s="106">
        <v>0</v>
      </c>
      <c r="AF69" s="106">
        <v>0</v>
      </c>
      <c r="AG69" s="106">
        <v>0</v>
      </c>
      <c r="AH69" s="106">
        <v>0</v>
      </c>
      <c r="AI69" s="106">
        <v>0</v>
      </c>
      <c r="AJ69" s="106">
        <v>0</v>
      </c>
      <c r="AK69" s="106">
        <v>0</v>
      </c>
      <c r="AL69" s="106">
        <v>0</v>
      </c>
      <c r="AM69" s="106">
        <v>0</v>
      </c>
      <c r="AN69" s="106">
        <v>0</v>
      </c>
    </row>
    <row r="70" spans="2:40" x14ac:dyDescent="0.25">
      <c r="B70" s="39" t="s">
        <v>305</v>
      </c>
      <c r="C70" s="12"/>
      <c r="E70" s="106">
        <v>0</v>
      </c>
      <c r="F70" s="106">
        <v>0</v>
      </c>
      <c r="G70" s="106">
        <v>0</v>
      </c>
      <c r="H70" s="106">
        <v>0</v>
      </c>
      <c r="I70" s="106">
        <v>0</v>
      </c>
      <c r="J70" s="106">
        <v>0</v>
      </c>
      <c r="K70" s="106">
        <v>0</v>
      </c>
      <c r="L70" s="106">
        <v>0</v>
      </c>
      <c r="M70" s="106">
        <v>0</v>
      </c>
      <c r="N70" s="106">
        <v>0</v>
      </c>
      <c r="O70" s="106">
        <v>0</v>
      </c>
      <c r="P70" s="106">
        <v>0</v>
      </c>
      <c r="Q70" s="106">
        <v>0</v>
      </c>
      <c r="R70" s="106">
        <v>0</v>
      </c>
      <c r="S70" s="106">
        <v>0</v>
      </c>
      <c r="T70" s="106">
        <v>0</v>
      </c>
      <c r="U70" s="106">
        <v>0</v>
      </c>
      <c r="V70" s="106">
        <v>0</v>
      </c>
      <c r="W70" s="106">
        <v>0</v>
      </c>
      <c r="X70" s="106">
        <v>0</v>
      </c>
      <c r="Y70" s="106">
        <v>0</v>
      </c>
      <c r="Z70" s="106">
        <v>0</v>
      </c>
      <c r="AA70" s="106">
        <v>0</v>
      </c>
      <c r="AB70" s="106">
        <v>0</v>
      </c>
      <c r="AC70" s="106">
        <v>0</v>
      </c>
      <c r="AD70" s="106">
        <v>0</v>
      </c>
      <c r="AE70" s="106">
        <v>0</v>
      </c>
      <c r="AF70" s="106">
        <v>0</v>
      </c>
      <c r="AG70" s="106">
        <v>0</v>
      </c>
      <c r="AH70" s="106">
        <v>0</v>
      </c>
      <c r="AI70" s="106">
        <v>0</v>
      </c>
      <c r="AJ70" s="106">
        <v>0</v>
      </c>
      <c r="AK70" s="106">
        <v>0</v>
      </c>
      <c r="AL70" s="106">
        <v>0</v>
      </c>
      <c r="AM70" s="106">
        <v>0</v>
      </c>
      <c r="AN70" s="106">
        <v>0</v>
      </c>
    </row>
    <row r="71" spans="2:40" x14ac:dyDescent="0.25">
      <c r="B71" s="39"/>
      <c r="C71" s="12"/>
    </row>
    <row r="72" spans="2:40" x14ac:dyDescent="0.25">
      <c r="B72" s="39" t="s">
        <v>23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0</v>
      </c>
      <c r="F72" s="12">
        <v>0</v>
      </c>
      <c r="G72" s="12">
        <v>0</v>
      </c>
      <c r="H72" s="12">
        <v>0</v>
      </c>
      <c r="I72" s="12">
        <v>0</v>
      </c>
      <c r="J72" s="12">
        <v>0</v>
      </c>
      <c r="K72" s="12">
        <v>0</v>
      </c>
      <c r="L72" s="12">
        <v>0</v>
      </c>
      <c r="M72" s="12">
        <v>0</v>
      </c>
      <c r="N72" s="12">
        <v>0</v>
      </c>
      <c r="O72" s="12">
        <v>0</v>
      </c>
      <c r="P72" s="12">
        <v>0</v>
      </c>
      <c r="Q72" s="12">
        <v>1.1537294382039608E-3</v>
      </c>
      <c r="R72" s="12">
        <v>3.4611883146118826E-3</v>
      </c>
      <c r="S72" s="12">
        <v>5.768647191019805E-3</v>
      </c>
      <c r="T72" s="12">
        <v>6.9223766292237652E-3</v>
      </c>
      <c r="U72" s="12">
        <v>9.2298355056316863E-3</v>
      </c>
      <c r="V72" s="12">
        <v>1.153729438203961E-2</v>
      </c>
      <c r="W72" s="12">
        <v>1.384475325844753E-2</v>
      </c>
      <c r="X72" s="12">
        <v>1.499848269665149E-2</v>
      </c>
      <c r="Y72" s="12">
        <v>1.7305941573059418E-2</v>
      </c>
      <c r="Z72" s="12">
        <v>1.9613400449467334E-2</v>
      </c>
      <c r="AA72" s="12">
        <v>2.0767129887671303E-2</v>
      </c>
      <c r="AB72" s="12">
        <v>2.307458876407922E-2</v>
      </c>
      <c r="AC72" s="12">
        <v>2.7920252404535863E-2</v>
      </c>
      <c r="AD72" s="12">
        <v>3.0458457168584575E-2</v>
      </c>
      <c r="AE72" s="12">
        <v>3.0458457168584575E-2</v>
      </c>
      <c r="AF72" s="12">
        <v>3.0458457168584575E-2</v>
      </c>
      <c r="AG72" s="12">
        <v>3.0458457168584575E-2</v>
      </c>
      <c r="AH72" s="12">
        <v>3.0458457168584575E-2</v>
      </c>
      <c r="AI72" s="12">
        <v>3.0458457168584575E-2</v>
      </c>
      <c r="AJ72" s="12">
        <v>3.0458457168584575E-2</v>
      </c>
      <c r="AK72" s="12">
        <v>3.0458457168584575E-2</v>
      </c>
      <c r="AL72" s="12">
        <v>3.0458457168584575E-2</v>
      </c>
      <c r="AM72" s="12">
        <v>3.0458457168584575E-2</v>
      </c>
      <c r="AN72" s="12">
        <v>3.0458457168584575E-2</v>
      </c>
    </row>
    <row r="73" spans="2:40" x14ac:dyDescent="0.25">
      <c r="B73" s="39" t="s">
        <v>24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306</v>
      </c>
      <c r="E75" s="74" cm="1">
        <f t="array" ref="E75:AN75">_xlfn.ANCHORARRAY(E67)-_xlfn.ANCHORARRAY(E72)-_xlfn.ANCHORARRAY(E73)</f>
        <v>0</v>
      </c>
      <c r="F75" s="74">
        <v>0</v>
      </c>
      <c r="G75" s="74">
        <v>0</v>
      </c>
      <c r="H75" s="74">
        <v>0</v>
      </c>
      <c r="I75" s="74">
        <v>0</v>
      </c>
      <c r="J75" s="74">
        <v>0</v>
      </c>
      <c r="K75" s="74">
        <v>0</v>
      </c>
      <c r="L75" s="74">
        <v>0</v>
      </c>
      <c r="M75" s="74">
        <v>0</v>
      </c>
      <c r="N75" s="74">
        <v>0</v>
      </c>
      <c r="O75" s="74">
        <v>0</v>
      </c>
      <c r="P75" s="74">
        <v>0</v>
      </c>
      <c r="Q75" s="74">
        <v>-1.1537294382039608E-3</v>
      </c>
      <c r="R75" s="74">
        <v>-3.4611883146118826E-3</v>
      </c>
      <c r="S75" s="74">
        <v>-5.768647191019805E-3</v>
      </c>
      <c r="T75" s="74">
        <v>-6.9223766292237652E-3</v>
      </c>
      <c r="U75" s="74">
        <v>-9.2298355056316863E-3</v>
      </c>
      <c r="V75" s="74">
        <v>-1.153729438203961E-2</v>
      </c>
      <c r="W75" s="74">
        <v>-1.384475325844753E-2</v>
      </c>
      <c r="X75" s="74">
        <v>-1.499848269665149E-2</v>
      </c>
      <c r="Y75" s="74">
        <v>-1.7305941573059418E-2</v>
      </c>
      <c r="Z75" s="74">
        <v>-1.9613400449467334E-2</v>
      </c>
      <c r="AA75" s="74">
        <v>-2.0767129887671303E-2</v>
      </c>
      <c r="AB75" s="74">
        <v>-2.307458876407922E-2</v>
      </c>
      <c r="AC75" s="74">
        <v>-2.7920252404535863E-2</v>
      </c>
      <c r="AD75" s="74">
        <v>-3.0458457168584575E-2</v>
      </c>
      <c r="AE75" s="74">
        <v>-3.0458457168584575E-2</v>
      </c>
      <c r="AF75" s="74">
        <v>-3.0458457168584575E-2</v>
      </c>
      <c r="AG75" s="74">
        <v>-3.0458457168584575E-2</v>
      </c>
      <c r="AH75" s="74">
        <v>-3.0458457168584575E-2</v>
      </c>
      <c r="AI75" s="74">
        <v>-3.0458457168584575E-2</v>
      </c>
      <c r="AJ75" s="74">
        <v>-3.0458457168584575E-2</v>
      </c>
      <c r="AK75" s="74">
        <v>-3.0458457168584575E-2</v>
      </c>
      <c r="AL75" s="74">
        <v>-3.0458457168584575E-2</v>
      </c>
      <c r="AM75" s="74">
        <v>-3.0458457168584575E-2</v>
      </c>
      <c r="AN75" s="74">
        <v>-3.0458457168584575E-2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6E03C7-C274-416F-8B66-CC5592B8E3D6}">
  <dimension ref="A1:AX75"/>
  <sheetViews>
    <sheetView workbookViewId="0">
      <pane xSplit="4" ySplit="25" topLeftCell="E50" activePane="bottomRight" state="frozen"/>
      <selection pane="topRight" activeCell="E1" sqref="E1"/>
      <selection pane="bottomLeft" activeCell="A26" sqref="A26"/>
      <selection pane="bottomRight" activeCell="H63" sqref="H63"/>
    </sheetView>
  </sheetViews>
  <sheetFormatPr defaultRowHeight="15" outlineLevelRow="1" x14ac:dyDescent="0.25"/>
  <cols>
    <col min="2" max="2" width="24.5703125" bestFit="1" customWidth="1"/>
    <col min="3" max="3" width="11.5703125" bestFit="1" customWidth="1"/>
    <col min="4" max="4" width="10" bestFit="1" customWidth="1"/>
    <col min="5" max="6" width="11.5703125" bestFit="1" customWidth="1"/>
    <col min="7" max="13" width="12.28515625" bestFit="1" customWidth="1"/>
    <col min="14" max="18" width="11.5703125" bestFit="1" customWidth="1"/>
    <col min="19" max="40" width="12.5703125" bestFit="1" customWidth="1"/>
  </cols>
  <sheetData>
    <row r="1" spans="1:40" x14ac:dyDescent="0.25">
      <c r="A1" s="96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>2028</v>
      </c>
      <c r="B1" s="58" t="s">
        <v>457</v>
      </c>
      <c r="C1" s="16" t="s">
        <v>61</v>
      </c>
      <c r="D1" s="3" t="s">
        <v>307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IFERROR(_xlpm.kiddos,0))</f>
        <v>0</v>
      </c>
      <c r="F1" s="69">
        <v>0</v>
      </c>
      <c r="G1" s="69">
        <v>0</v>
      </c>
      <c r="H1" s="69">
        <v>0</v>
      </c>
      <c r="I1" s="69">
        <v>0</v>
      </c>
      <c r="J1" s="69">
        <v>0</v>
      </c>
      <c r="K1" s="69">
        <v>0</v>
      </c>
      <c r="L1" s="69">
        <v>0</v>
      </c>
      <c r="M1" s="69">
        <v>0</v>
      </c>
      <c r="N1" s="69">
        <v>0</v>
      </c>
      <c r="O1" s="69">
        <v>0</v>
      </c>
      <c r="P1" s="69">
        <v>0</v>
      </c>
      <c r="Q1" s="69">
        <v>0</v>
      </c>
      <c r="R1" s="69">
        <v>0</v>
      </c>
      <c r="S1" s="69">
        <v>0</v>
      </c>
      <c r="T1" s="69">
        <v>0</v>
      </c>
      <c r="U1" s="69">
        <v>0</v>
      </c>
      <c r="V1" s="69">
        <v>0</v>
      </c>
      <c r="W1" s="69">
        <v>0</v>
      </c>
      <c r="X1" s="69">
        <v>0</v>
      </c>
      <c r="Y1" s="69">
        <v>0</v>
      </c>
      <c r="Z1" s="69">
        <v>0</v>
      </c>
      <c r="AA1" s="69">
        <v>0</v>
      </c>
      <c r="AB1" s="69">
        <v>0</v>
      </c>
      <c r="AC1" s="69">
        <v>0</v>
      </c>
      <c r="AD1" s="69">
        <v>0</v>
      </c>
      <c r="AE1" s="69">
        <v>0</v>
      </c>
      <c r="AF1" s="69">
        <v>0</v>
      </c>
      <c r="AG1" s="69">
        <v>0</v>
      </c>
      <c r="AH1" s="69">
        <v>3</v>
      </c>
      <c r="AI1" s="69">
        <v>6</v>
      </c>
      <c r="AJ1" s="69">
        <v>9</v>
      </c>
      <c r="AK1" s="69">
        <v>12</v>
      </c>
      <c r="AL1" s="69">
        <v>15</v>
      </c>
      <c r="AM1" s="69">
        <v>18</v>
      </c>
      <c r="AN1" s="69">
        <v>21</v>
      </c>
    </row>
    <row r="2" spans="1:40" x14ac:dyDescent="0.25">
      <c r="A2" s="65"/>
      <c r="B2" s="3" t="str">
        <f>_xlfn.XLOOKUP($B$1&amp;"-"&amp;$C$1,Base!$D$4:$BD$4,Base!$D$2:$BD$2,"",0)</f>
        <v>North Carolina</v>
      </c>
      <c r="C2" s="55"/>
      <c r="D2" s="55" t="s">
        <v>259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0</v>
      </c>
      <c r="F2" s="69">
        <v>0</v>
      </c>
      <c r="G2" s="69">
        <v>0</v>
      </c>
      <c r="H2" s="69">
        <v>0</v>
      </c>
      <c r="I2" s="69">
        <v>0</v>
      </c>
      <c r="J2" s="69">
        <v>0</v>
      </c>
      <c r="K2" s="69">
        <v>0</v>
      </c>
      <c r="L2" s="69">
        <v>0</v>
      </c>
      <c r="M2" s="69">
        <v>0</v>
      </c>
      <c r="N2" s="69">
        <v>0</v>
      </c>
      <c r="O2" s="69">
        <v>0</v>
      </c>
      <c r="P2" s="69">
        <v>0</v>
      </c>
      <c r="Q2" s="69">
        <v>0</v>
      </c>
      <c r="R2" s="69">
        <v>0</v>
      </c>
      <c r="S2" s="69">
        <v>0</v>
      </c>
      <c r="T2" s="69">
        <v>0</v>
      </c>
      <c r="U2" s="69">
        <v>0</v>
      </c>
      <c r="V2" s="69">
        <v>0</v>
      </c>
      <c r="W2" s="69">
        <v>0</v>
      </c>
      <c r="X2" s="69">
        <v>0</v>
      </c>
      <c r="Y2" s="69">
        <v>0</v>
      </c>
      <c r="Z2" s="69">
        <v>0</v>
      </c>
      <c r="AA2" s="69">
        <v>0</v>
      </c>
      <c r="AB2" s="69">
        <v>0</v>
      </c>
      <c r="AC2" s="69">
        <v>0</v>
      </c>
      <c r="AD2" s="69">
        <v>0</v>
      </c>
      <c r="AE2" s="69">
        <v>0</v>
      </c>
      <c r="AF2" s="69">
        <v>0</v>
      </c>
      <c r="AG2" s="69">
        <v>0</v>
      </c>
      <c r="AH2" s="69">
        <v>0</v>
      </c>
      <c r="AI2" s="69">
        <v>3.1666666666666665</v>
      </c>
      <c r="AJ2" s="69">
        <v>3.3333333333333335</v>
      </c>
      <c r="AK2" s="69">
        <v>3.5</v>
      </c>
      <c r="AL2" s="69">
        <v>3.6666666666666665</v>
      </c>
      <c r="AM2" s="69">
        <v>3.8333333333333335</v>
      </c>
      <c r="AN2" s="69">
        <v>4</v>
      </c>
    </row>
    <row r="3" spans="1:40" x14ac:dyDescent="0.25">
      <c r="A3" s="65"/>
      <c r="B3" s="55"/>
      <c r="C3" s="55"/>
      <c r="D3" s="55" t="s">
        <v>62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_xlpm.months_since,DATEDIF(_xlpm.launchdate,_xlfn.ANCHORARRAY($E$25),"m"),_xlfn.BYCOL(_xlpm.months_since,_xlfn.LAMBDA(_xlpm.a,IFERROR(MIN(_xlpm.a/6,_xlpm.max_kiddos),0))))</f>
        <v>0</v>
      </c>
      <c r="F3" s="69">
        <v>0</v>
      </c>
      <c r="G3" s="69">
        <v>0</v>
      </c>
      <c r="H3" s="69">
        <v>0</v>
      </c>
      <c r="I3" s="69">
        <v>0</v>
      </c>
      <c r="J3" s="69">
        <v>0</v>
      </c>
      <c r="K3" s="69">
        <v>0</v>
      </c>
      <c r="L3" s="69">
        <v>0</v>
      </c>
      <c r="M3" s="69">
        <v>0</v>
      </c>
      <c r="N3" s="69">
        <v>0</v>
      </c>
      <c r="O3" s="69">
        <v>0</v>
      </c>
      <c r="P3" s="69">
        <v>0</v>
      </c>
      <c r="Q3" s="69">
        <v>0</v>
      </c>
      <c r="R3" s="69">
        <v>0</v>
      </c>
      <c r="S3" s="69">
        <v>0</v>
      </c>
      <c r="T3" s="69">
        <v>0</v>
      </c>
      <c r="U3" s="69">
        <v>0</v>
      </c>
      <c r="V3" s="69">
        <v>0</v>
      </c>
      <c r="W3" s="69">
        <v>0</v>
      </c>
      <c r="X3" s="69">
        <v>0</v>
      </c>
      <c r="Y3" s="69">
        <v>0</v>
      </c>
      <c r="Z3" s="69">
        <v>0</v>
      </c>
      <c r="AA3" s="69">
        <v>0</v>
      </c>
      <c r="AB3" s="69">
        <v>0</v>
      </c>
      <c r="AC3" s="69">
        <v>0</v>
      </c>
      <c r="AD3" s="69">
        <v>0</v>
      </c>
      <c r="AE3" s="69">
        <v>0</v>
      </c>
      <c r="AF3" s="69">
        <v>0</v>
      </c>
      <c r="AG3" s="69">
        <v>0</v>
      </c>
      <c r="AH3" s="69">
        <v>0</v>
      </c>
      <c r="AI3" s="69">
        <v>0.16666666666666666</v>
      </c>
      <c r="AJ3" s="69">
        <v>0.33333333333333331</v>
      </c>
      <c r="AK3" s="69">
        <v>0.5</v>
      </c>
      <c r="AL3" s="69">
        <v>0.66666666666666663</v>
      </c>
      <c r="AM3" s="69">
        <v>0.83333333333333337</v>
      </c>
      <c r="AN3" s="69">
        <v>1</v>
      </c>
    </row>
    <row r="4" spans="1:40" x14ac:dyDescent="0.25">
      <c r="A4" s="65"/>
      <c r="B4" s="55"/>
      <c r="C4" s="55"/>
      <c r="D4" s="55" t="s">
        <v>260</v>
      </c>
      <c r="E4" s="69" cm="1">
        <f t="array" ref="E4:AN4">_xlfn.BYCOL(_xlfn.VSTACK(_xlfn.ANCHORARRAY($E$1),_xlfn.ANCHORARRAY($E$2)),_xlfn.LAMBDA(_xlpm.a,SUM(_xlpm.a)))</f>
        <v>0</v>
      </c>
      <c r="F4" s="69">
        <v>0</v>
      </c>
      <c r="G4" s="69">
        <v>0</v>
      </c>
      <c r="H4" s="69">
        <v>0</v>
      </c>
      <c r="I4" s="69">
        <v>0</v>
      </c>
      <c r="J4" s="69">
        <v>0</v>
      </c>
      <c r="K4" s="69">
        <v>0</v>
      </c>
      <c r="L4" s="69">
        <v>0</v>
      </c>
      <c r="M4" s="69">
        <v>0</v>
      </c>
      <c r="N4" s="69">
        <v>0</v>
      </c>
      <c r="O4" s="69">
        <v>0</v>
      </c>
      <c r="P4" s="69">
        <v>0</v>
      </c>
      <c r="Q4" s="69">
        <v>0</v>
      </c>
      <c r="R4" s="69">
        <v>0</v>
      </c>
      <c r="S4" s="69">
        <v>0</v>
      </c>
      <c r="T4" s="69">
        <v>0</v>
      </c>
      <c r="U4" s="69">
        <v>0</v>
      </c>
      <c r="V4" s="69">
        <v>0</v>
      </c>
      <c r="W4" s="69">
        <v>0</v>
      </c>
      <c r="X4" s="69">
        <v>0</v>
      </c>
      <c r="Y4" s="69">
        <v>0</v>
      </c>
      <c r="Z4" s="69">
        <v>0</v>
      </c>
      <c r="AA4" s="69">
        <v>0</v>
      </c>
      <c r="AB4" s="69">
        <v>0</v>
      </c>
      <c r="AC4" s="69">
        <v>0</v>
      </c>
      <c r="AD4" s="69">
        <v>0</v>
      </c>
      <c r="AE4" s="69">
        <v>0</v>
      </c>
      <c r="AF4" s="69">
        <v>0</v>
      </c>
      <c r="AG4" s="69">
        <v>0</v>
      </c>
      <c r="AH4" s="69">
        <v>3</v>
      </c>
      <c r="AI4" s="69">
        <v>9.1666666666666661</v>
      </c>
      <c r="AJ4" s="69">
        <v>12.333333333333334</v>
      </c>
      <c r="AK4" s="69">
        <v>15.5</v>
      </c>
      <c r="AL4" s="69">
        <v>18.666666666666668</v>
      </c>
      <c r="AM4" s="69">
        <v>21.833333333333332</v>
      </c>
      <c r="AN4" s="69">
        <v>25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107</v>
      </c>
      <c r="C6" s="3"/>
      <c r="D6" s="3"/>
      <c r="E6" s="66" cm="1">
        <f t="array" ref="E6:AN6">ROUND(_xlfn.BYCOL(_xlfn.ANCHORARRAY(E7),_xlfn.LAMBDA(_xlpm.a,SUM(_xlpm.a))),0)</f>
        <v>0</v>
      </c>
      <c r="F6" s="66">
        <v>0</v>
      </c>
      <c r="G6" s="66">
        <v>0</v>
      </c>
      <c r="H6" s="66">
        <v>0</v>
      </c>
      <c r="I6" s="66">
        <v>0</v>
      </c>
      <c r="J6" s="66">
        <v>0</v>
      </c>
      <c r="K6" s="66">
        <v>0</v>
      </c>
      <c r="L6" s="66">
        <v>0</v>
      </c>
      <c r="M6" s="66">
        <v>0</v>
      </c>
      <c r="N6" s="66">
        <v>0</v>
      </c>
      <c r="O6" s="66">
        <v>0</v>
      </c>
      <c r="P6" s="66">
        <v>0</v>
      </c>
      <c r="Q6" s="66">
        <v>0</v>
      </c>
      <c r="R6" s="66">
        <v>0</v>
      </c>
      <c r="S6" s="66">
        <v>0</v>
      </c>
      <c r="T6" s="66">
        <v>0</v>
      </c>
      <c r="U6" s="66">
        <v>0</v>
      </c>
      <c r="V6" s="66">
        <v>0</v>
      </c>
      <c r="W6" s="66">
        <v>0</v>
      </c>
      <c r="X6" s="66">
        <v>0</v>
      </c>
      <c r="Y6" s="66">
        <v>0</v>
      </c>
      <c r="Z6" s="66">
        <v>0</v>
      </c>
      <c r="AA6" s="66">
        <v>0</v>
      </c>
      <c r="AB6" s="66">
        <v>0</v>
      </c>
      <c r="AC6" s="66">
        <v>0</v>
      </c>
      <c r="AD6" s="66">
        <v>0</v>
      </c>
      <c r="AE6" s="66">
        <v>0</v>
      </c>
      <c r="AF6" s="66">
        <v>0</v>
      </c>
      <c r="AG6" s="66">
        <v>0</v>
      </c>
      <c r="AH6" s="66">
        <v>6</v>
      </c>
      <c r="AI6" s="66">
        <v>11</v>
      </c>
      <c r="AJ6" s="66">
        <v>15</v>
      </c>
      <c r="AK6" s="66">
        <v>18</v>
      </c>
      <c r="AL6" s="66">
        <v>22</v>
      </c>
      <c r="AM6" s="66">
        <v>26</v>
      </c>
      <c r="AN6" s="66">
        <v>29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1"/>
      <c r="E7" s="106" cm="1">
        <f t="array" ref="E7:AN20">_xlfn.LET(_xlpm.Customer_staff,_xlfn._xlws.FILTER(Base!$D$85:$BD$98,ISNUMBER(SEARCH($B$1&amp;"-"&amp;$C$1,Base!$D$4:$BD$4))),_xlpm.Customer,_xlfn.ANCHORARRAY($E$1),_xlpm.headcount,_xlpm.Customer/_xlpm.Customer_staff,
_xlpm.patient_staff,_xlfn.ANCHORARRAY($E$2)/_xlpm.Customer_staff,_xlpm.prim_staff_tr_rec,_xlfn.ANCHORARRAY($E$2)/_xlfn.CHOOSEROWS(_xlpm.Customer_staff,{7,8})+(_xlfn.ANCHORARRAY($E$1)*0.0055),_xlpm.rounding,_xlfn.VSTACK(2,2,0,0,2,2,2,2,2,2,2,0,0,0),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prim_staff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0</v>
      </c>
      <c r="F7" s="106">
        <v>0</v>
      </c>
      <c r="G7" s="106">
        <v>0</v>
      </c>
      <c r="H7" s="106">
        <v>0</v>
      </c>
      <c r="I7" s="106">
        <v>0</v>
      </c>
      <c r="J7" s="106">
        <v>0</v>
      </c>
      <c r="K7" s="106">
        <v>0</v>
      </c>
      <c r="L7" s="106">
        <v>0</v>
      </c>
      <c r="M7" s="106">
        <v>0</v>
      </c>
      <c r="N7" s="106">
        <v>0</v>
      </c>
      <c r="O7" s="106">
        <v>0</v>
      </c>
      <c r="P7" s="106">
        <v>0</v>
      </c>
      <c r="Q7" s="106">
        <v>0</v>
      </c>
      <c r="R7" s="106">
        <v>0</v>
      </c>
      <c r="S7" s="106">
        <v>0</v>
      </c>
      <c r="T7" s="106">
        <v>0</v>
      </c>
      <c r="U7" s="106">
        <v>0</v>
      </c>
      <c r="V7" s="106">
        <v>0</v>
      </c>
      <c r="W7" s="106">
        <v>0</v>
      </c>
      <c r="X7" s="106">
        <v>0</v>
      </c>
      <c r="Y7" s="106">
        <v>0</v>
      </c>
      <c r="Z7" s="106">
        <v>0</v>
      </c>
      <c r="AA7" s="106">
        <v>0</v>
      </c>
      <c r="AB7" s="106">
        <v>0</v>
      </c>
      <c r="AC7" s="106">
        <v>0</v>
      </c>
      <c r="AD7" s="106">
        <v>0</v>
      </c>
      <c r="AE7" s="106">
        <v>0</v>
      </c>
      <c r="AF7" s="106">
        <v>0</v>
      </c>
      <c r="AG7" s="106">
        <v>0</v>
      </c>
      <c r="AH7" s="106">
        <v>2.8299999999999996</v>
      </c>
      <c r="AI7" s="106">
        <v>5.6499999999999995</v>
      </c>
      <c r="AJ7" s="106">
        <v>8.48</v>
      </c>
      <c r="AK7" s="106">
        <v>11.299999999999999</v>
      </c>
      <c r="AL7" s="106">
        <v>14.12</v>
      </c>
      <c r="AM7" s="106">
        <v>16.950000000000003</v>
      </c>
      <c r="AN7" s="106">
        <v>19.770000000000003</v>
      </c>
    </row>
    <row r="8" spans="1:40" hidden="1" outlineLevel="1" x14ac:dyDescent="0.25">
      <c r="B8" s="39" t="str">
        <v>Secondary Direct Staff</v>
      </c>
      <c r="C8" s="3"/>
      <c r="D8" s="3"/>
      <c r="E8" s="106">
        <v>0</v>
      </c>
      <c r="F8" s="106">
        <v>0</v>
      </c>
      <c r="G8" s="106">
        <v>0</v>
      </c>
      <c r="H8" s="106">
        <v>0</v>
      </c>
      <c r="I8" s="106">
        <v>0</v>
      </c>
      <c r="J8" s="106">
        <v>0</v>
      </c>
      <c r="K8" s="106">
        <v>0</v>
      </c>
      <c r="L8" s="106">
        <v>0</v>
      </c>
      <c r="M8" s="106">
        <v>0</v>
      </c>
      <c r="N8" s="106">
        <v>0</v>
      </c>
      <c r="O8" s="106">
        <v>0</v>
      </c>
      <c r="P8" s="106">
        <v>0</v>
      </c>
      <c r="Q8" s="106">
        <v>0</v>
      </c>
      <c r="R8" s="106">
        <v>0</v>
      </c>
      <c r="S8" s="106">
        <v>0</v>
      </c>
      <c r="T8" s="106">
        <v>0</v>
      </c>
      <c r="U8" s="106">
        <v>0</v>
      </c>
      <c r="V8" s="106">
        <v>0</v>
      </c>
      <c r="W8" s="106">
        <v>0</v>
      </c>
      <c r="X8" s="106">
        <v>0</v>
      </c>
      <c r="Y8" s="106">
        <v>0</v>
      </c>
      <c r="Z8" s="106">
        <v>0</v>
      </c>
      <c r="AA8" s="106">
        <v>0</v>
      </c>
      <c r="AB8" s="106">
        <v>0</v>
      </c>
      <c r="AC8" s="106">
        <v>0</v>
      </c>
      <c r="AD8" s="106">
        <v>0</v>
      </c>
      <c r="AE8" s="106">
        <v>0</v>
      </c>
      <c r="AF8" s="106">
        <v>0</v>
      </c>
      <c r="AG8" s="106">
        <v>0</v>
      </c>
      <c r="AH8" s="106">
        <v>0.43</v>
      </c>
      <c r="AI8" s="106">
        <v>0.86</v>
      </c>
      <c r="AJ8" s="106">
        <v>1.29</v>
      </c>
      <c r="AK8" s="106">
        <v>1.72</v>
      </c>
      <c r="AL8" s="106">
        <v>2.15</v>
      </c>
      <c r="AM8" s="106">
        <v>2.5799999999999996</v>
      </c>
      <c r="AN8" s="106">
        <v>3</v>
      </c>
    </row>
    <row r="9" spans="1:40" hidden="1" outlineLevel="1" x14ac:dyDescent="0.25">
      <c r="B9" s="39" t="str">
        <v>Center Manager</v>
      </c>
      <c r="C9" s="3"/>
      <c r="D9" s="3"/>
      <c r="E9" s="106">
        <v>0</v>
      </c>
      <c r="F9" s="106">
        <v>0</v>
      </c>
      <c r="G9" s="106">
        <v>0</v>
      </c>
      <c r="H9" s="106">
        <v>0</v>
      </c>
      <c r="I9" s="106">
        <v>0</v>
      </c>
      <c r="J9" s="106">
        <v>0</v>
      </c>
      <c r="K9" s="106">
        <v>0</v>
      </c>
      <c r="L9" s="106">
        <v>0</v>
      </c>
      <c r="M9" s="106">
        <v>0</v>
      </c>
      <c r="N9" s="106">
        <v>0</v>
      </c>
      <c r="O9" s="106">
        <v>0</v>
      </c>
      <c r="P9" s="106">
        <v>0</v>
      </c>
      <c r="Q9" s="106">
        <v>0</v>
      </c>
      <c r="R9" s="106">
        <v>0</v>
      </c>
      <c r="S9" s="106">
        <v>0</v>
      </c>
      <c r="T9" s="106">
        <v>0</v>
      </c>
      <c r="U9" s="106">
        <v>0</v>
      </c>
      <c r="V9" s="106">
        <v>0</v>
      </c>
      <c r="W9" s="106">
        <v>0</v>
      </c>
      <c r="X9" s="106">
        <v>0</v>
      </c>
      <c r="Y9" s="106">
        <v>0</v>
      </c>
      <c r="Z9" s="106">
        <v>0</v>
      </c>
      <c r="AA9" s="106">
        <v>0</v>
      </c>
      <c r="AB9" s="106">
        <v>0</v>
      </c>
      <c r="AC9" s="106">
        <v>0</v>
      </c>
      <c r="AD9" s="106">
        <v>0</v>
      </c>
      <c r="AE9" s="106">
        <v>0</v>
      </c>
      <c r="AF9" s="106">
        <v>0</v>
      </c>
      <c r="AG9" s="106">
        <v>0</v>
      </c>
      <c r="AH9" s="106">
        <v>1</v>
      </c>
      <c r="AI9" s="106">
        <v>1</v>
      </c>
      <c r="AJ9" s="106">
        <v>1</v>
      </c>
      <c r="AK9" s="106">
        <v>1</v>
      </c>
      <c r="AL9" s="106">
        <v>1</v>
      </c>
      <c r="AM9" s="106">
        <v>1</v>
      </c>
      <c r="AN9" s="106">
        <v>1</v>
      </c>
    </row>
    <row r="10" spans="1:40" hidden="1" outlineLevel="1" x14ac:dyDescent="0.25">
      <c r="B10" s="39" t="str">
        <v>Intake</v>
      </c>
      <c r="C10" s="3"/>
      <c r="D10" s="3"/>
      <c r="E10" s="106">
        <v>0</v>
      </c>
      <c r="F10" s="106">
        <v>0</v>
      </c>
      <c r="G10" s="106">
        <v>0</v>
      </c>
      <c r="H10" s="106">
        <v>0</v>
      </c>
      <c r="I10" s="106">
        <v>0</v>
      </c>
      <c r="J10" s="106">
        <v>0</v>
      </c>
      <c r="K10" s="106">
        <v>0</v>
      </c>
      <c r="L10" s="106">
        <v>0</v>
      </c>
      <c r="M10" s="106">
        <v>0</v>
      </c>
      <c r="N10" s="106">
        <v>0</v>
      </c>
      <c r="O10" s="106">
        <v>0</v>
      </c>
      <c r="P10" s="106">
        <v>0</v>
      </c>
      <c r="Q10" s="106">
        <v>0</v>
      </c>
      <c r="R10" s="106">
        <v>0</v>
      </c>
      <c r="S10" s="106">
        <v>0</v>
      </c>
      <c r="T10" s="106">
        <v>0</v>
      </c>
      <c r="U10" s="106">
        <v>0</v>
      </c>
      <c r="V10" s="106">
        <v>0</v>
      </c>
      <c r="W10" s="106">
        <v>0</v>
      </c>
      <c r="X10" s="106">
        <v>0</v>
      </c>
      <c r="Y10" s="106">
        <v>0</v>
      </c>
      <c r="Z10" s="106">
        <v>0</v>
      </c>
      <c r="AA10" s="106">
        <v>0</v>
      </c>
      <c r="AB10" s="106">
        <v>0</v>
      </c>
      <c r="AC10" s="106">
        <v>0</v>
      </c>
      <c r="AD10" s="106">
        <v>0</v>
      </c>
      <c r="AE10" s="106">
        <v>0</v>
      </c>
      <c r="AF10" s="106">
        <v>0</v>
      </c>
      <c r="AG10" s="106">
        <v>0</v>
      </c>
      <c r="AH10" s="106">
        <v>0</v>
      </c>
      <c r="AI10" s="106">
        <v>1</v>
      </c>
      <c r="AJ10" s="106">
        <v>1</v>
      </c>
      <c r="AK10" s="106">
        <v>1</v>
      </c>
      <c r="AL10" s="106">
        <v>1</v>
      </c>
      <c r="AM10" s="106">
        <v>1</v>
      </c>
      <c r="AN10" s="106">
        <v>1</v>
      </c>
    </row>
    <row r="11" spans="1:40" hidden="1" outlineLevel="1" x14ac:dyDescent="0.25">
      <c r="B11" s="39" t="str">
        <v>Scheduler</v>
      </c>
      <c r="C11" s="3"/>
      <c r="D11" s="3"/>
      <c r="E11" s="106">
        <v>0</v>
      </c>
      <c r="F11" s="106">
        <v>0</v>
      </c>
      <c r="G11" s="106">
        <v>0</v>
      </c>
      <c r="H11" s="106">
        <v>0</v>
      </c>
      <c r="I11" s="106">
        <v>0</v>
      </c>
      <c r="J11" s="106">
        <v>0</v>
      </c>
      <c r="K11" s="106">
        <v>0</v>
      </c>
      <c r="L11" s="106">
        <v>0</v>
      </c>
      <c r="M11" s="106">
        <v>0</v>
      </c>
      <c r="N11" s="106">
        <v>0</v>
      </c>
      <c r="O11" s="106">
        <v>0</v>
      </c>
      <c r="P11" s="106">
        <v>0</v>
      </c>
      <c r="Q11" s="106">
        <v>0</v>
      </c>
      <c r="R11" s="106">
        <v>0</v>
      </c>
      <c r="S11" s="106">
        <v>0</v>
      </c>
      <c r="T11" s="106">
        <v>0</v>
      </c>
      <c r="U11" s="106">
        <v>0</v>
      </c>
      <c r="V11" s="106">
        <v>0</v>
      </c>
      <c r="W11" s="106">
        <v>0</v>
      </c>
      <c r="X11" s="106">
        <v>0</v>
      </c>
      <c r="Y11" s="106">
        <v>0</v>
      </c>
      <c r="Z11" s="106">
        <v>0</v>
      </c>
      <c r="AA11" s="106">
        <v>0</v>
      </c>
      <c r="AB11" s="106">
        <v>0</v>
      </c>
      <c r="AC11" s="106">
        <v>0</v>
      </c>
      <c r="AD11" s="106">
        <v>0</v>
      </c>
      <c r="AE11" s="106">
        <v>0</v>
      </c>
      <c r="AF11" s="106">
        <v>0</v>
      </c>
      <c r="AG11" s="106">
        <v>0</v>
      </c>
      <c r="AH11" s="106">
        <v>0</v>
      </c>
      <c r="AI11" s="106">
        <v>0</v>
      </c>
      <c r="AJ11" s="106">
        <v>0</v>
      </c>
      <c r="AK11" s="106">
        <v>0</v>
      </c>
      <c r="AL11" s="106">
        <v>0</v>
      </c>
      <c r="AM11" s="106">
        <v>0</v>
      </c>
      <c r="AN11" s="106">
        <v>0</v>
      </c>
    </row>
    <row r="12" spans="1:40" hidden="1" outlineLevel="1" x14ac:dyDescent="0.25">
      <c r="B12" s="39" t="str">
        <v>Initial Consultation Expert</v>
      </c>
      <c r="C12" s="3"/>
      <c r="D12" s="3"/>
      <c r="E12" s="106">
        <v>0</v>
      </c>
      <c r="F12" s="106">
        <v>0</v>
      </c>
      <c r="G12" s="106">
        <v>0</v>
      </c>
      <c r="H12" s="106">
        <v>0</v>
      </c>
      <c r="I12" s="106">
        <v>0</v>
      </c>
      <c r="J12" s="106">
        <v>0</v>
      </c>
      <c r="K12" s="106">
        <v>0</v>
      </c>
      <c r="L12" s="106">
        <v>0</v>
      </c>
      <c r="M12" s="106">
        <v>0</v>
      </c>
      <c r="N12" s="106">
        <v>0</v>
      </c>
      <c r="O12" s="106">
        <v>0</v>
      </c>
      <c r="P12" s="106">
        <v>0</v>
      </c>
      <c r="Q12" s="106">
        <v>0</v>
      </c>
      <c r="R12" s="106">
        <v>0</v>
      </c>
      <c r="S12" s="106">
        <v>0</v>
      </c>
      <c r="T12" s="106">
        <v>0</v>
      </c>
      <c r="U12" s="106">
        <v>0</v>
      </c>
      <c r="V12" s="106">
        <v>0</v>
      </c>
      <c r="W12" s="106">
        <v>0</v>
      </c>
      <c r="X12" s="106">
        <v>0</v>
      </c>
      <c r="Y12" s="106">
        <v>0</v>
      </c>
      <c r="Z12" s="106">
        <v>0</v>
      </c>
      <c r="AA12" s="106">
        <v>0</v>
      </c>
      <c r="AB12" s="106">
        <v>0</v>
      </c>
      <c r="AC12" s="106">
        <v>0</v>
      </c>
      <c r="AD12" s="106">
        <v>0</v>
      </c>
      <c r="AE12" s="106">
        <v>0</v>
      </c>
      <c r="AF12" s="106">
        <v>0</v>
      </c>
      <c r="AG12" s="106">
        <v>0</v>
      </c>
      <c r="AH12" s="106">
        <v>0</v>
      </c>
      <c r="AI12" s="106">
        <v>0.25</v>
      </c>
      <c r="AJ12" s="106">
        <v>0.26</v>
      </c>
      <c r="AK12" s="106">
        <v>0.27</v>
      </c>
      <c r="AL12" s="106">
        <v>0.29000000000000004</v>
      </c>
      <c r="AM12" s="106">
        <v>0.3</v>
      </c>
      <c r="AN12" s="106">
        <v>0.31</v>
      </c>
    </row>
    <row r="13" spans="1:40" hidden="1" outlineLevel="1" x14ac:dyDescent="0.25">
      <c r="B13" s="39" t="str">
        <v>Trainer</v>
      </c>
      <c r="C13" s="3"/>
      <c r="D13" s="3"/>
      <c r="E13" s="106">
        <v>0</v>
      </c>
      <c r="F13" s="106">
        <v>0</v>
      </c>
      <c r="G13" s="106">
        <v>0</v>
      </c>
      <c r="H13" s="106">
        <v>0</v>
      </c>
      <c r="I13" s="106">
        <v>0</v>
      </c>
      <c r="J13" s="106">
        <v>0</v>
      </c>
      <c r="K13" s="106">
        <v>0</v>
      </c>
      <c r="L13" s="106">
        <v>0</v>
      </c>
      <c r="M13" s="106">
        <v>0</v>
      </c>
      <c r="N13" s="106">
        <v>0</v>
      </c>
      <c r="O13" s="106">
        <v>0</v>
      </c>
      <c r="P13" s="106">
        <v>0</v>
      </c>
      <c r="Q13" s="106">
        <v>0</v>
      </c>
      <c r="R13" s="106">
        <v>0</v>
      </c>
      <c r="S13" s="106">
        <v>0</v>
      </c>
      <c r="T13" s="106">
        <v>0</v>
      </c>
      <c r="U13" s="106">
        <v>0</v>
      </c>
      <c r="V13" s="106">
        <v>0</v>
      </c>
      <c r="W13" s="106">
        <v>0</v>
      </c>
      <c r="X13" s="106">
        <v>0</v>
      </c>
      <c r="Y13" s="106">
        <v>0</v>
      </c>
      <c r="Z13" s="106">
        <v>0</v>
      </c>
      <c r="AA13" s="106">
        <v>0</v>
      </c>
      <c r="AB13" s="106">
        <v>0</v>
      </c>
      <c r="AC13" s="106">
        <v>0</v>
      </c>
      <c r="AD13" s="106">
        <v>0</v>
      </c>
      <c r="AE13" s="106">
        <v>0</v>
      </c>
      <c r="AF13" s="106">
        <v>0</v>
      </c>
      <c r="AG13" s="106">
        <v>0</v>
      </c>
      <c r="AH13" s="106">
        <v>0.02</v>
      </c>
      <c r="AI13" s="106">
        <v>0.35000000000000003</v>
      </c>
      <c r="AJ13" s="106">
        <v>0.39</v>
      </c>
      <c r="AK13" s="106">
        <v>0.42</v>
      </c>
      <c r="AL13" s="106">
        <v>0.45</v>
      </c>
      <c r="AM13" s="106">
        <v>0.49</v>
      </c>
      <c r="AN13" s="106">
        <v>0.52</v>
      </c>
    </row>
    <row r="14" spans="1:40" hidden="1" outlineLevel="1" x14ac:dyDescent="0.25">
      <c r="B14" s="39" t="str">
        <v>Recruiter</v>
      </c>
      <c r="C14" s="3"/>
      <c r="D14" s="3"/>
      <c r="E14" s="106">
        <v>0</v>
      </c>
      <c r="F14" s="106">
        <v>0</v>
      </c>
      <c r="G14" s="106">
        <v>0</v>
      </c>
      <c r="H14" s="106">
        <v>0</v>
      </c>
      <c r="I14" s="106">
        <v>0</v>
      </c>
      <c r="J14" s="106">
        <v>0</v>
      </c>
      <c r="K14" s="106">
        <v>0</v>
      </c>
      <c r="L14" s="106">
        <v>0</v>
      </c>
      <c r="M14" s="106">
        <v>0</v>
      </c>
      <c r="N14" s="106">
        <v>0</v>
      </c>
      <c r="O14" s="106">
        <v>0</v>
      </c>
      <c r="P14" s="106">
        <v>0</v>
      </c>
      <c r="Q14" s="106">
        <v>0</v>
      </c>
      <c r="R14" s="106">
        <v>0</v>
      </c>
      <c r="S14" s="106">
        <v>0</v>
      </c>
      <c r="T14" s="106">
        <v>0</v>
      </c>
      <c r="U14" s="106">
        <v>0</v>
      </c>
      <c r="V14" s="106">
        <v>0</v>
      </c>
      <c r="W14" s="106">
        <v>0</v>
      </c>
      <c r="X14" s="106">
        <v>0</v>
      </c>
      <c r="Y14" s="106">
        <v>0</v>
      </c>
      <c r="Z14" s="106">
        <v>0</v>
      </c>
      <c r="AA14" s="106">
        <v>0</v>
      </c>
      <c r="AB14" s="106">
        <v>0</v>
      </c>
      <c r="AC14" s="106">
        <v>0</v>
      </c>
      <c r="AD14" s="106">
        <v>0</v>
      </c>
      <c r="AE14" s="106">
        <v>0</v>
      </c>
      <c r="AF14" s="106">
        <v>0</v>
      </c>
      <c r="AG14" s="106">
        <v>0</v>
      </c>
      <c r="AH14" s="106">
        <v>0.02</v>
      </c>
      <c r="AI14" s="106">
        <v>0.2</v>
      </c>
      <c r="AJ14" s="106">
        <v>0.22</v>
      </c>
      <c r="AK14" s="106">
        <v>0.25</v>
      </c>
      <c r="AL14" s="106">
        <v>0.27</v>
      </c>
      <c r="AM14" s="106">
        <v>0.3</v>
      </c>
      <c r="AN14" s="106">
        <v>0.32</v>
      </c>
    </row>
    <row r="15" spans="1:40" hidden="1" outlineLevel="1" x14ac:dyDescent="0.25">
      <c r="B15" s="39" t="str">
        <v>Center Director / Remote Site Director</v>
      </c>
      <c r="C15" s="3"/>
      <c r="D15" s="3"/>
      <c r="E15" s="106">
        <v>0</v>
      </c>
      <c r="F15" s="106">
        <v>0</v>
      </c>
      <c r="G15" s="106">
        <v>0</v>
      </c>
      <c r="H15" s="106">
        <v>0</v>
      </c>
      <c r="I15" s="106">
        <v>0</v>
      </c>
      <c r="J15" s="106">
        <v>0</v>
      </c>
      <c r="K15" s="106">
        <v>0</v>
      </c>
      <c r="L15" s="106">
        <v>0</v>
      </c>
      <c r="M15" s="106">
        <v>0</v>
      </c>
      <c r="N15" s="106">
        <v>0</v>
      </c>
      <c r="O15" s="106">
        <v>0</v>
      </c>
      <c r="P15" s="106">
        <v>0</v>
      </c>
      <c r="Q15" s="106">
        <v>0</v>
      </c>
      <c r="R15" s="106">
        <v>0</v>
      </c>
      <c r="S15" s="106">
        <v>0</v>
      </c>
      <c r="T15" s="106">
        <v>0</v>
      </c>
      <c r="U15" s="106">
        <v>0</v>
      </c>
      <c r="V15" s="106">
        <v>0</v>
      </c>
      <c r="W15" s="106">
        <v>0</v>
      </c>
      <c r="X15" s="106">
        <v>0</v>
      </c>
      <c r="Y15" s="106">
        <v>0</v>
      </c>
      <c r="Z15" s="106">
        <v>0</v>
      </c>
      <c r="AA15" s="106">
        <v>0</v>
      </c>
      <c r="AB15" s="106">
        <v>0</v>
      </c>
      <c r="AC15" s="106">
        <v>0</v>
      </c>
      <c r="AD15" s="106">
        <v>0</v>
      </c>
      <c r="AE15" s="106">
        <v>0</v>
      </c>
      <c r="AF15" s="106">
        <v>0</v>
      </c>
      <c r="AG15" s="106">
        <v>0</v>
      </c>
      <c r="AH15" s="106">
        <v>0.02</v>
      </c>
      <c r="AI15" s="106">
        <v>0.03</v>
      </c>
      <c r="AJ15" s="106">
        <v>0.04</v>
      </c>
      <c r="AK15" s="106">
        <v>0.05</v>
      </c>
      <c r="AL15" s="106">
        <v>0.06</v>
      </c>
      <c r="AM15" s="106">
        <v>0.08</v>
      </c>
      <c r="AN15" s="106">
        <v>0.09</v>
      </c>
    </row>
    <row r="16" spans="1:40" hidden="1" outlineLevel="1" x14ac:dyDescent="0.25">
      <c r="B16" s="39" t="str">
        <v>Center Marketing Outreach</v>
      </c>
      <c r="C16" s="3"/>
      <c r="D16" s="3"/>
      <c r="E16" s="106">
        <v>0</v>
      </c>
      <c r="F16" s="106">
        <v>0</v>
      </c>
      <c r="G16" s="106">
        <v>0</v>
      </c>
      <c r="H16" s="106">
        <v>0</v>
      </c>
      <c r="I16" s="106">
        <v>0</v>
      </c>
      <c r="J16" s="106">
        <v>0</v>
      </c>
      <c r="K16" s="106">
        <v>0</v>
      </c>
      <c r="L16" s="106">
        <v>0</v>
      </c>
      <c r="M16" s="106">
        <v>0</v>
      </c>
      <c r="N16" s="106">
        <v>0</v>
      </c>
      <c r="O16" s="106">
        <v>0</v>
      </c>
      <c r="P16" s="106">
        <v>0</v>
      </c>
      <c r="Q16" s="106">
        <v>0</v>
      </c>
      <c r="R16" s="106">
        <v>0</v>
      </c>
      <c r="S16" s="106">
        <v>0</v>
      </c>
      <c r="T16" s="106">
        <v>0</v>
      </c>
      <c r="U16" s="106">
        <v>0</v>
      </c>
      <c r="V16" s="106">
        <v>0</v>
      </c>
      <c r="W16" s="106">
        <v>0</v>
      </c>
      <c r="X16" s="106">
        <v>0</v>
      </c>
      <c r="Y16" s="106">
        <v>0</v>
      </c>
      <c r="Z16" s="106">
        <v>0</v>
      </c>
      <c r="AA16" s="106">
        <v>0</v>
      </c>
      <c r="AB16" s="106">
        <v>0</v>
      </c>
      <c r="AC16" s="106">
        <v>0</v>
      </c>
      <c r="AD16" s="106">
        <v>0</v>
      </c>
      <c r="AE16" s="106">
        <v>0</v>
      </c>
      <c r="AF16" s="106">
        <v>0</v>
      </c>
      <c r="AG16" s="106">
        <v>0</v>
      </c>
      <c r="AH16" s="106">
        <v>0.02</v>
      </c>
      <c r="AI16" s="106">
        <v>0.03</v>
      </c>
      <c r="AJ16" s="106">
        <v>0.04</v>
      </c>
      <c r="AK16" s="106">
        <v>0.05</v>
      </c>
      <c r="AL16" s="106">
        <v>0.06</v>
      </c>
      <c r="AM16" s="106">
        <v>0.08</v>
      </c>
      <c r="AN16" s="106">
        <v>0.09</v>
      </c>
    </row>
    <row r="17" spans="2:50" hidden="1" outlineLevel="1" x14ac:dyDescent="0.25">
      <c r="B17" s="39" t="str">
        <v>Primary Direct Staff Lead</v>
      </c>
      <c r="C17" s="3"/>
      <c r="D17" s="3"/>
      <c r="E17" s="106">
        <v>0</v>
      </c>
      <c r="F17" s="106">
        <v>0</v>
      </c>
      <c r="G17" s="106">
        <v>0</v>
      </c>
      <c r="H17" s="106">
        <v>0</v>
      </c>
      <c r="I17" s="106">
        <v>0</v>
      </c>
      <c r="J17" s="106">
        <v>0</v>
      </c>
      <c r="K17" s="106">
        <v>0</v>
      </c>
      <c r="L17" s="106">
        <v>0</v>
      </c>
      <c r="M17" s="106">
        <v>0</v>
      </c>
      <c r="N17" s="106">
        <v>0</v>
      </c>
      <c r="O17" s="106">
        <v>0</v>
      </c>
      <c r="P17" s="106">
        <v>0</v>
      </c>
      <c r="Q17" s="106">
        <v>0</v>
      </c>
      <c r="R17" s="106">
        <v>0</v>
      </c>
      <c r="S17" s="106">
        <v>0</v>
      </c>
      <c r="T17" s="106">
        <v>0</v>
      </c>
      <c r="U17" s="106">
        <v>0</v>
      </c>
      <c r="V17" s="106">
        <v>0</v>
      </c>
      <c r="W17" s="106">
        <v>0</v>
      </c>
      <c r="X17" s="106">
        <v>0</v>
      </c>
      <c r="Y17" s="106">
        <v>0</v>
      </c>
      <c r="Z17" s="106">
        <v>0</v>
      </c>
      <c r="AA17" s="106">
        <v>0</v>
      </c>
      <c r="AB17" s="106">
        <v>0</v>
      </c>
      <c r="AC17" s="106">
        <v>0</v>
      </c>
      <c r="AD17" s="106">
        <v>0</v>
      </c>
      <c r="AE17" s="106">
        <v>0</v>
      </c>
      <c r="AF17" s="106">
        <v>0</v>
      </c>
      <c r="AG17" s="106">
        <v>0</v>
      </c>
      <c r="AH17" s="106">
        <v>0.3</v>
      </c>
      <c r="AI17" s="106">
        <v>0.6</v>
      </c>
      <c r="AJ17" s="106">
        <v>0.9</v>
      </c>
      <c r="AK17" s="106">
        <v>1.2</v>
      </c>
      <c r="AL17" s="106">
        <v>1.5</v>
      </c>
      <c r="AM17" s="106">
        <v>1.8</v>
      </c>
      <c r="AN17" s="106">
        <v>2.1</v>
      </c>
    </row>
    <row r="18" spans="2:50" hidden="1" outlineLevel="1" x14ac:dyDescent="0.25">
      <c r="B18" s="39" t="str">
        <v>Tertiary Direct Staff</v>
      </c>
      <c r="C18" s="3"/>
      <c r="D18" s="3"/>
      <c r="E18" s="106">
        <v>0</v>
      </c>
      <c r="F18" s="106">
        <v>0</v>
      </c>
      <c r="G18" s="106">
        <v>0</v>
      </c>
      <c r="H18" s="106">
        <v>0</v>
      </c>
      <c r="I18" s="106">
        <v>0</v>
      </c>
      <c r="J18" s="106">
        <v>0</v>
      </c>
      <c r="K18" s="106">
        <v>0</v>
      </c>
      <c r="L18" s="106">
        <v>0</v>
      </c>
      <c r="M18" s="106">
        <v>0</v>
      </c>
      <c r="N18" s="106">
        <v>0</v>
      </c>
      <c r="O18" s="106">
        <v>0</v>
      </c>
      <c r="P18" s="106">
        <v>0</v>
      </c>
      <c r="Q18" s="106">
        <v>0</v>
      </c>
      <c r="R18" s="106">
        <v>0</v>
      </c>
      <c r="S18" s="106">
        <v>0</v>
      </c>
      <c r="T18" s="106">
        <v>0</v>
      </c>
      <c r="U18" s="106">
        <v>0</v>
      </c>
      <c r="V18" s="106">
        <v>0</v>
      </c>
      <c r="W18" s="106">
        <v>0</v>
      </c>
      <c r="X18" s="106">
        <v>0</v>
      </c>
      <c r="Y18" s="106">
        <v>0</v>
      </c>
      <c r="Z18" s="106">
        <v>0</v>
      </c>
      <c r="AA18" s="106">
        <v>0</v>
      </c>
      <c r="AB18" s="106">
        <v>0</v>
      </c>
      <c r="AC18" s="106">
        <v>0</v>
      </c>
      <c r="AD18" s="106">
        <v>0</v>
      </c>
      <c r="AE18" s="106">
        <v>0</v>
      </c>
      <c r="AF18" s="106">
        <v>0</v>
      </c>
      <c r="AG18" s="106">
        <v>0</v>
      </c>
      <c r="AH18" s="106">
        <v>0</v>
      </c>
      <c r="AI18" s="106">
        <v>0</v>
      </c>
      <c r="AJ18" s="106">
        <v>0</v>
      </c>
      <c r="AK18" s="106">
        <v>0</v>
      </c>
      <c r="AL18" s="106">
        <v>0</v>
      </c>
      <c r="AM18" s="106">
        <v>0</v>
      </c>
      <c r="AN18" s="106">
        <v>0</v>
      </c>
    </row>
    <row r="19" spans="2:50" hidden="1" outlineLevel="1" x14ac:dyDescent="0.25">
      <c r="B19" s="39" t="str">
        <v>Quinary Direct Staff</v>
      </c>
      <c r="C19" s="3"/>
      <c r="D19" s="3"/>
      <c r="E19" s="106">
        <v>0</v>
      </c>
      <c r="F19" s="106">
        <v>0</v>
      </c>
      <c r="G19" s="106">
        <v>0</v>
      </c>
      <c r="H19" s="106">
        <v>0</v>
      </c>
      <c r="I19" s="106">
        <v>0</v>
      </c>
      <c r="J19" s="106">
        <v>0</v>
      </c>
      <c r="K19" s="106">
        <v>0</v>
      </c>
      <c r="L19" s="106">
        <v>0</v>
      </c>
      <c r="M19" s="106">
        <v>0</v>
      </c>
      <c r="N19" s="106">
        <v>0</v>
      </c>
      <c r="O19" s="106">
        <v>0</v>
      </c>
      <c r="P19" s="106">
        <v>0</v>
      </c>
      <c r="Q19" s="106">
        <v>0</v>
      </c>
      <c r="R19" s="106">
        <v>0</v>
      </c>
      <c r="S19" s="106">
        <v>0</v>
      </c>
      <c r="T19" s="106">
        <v>0</v>
      </c>
      <c r="U19" s="106">
        <v>0</v>
      </c>
      <c r="V19" s="106">
        <v>0</v>
      </c>
      <c r="W19" s="106">
        <v>0</v>
      </c>
      <c r="X19" s="106">
        <v>0</v>
      </c>
      <c r="Y19" s="106">
        <v>0</v>
      </c>
      <c r="Z19" s="106">
        <v>0</v>
      </c>
      <c r="AA19" s="106">
        <v>0</v>
      </c>
      <c r="AB19" s="106">
        <v>0</v>
      </c>
      <c r="AC19" s="106">
        <v>0</v>
      </c>
      <c r="AD19" s="106">
        <v>0</v>
      </c>
      <c r="AE19" s="106">
        <v>0</v>
      </c>
      <c r="AF19" s="106">
        <v>0</v>
      </c>
      <c r="AG19" s="106">
        <v>0</v>
      </c>
      <c r="AH19" s="106">
        <v>0</v>
      </c>
      <c r="AI19" s="106">
        <v>0</v>
      </c>
      <c r="AJ19" s="106">
        <v>0</v>
      </c>
      <c r="AK19" s="106">
        <v>0</v>
      </c>
      <c r="AL19" s="106">
        <v>0</v>
      </c>
      <c r="AM19" s="106">
        <v>0</v>
      </c>
      <c r="AN19" s="106">
        <v>0</v>
      </c>
    </row>
    <row r="20" spans="2:50" hidden="1" outlineLevel="1" x14ac:dyDescent="0.25">
      <c r="B20" s="39" t="str">
        <v>Quaternary Direct Staff</v>
      </c>
      <c r="C20" s="3"/>
      <c r="D20" s="3"/>
      <c r="E20" s="106">
        <v>0</v>
      </c>
      <c r="F20" s="106">
        <v>0</v>
      </c>
      <c r="G20" s="106">
        <v>0</v>
      </c>
      <c r="H20" s="106">
        <v>0</v>
      </c>
      <c r="I20" s="106">
        <v>0</v>
      </c>
      <c r="J20" s="106">
        <v>0</v>
      </c>
      <c r="K20" s="106">
        <v>0</v>
      </c>
      <c r="L20" s="106">
        <v>0</v>
      </c>
      <c r="M20" s="106">
        <v>0</v>
      </c>
      <c r="N20" s="106">
        <v>0</v>
      </c>
      <c r="O20" s="106">
        <v>0</v>
      </c>
      <c r="P20" s="106">
        <v>0</v>
      </c>
      <c r="Q20" s="106">
        <v>0</v>
      </c>
      <c r="R20" s="106">
        <v>0</v>
      </c>
      <c r="S20" s="106">
        <v>0</v>
      </c>
      <c r="T20" s="106">
        <v>0</v>
      </c>
      <c r="U20" s="106">
        <v>0</v>
      </c>
      <c r="V20" s="106">
        <v>0</v>
      </c>
      <c r="W20" s="106">
        <v>0</v>
      </c>
      <c r="X20" s="106">
        <v>0</v>
      </c>
      <c r="Y20" s="106">
        <v>0</v>
      </c>
      <c r="Z20" s="106">
        <v>0</v>
      </c>
      <c r="AA20" s="106">
        <v>0</v>
      </c>
      <c r="AB20" s="106">
        <v>0</v>
      </c>
      <c r="AC20" s="106">
        <v>0</v>
      </c>
      <c r="AD20" s="106">
        <v>0</v>
      </c>
      <c r="AE20" s="106">
        <v>0</v>
      </c>
      <c r="AF20" s="106">
        <v>0</v>
      </c>
      <c r="AG20" s="106">
        <v>0</v>
      </c>
      <c r="AH20" s="106">
        <v>1</v>
      </c>
      <c r="AI20" s="106">
        <v>1</v>
      </c>
      <c r="AJ20" s="106">
        <v>1</v>
      </c>
      <c r="AK20" s="106">
        <v>1</v>
      </c>
      <c r="AL20" s="106">
        <v>1</v>
      </c>
      <c r="AM20" s="106">
        <v>1</v>
      </c>
      <c r="AN20" s="106">
        <v>1</v>
      </c>
    </row>
    <row r="21" spans="2:50" collapsed="1" x14ac:dyDescent="0.25">
      <c r="B21" s="39" t="s">
        <v>389</v>
      </c>
      <c r="C21" s="3"/>
      <c r="D21" s="5"/>
      <c r="E21" s="117" cm="1">
        <f t="array" ref="E21:AN21">ROUND(_xlfn.BYCOL(_xlfn.CHOOSEROWS(_xlfn.ANCHORARRAY(E7),1,2),_xlfn.LAMBDA(_xlpm.col,SUM(_xlpm.col))),0)</f>
        <v>0</v>
      </c>
      <c r="F21" s="117">
        <v>0</v>
      </c>
      <c r="G21" s="117">
        <v>0</v>
      </c>
      <c r="H21" s="117">
        <v>0</v>
      </c>
      <c r="I21" s="117">
        <v>0</v>
      </c>
      <c r="J21" s="117">
        <v>0</v>
      </c>
      <c r="K21" s="117">
        <v>0</v>
      </c>
      <c r="L21" s="117">
        <v>0</v>
      </c>
      <c r="M21" s="117">
        <v>0</v>
      </c>
      <c r="N21" s="117">
        <v>0</v>
      </c>
      <c r="O21" s="117">
        <v>0</v>
      </c>
      <c r="P21" s="117">
        <v>0</v>
      </c>
      <c r="Q21" s="117">
        <v>0</v>
      </c>
      <c r="R21" s="117">
        <v>0</v>
      </c>
      <c r="S21" s="117">
        <v>0</v>
      </c>
      <c r="T21" s="117">
        <v>0</v>
      </c>
      <c r="U21" s="117">
        <v>0</v>
      </c>
      <c r="V21" s="117">
        <v>0</v>
      </c>
      <c r="W21" s="117">
        <v>0</v>
      </c>
      <c r="X21" s="117">
        <v>0</v>
      </c>
      <c r="Y21" s="117">
        <v>0</v>
      </c>
      <c r="Z21" s="117">
        <v>0</v>
      </c>
      <c r="AA21" s="117">
        <v>0</v>
      </c>
      <c r="AB21" s="117">
        <v>0</v>
      </c>
      <c r="AC21" s="117">
        <v>0</v>
      </c>
      <c r="AD21" s="117">
        <v>0</v>
      </c>
      <c r="AE21" s="117">
        <v>0</v>
      </c>
      <c r="AF21" s="117">
        <v>0</v>
      </c>
      <c r="AG21" s="117">
        <v>0</v>
      </c>
      <c r="AH21" s="117">
        <v>3</v>
      </c>
      <c r="AI21" s="117">
        <v>7</v>
      </c>
      <c r="AJ21" s="117">
        <v>10</v>
      </c>
      <c r="AK21" s="117">
        <v>13</v>
      </c>
      <c r="AL21" s="117">
        <v>16</v>
      </c>
      <c r="AM21" s="117">
        <v>20</v>
      </c>
      <c r="AN21" s="117">
        <v>23</v>
      </c>
    </row>
    <row r="22" spans="2:50" x14ac:dyDescent="0.25">
      <c r="B22" s="2" t="s">
        <v>394</v>
      </c>
      <c r="C22" s="3"/>
      <c r="D22" s="77">
        <f>MAX(_xlfn.ANCHORARRAY(E22))</f>
        <v>94.739054978770966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0</v>
      </c>
      <c r="F22" s="78">
        <v>0</v>
      </c>
      <c r="G22" s="78">
        <v>0</v>
      </c>
      <c r="H22" s="78">
        <v>0</v>
      </c>
      <c r="I22" s="78">
        <v>0</v>
      </c>
      <c r="J22" s="78">
        <v>0</v>
      </c>
      <c r="K22" s="78">
        <v>0</v>
      </c>
      <c r="L22" s="78">
        <v>0</v>
      </c>
      <c r="M22" s="78">
        <v>0</v>
      </c>
      <c r="N22" s="78">
        <v>0</v>
      </c>
      <c r="O22" s="78">
        <v>0</v>
      </c>
      <c r="P22" s="78">
        <v>0</v>
      </c>
      <c r="Q22" s="78">
        <v>0</v>
      </c>
      <c r="R22" s="78">
        <v>0</v>
      </c>
      <c r="S22" s="78">
        <v>0</v>
      </c>
      <c r="T22" s="78">
        <v>0</v>
      </c>
      <c r="U22" s="78">
        <v>0</v>
      </c>
      <c r="V22" s="78">
        <v>0</v>
      </c>
      <c r="W22" s="78">
        <v>0</v>
      </c>
      <c r="X22" s="78">
        <v>0</v>
      </c>
      <c r="Y22" s="78">
        <v>0</v>
      </c>
      <c r="Z22" s="78">
        <v>0</v>
      </c>
      <c r="AA22" s="78">
        <v>0</v>
      </c>
      <c r="AB22" s="78">
        <v>0</v>
      </c>
      <c r="AC22" s="78">
        <v>0</v>
      </c>
      <c r="AD22" s="78">
        <v>0</v>
      </c>
      <c r="AE22" s="78">
        <v>0</v>
      </c>
      <c r="AF22" s="78">
        <v>0</v>
      </c>
      <c r="AG22" s="78">
        <v>0</v>
      </c>
      <c r="AH22" s="78">
        <v>94.739054978770966</v>
      </c>
      <c r="AI22" s="78">
        <v>94.739054978770966</v>
      </c>
      <c r="AJ22" s="78">
        <v>94.739054978770952</v>
      </c>
      <c r="AK22" s="78">
        <v>94.739054978770966</v>
      </c>
      <c r="AL22" s="78">
        <v>94.739054978770966</v>
      </c>
      <c r="AM22" s="78">
        <v>94.739054978770952</v>
      </c>
      <c r="AN22" s="78">
        <v>94.739054978770966</v>
      </c>
    </row>
    <row r="23" spans="2:50" x14ac:dyDescent="0.25">
      <c r="B23" s="2" t="s">
        <v>53</v>
      </c>
      <c r="C23" s="3"/>
      <c r="D23" s="72"/>
      <c r="E23" s="52" cm="1">
        <f t="array" ref="E23:AN23">_xlfn.LET(_xlpm.site,$B$1&amp;"-"&amp;$C$1,_xlpm.locations,Base!$D$4:$BD$4,_xlpm.Customer,_xlfn.ANCHORARRAY(E1),_xlpm.hours,SUM(_xlfn.XLOOKUP(_xlpm.site,_xlpm.locations,Base!$D$74:$BD$78,0,0)),
_xlpm.collection,1-_xlfn.XLOOKUP(_xlpm.site,_xlpm.locations,Base!$D$26:$BD$26,0,0),
_xlpm.Customer*_xlpm.hours*_xlpm.collection*(52/12))</f>
        <v>0</v>
      </c>
      <c r="F23" s="52">
        <v>0</v>
      </c>
      <c r="G23" s="52">
        <v>0</v>
      </c>
      <c r="H23" s="52">
        <v>0</v>
      </c>
      <c r="I23" s="52">
        <v>0</v>
      </c>
      <c r="J23" s="52">
        <v>0</v>
      </c>
      <c r="K23" s="52">
        <v>0</v>
      </c>
      <c r="L23" s="52">
        <v>0</v>
      </c>
      <c r="M23" s="52">
        <v>0</v>
      </c>
      <c r="N23" s="52">
        <v>0</v>
      </c>
      <c r="O23" s="52">
        <v>0</v>
      </c>
      <c r="P23" s="52">
        <v>0</v>
      </c>
      <c r="Q23" s="52">
        <v>0</v>
      </c>
      <c r="R23" s="52">
        <v>0</v>
      </c>
      <c r="S23" s="52">
        <v>0</v>
      </c>
      <c r="T23" s="52">
        <v>0</v>
      </c>
      <c r="U23" s="52">
        <v>0</v>
      </c>
      <c r="V23" s="52">
        <v>0</v>
      </c>
      <c r="W23" s="52">
        <v>0</v>
      </c>
      <c r="X23" s="52">
        <v>0</v>
      </c>
      <c r="Y23" s="52">
        <v>0</v>
      </c>
      <c r="Z23" s="52">
        <v>0</v>
      </c>
      <c r="AA23" s="52">
        <v>0</v>
      </c>
      <c r="AB23" s="52">
        <v>0</v>
      </c>
      <c r="AC23" s="52">
        <v>0</v>
      </c>
      <c r="AD23" s="52">
        <v>0</v>
      </c>
      <c r="AE23" s="52">
        <v>0</v>
      </c>
      <c r="AF23" s="52">
        <v>0</v>
      </c>
      <c r="AG23" s="52">
        <v>0</v>
      </c>
      <c r="AH23" s="52">
        <v>315.03999999999996</v>
      </c>
      <c r="AI23" s="52">
        <v>630.07999999999993</v>
      </c>
      <c r="AJ23" s="52">
        <v>945.11999999999989</v>
      </c>
      <c r="AK23" s="52">
        <v>1260.1599999999999</v>
      </c>
      <c r="AL23" s="52">
        <v>1575.1999999999996</v>
      </c>
      <c r="AM23" s="52">
        <v>1890.2399999999998</v>
      </c>
      <c r="AN23" s="52">
        <v>2205.2799999999997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21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_xlfn.LET(_xlpm.site,$B$1&amp;"-"&amp;$C$1,_xlpm.locations,Base!$D$4:$BD$4,_xlpm.rates,Base!$D31:$BD31,_xlpm.hours,Base!$D74:$BD74,_xlpm.comp,_xlpm.rates*_xlpm.hours,_xlpm.Customer,_xlfn.ANCHORARRAY($E$1),
_xlpm.Customer_comp,_xlfn.XLOOKUP(_xlpm.site,_xlpm.locations,_xlpm.comp,0,0),_xlpm.ann_incr,_xlfn.XLOOKUP(YEAR(_xlfn.ANCHORARRAY($E$25)),Base!$BJ$4:$BL$4,Base!$BJ74:$BL74,0,0),
_xlpm.bad_debt,_xlfn.XLOOKUP(_xlpm.site,_xlpm.locations,Base!$D$28:$BD$28,0,0),_xlpm.Customer_comp*_xlpm.Customer*_xlpm.bad_debt*_xlpm.ann_incr*(52/12))</f>
        <v>0</v>
      </c>
      <c r="F26" s="12">
        <v>0</v>
      </c>
      <c r="G26" s="12">
        <v>0</v>
      </c>
      <c r="H26" s="12">
        <v>0</v>
      </c>
      <c r="I26" s="12">
        <v>0</v>
      </c>
      <c r="J26" s="12">
        <v>0</v>
      </c>
      <c r="K26" s="12">
        <v>0</v>
      </c>
      <c r="L26" s="12">
        <v>0</v>
      </c>
      <c r="M26" s="12">
        <v>0</v>
      </c>
      <c r="N26" s="12">
        <v>0</v>
      </c>
      <c r="O26" s="12">
        <v>0</v>
      </c>
      <c r="P26" s="12">
        <v>0</v>
      </c>
      <c r="Q26" s="12">
        <v>0</v>
      </c>
      <c r="R26" s="12">
        <v>0</v>
      </c>
      <c r="S26" s="12">
        <v>0</v>
      </c>
      <c r="T26" s="12">
        <v>0</v>
      </c>
      <c r="U26" s="12">
        <v>0</v>
      </c>
      <c r="V26" s="12">
        <v>0</v>
      </c>
      <c r="W26" s="12">
        <v>0</v>
      </c>
      <c r="X26" s="12">
        <v>0</v>
      </c>
      <c r="Y26" s="12">
        <v>0</v>
      </c>
      <c r="Z26" s="12">
        <v>0</v>
      </c>
      <c r="AA26" s="12">
        <v>0</v>
      </c>
      <c r="AB26" s="12">
        <v>0</v>
      </c>
      <c r="AC26" s="12">
        <v>0</v>
      </c>
      <c r="AD26" s="12">
        <v>0</v>
      </c>
      <c r="AE26" s="12">
        <v>0</v>
      </c>
      <c r="AF26" s="12">
        <v>0</v>
      </c>
      <c r="AG26" s="12">
        <v>0</v>
      </c>
      <c r="AH26" s="12">
        <v>22196.754060623996</v>
      </c>
      <c r="AI26" s="12">
        <v>44393.508121247993</v>
      </c>
      <c r="AJ26" s="12">
        <v>66590.262181871993</v>
      </c>
      <c r="AK26" s="12">
        <v>88787.016242495985</v>
      </c>
      <c r="AL26" s="12">
        <v>110983.77030312001</v>
      </c>
      <c r="AM26" s="12">
        <v>133180.52436374399</v>
      </c>
      <c r="AN26" s="12">
        <v>155377.27842436801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_xlfn.LET(_xlpm.site,$B$1&amp;"-"&amp;$C$1,_xlpm.locations,Base!$D$4:$BD$4,_xlpm.rates,Base!$D32:$BD32,_xlpm.hours,Base!$D75:$BD75,_xlpm.comp,_xlpm.rates*_xlpm.hours,_xlpm.Customer,_xlfn.ANCHORARRAY($E$1),
_xlpm.Customer_comp,_xlfn.XLOOKUP(_xlpm.site,_xlpm.locations,_xlpm.comp,0,0),_xlpm.ann_incr,_xlfn.XLOOKUP(YEAR(_xlfn.ANCHORARRAY($E$25)),Base!$BJ$4:$BL$4,Base!$BJ75:$BL75,0,0),
_xlpm.bad_debt,_xlfn.XLOOKUP(_xlpm.site,_xlpm.locations,Base!$D$28:$BD$28,0,0),_xlpm.Customer_comp*_xlpm.Customer*_xlpm.bad_debt*_xlpm.ann_incr*(52/12))</f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12">
        <v>0</v>
      </c>
      <c r="AA27" s="12">
        <v>0</v>
      </c>
      <c r="AB27" s="12">
        <v>0</v>
      </c>
      <c r="AC27" s="12">
        <v>0</v>
      </c>
      <c r="AD27" s="12">
        <v>0</v>
      </c>
      <c r="AE27" s="12">
        <v>0</v>
      </c>
      <c r="AF27" s="12">
        <v>0</v>
      </c>
      <c r="AG27" s="12">
        <v>0</v>
      </c>
      <c r="AH27" s="12">
        <v>4255.7811919999995</v>
      </c>
      <c r="AI27" s="12">
        <v>8511.5623839999989</v>
      </c>
      <c r="AJ27" s="12">
        <v>12767.343575999997</v>
      </c>
      <c r="AK27" s="12">
        <v>17023.124767999998</v>
      </c>
      <c r="AL27" s="12">
        <v>21278.90596</v>
      </c>
      <c r="AM27" s="12">
        <v>25534.687151999995</v>
      </c>
      <c r="AN27" s="12">
        <v>29790.468344000001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_xlfn.LET(_xlpm.site,$B$1&amp;"-"&amp;$C$1,_xlpm.locations,Base!$D$4:$BD$4,_xlpm.rates,Base!$D33:$BD33,_xlpm.hours,Base!$D76:$BD76,_xlpm.comp,_xlpm.rates*_xlpm.hours,_xlpm.Customer,_xlfn.ANCHORARRAY($E$1),
_xlpm.Customer_comp,_xlfn.XLOOKUP(_xlpm.site,_xlpm.locations,_xlpm.comp,0,0),_xlpm.ann_incr,_xlfn.XLOOKUP(YEAR(_xlfn.ANCHORARRAY($E$25)),Base!$BJ$4:$BL$4,Base!$BJ76:$BL76,0,0),
_xlpm.bad_debt,_xlfn.XLOOKUP(_xlpm.site,_xlpm.locations,Base!$D$28:$BD$28,0,0),_xlpm.Customer_comp*_xlpm.Customer*_xlpm.bad_debt*_xlpm.ann_incr*(52/12))</f>
        <v>0</v>
      </c>
      <c r="F28" s="12">
        <v>0</v>
      </c>
      <c r="G28" s="12">
        <v>0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0</v>
      </c>
      <c r="N28" s="12">
        <v>0</v>
      </c>
      <c r="O28" s="12">
        <v>0</v>
      </c>
      <c r="P28" s="12">
        <v>0</v>
      </c>
      <c r="Q28" s="12">
        <v>0</v>
      </c>
      <c r="R28" s="12">
        <v>0</v>
      </c>
      <c r="S28" s="12">
        <v>0</v>
      </c>
      <c r="T28" s="12">
        <v>0</v>
      </c>
      <c r="U28" s="12">
        <v>0</v>
      </c>
      <c r="V28" s="12">
        <v>0</v>
      </c>
      <c r="W28" s="12">
        <v>0</v>
      </c>
      <c r="X28" s="12">
        <v>0</v>
      </c>
      <c r="Y28" s="12">
        <v>0</v>
      </c>
      <c r="Z28" s="12">
        <v>0</v>
      </c>
      <c r="AA28" s="12">
        <v>0</v>
      </c>
      <c r="AB28" s="12">
        <v>0</v>
      </c>
      <c r="AC28" s="12">
        <v>0</v>
      </c>
      <c r="AD28" s="12">
        <v>0</v>
      </c>
      <c r="AE28" s="12">
        <v>0</v>
      </c>
      <c r="AF28" s="12">
        <v>0</v>
      </c>
      <c r="AG28" s="12">
        <v>0</v>
      </c>
      <c r="AH28" s="12">
        <v>4686.4231521120009</v>
      </c>
      <c r="AI28" s="12">
        <v>9372.8463042240019</v>
      </c>
      <c r="AJ28" s="12">
        <v>14059.269456336</v>
      </c>
      <c r="AK28" s="12">
        <v>18745.692608448004</v>
      </c>
      <c r="AL28" s="12">
        <v>23432.115760560002</v>
      </c>
      <c r="AM28" s="12">
        <v>28118.538912672</v>
      </c>
      <c r="AN28" s="12">
        <v>32804.962064784006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_xlfn.LET(_xlpm.site,$B$1&amp;"-"&amp;$C$1,_xlpm.locations,Base!$D$4:$BD$4,_xlpm.rates,Base!$D34:$BD34,_xlpm.hours,Base!$D77:$BD77,_xlpm.comp,_xlpm.rates*_xlpm.hours,_xlpm.Customer,_xlfn.ANCHORARRAY($E$1),
_xlpm.Customer_comp,_xlfn.XLOOKUP(_xlpm.site,_xlpm.locations,_xlpm.comp,0,0),_xlpm.ann_incr,_xlfn.XLOOKUP(YEAR(_xlfn.ANCHORARRAY($E$25)),Base!$BJ$4:$BL$4,Base!$BJ77:$BL77,0,0),
_xlpm.bad_debt,_xlfn.XLOOKUP(_xlpm.site,_xlpm.locations,Base!$D$28:$BD$28,0,0),_xlpm.Customer_comp*_xlpm.Customer*_xlpm.bad_debt*_xlpm.ann_incr*(52/12))</f>
        <v>0</v>
      </c>
      <c r="F29" s="12">
        <v>0</v>
      </c>
      <c r="G29" s="12">
        <v>0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0</v>
      </c>
      <c r="N29" s="12">
        <v>0</v>
      </c>
      <c r="O29" s="12">
        <v>0</v>
      </c>
      <c r="P29" s="12">
        <v>0</v>
      </c>
      <c r="Q29" s="12">
        <v>0</v>
      </c>
      <c r="R29" s="12">
        <v>0</v>
      </c>
      <c r="S29" s="12">
        <v>0</v>
      </c>
      <c r="T29" s="12">
        <v>0</v>
      </c>
      <c r="U29" s="12">
        <v>0</v>
      </c>
      <c r="V29" s="12">
        <v>0</v>
      </c>
      <c r="W29" s="12">
        <v>0</v>
      </c>
      <c r="X29" s="12">
        <v>0</v>
      </c>
      <c r="Y29" s="12">
        <v>0</v>
      </c>
      <c r="Z29" s="12">
        <v>0</v>
      </c>
      <c r="AA29" s="12">
        <v>0</v>
      </c>
      <c r="AB29" s="12">
        <v>0</v>
      </c>
      <c r="AC29" s="12">
        <v>0</v>
      </c>
      <c r="AD29" s="12">
        <v>0</v>
      </c>
      <c r="AE29" s="12">
        <v>0</v>
      </c>
      <c r="AF29" s="12">
        <v>0</v>
      </c>
      <c r="AG29" s="12">
        <v>0</v>
      </c>
      <c r="AH29" s="12">
        <v>265.16790503999999</v>
      </c>
      <c r="AI29" s="12">
        <v>530.33581007999999</v>
      </c>
      <c r="AJ29" s="12">
        <v>795.50371512000004</v>
      </c>
      <c r="AK29" s="12">
        <v>1060.67162016</v>
      </c>
      <c r="AL29" s="12">
        <v>1325.8395252</v>
      </c>
      <c r="AM29" s="12">
        <v>1591.0074302400001</v>
      </c>
      <c r="AN29" s="12">
        <v>1856.1753352799999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_xlfn.LET(_xlpm.site,$B$1&amp;"-"&amp;$C$1,_xlpm.locations,Base!$D$4:$BD$4,_xlpm.rates,Base!$D35:$BD35,_xlpm.hours,Base!$D78:$BD78,_xlpm.comp,_xlpm.rates*_xlpm.hours,_xlpm.Customer,_xlfn.ANCHORARRAY($E$1),
_xlpm.Customer_comp,_xlfn.XLOOKUP(_xlpm.site,_xlpm.locations,_xlpm.comp,0,0),_xlpm.ann_incr,_xlfn.XLOOKUP(YEAR(_xlfn.ANCHORARRAY($E$25)),Base!$BJ$4:$BL$4,Base!$BJ78:$BL78,0,0),
_xlpm.bad_debt,_xlfn.XLOOKUP(_xlpm.site,_xlpm.locations,Base!$D$28:$BD$28,0,0),_xlpm.Customer_comp*_xlpm.Customer*_xlpm.bad_debt*_xlpm.ann_incr*(52/12))</f>
        <v>0</v>
      </c>
      <c r="F30" s="12">
        <v>0</v>
      </c>
      <c r="G30" s="12">
        <v>0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0</v>
      </c>
      <c r="N30" s="12">
        <v>0</v>
      </c>
      <c r="O30" s="12">
        <v>0</v>
      </c>
      <c r="P30" s="12">
        <v>0</v>
      </c>
      <c r="Q30" s="12">
        <v>0</v>
      </c>
      <c r="R30" s="12">
        <v>0</v>
      </c>
      <c r="S30" s="12">
        <v>0</v>
      </c>
      <c r="T30" s="12">
        <v>0</v>
      </c>
      <c r="U30" s="12">
        <v>0</v>
      </c>
      <c r="V30" s="12">
        <v>0</v>
      </c>
      <c r="W30" s="12">
        <v>0</v>
      </c>
      <c r="X30" s="12">
        <v>0</v>
      </c>
      <c r="Y30" s="12">
        <v>0</v>
      </c>
      <c r="Z30" s="12">
        <v>0</v>
      </c>
      <c r="AA30" s="12">
        <v>0</v>
      </c>
      <c r="AB30" s="12">
        <v>0</v>
      </c>
      <c r="AC30" s="12">
        <v>0</v>
      </c>
      <c r="AD30" s="12">
        <v>0</v>
      </c>
      <c r="AE30" s="12">
        <v>0</v>
      </c>
      <c r="AF30" s="12">
        <v>0</v>
      </c>
      <c r="AG30" s="12">
        <v>0</v>
      </c>
      <c r="AH30" s="12">
        <v>477.46047167999996</v>
      </c>
      <c r="AI30" s="12">
        <v>954.92094335999991</v>
      </c>
      <c r="AJ30" s="12">
        <v>1432.3814150400001</v>
      </c>
      <c r="AK30" s="12">
        <v>1909.8418867199998</v>
      </c>
      <c r="AL30" s="12">
        <v>2387.3023584000002</v>
      </c>
      <c r="AM30" s="12">
        <v>2864.7628300800002</v>
      </c>
      <c r="AN30" s="12">
        <v>3342.2233017600001</v>
      </c>
    </row>
    <row r="31" spans="2:50" x14ac:dyDescent="0.25">
      <c r="B31" s="39" t="str">
        <f>Base!B36</f>
        <v>Tertiary Direct Staff - Service A</v>
      </c>
      <c r="C31" s="4"/>
      <c r="E31" s="183" cm="1">
        <f t="array" ref="E31:AN31">_xlfn.LET(_xlpm.site,$B$1&amp;"-"&amp;$C$1,_xlpm.locations,Base!$D$4:$BD$4,_xlpm.rates,Base!$D36:$BD36,_xlpm.hours,Base!$D79:$BD79,_xlpm.comp,_xlpm.rates*_xlpm.hours,_xlpm.Customer,_xlfn.ANCHORARRAY($E$1)*0,
_xlpm.Customer_comp,_xlfn.XLOOKUP(_xlpm.site,_xlpm.locations,_xlpm.comp,0,0),_xlpm.ann_incr,_xlfn.XLOOKUP(YEAR(_xlfn.ANCHORARRAY($E$25)),Base!$BJ$4:$BL$4,Base!$BJ79:$BL79,0,0),
_xlpm.bad_debt,_xlfn.XLOOKUP(_xlpm.site,_xlpm.locations,Base!$D$28:$BD$28,0,0),_xlpm.Customer_comp*_xlpm.Customer*_xlpm.bad_debt*_xlpm.ann_incr*(52/12))</f>
        <v>0</v>
      </c>
      <c r="F31" s="183">
        <v>0</v>
      </c>
      <c r="G31" s="183">
        <v>0</v>
      </c>
      <c r="H31" s="183">
        <v>0</v>
      </c>
      <c r="I31" s="183">
        <v>0</v>
      </c>
      <c r="J31" s="183">
        <v>0</v>
      </c>
      <c r="K31" s="183">
        <v>0</v>
      </c>
      <c r="L31" s="183">
        <v>0</v>
      </c>
      <c r="M31" s="183">
        <v>0</v>
      </c>
      <c r="N31" s="183">
        <v>0</v>
      </c>
      <c r="O31" s="183">
        <v>0</v>
      </c>
      <c r="P31" s="183">
        <v>0</v>
      </c>
      <c r="Q31" s="183">
        <v>0</v>
      </c>
      <c r="R31" s="183">
        <v>0</v>
      </c>
      <c r="S31" s="183">
        <v>0</v>
      </c>
      <c r="T31" s="183">
        <v>0</v>
      </c>
      <c r="U31" s="183">
        <v>0</v>
      </c>
      <c r="V31" s="183">
        <v>0</v>
      </c>
      <c r="W31" s="183">
        <v>0</v>
      </c>
      <c r="X31" s="183">
        <v>0</v>
      </c>
      <c r="Y31" s="183">
        <v>0</v>
      </c>
      <c r="Z31" s="183">
        <v>0</v>
      </c>
      <c r="AA31" s="183">
        <v>0</v>
      </c>
      <c r="AB31" s="183">
        <v>0</v>
      </c>
      <c r="AC31" s="183">
        <v>0</v>
      </c>
      <c r="AD31" s="183">
        <v>0</v>
      </c>
      <c r="AE31" s="183">
        <v>0</v>
      </c>
      <c r="AF31" s="183">
        <v>0</v>
      </c>
      <c r="AG31" s="183">
        <v>0</v>
      </c>
      <c r="AH31" s="183">
        <v>0</v>
      </c>
      <c r="AI31" s="183">
        <v>0</v>
      </c>
      <c r="AJ31" s="183">
        <v>0</v>
      </c>
      <c r="AK31" s="183">
        <v>0</v>
      </c>
      <c r="AL31" s="183">
        <v>0</v>
      </c>
      <c r="AM31" s="183">
        <v>0</v>
      </c>
      <c r="AN31" s="183">
        <v>0</v>
      </c>
    </row>
    <row r="32" spans="2:50" x14ac:dyDescent="0.25">
      <c r="B32" s="39" t="str">
        <f>Base!B37</f>
        <v>Tertiary Direct Staff - Service B</v>
      </c>
      <c r="C32" s="4"/>
      <c r="E32" s="183" cm="1">
        <f t="array" ref="E32:AN32">_xlfn.LET(_xlpm.site,$B$1&amp;"-"&amp;$C$1,_xlpm.locations,Base!$D$4:$BD$4,_xlpm.rates,Base!$D37:$BD37,_xlpm.hours,Base!$D80:$BD80,_xlpm.comp,_xlpm.rates*_xlpm.hours,_xlpm.Customer,_xlfn.ANCHORARRAY($E$1)*0,
_xlpm.Customer_comp,_xlfn.XLOOKUP(_xlpm.site,_xlpm.locations,_xlpm.comp,0,0),_xlpm.ann_incr,_xlfn.XLOOKUP(YEAR(_xlfn.ANCHORARRAY($E$25)),Base!$BJ$4:$BL$4,Base!$BJ80:$BL80,0,0),
_xlpm.bad_debt,_xlfn.XLOOKUP(_xlpm.site,_xlpm.locations,Base!$D$28:$BD$28,0,0),_xlpm.Customer_comp*_xlpm.Customer*_xlpm.bad_debt*_xlpm.ann_incr*(52/12))</f>
        <v>0</v>
      </c>
      <c r="F32" s="183">
        <v>0</v>
      </c>
      <c r="G32" s="183">
        <v>0</v>
      </c>
      <c r="H32" s="183">
        <v>0</v>
      </c>
      <c r="I32" s="183">
        <v>0</v>
      </c>
      <c r="J32" s="183">
        <v>0</v>
      </c>
      <c r="K32" s="183">
        <v>0</v>
      </c>
      <c r="L32" s="183">
        <v>0</v>
      </c>
      <c r="M32" s="183">
        <v>0</v>
      </c>
      <c r="N32" s="183">
        <v>0</v>
      </c>
      <c r="O32" s="183">
        <v>0</v>
      </c>
      <c r="P32" s="183">
        <v>0</v>
      </c>
      <c r="Q32" s="183">
        <v>0</v>
      </c>
      <c r="R32" s="183">
        <v>0</v>
      </c>
      <c r="S32" s="183">
        <v>0</v>
      </c>
      <c r="T32" s="183">
        <v>0</v>
      </c>
      <c r="U32" s="183">
        <v>0</v>
      </c>
      <c r="V32" s="183">
        <v>0</v>
      </c>
      <c r="W32" s="183">
        <v>0</v>
      </c>
      <c r="X32" s="183">
        <v>0</v>
      </c>
      <c r="Y32" s="183">
        <v>0</v>
      </c>
      <c r="Z32" s="183">
        <v>0</v>
      </c>
      <c r="AA32" s="183">
        <v>0</v>
      </c>
      <c r="AB32" s="183">
        <v>0</v>
      </c>
      <c r="AC32" s="183">
        <v>0</v>
      </c>
      <c r="AD32" s="183">
        <v>0</v>
      </c>
      <c r="AE32" s="183">
        <v>0</v>
      </c>
      <c r="AF32" s="183">
        <v>0</v>
      </c>
      <c r="AG32" s="183">
        <v>0</v>
      </c>
      <c r="AH32" s="183">
        <v>0</v>
      </c>
      <c r="AI32" s="183">
        <v>0</v>
      </c>
      <c r="AJ32" s="183">
        <v>0</v>
      </c>
      <c r="AK32" s="183">
        <v>0</v>
      </c>
      <c r="AL32" s="183">
        <v>0</v>
      </c>
      <c r="AM32" s="183">
        <v>0</v>
      </c>
      <c r="AN32" s="183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_xlpm.Customer,_xlfn.ANCHORARRAY($E$2),_xlpm.ann_incr,_xlfn.XLOOKUP(YEAR(_xlfn.ANCHORARRAY($E$25)),Base!$BJ$4:$BL$4,Base!$BJ$81:$BL$81,0,0),
_xlpm.bad_debt,_xlfn.XLOOKUP(_xlpm.site,_xlpm.locations,Base!$D$28:$BD$28,0,0),
_xlpm.comp*_xlpm.bad_debt*_xlpm.ann_incr*(52/12))</f>
        <v>0</v>
      </c>
      <c r="F33" s="12">
        <v>0</v>
      </c>
      <c r="G33" s="12">
        <v>0</v>
      </c>
      <c r="H33" s="12">
        <v>0</v>
      </c>
      <c r="I33" s="12">
        <v>0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2">
        <v>0</v>
      </c>
      <c r="Y33" s="12">
        <v>0</v>
      </c>
      <c r="Z33" s="12">
        <v>0</v>
      </c>
      <c r="AA33" s="12">
        <v>0</v>
      </c>
      <c r="AB33" s="12">
        <v>0</v>
      </c>
      <c r="AC33" s="12">
        <v>0</v>
      </c>
      <c r="AD33" s="12">
        <v>0</v>
      </c>
      <c r="AE33" s="12">
        <v>0</v>
      </c>
      <c r="AF33" s="12">
        <v>0</v>
      </c>
      <c r="AG33" s="12">
        <v>0</v>
      </c>
      <c r="AH33" s="12">
        <v>24474.433923333334</v>
      </c>
      <c r="AI33" s="12">
        <v>24474.433923333334</v>
      </c>
      <c r="AJ33" s="12">
        <v>24474.433923333334</v>
      </c>
      <c r="AK33" s="12">
        <v>24474.433923333334</v>
      </c>
      <c r="AL33" s="12">
        <v>24474.433923333334</v>
      </c>
      <c r="AM33" s="12">
        <v>24474.433923333334</v>
      </c>
      <c r="AN33" s="12">
        <v>24474.433923333334</v>
      </c>
    </row>
    <row r="34" spans="2:40" x14ac:dyDescent="0.25">
      <c r="B34" s="39" t="str">
        <f>Base!B39</f>
        <v>Quinary Direct Staff - Service A</v>
      </c>
      <c r="C34" s="4"/>
      <c r="E34" s="183" cm="1">
        <f t="array" ref="E34:AN34">_xlfn.LET(_xlpm.site,$B$1&amp;"-"&amp;$C$1,_xlpm.locations,Base!$D$4:$BD$4,_xlpm.rates,Base!$D39:$BD39,_xlpm.hours,Base!$D82:$BD82,_xlpm.comp,_xlpm.rates*_xlpm.hours,_xlpm.Customer,_xlfn.ANCHORARRAY($E$1)*0,
_xlpm.Customer_comp,_xlfn.XLOOKUP(_xlpm.site,_xlpm.locations,_xlpm.comp,0,0),_xlpm.ann_incr,_xlfn.XLOOKUP(YEAR(_xlfn.ANCHORARRAY($E$25)),Base!$BJ$4:$BL$4,Base!$BJ82:$BL82,0,0),
_xlpm.bad_debt,_xlfn.XLOOKUP(_xlpm.site,_xlpm.locations,Base!$D$28:$BD$28,0,0),_xlpm.Customer_comp*_xlpm.Customer*_xlpm.bad_debt*_xlpm.ann_incr*(52/12))</f>
        <v>0</v>
      </c>
      <c r="F34" s="183">
        <v>0</v>
      </c>
      <c r="G34" s="183">
        <v>0</v>
      </c>
      <c r="H34" s="183">
        <v>0</v>
      </c>
      <c r="I34" s="183">
        <v>0</v>
      </c>
      <c r="J34" s="183">
        <v>0</v>
      </c>
      <c r="K34" s="183">
        <v>0</v>
      </c>
      <c r="L34" s="183">
        <v>0</v>
      </c>
      <c r="M34" s="183">
        <v>0</v>
      </c>
      <c r="N34" s="183">
        <v>0</v>
      </c>
      <c r="O34" s="183">
        <v>0</v>
      </c>
      <c r="P34" s="183">
        <v>0</v>
      </c>
      <c r="Q34" s="183">
        <v>0</v>
      </c>
      <c r="R34" s="183">
        <v>0</v>
      </c>
      <c r="S34" s="183">
        <v>0</v>
      </c>
      <c r="T34" s="183">
        <v>0</v>
      </c>
      <c r="U34" s="183">
        <v>0</v>
      </c>
      <c r="V34" s="183">
        <v>0</v>
      </c>
      <c r="W34" s="183">
        <v>0</v>
      </c>
      <c r="X34" s="183">
        <v>0</v>
      </c>
      <c r="Y34" s="183">
        <v>0</v>
      </c>
      <c r="Z34" s="183">
        <v>0</v>
      </c>
      <c r="AA34" s="183">
        <v>0</v>
      </c>
      <c r="AB34" s="183">
        <v>0</v>
      </c>
      <c r="AC34" s="183">
        <v>0</v>
      </c>
      <c r="AD34" s="183">
        <v>0</v>
      </c>
      <c r="AE34" s="183">
        <v>0</v>
      </c>
      <c r="AF34" s="183">
        <v>0</v>
      </c>
      <c r="AG34" s="183">
        <v>0</v>
      </c>
      <c r="AH34" s="183">
        <v>0</v>
      </c>
      <c r="AI34" s="183">
        <v>0</v>
      </c>
      <c r="AJ34" s="183">
        <v>0</v>
      </c>
      <c r="AK34" s="183">
        <v>0</v>
      </c>
      <c r="AL34" s="183">
        <v>0</v>
      </c>
      <c r="AM34" s="183">
        <v>0</v>
      </c>
      <c r="AN34" s="183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0</v>
      </c>
      <c r="F35" s="12">
        <v>0</v>
      </c>
      <c r="G35" s="12">
        <v>0</v>
      </c>
      <c r="H35" s="12">
        <v>0</v>
      </c>
      <c r="I35" s="12">
        <v>0</v>
      </c>
      <c r="J35" s="12">
        <v>0</v>
      </c>
      <c r="K35" s="12">
        <v>0</v>
      </c>
      <c r="L35" s="12">
        <v>0</v>
      </c>
      <c r="M35" s="12">
        <v>0</v>
      </c>
      <c r="N35" s="12">
        <v>0</v>
      </c>
      <c r="O35" s="12">
        <v>0</v>
      </c>
      <c r="P35" s="12">
        <v>0</v>
      </c>
      <c r="Q35" s="12">
        <v>0</v>
      </c>
      <c r="R35" s="12">
        <v>0</v>
      </c>
      <c r="S35" s="12">
        <v>0</v>
      </c>
      <c r="T35" s="12">
        <v>0</v>
      </c>
      <c r="U35" s="12">
        <v>0</v>
      </c>
      <c r="V35" s="12">
        <v>0</v>
      </c>
      <c r="W35" s="12">
        <v>0</v>
      </c>
      <c r="X35" s="12">
        <v>0</v>
      </c>
      <c r="Y35" s="12">
        <v>0</v>
      </c>
      <c r="Z35" s="12">
        <v>0</v>
      </c>
      <c r="AA35" s="12">
        <v>0</v>
      </c>
      <c r="AB35" s="12">
        <v>0</v>
      </c>
      <c r="AC35" s="12">
        <v>0</v>
      </c>
      <c r="AD35" s="12">
        <v>0</v>
      </c>
      <c r="AE35" s="12">
        <v>0</v>
      </c>
      <c r="AF35" s="12">
        <v>0</v>
      </c>
      <c r="AG35" s="12">
        <v>0</v>
      </c>
      <c r="AH35" s="12">
        <v>-6762.7224845747196</v>
      </c>
      <c r="AI35" s="12">
        <v>-10588.512898349438</v>
      </c>
      <c r="AJ35" s="12">
        <v>-14414.303312124157</v>
      </c>
      <c r="AK35" s="12">
        <v>-18240.093725898878</v>
      </c>
      <c r="AL35" s="12">
        <v>-22065.884139673595</v>
      </c>
      <c r="AM35" s="12">
        <v>-25891.674553448316</v>
      </c>
      <c r="AN35" s="12">
        <v>-29717.464967223041</v>
      </c>
    </row>
    <row r="36" spans="2:40" x14ac:dyDescent="0.25">
      <c r="B36" s="39" t="s">
        <v>261</v>
      </c>
      <c r="C36" s="15"/>
      <c r="E36" s="183" cm="1">
        <f t="array" ref="E36:AN36">_xlfn.BYCOL(_xlfn.ANCHORARRAY($E$25),_xlfn.LAMBDA(_xlpm.a,0))</f>
        <v>0</v>
      </c>
      <c r="F36" s="183">
        <v>0</v>
      </c>
      <c r="G36" s="183">
        <v>0</v>
      </c>
      <c r="H36" s="183">
        <v>0</v>
      </c>
      <c r="I36" s="183">
        <v>0</v>
      </c>
      <c r="J36" s="183">
        <v>0</v>
      </c>
      <c r="K36" s="183">
        <v>0</v>
      </c>
      <c r="L36" s="183">
        <v>0</v>
      </c>
      <c r="M36" s="183">
        <v>0</v>
      </c>
      <c r="N36" s="183">
        <v>0</v>
      </c>
      <c r="O36" s="183">
        <v>0</v>
      </c>
      <c r="P36" s="183">
        <v>0</v>
      </c>
      <c r="Q36" s="183">
        <v>0</v>
      </c>
      <c r="R36" s="183">
        <v>0</v>
      </c>
      <c r="S36" s="183">
        <v>0</v>
      </c>
      <c r="T36" s="183">
        <v>0</v>
      </c>
      <c r="U36" s="183">
        <v>0</v>
      </c>
      <c r="V36" s="183">
        <v>0</v>
      </c>
      <c r="W36" s="183">
        <v>0</v>
      </c>
      <c r="X36" s="183">
        <v>0</v>
      </c>
      <c r="Y36" s="183">
        <v>0</v>
      </c>
      <c r="Z36" s="183">
        <v>0</v>
      </c>
      <c r="AA36" s="183">
        <v>0</v>
      </c>
      <c r="AB36" s="183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271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0</v>
      </c>
      <c r="S37" s="13">
        <v>0</v>
      </c>
      <c r="T37" s="13">
        <v>0</v>
      </c>
      <c r="U37" s="13">
        <v>0</v>
      </c>
      <c r="V37" s="13">
        <v>0</v>
      </c>
      <c r="W37" s="13">
        <v>0</v>
      </c>
      <c r="X37" s="13">
        <v>0</v>
      </c>
      <c r="Y37" s="13">
        <v>0</v>
      </c>
      <c r="Z37" s="13">
        <v>0</v>
      </c>
      <c r="AA37" s="13">
        <v>0</v>
      </c>
      <c r="AB37" s="13">
        <v>0</v>
      </c>
      <c r="AC37" s="13">
        <v>0</v>
      </c>
      <c r="AD37" s="13">
        <v>0</v>
      </c>
      <c r="AE37" s="13">
        <v>0</v>
      </c>
      <c r="AF37" s="13">
        <v>0</v>
      </c>
      <c r="AG37" s="13">
        <v>0</v>
      </c>
      <c r="AH37" s="13">
        <v>45337.517028214614</v>
      </c>
      <c r="AI37" s="13">
        <v>69137.532203895898</v>
      </c>
      <c r="AJ37" s="13">
        <v>92937.547379577154</v>
      </c>
      <c r="AK37" s="13">
        <v>116737.56255525845</v>
      </c>
      <c r="AL37" s="13">
        <v>140537.57773093972</v>
      </c>
      <c r="AM37" s="13">
        <v>164337.59290662099</v>
      </c>
      <c r="AN37" s="13">
        <v>188137.60808230232</v>
      </c>
    </row>
    <row r="38" spans="2:40" x14ac:dyDescent="0.25">
      <c r="E38" s="67"/>
      <c r="F38" s="67"/>
    </row>
    <row r="39" spans="2:40" x14ac:dyDescent="0.25">
      <c r="B39" s="1" t="s">
        <v>118</v>
      </c>
    </row>
    <row r="40" spans="2:40" x14ac:dyDescent="0.25">
      <c r="B40" s="39" t="s">
        <v>23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0</v>
      </c>
      <c r="F40" s="12">
        <v>0</v>
      </c>
      <c r="G40" s="12">
        <v>0</v>
      </c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0</v>
      </c>
      <c r="N40" s="12">
        <v>0</v>
      </c>
      <c r="O40" s="12">
        <v>0</v>
      </c>
      <c r="P40" s="12">
        <v>0</v>
      </c>
      <c r="Q40" s="12">
        <v>0</v>
      </c>
      <c r="R40" s="12">
        <v>0</v>
      </c>
      <c r="S40" s="12">
        <v>0</v>
      </c>
      <c r="T40" s="12">
        <v>0</v>
      </c>
      <c r="U40" s="12">
        <v>0</v>
      </c>
      <c r="V40" s="12">
        <v>0</v>
      </c>
      <c r="W40" s="12">
        <v>0</v>
      </c>
      <c r="X40" s="12">
        <v>0</v>
      </c>
      <c r="Y40" s="12">
        <v>0</v>
      </c>
      <c r="Z40" s="12">
        <v>0</v>
      </c>
      <c r="AA40" s="12">
        <v>0</v>
      </c>
      <c r="AB40" s="12">
        <v>0</v>
      </c>
      <c r="AC40" s="12">
        <v>0</v>
      </c>
      <c r="AD40" s="12">
        <v>0</v>
      </c>
      <c r="AE40" s="12">
        <v>0</v>
      </c>
      <c r="AF40" s="12">
        <v>0</v>
      </c>
      <c r="AG40" s="12">
        <v>0</v>
      </c>
      <c r="AH40" s="12">
        <v>48487.313024043993</v>
      </c>
      <c r="AI40" s="12">
        <v>79115.21964808795</v>
      </c>
      <c r="AJ40" s="12">
        <v>98372.562672131957</v>
      </c>
      <c r="AK40" s="12">
        <v>117590.37096284259</v>
      </c>
      <c r="AL40" s="12">
        <v>136854.9659202199</v>
      </c>
      <c r="AM40" s="12">
        <v>156404.72561093056</v>
      </c>
      <c r="AN40" s="12">
        <v>175450.00806830791</v>
      </c>
    </row>
    <row r="41" spans="2:40" x14ac:dyDescent="0.25">
      <c r="B41" s="39" t="s">
        <v>388</v>
      </c>
      <c r="C41" s="142">
        <f>_xlfn.XLOOKUP($B$1&amp;"-"&amp;$C$1,Base!$D$4:$BD$4,Base!$D$12:$BD$12,0,0)</f>
        <v>0</v>
      </c>
      <c r="E41" s="183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28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7121.8216999999995</v>
      </c>
      <c r="AI42" s="12">
        <v>7121.8216999999995</v>
      </c>
      <c r="AJ42" s="12">
        <v>7121.8216999999995</v>
      </c>
      <c r="AK42" s="12">
        <v>7121.8216999999995</v>
      </c>
      <c r="AL42" s="12">
        <v>7121.8216999999995</v>
      </c>
      <c r="AM42" s="12">
        <v>7121.8216999999995</v>
      </c>
      <c r="AN42" s="12">
        <v>7121.8216999999995</v>
      </c>
    </row>
    <row r="43" spans="2:40" x14ac:dyDescent="0.25">
      <c r="B43" s="39" t="s">
        <v>31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0</v>
      </c>
      <c r="X43" s="12">
        <v>0</v>
      </c>
      <c r="Y43" s="12">
        <v>0</v>
      </c>
      <c r="Z43" s="12">
        <v>0</v>
      </c>
      <c r="AA43" s="12">
        <v>0</v>
      </c>
      <c r="AB43" s="12">
        <v>0</v>
      </c>
      <c r="AC43" s="12">
        <v>0</v>
      </c>
      <c r="AD43" s="12">
        <v>0</v>
      </c>
      <c r="AE43" s="12">
        <v>0</v>
      </c>
      <c r="AF43" s="12">
        <v>0</v>
      </c>
      <c r="AG43" s="12">
        <v>0</v>
      </c>
      <c r="AH43" s="12">
        <v>6056.9600000000009</v>
      </c>
      <c r="AI43" s="12">
        <v>6056.9600000000009</v>
      </c>
      <c r="AJ43" s="12">
        <v>6056.9600000000009</v>
      </c>
      <c r="AK43" s="12">
        <v>6056.9600000000009</v>
      </c>
      <c r="AL43" s="12">
        <v>6056.9600000000009</v>
      </c>
      <c r="AM43" s="12">
        <v>6056.9600000000009</v>
      </c>
      <c r="AN43" s="12">
        <v>6056.9600000000009</v>
      </c>
    </row>
    <row r="44" spans="2:40" x14ac:dyDescent="0.25">
      <c r="B44" s="39" t="s">
        <v>34</v>
      </c>
      <c r="C44" s="96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  <c r="O44" s="12">
        <v>0</v>
      </c>
      <c r="P44" s="12">
        <v>0</v>
      </c>
      <c r="Q44" s="12">
        <v>0</v>
      </c>
      <c r="R44" s="12">
        <v>0</v>
      </c>
      <c r="S44" s="12">
        <v>0</v>
      </c>
      <c r="T44" s="12">
        <v>0</v>
      </c>
      <c r="U44" s="12">
        <v>0</v>
      </c>
      <c r="V44" s="12">
        <v>0</v>
      </c>
      <c r="W44" s="12">
        <v>0</v>
      </c>
      <c r="X44" s="12">
        <v>0</v>
      </c>
      <c r="Y44" s="12">
        <v>0</v>
      </c>
      <c r="Z44" s="12">
        <v>0</v>
      </c>
      <c r="AA44" s="12">
        <v>0</v>
      </c>
      <c r="AB44" s="12">
        <v>0</v>
      </c>
      <c r="AC44" s="12">
        <v>0</v>
      </c>
      <c r="AD44" s="12">
        <v>0</v>
      </c>
      <c r="AE44" s="12">
        <v>0</v>
      </c>
      <c r="AF44" s="12">
        <v>0</v>
      </c>
      <c r="AG44" s="12">
        <v>0</v>
      </c>
      <c r="AH44" s="12">
        <v>393.58904832000007</v>
      </c>
      <c r="AI44" s="12">
        <v>1042.2821094400001</v>
      </c>
      <c r="AJ44" s="12">
        <v>1075.0811968000003</v>
      </c>
      <c r="AK44" s="12">
        <v>1107.88028416</v>
      </c>
      <c r="AL44" s="12">
        <v>1140.6793715200004</v>
      </c>
      <c r="AM44" s="12">
        <v>1184.4114880000002</v>
      </c>
      <c r="AN44" s="12">
        <v>1213.5662323200002</v>
      </c>
    </row>
    <row r="45" spans="2:40" x14ac:dyDescent="0.25">
      <c r="B45" s="39" t="s">
        <v>36</v>
      </c>
      <c r="C45" s="96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0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12">
        <v>0</v>
      </c>
      <c r="R45" s="12">
        <v>0</v>
      </c>
      <c r="S45" s="12">
        <v>0</v>
      </c>
      <c r="T45" s="12">
        <v>0</v>
      </c>
      <c r="U45" s="12">
        <v>0</v>
      </c>
      <c r="V45" s="12">
        <v>0</v>
      </c>
      <c r="W45" s="12">
        <v>0</v>
      </c>
      <c r="X45" s="12">
        <v>0</v>
      </c>
      <c r="Y45" s="12">
        <v>0</v>
      </c>
      <c r="Z45" s="12">
        <v>0</v>
      </c>
      <c r="AA45" s="12">
        <v>0</v>
      </c>
      <c r="AB45" s="12">
        <v>0</v>
      </c>
      <c r="AC45" s="12">
        <v>0</v>
      </c>
      <c r="AD45" s="12">
        <v>0</v>
      </c>
      <c r="AE45" s="12">
        <v>0</v>
      </c>
      <c r="AF45" s="12">
        <v>0</v>
      </c>
      <c r="AG45" s="12">
        <v>0</v>
      </c>
      <c r="AH45" s="12">
        <v>6242.4</v>
      </c>
      <c r="AI45" s="12">
        <v>6242.4</v>
      </c>
      <c r="AJ45" s="12">
        <v>6242.4</v>
      </c>
      <c r="AK45" s="12">
        <v>6242.4</v>
      </c>
      <c r="AL45" s="12">
        <v>6242.4</v>
      </c>
      <c r="AM45" s="12">
        <v>6242.4</v>
      </c>
      <c r="AN45" s="12">
        <v>6242.4</v>
      </c>
    </row>
    <row r="46" spans="2:40" x14ac:dyDescent="0.25">
      <c r="B46" s="39" t="s">
        <v>38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0</v>
      </c>
      <c r="F46" s="12">
        <v>0</v>
      </c>
      <c r="G46" s="12">
        <v>0</v>
      </c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0</v>
      </c>
      <c r="N46" s="12">
        <v>0</v>
      </c>
      <c r="O46" s="12">
        <v>0</v>
      </c>
      <c r="P46" s="12">
        <v>0</v>
      </c>
      <c r="Q46" s="12">
        <v>0</v>
      </c>
      <c r="R46" s="12">
        <v>0</v>
      </c>
      <c r="S46" s="12">
        <v>0</v>
      </c>
      <c r="T46" s="12">
        <v>0</v>
      </c>
      <c r="U46" s="12">
        <v>0</v>
      </c>
      <c r="V46" s="12">
        <v>0</v>
      </c>
      <c r="W46" s="12">
        <v>0</v>
      </c>
      <c r="X46" s="12">
        <v>0</v>
      </c>
      <c r="Y46" s="12">
        <v>0</v>
      </c>
      <c r="Z46" s="12">
        <v>0</v>
      </c>
      <c r="AA46" s="12">
        <v>0</v>
      </c>
      <c r="AB46" s="12">
        <v>0</v>
      </c>
      <c r="AC46" s="12">
        <v>0</v>
      </c>
      <c r="AD46" s="12">
        <v>0</v>
      </c>
      <c r="AE46" s="12">
        <v>0</v>
      </c>
      <c r="AF46" s="12">
        <v>0</v>
      </c>
      <c r="AG46" s="12">
        <v>0</v>
      </c>
      <c r="AH46" s="12">
        <v>3676.7735999999991</v>
      </c>
      <c r="AI46" s="12">
        <v>5617.639799999999</v>
      </c>
      <c r="AJ46" s="12">
        <v>6946.7507999999998</v>
      </c>
      <c r="AK46" s="12">
        <v>8272.2203999999983</v>
      </c>
      <c r="AL46" s="12">
        <v>9597.6899999999969</v>
      </c>
      <c r="AM46" s="12">
        <v>10937.725199999999</v>
      </c>
      <c r="AN46" s="12">
        <v>12255.912</v>
      </c>
    </row>
    <row r="47" spans="2:40" x14ac:dyDescent="0.25">
      <c r="B47" s="39" t="s">
        <v>40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  <c r="O47" s="12">
        <v>0</v>
      </c>
      <c r="P47" s="12">
        <v>0</v>
      </c>
      <c r="Q47" s="12">
        <v>0</v>
      </c>
      <c r="R47" s="12">
        <v>0</v>
      </c>
      <c r="S47" s="12">
        <v>0</v>
      </c>
      <c r="T47" s="12">
        <v>0</v>
      </c>
      <c r="U47" s="12">
        <v>0</v>
      </c>
      <c r="V47" s="12">
        <v>0</v>
      </c>
      <c r="W47" s="12">
        <v>0</v>
      </c>
      <c r="X47" s="12">
        <v>0</v>
      </c>
      <c r="Y47" s="12">
        <v>0</v>
      </c>
      <c r="Z47" s="12">
        <v>0</v>
      </c>
      <c r="AA47" s="12">
        <v>0</v>
      </c>
      <c r="AB47" s="12">
        <v>0</v>
      </c>
      <c r="AC47" s="12">
        <v>0</v>
      </c>
      <c r="AD47" s="12">
        <v>0</v>
      </c>
      <c r="AE47" s="12">
        <v>0</v>
      </c>
      <c r="AF47" s="12">
        <v>0</v>
      </c>
      <c r="AG47" s="12">
        <v>0</v>
      </c>
      <c r="AH47" s="12">
        <v>5236.875</v>
      </c>
      <c r="AI47" s="12">
        <v>5236.875</v>
      </c>
      <c r="AJ47" s="12">
        <v>5236.875</v>
      </c>
      <c r="AK47" s="12">
        <v>5236.875</v>
      </c>
      <c r="AL47" s="12">
        <v>5236.875</v>
      </c>
      <c r="AM47" s="12">
        <v>5236.875</v>
      </c>
      <c r="AN47" s="12">
        <v>5236.875</v>
      </c>
    </row>
    <row r="48" spans="2:40" x14ac:dyDescent="0.25">
      <c r="B48" s="39" t="s">
        <v>41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104139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42</v>
      </c>
      <c r="E49" s="12">
        <f>'Corp.'!E$50*(E$37-(E31-E32-E34)*$C$35)/(SUM('MDA1:NCA9'!E$37)-SUM('MDA1:NCA9'!E$31)-SUM('MDA1:NCA9'!E$32)-SUM('MDA1:NCA9'!E$34))</f>
        <v>0</v>
      </c>
      <c r="F49" s="12">
        <f>'Corp.'!F$50*(F$37-(F31-F32-F34)*$C$35)/(SUM('MDA1:NCA9'!F$37)-SUM('MDA1:NCA9'!F$31)-SUM('MDA1:NCA9'!F$32)-SUM('MDA1:NCA9'!F$34))</f>
        <v>0</v>
      </c>
      <c r="G49" s="12">
        <f>'Corp.'!G$50*(G$37-(G31-G32-G34)*$C$35)/(SUM('MDA1:NCA9'!G$37)-SUM('MDA1:NCA9'!G$31)-SUM('MDA1:NCA9'!G$32)-SUM('MDA1:NCA9'!G$34))</f>
        <v>0</v>
      </c>
      <c r="H49" s="12">
        <f>'Corp.'!H$50*(H$37-(H31-H32-H34)*$C$35)/(SUM('MDA1:NCA9'!H$37)-SUM('MDA1:NCA9'!H$31)-SUM('MDA1:NCA9'!H$32)-SUM('MDA1:NCA9'!H$34))</f>
        <v>0</v>
      </c>
      <c r="I49" s="12">
        <f>'Corp.'!I$50*(I$37-(I31-I32-I34)*$C$35)/(SUM('MDA1:NCA9'!I$37)-SUM('MDA1:NCA9'!I$31)-SUM('MDA1:NCA9'!I$32)-SUM('MDA1:NCA9'!I$34))</f>
        <v>0</v>
      </c>
      <c r="J49" s="12">
        <f>'Corp.'!J$50*(J$37-(J31-J32-J34)*$C$35)/(SUM('MDA1:NCA9'!J$37)-SUM('MDA1:NCA9'!J$31)-SUM('MDA1:NCA9'!J$32)-SUM('MDA1:NCA9'!J$34))</f>
        <v>0</v>
      </c>
      <c r="K49" s="12">
        <f>'Corp.'!K$50*(K$37-(K31-K32-K34)*$C$35)/(SUM('MDA1:NCA9'!K$37)-SUM('MDA1:NCA9'!K$31)-SUM('MDA1:NCA9'!K$32)-SUM('MDA1:NCA9'!K$34))</f>
        <v>0</v>
      </c>
      <c r="L49" s="12">
        <f>'Corp.'!L$50*(L$37-(L31-L32-L34)*$C$35)/(SUM('MDA1:NCA9'!L$37)-SUM('MDA1:NCA9'!L$31)-SUM('MDA1:NCA9'!L$32)-SUM('MDA1:NCA9'!L$34))</f>
        <v>0</v>
      </c>
      <c r="M49" s="12">
        <f>'Corp.'!M$50*(M$37-(M31-M32-M34)*$C$35)/(SUM('MDA1:NCA9'!M$37)-SUM('MDA1:NCA9'!M$31)-SUM('MDA1:NCA9'!M$32)-SUM('MDA1:NCA9'!M$34))</f>
        <v>0</v>
      </c>
      <c r="N49" s="12">
        <f>'Corp.'!N$50*(N$37-(N31-N32-N34)*$C$35)/(SUM('MDA1:NCA9'!N$37)-SUM('MDA1:NCA9'!N$31)-SUM('MDA1:NCA9'!N$32)-SUM('MDA1:NCA9'!N$34))</f>
        <v>0</v>
      </c>
      <c r="O49" s="12">
        <f>'Corp.'!O$50*(O$37-(O31-O32-O34)*$C$35)/(SUM('MDA1:NCA9'!O$37)-SUM('MDA1:NCA9'!O$31)-SUM('MDA1:NCA9'!O$32)-SUM('MDA1:NCA9'!O$34))</f>
        <v>0</v>
      </c>
      <c r="P49" s="12">
        <f>'Corp.'!P$50*(P$37-(P31-P32-P34)*$C$35)/(SUM('MDA1:NCA9'!P$37)-SUM('MDA1:NCA9'!P$31)-SUM('MDA1:NCA9'!P$32)-SUM('MDA1:NCA9'!P$34))</f>
        <v>0</v>
      </c>
      <c r="Q49" s="12">
        <f>'Corp.'!Q$50*(Q$37-(Q31-Q32-Q34)*$C$35)/(SUM('MDA1:NCA9'!Q$37)-SUM('MDA1:NCA9'!Q$31)-SUM('MDA1:NCA9'!Q$32)-SUM('MDA1:NCA9'!Q$34))</f>
        <v>0</v>
      </c>
      <c r="R49" s="12">
        <f>'Corp.'!R$50*(R$37-(R31-R32-R34)*$C$35)/(SUM('MDA1:NCA9'!R$37)-SUM('MDA1:NCA9'!R$31)-SUM('MDA1:NCA9'!R$32)-SUM('MDA1:NCA9'!R$34))</f>
        <v>0</v>
      </c>
      <c r="S49" s="12">
        <f>'Corp.'!S$50*(S$37-(S31-S32-S34)*$C$35)/(SUM('MDA1:NCA9'!S$37)-SUM('MDA1:NCA9'!S$31)-SUM('MDA1:NCA9'!S$32)-SUM('MDA1:NCA9'!S$34))</f>
        <v>0</v>
      </c>
      <c r="T49" s="12">
        <f>'Corp.'!T$50*(T$37-(T31-T32-T34)*$C$35)/(SUM('MDA1:NCA9'!T$37)-SUM('MDA1:NCA9'!T$31)-SUM('MDA1:NCA9'!T$32)-SUM('MDA1:NCA9'!T$34))</f>
        <v>0</v>
      </c>
      <c r="U49" s="12">
        <f>'Corp.'!U$50*(U$37-(U31-U32-U34)*$C$35)/(SUM('MDA1:NCA9'!U$37)-SUM('MDA1:NCA9'!U$31)-SUM('MDA1:NCA9'!U$32)-SUM('MDA1:NCA9'!U$34))</f>
        <v>0</v>
      </c>
      <c r="V49" s="12">
        <f>'Corp.'!V$50*(V$37-(V31-V32-V34)*$C$35)/(SUM('MDA1:NCA9'!V$37)-SUM('MDA1:NCA9'!V$31)-SUM('MDA1:NCA9'!V$32)-SUM('MDA1:NCA9'!V$34))</f>
        <v>0</v>
      </c>
      <c r="W49" s="12">
        <f>'Corp.'!W$50*(W$37-(W31-W32-W34)*$C$35)/(SUM('MDA1:NCA9'!W$37)-SUM('MDA1:NCA9'!W$31)-SUM('MDA1:NCA9'!W$32)-SUM('MDA1:NCA9'!W$34))</f>
        <v>0</v>
      </c>
      <c r="X49" s="12">
        <f>'Corp.'!X$50*(X$37-(X31-X32-X34)*$C$35)/(SUM('MDA1:NCA9'!X$37)-SUM('MDA1:NCA9'!X$31)-SUM('MDA1:NCA9'!X$32)-SUM('MDA1:NCA9'!X$34))</f>
        <v>0</v>
      </c>
      <c r="Y49" s="12">
        <f>'Corp.'!Y$50*(Y$37-(Y31-Y32-Y34)*$C$35)/(SUM('MDA1:NCA9'!Y$37)-SUM('MDA1:NCA9'!Y$31)-SUM('MDA1:NCA9'!Y$32)-SUM('MDA1:NCA9'!Y$34))</f>
        <v>0</v>
      </c>
      <c r="Z49" s="12">
        <f>'Corp.'!Z$50*(Z$37-(Z31-Z32-Z34)*$C$35)/(SUM('MDA1:NCA9'!Z$37)-SUM('MDA1:NCA9'!Z$31)-SUM('MDA1:NCA9'!Z$32)-SUM('MDA1:NCA9'!Z$34))</f>
        <v>0</v>
      </c>
      <c r="AA49" s="12">
        <f>'Corp.'!AA$50*(AA$37-(AA31-AA32-AA34)*$C$35)/(SUM('MDA1:NCA9'!AA$37)-SUM('MDA1:NCA9'!AA$31)-SUM('MDA1:NCA9'!AA$32)-SUM('MDA1:NCA9'!AA$34))</f>
        <v>0</v>
      </c>
      <c r="AB49" s="12">
        <f>'Corp.'!AB$50*(AB$37-(AB31-AB32-AB34)*$C$35)/(SUM('MDA1:NCA9'!AB$37)-SUM('MDA1:NCA9'!AB$31)-SUM('MDA1:NCA9'!AB$32)-SUM('MDA1:NCA9'!AB$34))</f>
        <v>0</v>
      </c>
      <c r="AC49" s="12">
        <f>'Corp.'!AC$50*(AC$37-(AC31-AC32-AC34)*$C$35)/(SUM('MDA1:NCA9'!AC$37)-SUM('MDA1:NCA9'!AC$31)-SUM('MDA1:NCA9'!AC$32)-SUM('MDA1:NCA9'!AC$34))</f>
        <v>0</v>
      </c>
      <c r="AD49" s="12">
        <f>'Corp.'!AD$50*(AD$37-(AD31-AD32-AD34)*$C$35)/(SUM('MDA1:NCA9'!AD$37)-SUM('MDA1:NCA9'!AD$31)-SUM('MDA1:NCA9'!AD$32)-SUM('MDA1:NCA9'!AD$34))</f>
        <v>0</v>
      </c>
      <c r="AE49" s="12">
        <f>'Corp.'!AE$50*(AE$37-(AE31-AE32-AE34)*$C$35)/(SUM('MDA1:NCA9'!AE$37)-SUM('MDA1:NCA9'!AE$31)-SUM('MDA1:NCA9'!AE$32)-SUM('MDA1:NCA9'!AE$34))</f>
        <v>0</v>
      </c>
      <c r="AF49" s="12">
        <f>'Corp.'!AF$50*(AF$37-(AF31-AF32-AF34)*$C$35)/(SUM('MDA1:NCA9'!AF$37)-SUM('MDA1:NCA9'!AF$31)-SUM('MDA1:NCA9'!AF$32)-SUM('MDA1:NCA9'!AF$34))</f>
        <v>0</v>
      </c>
      <c r="AG49" s="12">
        <f>'Corp.'!AG$50*(AG$37-(AG31-AG32-AG34)*$C$35)/(SUM('MDA1:NCA9'!AG$37)-SUM('MDA1:NCA9'!AG$31)-SUM('MDA1:NCA9'!AG$32)-SUM('MDA1:NCA9'!AG$34))</f>
        <v>0</v>
      </c>
      <c r="AH49" s="12">
        <f>'Corp.'!AH$50*(AH$37-(AH31-AH32-AH34)*$C$35)/(SUM('MDA1:NCA9'!AH$37)-SUM('MDA1:NCA9'!AH$31)-SUM('MDA1:NCA9'!AH$32)-SUM('MDA1:NCA9'!AH$34))</f>
        <v>5040.5013833885196</v>
      </c>
      <c r="AI49" s="12">
        <f>'Corp.'!AI$50*(AI$37-(AI31-AI32-AI34)*$C$35)/(SUM('MDA1:NCA9'!AI$37)-SUM('MDA1:NCA9'!AI$31)-SUM('MDA1:NCA9'!AI$32)-SUM('MDA1:NCA9'!AI$34))</f>
        <v>7554.1627794527167</v>
      </c>
      <c r="AJ49" s="12">
        <f>'Corp.'!AJ$50*(AJ$37-(AJ31-AJ32-AJ34)*$C$35)/(SUM('MDA1:NCA9'!AJ$37)-SUM('MDA1:NCA9'!AJ$31)-SUM('MDA1:NCA9'!AJ$32)-SUM('MDA1:NCA9'!AJ$34))</f>
        <v>9972.3264763600382</v>
      </c>
      <c r="AK49" s="12">
        <f>'Corp.'!AK$50*(AK$37-(AK31-AK32-AK34)*$C$35)/(SUM('MDA1:NCA9'!AK$37)-SUM('MDA1:NCA9'!AK$31)-SUM('MDA1:NCA9'!AK$32)-SUM('MDA1:NCA9'!AK$34))</f>
        <v>12314.669686154761</v>
      </c>
      <c r="AL49" s="12">
        <f>'Corp.'!AL$50*(AL$37-(AL31-AL32-AL34)*$C$35)/(SUM('MDA1:NCA9'!AL$37)-SUM('MDA1:NCA9'!AL$31)-SUM('MDA1:NCA9'!AL$32)-SUM('MDA1:NCA9'!AL$34))</f>
        <v>14591.759719882426</v>
      </c>
      <c r="AM49" s="12">
        <f>'Corp.'!AM$50*(AM$37-(AM31-AM32-AM34)*$C$35)/(SUM('MDA1:NCA9'!AM$37)-SUM('MDA1:NCA9'!AM$31)-SUM('MDA1:NCA9'!AM$32)-SUM('MDA1:NCA9'!AM$34))</f>
        <v>16768.71901670341</v>
      </c>
      <c r="AN49" s="12">
        <f>'Corp.'!AN$50*(AN$37-(AN31-AN32-AN34)*$C$35)/(SUM('MDA1:NCA9'!AN$37)-SUM('MDA1:NCA9'!AN$31)-SUM('MDA1:NCA9'!AN$32)-SUM('MDA1:NCA9'!AN$34))</f>
        <v>18910.176195882486</v>
      </c>
    </row>
    <row r="50" spans="2:40" x14ac:dyDescent="0.25">
      <c r="B50" s="1" t="s">
        <v>272</v>
      </c>
      <c r="E50" s="13" cm="1">
        <f t="array" ref="E50:AN50">_xlfn.BYCOL(_xlfn.VSTACK(_xlfn.ANCHORARRAY(E40),_xlfn.ANCHORARRAY(E42),_xlfn.ANCHORARRAY(E43),_xlfn.ANCHORARRAY(E45),_xlfn.ANCHORARRAY(E46),_xlfn.ANCHORARRAY(E47),_xlfn.ANCHORARRAY(E48),_xlfn.HSTACK(E49:AN49)),_xlfn.LAMBDA(_xlpm.a,SUM(_xlpm.a)))</f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0</v>
      </c>
      <c r="Q50" s="13">
        <v>0</v>
      </c>
      <c r="R50" s="13">
        <v>0</v>
      </c>
      <c r="S50" s="13">
        <v>0</v>
      </c>
      <c r="T50" s="13">
        <v>0</v>
      </c>
      <c r="U50" s="13">
        <v>0</v>
      </c>
      <c r="V50" s="13">
        <v>0</v>
      </c>
      <c r="W50" s="13">
        <v>0</v>
      </c>
      <c r="X50" s="13">
        <v>0</v>
      </c>
      <c r="Y50" s="13">
        <v>0</v>
      </c>
      <c r="Z50" s="13">
        <v>0</v>
      </c>
      <c r="AA50" s="13">
        <v>0</v>
      </c>
      <c r="AB50" s="13">
        <v>0</v>
      </c>
      <c r="AC50" s="13">
        <v>0</v>
      </c>
      <c r="AD50" s="13">
        <v>0</v>
      </c>
      <c r="AE50" s="13">
        <v>0</v>
      </c>
      <c r="AF50" s="13">
        <v>104139</v>
      </c>
      <c r="AG50" s="13">
        <v>0</v>
      </c>
      <c r="AH50" s="13">
        <v>81862.644707432511</v>
      </c>
      <c r="AI50" s="13">
        <v>116945.07892754067</v>
      </c>
      <c r="AJ50" s="13">
        <v>139949.69664849198</v>
      </c>
      <c r="AK50" s="13">
        <v>162835.31774899733</v>
      </c>
      <c r="AL50" s="13">
        <v>185702.47234010231</v>
      </c>
      <c r="AM50" s="13">
        <v>208769.22652763393</v>
      </c>
      <c r="AN50" s="13">
        <v>231274.15296419041</v>
      </c>
    </row>
    <row r="52" spans="2:40" x14ac:dyDescent="0.25">
      <c r="B52" s="1" t="s">
        <v>48</v>
      </c>
      <c r="E52" s="74">
        <f>E37-E50</f>
        <v>0</v>
      </c>
      <c r="F52" s="74">
        <f t="shared" ref="F52:AN52" si="0">F37-F50</f>
        <v>0</v>
      </c>
      <c r="G52" s="74">
        <f t="shared" si="0"/>
        <v>0</v>
      </c>
      <c r="H52" s="74">
        <f t="shared" si="0"/>
        <v>0</v>
      </c>
      <c r="I52" s="74">
        <f t="shared" si="0"/>
        <v>0</v>
      </c>
      <c r="J52" s="74">
        <f t="shared" si="0"/>
        <v>0</v>
      </c>
      <c r="K52" s="74">
        <f t="shared" si="0"/>
        <v>0</v>
      </c>
      <c r="L52" s="74">
        <f t="shared" si="0"/>
        <v>0</v>
      </c>
      <c r="M52" s="74">
        <f t="shared" si="0"/>
        <v>0</v>
      </c>
      <c r="N52" s="74">
        <f t="shared" si="0"/>
        <v>0</v>
      </c>
      <c r="O52" s="74">
        <f t="shared" si="0"/>
        <v>0</v>
      </c>
      <c r="P52" s="74">
        <f t="shared" si="0"/>
        <v>0</v>
      </c>
      <c r="Q52" s="74">
        <f t="shared" si="0"/>
        <v>0</v>
      </c>
      <c r="R52" s="74">
        <f t="shared" si="0"/>
        <v>0</v>
      </c>
      <c r="S52" s="74">
        <f t="shared" si="0"/>
        <v>0</v>
      </c>
      <c r="T52" s="74">
        <f t="shared" si="0"/>
        <v>0</v>
      </c>
      <c r="U52" s="74">
        <f t="shared" si="0"/>
        <v>0</v>
      </c>
      <c r="V52" s="74">
        <f t="shared" si="0"/>
        <v>0</v>
      </c>
      <c r="W52" s="74">
        <f t="shared" si="0"/>
        <v>0</v>
      </c>
      <c r="X52" s="74">
        <f t="shared" si="0"/>
        <v>0</v>
      </c>
      <c r="Y52" s="74">
        <f t="shared" si="0"/>
        <v>0</v>
      </c>
      <c r="Z52" s="74">
        <f t="shared" si="0"/>
        <v>0</v>
      </c>
      <c r="AA52" s="74">
        <f t="shared" si="0"/>
        <v>0</v>
      </c>
      <c r="AB52" s="74">
        <f t="shared" si="0"/>
        <v>0</v>
      </c>
      <c r="AC52" s="74">
        <f t="shared" si="0"/>
        <v>0</v>
      </c>
      <c r="AD52" s="74">
        <f t="shared" si="0"/>
        <v>0</v>
      </c>
      <c r="AE52" s="74">
        <f t="shared" si="0"/>
        <v>0</v>
      </c>
      <c r="AF52" s="74">
        <f t="shared" si="0"/>
        <v>-104139</v>
      </c>
      <c r="AG52" s="74">
        <f t="shared" si="0"/>
        <v>0</v>
      </c>
      <c r="AH52" s="74">
        <f t="shared" si="0"/>
        <v>-36525.127679217898</v>
      </c>
      <c r="AI52" s="74">
        <f t="shared" si="0"/>
        <v>-47807.546723644773</v>
      </c>
      <c r="AJ52" s="74">
        <f t="shared" si="0"/>
        <v>-47012.149268914829</v>
      </c>
      <c r="AK52" s="74">
        <f t="shared" si="0"/>
        <v>-46097.755193738878</v>
      </c>
      <c r="AL52" s="74">
        <f t="shared" si="0"/>
        <v>-45164.894609162584</v>
      </c>
      <c r="AM52" s="74">
        <f t="shared" si="0"/>
        <v>-44431.633621012938</v>
      </c>
      <c r="AN52" s="74">
        <f t="shared" si="0"/>
        <v>-43136.544881888083</v>
      </c>
    </row>
    <row r="53" spans="2:40" x14ac:dyDescent="0.25">
      <c r="E53" s="105" t="str">
        <f>IFERROR(E52/E37,"")</f>
        <v/>
      </c>
      <c r="F53" s="105" t="str">
        <f t="shared" ref="F53:AN53" si="1">IFERROR(F52/F37,"")</f>
        <v/>
      </c>
      <c r="G53" s="105" t="str">
        <f t="shared" si="1"/>
        <v/>
      </c>
      <c r="H53" s="105" t="str">
        <f t="shared" si="1"/>
        <v/>
      </c>
      <c r="I53" s="105" t="str">
        <f t="shared" si="1"/>
        <v/>
      </c>
      <c r="J53" s="105" t="str">
        <f t="shared" si="1"/>
        <v/>
      </c>
      <c r="K53" s="105" t="str">
        <f t="shared" si="1"/>
        <v/>
      </c>
      <c r="L53" s="105" t="str">
        <f t="shared" si="1"/>
        <v/>
      </c>
      <c r="M53" s="105" t="str">
        <f t="shared" si="1"/>
        <v/>
      </c>
      <c r="N53" s="105" t="str">
        <f t="shared" si="1"/>
        <v/>
      </c>
      <c r="O53" s="105" t="str">
        <f t="shared" si="1"/>
        <v/>
      </c>
      <c r="P53" s="105" t="str">
        <f t="shared" si="1"/>
        <v/>
      </c>
      <c r="Q53" s="105" t="str">
        <f t="shared" si="1"/>
        <v/>
      </c>
      <c r="R53" s="105" t="str">
        <f t="shared" si="1"/>
        <v/>
      </c>
      <c r="S53" s="105" t="str">
        <f t="shared" si="1"/>
        <v/>
      </c>
      <c r="T53" s="105" t="str">
        <f t="shared" si="1"/>
        <v/>
      </c>
      <c r="U53" s="105" t="str">
        <f t="shared" si="1"/>
        <v/>
      </c>
      <c r="V53" s="105" t="str">
        <f t="shared" si="1"/>
        <v/>
      </c>
      <c r="W53" s="105" t="str">
        <f t="shared" si="1"/>
        <v/>
      </c>
      <c r="X53" s="105" t="str">
        <f t="shared" si="1"/>
        <v/>
      </c>
      <c r="Y53" s="105" t="str">
        <f t="shared" si="1"/>
        <v/>
      </c>
      <c r="Z53" s="105" t="str">
        <f t="shared" si="1"/>
        <v/>
      </c>
      <c r="AA53" s="105" t="str">
        <f t="shared" si="1"/>
        <v/>
      </c>
      <c r="AB53" s="105" t="str">
        <f t="shared" si="1"/>
        <v/>
      </c>
      <c r="AC53" s="105" t="str">
        <f t="shared" si="1"/>
        <v/>
      </c>
      <c r="AD53" s="105" t="str">
        <f t="shared" si="1"/>
        <v/>
      </c>
      <c r="AE53" s="105" t="str">
        <f t="shared" si="1"/>
        <v/>
      </c>
      <c r="AF53" s="105" t="str">
        <f t="shared" si="1"/>
        <v/>
      </c>
      <c r="AG53" s="105" t="str">
        <f t="shared" si="1"/>
        <v/>
      </c>
      <c r="AH53" s="105">
        <f t="shared" si="1"/>
        <v>-0.80562699665461268</v>
      </c>
      <c r="AI53" s="105">
        <f t="shared" si="1"/>
        <v>-0.69148471459255845</v>
      </c>
      <c r="AJ53" s="105">
        <f t="shared" si="1"/>
        <v>-0.50584667440068098</v>
      </c>
      <c r="AK53" s="105">
        <f t="shared" si="1"/>
        <v>-0.39488365342490528</v>
      </c>
      <c r="AL53" s="105">
        <f t="shared" si="1"/>
        <v>-0.32137237127874169</v>
      </c>
      <c r="AM53" s="105">
        <f t="shared" si="1"/>
        <v>-0.27036804443314216</v>
      </c>
      <c r="AN53" s="105">
        <f t="shared" si="1"/>
        <v>-0.22928188213713047</v>
      </c>
    </row>
    <row r="55" spans="2:40" x14ac:dyDescent="0.25">
      <c r="B55" t="s">
        <v>57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786840</v>
      </c>
      <c r="D55" s="12">
        <f>C55-SUM(_xlfn.ANCHORARRAY(E55))</f>
        <v>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131140</v>
      </c>
      <c r="AG55" s="12">
        <v>131140</v>
      </c>
      <c r="AH55" s="12">
        <v>131140</v>
      </c>
      <c r="AI55" s="12">
        <v>131140</v>
      </c>
      <c r="AJ55" s="12">
        <v>131140</v>
      </c>
      <c r="AK55" s="12">
        <v>131140</v>
      </c>
      <c r="AL55" s="12">
        <v>0</v>
      </c>
      <c r="AM55" s="12">
        <v>0</v>
      </c>
      <c r="AN55" s="12">
        <v>0</v>
      </c>
    </row>
    <row r="56" spans="2:40" x14ac:dyDescent="0.25">
      <c r="B56" t="s">
        <v>285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0</v>
      </c>
      <c r="F56" s="90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0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0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0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0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-44654.400503007448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-48337.528445517019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-50830.655629242538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-54400.657905594795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276</v>
      </c>
      <c r="E58" s="13">
        <f>E37-E50-E55+E56</f>
        <v>0</v>
      </c>
      <c r="F58" s="13">
        <f t="shared" ref="F58:AN58" si="2">F37-F50-F55+F56</f>
        <v>0</v>
      </c>
      <c r="G58" s="13">
        <f t="shared" si="2"/>
        <v>0</v>
      </c>
      <c r="H58" s="13">
        <f t="shared" si="2"/>
        <v>0</v>
      </c>
      <c r="I58" s="13">
        <f t="shared" si="2"/>
        <v>0</v>
      </c>
      <c r="J58" s="13">
        <f t="shared" si="2"/>
        <v>0</v>
      </c>
      <c r="K58" s="13">
        <f t="shared" si="2"/>
        <v>0</v>
      </c>
      <c r="L58" s="13">
        <f t="shared" si="2"/>
        <v>0</v>
      </c>
      <c r="M58" s="13">
        <f t="shared" si="2"/>
        <v>0</v>
      </c>
      <c r="N58" s="13">
        <f t="shared" si="2"/>
        <v>0</v>
      </c>
      <c r="O58" s="13">
        <f t="shared" si="2"/>
        <v>0</v>
      </c>
      <c r="P58" s="13">
        <f t="shared" si="2"/>
        <v>0</v>
      </c>
      <c r="Q58" s="13">
        <f t="shared" si="2"/>
        <v>0</v>
      </c>
      <c r="R58" s="13">
        <f t="shared" si="2"/>
        <v>0</v>
      </c>
      <c r="S58" s="13">
        <f t="shared" si="2"/>
        <v>0</v>
      </c>
      <c r="T58" s="13">
        <f t="shared" si="2"/>
        <v>0</v>
      </c>
      <c r="U58" s="13">
        <f t="shared" si="2"/>
        <v>0</v>
      </c>
      <c r="V58" s="13">
        <f t="shared" si="2"/>
        <v>0</v>
      </c>
      <c r="W58" s="13">
        <f t="shared" si="2"/>
        <v>0</v>
      </c>
      <c r="X58" s="13">
        <f t="shared" si="2"/>
        <v>0</v>
      </c>
      <c r="Y58" s="13">
        <f t="shared" si="2"/>
        <v>0</v>
      </c>
      <c r="Z58" s="13">
        <f t="shared" si="2"/>
        <v>0</v>
      </c>
      <c r="AA58" s="13">
        <f t="shared" si="2"/>
        <v>0</v>
      </c>
      <c r="AB58" s="13">
        <f t="shared" si="2"/>
        <v>0</v>
      </c>
      <c r="AC58" s="13">
        <f t="shared" si="2"/>
        <v>0</v>
      </c>
      <c r="AD58" s="13">
        <f t="shared" si="2"/>
        <v>0</v>
      </c>
      <c r="AE58" s="13">
        <f t="shared" si="2"/>
        <v>0</v>
      </c>
      <c r="AF58" s="13">
        <f t="shared" si="2"/>
        <v>-235279</v>
      </c>
      <c r="AG58" s="13">
        <f t="shared" si="2"/>
        <v>-131140</v>
      </c>
      <c r="AH58" s="13">
        <f t="shared" si="2"/>
        <v>-167665.1276792179</v>
      </c>
      <c r="AI58" s="13">
        <f t="shared" si="2"/>
        <v>-178947.54672364477</v>
      </c>
      <c r="AJ58" s="13">
        <f t="shared" si="2"/>
        <v>-178152.14926891483</v>
      </c>
      <c r="AK58" s="13">
        <f t="shared" si="2"/>
        <v>-221892.15569674631</v>
      </c>
      <c r="AL58" s="13">
        <f t="shared" si="2"/>
        <v>-93502.423054679603</v>
      </c>
      <c r="AM58" s="13">
        <f t="shared" si="2"/>
        <v>-95262.289250255475</v>
      </c>
      <c r="AN58" s="13">
        <f t="shared" si="2"/>
        <v>-97537.202787482878</v>
      </c>
    </row>
    <row r="59" spans="2:40" x14ac:dyDescent="0.25">
      <c r="B59" t="s">
        <v>277</v>
      </c>
      <c r="E59" s="12" cm="1">
        <f t="array" ref="E59:AN59">_xlfn.SCAN(-D55,E58:AN58,_xlfn.LAMBDA(_xlpm.capex,_xlpm.fcf,_xlpm.capex+_xlpm.fcf))</f>
        <v>0</v>
      </c>
      <c r="F59" s="12">
        <v>0</v>
      </c>
      <c r="G59" s="12">
        <v>0</v>
      </c>
      <c r="H59" s="12">
        <v>0</v>
      </c>
      <c r="I59" s="12">
        <v>0</v>
      </c>
      <c r="J59" s="12">
        <v>0</v>
      </c>
      <c r="K59" s="12">
        <v>0</v>
      </c>
      <c r="L59" s="12">
        <v>0</v>
      </c>
      <c r="M59" s="12">
        <v>0</v>
      </c>
      <c r="N59" s="12">
        <v>0</v>
      </c>
      <c r="O59" s="12">
        <v>0</v>
      </c>
      <c r="P59" s="12">
        <v>0</v>
      </c>
      <c r="Q59" s="12">
        <v>0</v>
      </c>
      <c r="R59" s="12">
        <v>0</v>
      </c>
      <c r="S59" s="12">
        <v>0</v>
      </c>
      <c r="T59" s="12">
        <v>0</v>
      </c>
      <c r="U59" s="12">
        <v>0</v>
      </c>
      <c r="V59" s="12">
        <v>0</v>
      </c>
      <c r="W59" s="12">
        <v>0</v>
      </c>
      <c r="X59" s="12">
        <v>0</v>
      </c>
      <c r="Y59" s="12">
        <v>0</v>
      </c>
      <c r="Z59" s="12">
        <v>0</v>
      </c>
      <c r="AA59" s="12">
        <v>0</v>
      </c>
      <c r="AB59" s="12">
        <v>0</v>
      </c>
      <c r="AC59" s="12">
        <v>0</v>
      </c>
      <c r="AD59" s="12">
        <v>0</v>
      </c>
      <c r="AE59" s="12">
        <v>0</v>
      </c>
      <c r="AF59" s="12">
        <v>-235279</v>
      </c>
      <c r="AG59" s="12">
        <v>-366419</v>
      </c>
      <c r="AH59" s="12">
        <v>-534084.12767921784</v>
      </c>
      <c r="AI59" s="12">
        <v>-713031.67440286255</v>
      </c>
      <c r="AJ59" s="12">
        <v>-891183.82367177738</v>
      </c>
      <c r="AK59" s="12">
        <v>-1113075.9793685237</v>
      </c>
      <c r="AL59" s="12">
        <v>-1206578.4024232032</v>
      </c>
      <c r="AM59" s="12">
        <v>-1301840.6916734588</v>
      </c>
      <c r="AN59" s="12">
        <v>-1399377.8944609417</v>
      </c>
    </row>
    <row r="61" spans="2:40" x14ac:dyDescent="0.25">
      <c r="B61" s="1" t="s">
        <v>302</v>
      </c>
    </row>
    <row r="63" spans="2:40" x14ac:dyDescent="0.25">
      <c r="B63" s="39" t="s">
        <v>103</v>
      </c>
      <c r="E63" s="12" cm="1">
        <f t="array" ref="E63:AN63">_xlfn.LET(_xlpm.site,$B$1&amp;"-"&amp;$C$1,_xlpm.locations,Base!$D$4:$BD$4,_xlpm.rates,Base!$D$36:$BD$36,_xlpm.hours,Base!$D$79:$BD$79,_xlpm.comp,_xlpm.rates*_xlpm.hours,_xlpm.Customer,_xlfn.ANCHORARRAY($E$1),
_xlpm.Customer_comp,_xlfn.XLOOKUP(_xlpm.site,_xlpm.locations,_xlpm.comp,0,0),_xlpm.ann_incr,_xlfn.XLOOKUP(YEAR(_xlfn.ANCHORARRAY($E$25)),Base!$BJ$4:$BL$4,Base!$BJ$79:$BL$79,0,0),
_xlpm.bad_debt,_xlfn.XLOOKUP(_xlpm.site,_xlpm.locations,Base!$D$28:$BD$28,0,0),_xlpm.Customer_comp*_xlpm.Customer*_xlpm.bad_debt*_xlpm.ann_incr*(52/12)*(1-$C$35))</f>
        <v>0</v>
      </c>
      <c r="F63" s="12">
        <v>0</v>
      </c>
      <c r="G63" s="12">
        <v>0</v>
      </c>
      <c r="H63" s="12">
        <v>0</v>
      </c>
      <c r="I63" s="12">
        <v>0</v>
      </c>
      <c r="J63" s="12">
        <v>0</v>
      </c>
      <c r="K63" s="12">
        <v>0</v>
      </c>
      <c r="L63" s="12">
        <v>0</v>
      </c>
      <c r="M63" s="12">
        <v>0</v>
      </c>
      <c r="N63" s="12">
        <v>0</v>
      </c>
      <c r="O63" s="12">
        <v>0</v>
      </c>
      <c r="P63" s="12">
        <v>0</v>
      </c>
      <c r="Q63" s="12">
        <v>0</v>
      </c>
      <c r="R63" s="12">
        <v>0</v>
      </c>
      <c r="S63" s="12">
        <v>0</v>
      </c>
      <c r="T63" s="12">
        <v>0</v>
      </c>
      <c r="U63" s="12">
        <v>0</v>
      </c>
      <c r="V63" s="12">
        <v>0</v>
      </c>
      <c r="W63" s="12">
        <v>0</v>
      </c>
      <c r="X63" s="12">
        <v>0</v>
      </c>
      <c r="Y63" s="12">
        <v>0</v>
      </c>
      <c r="Z63" s="12">
        <v>0</v>
      </c>
      <c r="AA63" s="12">
        <v>0</v>
      </c>
      <c r="AB63" s="12">
        <v>0</v>
      </c>
      <c r="AC63" s="12">
        <v>0</v>
      </c>
      <c r="AD63" s="12">
        <v>0</v>
      </c>
      <c r="AE63" s="12">
        <v>0</v>
      </c>
      <c r="AF63" s="12">
        <v>0</v>
      </c>
      <c r="AG63" s="12">
        <v>0</v>
      </c>
      <c r="AH63" s="12">
        <v>1346.9342361446402</v>
      </c>
      <c r="AI63" s="12">
        <v>2693.8684722892804</v>
      </c>
      <c r="AJ63" s="12">
        <v>4040.8027084339196</v>
      </c>
      <c r="AK63" s="12">
        <v>5387.7369445785607</v>
      </c>
      <c r="AL63" s="12">
        <v>6734.6711807232014</v>
      </c>
      <c r="AM63" s="12">
        <v>8081.6054168678393</v>
      </c>
      <c r="AN63" s="12">
        <v>9428.5396530124799</v>
      </c>
    </row>
    <row r="64" spans="2:40" x14ac:dyDescent="0.25">
      <c r="B64" s="39" t="s">
        <v>104</v>
      </c>
      <c r="E64" s="12" cm="1">
        <f t="array" ref="E64:AN64">_xlfn.LET(_xlpm.site,$B$1&amp;"-"&amp;$C$1,_xlpm.locations,Base!$D$4:$BD$4,_xlpm.rates,Base!$D$37:$BD$37,_xlpm.hours,Base!$D$80:$BD$80,_xlpm.comp,_xlpm.rates*_xlpm.hours,_xlpm.Customer,_xlfn.ANCHORARRAY($E$1),
_xlpm.Customer_comp,_xlfn.XLOOKUP(_xlpm.site,_xlpm.locations,_xlpm.comp,0,0),_xlpm.ann_incr,_xlfn.XLOOKUP(YEAR(_xlfn.ANCHORARRAY($E$25)),Base!$BJ$4:$BL$4,Base!$BJ$80:$BL$80,0,0),
_xlpm.bad_debt,_xlfn.XLOOKUP(_xlpm.site,_xlpm.locations,Base!$D$28:$BD$28,0,0),_xlpm.Customer_comp*_xlpm.Customer*_xlpm.bad_debt*_xlpm.ann_incr*(52/12)*(1-$C$35))</f>
        <v>0</v>
      </c>
      <c r="F64" s="12">
        <v>0</v>
      </c>
      <c r="G64" s="12">
        <v>0</v>
      </c>
      <c r="H64" s="12">
        <v>0</v>
      </c>
      <c r="I64" s="12">
        <v>0</v>
      </c>
      <c r="J64" s="12">
        <v>0</v>
      </c>
      <c r="K64" s="12">
        <v>0</v>
      </c>
      <c r="L64" s="12">
        <v>0</v>
      </c>
      <c r="M64" s="12">
        <v>0</v>
      </c>
      <c r="N64" s="12">
        <v>0</v>
      </c>
      <c r="O64" s="12">
        <v>0</v>
      </c>
      <c r="P64" s="12">
        <v>0</v>
      </c>
      <c r="Q64" s="12">
        <v>0</v>
      </c>
      <c r="R64" s="12">
        <v>0</v>
      </c>
      <c r="S64" s="12">
        <v>0</v>
      </c>
      <c r="T64" s="12">
        <v>0</v>
      </c>
      <c r="U64" s="12">
        <v>0</v>
      </c>
      <c r="V64" s="12">
        <v>0</v>
      </c>
      <c r="W64" s="12">
        <v>0</v>
      </c>
      <c r="X64" s="12">
        <v>0</v>
      </c>
      <c r="Y64" s="12">
        <v>0</v>
      </c>
      <c r="Z64" s="12">
        <v>0</v>
      </c>
      <c r="AA64" s="12">
        <v>0</v>
      </c>
      <c r="AB64" s="12">
        <v>0</v>
      </c>
      <c r="AC64" s="12">
        <v>0</v>
      </c>
      <c r="AD64" s="12">
        <v>0</v>
      </c>
      <c r="AE64" s="12">
        <v>0</v>
      </c>
      <c r="AF64" s="12">
        <v>0</v>
      </c>
      <c r="AG64" s="12">
        <v>0</v>
      </c>
      <c r="AH64" s="12">
        <v>364.20187326336008</v>
      </c>
      <c r="AI64" s="12">
        <v>728.40374652672017</v>
      </c>
      <c r="AJ64" s="12">
        <v>1092.6056197900805</v>
      </c>
      <c r="AK64" s="12">
        <v>1456.8074930534403</v>
      </c>
      <c r="AL64" s="12">
        <v>1821.0093663168002</v>
      </c>
      <c r="AM64" s="12">
        <v>2185.211239580161</v>
      </c>
      <c r="AN64" s="12">
        <v>2549.4131128435206</v>
      </c>
    </row>
    <row r="65" spans="2:40" x14ac:dyDescent="0.25">
      <c r="B65" s="39" t="s">
        <v>56</v>
      </c>
      <c r="E65" s="12" cm="1">
        <f t="array" ref="E65:AN65">_xlfn.LET(_xlpm.site,$B$1&amp;"-"&amp;$C$1,_xlpm.locations,Base!$D$4:$BD$4,_xlpm.rates,Base!$D$39:$BD$39,_xlpm.hours,Base!$D$82:$BD$82,_xlpm.comp,_xlpm.rates*_xlpm.hours,_xlpm.Customer,_xlfn.ANCHORARRAY($E$1),
_xlpm.Customer_comp,_xlfn.XLOOKUP(_xlpm.site,_xlpm.locations,_xlpm.comp,0,0),_xlpm.ann_incr,_xlfn.XLOOKUP(YEAR(_xlfn.ANCHORARRAY($E$25)),Base!$BJ$4:$BL$4,Base!$BJ$82:$BL$82,0,0),
_xlpm.bad_debt,_xlfn.XLOOKUP(_xlpm.site,_xlpm.locations,Base!$D$28:$BD$28,0,0),_xlpm.Customer_comp*_xlpm.Customer*_xlpm.bad_debt*_xlpm.ann_incr*(52/12)*(1-$C$35))</f>
        <v>0</v>
      </c>
      <c r="F65" s="12">
        <v>0</v>
      </c>
      <c r="G65" s="12">
        <v>0</v>
      </c>
      <c r="H65" s="12">
        <v>0</v>
      </c>
      <c r="I65" s="12">
        <v>0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  <c r="O65" s="12">
        <v>0</v>
      </c>
      <c r="P65" s="12">
        <v>0</v>
      </c>
      <c r="Q65" s="12">
        <v>0</v>
      </c>
      <c r="R65" s="12">
        <v>0</v>
      </c>
      <c r="S65" s="12">
        <v>0</v>
      </c>
      <c r="T65" s="12">
        <v>0</v>
      </c>
      <c r="U65" s="12">
        <v>0</v>
      </c>
      <c r="V65" s="12">
        <v>0</v>
      </c>
      <c r="W65" s="12">
        <v>0</v>
      </c>
      <c r="X65" s="12">
        <v>0</v>
      </c>
      <c r="Y65" s="12">
        <v>0</v>
      </c>
      <c r="Z65" s="12">
        <v>0</v>
      </c>
      <c r="AA65" s="12">
        <v>0</v>
      </c>
      <c r="AB65" s="12">
        <v>0</v>
      </c>
      <c r="AC65" s="12">
        <v>0</v>
      </c>
      <c r="AD65" s="12">
        <v>0</v>
      </c>
      <c r="AE65" s="12">
        <v>0</v>
      </c>
      <c r="AF65" s="12">
        <v>0</v>
      </c>
      <c r="AG65" s="12">
        <v>0</v>
      </c>
      <c r="AH65" s="12">
        <v>1003.8872385484801</v>
      </c>
      <c r="AI65" s="12">
        <v>2007.7744770969603</v>
      </c>
      <c r="AJ65" s="12">
        <v>3011.6617156454399</v>
      </c>
      <c r="AK65" s="12">
        <v>4015.5489541939205</v>
      </c>
      <c r="AL65" s="12">
        <v>5019.4361927424006</v>
      </c>
      <c r="AM65" s="12">
        <v>6023.3234312908799</v>
      </c>
      <c r="AN65" s="12">
        <v>7027.2106698393609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303</v>
      </c>
      <c r="C67" s="12"/>
      <c r="E67" s="13" cm="1">
        <f t="array" ref="E67:AN67">_xlfn.BYCOL(_xlfn.VSTACK(_xlfn.ANCHORARRAY($E$63),_xlfn.ANCHORARRAY($E$64),_xlfn.ANCHORARRAY($E$65)),_xlfn.LAMBDA(_xlpm.a,SUM(_xlpm.a)))</f>
        <v>0</v>
      </c>
      <c r="F67" s="13">
        <v>0</v>
      </c>
      <c r="G67" s="13">
        <v>0</v>
      </c>
      <c r="H67" s="13">
        <v>0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  <c r="W67" s="13">
        <v>0</v>
      </c>
      <c r="X67" s="13">
        <v>0</v>
      </c>
      <c r="Y67" s="13">
        <v>0</v>
      </c>
      <c r="Z67" s="13">
        <v>0</v>
      </c>
      <c r="AA67" s="13">
        <v>0</v>
      </c>
      <c r="AB67" s="13">
        <v>0</v>
      </c>
      <c r="AC67" s="13">
        <v>0</v>
      </c>
      <c r="AD67" s="13">
        <v>0</v>
      </c>
      <c r="AE67" s="13">
        <v>0</v>
      </c>
      <c r="AF67" s="13">
        <v>0</v>
      </c>
      <c r="AG67" s="13">
        <v>0</v>
      </c>
      <c r="AH67" s="13">
        <v>2715.0233479564804</v>
      </c>
      <c r="AI67" s="13">
        <v>5430.0466959129608</v>
      </c>
      <c r="AJ67" s="13">
        <v>8145.0700438694403</v>
      </c>
      <c r="AK67" s="13">
        <v>10860.093391825922</v>
      </c>
      <c r="AL67" s="13">
        <v>13575.116739782403</v>
      </c>
      <c r="AM67" s="13">
        <v>16290.140087738881</v>
      </c>
      <c r="AN67" s="13">
        <v>19005.163435695362</v>
      </c>
    </row>
    <row r="68" spans="2:40" x14ac:dyDescent="0.25">
      <c r="B68" s="39"/>
      <c r="C68" s="12"/>
    </row>
    <row r="69" spans="2:40" x14ac:dyDescent="0.25">
      <c r="B69" s="39" t="s">
        <v>304</v>
      </c>
      <c r="C69" s="12"/>
      <c r="E69" s="106" cm="1">
        <f t="array" ref="E69:AN70">_xlfn.LET(_xlpm.Customer_staff,_xlfn._xlws.FILTER(Base!$D$96:$BD$97,ISNUMBER(SEARCH($B$1&amp;"-"&amp;$C$1,Base!$D$4:$BD$4))),_xlpm.Customer,_xlfn.ANCHORARRAY($E$1),_xlpm.headcount,_xlpm.Customer/_xlpm.Customer_staff,
_xlpm.rounding,_xlfn.VSTACK(0,0),IFERROR(ROUND(_xlpm.headcount,_xlpm.rounding),0))</f>
        <v>0</v>
      </c>
      <c r="F69" s="106">
        <v>0</v>
      </c>
      <c r="G69" s="106">
        <v>0</v>
      </c>
      <c r="H69" s="106">
        <v>0</v>
      </c>
      <c r="I69" s="106">
        <v>0</v>
      </c>
      <c r="J69" s="106">
        <v>0</v>
      </c>
      <c r="K69" s="106">
        <v>0</v>
      </c>
      <c r="L69" s="106">
        <v>0</v>
      </c>
      <c r="M69" s="106">
        <v>0</v>
      </c>
      <c r="N69" s="106">
        <v>0</v>
      </c>
      <c r="O69" s="106">
        <v>0</v>
      </c>
      <c r="P69" s="106">
        <v>0</v>
      </c>
      <c r="Q69" s="106">
        <v>0</v>
      </c>
      <c r="R69" s="106">
        <v>0</v>
      </c>
      <c r="S69" s="106">
        <v>0</v>
      </c>
      <c r="T69" s="106">
        <v>0</v>
      </c>
      <c r="U69" s="106">
        <v>0</v>
      </c>
      <c r="V69" s="106">
        <v>0</v>
      </c>
      <c r="W69" s="106">
        <v>0</v>
      </c>
      <c r="X69" s="106">
        <v>0</v>
      </c>
      <c r="Y69" s="106">
        <v>0</v>
      </c>
      <c r="Z69" s="106">
        <v>0</v>
      </c>
      <c r="AA69" s="106">
        <v>0</v>
      </c>
      <c r="AB69" s="106">
        <v>0</v>
      </c>
      <c r="AC69" s="106">
        <v>0</v>
      </c>
      <c r="AD69" s="106">
        <v>0</v>
      </c>
      <c r="AE69" s="106">
        <v>0</v>
      </c>
      <c r="AF69" s="106">
        <v>0</v>
      </c>
      <c r="AG69" s="106">
        <v>0</v>
      </c>
      <c r="AH69" s="106">
        <v>0</v>
      </c>
      <c r="AI69" s="106">
        <v>0</v>
      </c>
      <c r="AJ69" s="106">
        <v>0</v>
      </c>
      <c r="AK69" s="106">
        <v>0</v>
      </c>
      <c r="AL69" s="106">
        <v>0</v>
      </c>
      <c r="AM69" s="106">
        <v>0</v>
      </c>
      <c r="AN69" s="106">
        <v>1</v>
      </c>
    </row>
    <row r="70" spans="2:40" x14ac:dyDescent="0.25">
      <c r="B70" s="39" t="s">
        <v>305</v>
      </c>
      <c r="C70" s="12"/>
      <c r="E70" s="106">
        <v>0</v>
      </c>
      <c r="F70" s="106">
        <v>0</v>
      </c>
      <c r="G70" s="106">
        <v>0</v>
      </c>
      <c r="H70" s="106">
        <v>0</v>
      </c>
      <c r="I70" s="106">
        <v>0</v>
      </c>
      <c r="J70" s="106">
        <v>0</v>
      </c>
      <c r="K70" s="106">
        <v>0</v>
      </c>
      <c r="L70" s="106">
        <v>0</v>
      </c>
      <c r="M70" s="106">
        <v>0</v>
      </c>
      <c r="N70" s="106">
        <v>0</v>
      </c>
      <c r="O70" s="106">
        <v>0</v>
      </c>
      <c r="P70" s="106">
        <v>0</v>
      </c>
      <c r="Q70" s="106">
        <v>0</v>
      </c>
      <c r="R70" s="106">
        <v>0</v>
      </c>
      <c r="S70" s="106">
        <v>0</v>
      </c>
      <c r="T70" s="106">
        <v>0</v>
      </c>
      <c r="U70" s="106">
        <v>0</v>
      </c>
      <c r="V70" s="106">
        <v>0</v>
      </c>
      <c r="W70" s="106">
        <v>0</v>
      </c>
      <c r="X70" s="106">
        <v>0</v>
      </c>
      <c r="Y70" s="106">
        <v>0</v>
      </c>
      <c r="Z70" s="106">
        <v>0</v>
      </c>
      <c r="AA70" s="106">
        <v>0</v>
      </c>
      <c r="AB70" s="106">
        <v>0</v>
      </c>
      <c r="AC70" s="106">
        <v>0</v>
      </c>
      <c r="AD70" s="106">
        <v>0</v>
      </c>
      <c r="AE70" s="106">
        <v>0</v>
      </c>
      <c r="AF70" s="106">
        <v>0</v>
      </c>
      <c r="AG70" s="106">
        <v>0</v>
      </c>
      <c r="AH70" s="106">
        <v>0</v>
      </c>
      <c r="AI70" s="106">
        <v>0</v>
      </c>
      <c r="AJ70" s="106">
        <v>0</v>
      </c>
      <c r="AK70" s="106">
        <v>0</v>
      </c>
      <c r="AL70" s="106">
        <v>0</v>
      </c>
      <c r="AM70" s="106">
        <v>0</v>
      </c>
      <c r="AN70" s="106">
        <v>0</v>
      </c>
    </row>
    <row r="71" spans="2:40" x14ac:dyDescent="0.25">
      <c r="B71" s="39"/>
      <c r="C71" s="12"/>
    </row>
    <row r="72" spans="2:40" x14ac:dyDescent="0.25">
      <c r="B72" s="39" t="s">
        <v>23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0</v>
      </c>
      <c r="F72" s="12">
        <v>0</v>
      </c>
      <c r="G72" s="12">
        <v>0</v>
      </c>
      <c r="H72" s="12">
        <v>0</v>
      </c>
      <c r="I72" s="12">
        <v>0</v>
      </c>
      <c r="J72" s="12">
        <v>0</v>
      </c>
      <c r="K72" s="12">
        <v>0</v>
      </c>
      <c r="L72" s="12">
        <v>0</v>
      </c>
      <c r="M72" s="12">
        <v>0</v>
      </c>
      <c r="N72" s="12">
        <v>0</v>
      </c>
      <c r="O72" s="12">
        <v>0</v>
      </c>
      <c r="P72" s="12">
        <v>0</v>
      </c>
      <c r="Q72" s="12">
        <v>0</v>
      </c>
      <c r="R72" s="12">
        <v>0</v>
      </c>
      <c r="S72" s="12">
        <v>0</v>
      </c>
      <c r="T72" s="12">
        <v>0</v>
      </c>
      <c r="U72" s="12">
        <v>0</v>
      </c>
      <c r="V72" s="12">
        <v>0</v>
      </c>
      <c r="W72" s="12">
        <v>0</v>
      </c>
      <c r="X72" s="12">
        <v>0</v>
      </c>
      <c r="Y72" s="12">
        <v>0</v>
      </c>
      <c r="Z72" s="12">
        <v>0</v>
      </c>
      <c r="AA72" s="12">
        <v>0</v>
      </c>
      <c r="AB72" s="12">
        <v>0</v>
      </c>
      <c r="AC72" s="12">
        <v>0</v>
      </c>
      <c r="AD72" s="12">
        <v>0</v>
      </c>
      <c r="AE72" s="12">
        <v>0</v>
      </c>
      <c r="AF72" s="12">
        <v>0</v>
      </c>
      <c r="AG72" s="12">
        <v>0</v>
      </c>
      <c r="AH72" s="12">
        <v>761.52099071064936</v>
      </c>
      <c r="AI72" s="12">
        <v>1523.0419814212987</v>
      </c>
      <c r="AJ72" s="12">
        <v>2284.5629721319478</v>
      </c>
      <c r="AK72" s="12">
        <v>3046.0839628425974</v>
      </c>
      <c r="AL72" s="12">
        <v>3807.604953553247</v>
      </c>
      <c r="AM72" s="12">
        <v>4569.1259442638957</v>
      </c>
      <c r="AN72" s="12">
        <v>22033.486934974546</v>
      </c>
    </row>
    <row r="73" spans="2:40" x14ac:dyDescent="0.25">
      <c r="B73" s="39" t="s">
        <v>24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306</v>
      </c>
      <c r="E75" s="74" cm="1">
        <f t="array" ref="E75:AN75">_xlfn.ANCHORARRAY(E67)-_xlfn.ANCHORARRAY(E72)-_xlfn.ANCHORARRAY(E73)</f>
        <v>0</v>
      </c>
      <c r="F75" s="74">
        <v>0</v>
      </c>
      <c r="G75" s="74">
        <v>0</v>
      </c>
      <c r="H75" s="74">
        <v>0</v>
      </c>
      <c r="I75" s="74">
        <v>0</v>
      </c>
      <c r="J75" s="74">
        <v>0</v>
      </c>
      <c r="K75" s="74">
        <v>0</v>
      </c>
      <c r="L75" s="74">
        <v>0</v>
      </c>
      <c r="M75" s="74">
        <v>0</v>
      </c>
      <c r="N75" s="74">
        <v>0</v>
      </c>
      <c r="O75" s="74">
        <v>0</v>
      </c>
      <c r="P75" s="74">
        <v>0</v>
      </c>
      <c r="Q75" s="74">
        <v>0</v>
      </c>
      <c r="R75" s="74">
        <v>0</v>
      </c>
      <c r="S75" s="74">
        <v>0</v>
      </c>
      <c r="T75" s="74">
        <v>0</v>
      </c>
      <c r="U75" s="74">
        <v>0</v>
      </c>
      <c r="V75" s="74">
        <v>0</v>
      </c>
      <c r="W75" s="74">
        <v>0</v>
      </c>
      <c r="X75" s="74">
        <v>0</v>
      </c>
      <c r="Y75" s="74">
        <v>0</v>
      </c>
      <c r="Z75" s="74">
        <v>0</v>
      </c>
      <c r="AA75" s="74">
        <v>0</v>
      </c>
      <c r="AB75" s="74">
        <v>0</v>
      </c>
      <c r="AC75" s="74">
        <v>0</v>
      </c>
      <c r="AD75" s="74">
        <v>0</v>
      </c>
      <c r="AE75" s="74">
        <v>0</v>
      </c>
      <c r="AF75" s="74">
        <v>0</v>
      </c>
      <c r="AG75" s="74">
        <v>0</v>
      </c>
      <c r="AH75" s="74">
        <v>1953.502357245831</v>
      </c>
      <c r="AI75" s="74">
        <v>3907.0047144916621</v>
      </c>
      <c r="AJ75" s="74">
        <v>5860.5070717374929</v>
      </c>
      <c r="AK75" s="74">
        <v>7814.0094289833241</v>
      </c>
      <c r="AL75" s="74">
        <v>9767.5117862291554</v>
      </c>
      <c r="AM75" s="74">
        <v>11721.014143474986</v>
      </c>
      <c r="AN75" s="74">
        <v>-3028.323499279184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116fb86c-95ac-4b2a-8446-4801da4353f7" xsi:nil="true"/>
    <lcf76f155ced4ddcb4097134ff3c332f xmlns="c09d9172-065e-46bf-9c47-45e58c6590a2">
      <Terms xmlns="http://schemas.microsoft.com/office/infopath/2007/PartnerControls"/>
    </lcf76f155ced4ddcb4097134ff3c332f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30F5114595E9049893FDE46CD07FF86" ma:contentTypeVersion="11" ma:contentTypeDescription="Create a new document." ma:contentTypeScope="" ma:versionID="94066622f23678c569143b959763077e">
  <xsd:schema xmlns:xsd="http://www.w3.org/2001/XMLSchema" xmlns:xs="http://www.w3.org/2001/XMLSchema" xmlns:p="http://schemas.microsoft.com/office/2006/metadata/properties" xmlns:ns2="c09d9172-065e-46bf-9c47-45e58c6590a2" xmlns:ns3="116fb86c-95ac-4b2a-8446-4801da4353f7" targetNamespace="http://schemas.microsoft.com/office/2006/metadata/properties" ma:root="true" ma:fieldsID="ebb24598c44c251b51f456dd82b48a7b" ns2:_="" ns3:_="">
    <xsd:import namespace="c09d9172-065e-46bf-9c47-45e58c6590a2"/>
    <xsd:import namespace="116fb86c-95ac-4b2a-8446-4801da4353f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09d9172-065e-46bf-9c47-45e58c6590a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fd1e2a36-cd3b-4d99-8ed8-cf4066d2689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16fb86c-95ac-4b2a-8446-4801da4353f7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ac6079c-ea5f-4eef-a678-9efdde1742b8}" ma:internalName="TaxCatchAll" ma:showField="CatchAllData" ma:web="116fb86c-95ac-4b2a-8446-4801da4353f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2F9BEBA-9F41-4EF5-A6CF-CCEC35C631E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79E2A015-EC63-4B5A-A83D-E8A34027493D}">
  <ds:schemaRefs>
    <ds:schemaRef ds:uri="http://purl.org/dc/terms/"/>
    <ds:schemaRef ds:uri="http://schemas.microsoft.com/office/2006/metadata/properties"/>
    <ds:schemaRef ds:uri="http://schemas.microsoft.com/office/2006/documentManagement/types"/>
    <ds:schemaRef ds:uri="http://www.w3.org/XML/1998/namespace"/>
    <ds:schemaRef ds:uri="http://purl.org/dc/dcmitype/"/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116fb86c-95ac-4b2a-8446-4801da4353f7"/>
    <ds:schemaRef ds:uri="c09d9172-065e-46bf-9c47-45e58c6590a2"/>
  </ds:schemaRefs>
</ds:datastoreItem>
</file>

<file path=customXml/itemProps3.xml><?xml version="1.0" encoding="utf-8"?>
<ds:datastoreItem xmlns:ds="http://schemas.openxmlformats.org/officeDocument/2006/customXml" ds:itemID="{233B124A-3D63-4B87-BDFC-EE506FBFBE0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09d9172-065e-46bf-9c47-45e58c6590a2"/>
    <ds:schemaRef ds:uri="116fb86c-95ac-4b2a-8446-4801da4353f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66</vt:i4>
      </vt:variant>
      <vt:variant>
        <vt:lpstr>Named Ranges</vt:lpstr>
      </vt:variant>
      <vt:variant>
        <vt:i4>3</vt:i4>
      </vt:variant>
    </vt:vector>
  </HeadingPairs>
  <TitlesOfParts>
    <vt:vector size="69" baseType="lpstr">
      <vt:lpstr>Summary Sheets</vt:lpstr>
      <vt:lpstr>Base</vt:lpstr>
      <vt:lpstr>CAPEX</vt:lpstr>
      <vt:lpstr>P&amp;Ls</vt:lpstr>
      <vt:lpstr>Summary</vt:lpstr>
      <vt:lpstr>JV1</vt:lpstr>
      <vt:lpstr>JV2</vt:lpstr>
      <vt:lpstr>All</vt:lpstr>
      <vt:lpstr>JV1-Monthly</vt:lpstr>
      <vt:lpstr>JV2-Monthly</vt:lpstr>
      <vt:lpstr>Monthly</vt:lpstr>
      <vt:lpstr>Corp.</vt:lpstr>
      <vt:lpstr>QTR</vt:lpstr>
      <vt:lpstr>Sites</vt:lpstr>
      <vt:lpstr>MS</vt:lpstr>
      <vt:lpstr>AAPL</vt:lpstr>
      <vt:lpstr>NF</vt:lpstr>
      <vt:lpstr>META</vt:lpstr>
      <vt:lpstr>MDA1</vt:lpstr>
      <vt:lpstr>MDB1</vt:lpstr>
      <vt:lpstr>MDA3</vt:lpstr>
      <vt:lpstr>MDB2</vt:lpstr>
      <vt:lpstr>GBA1</vt:lpstr>
      <vt:lpstr>GBB1</vt:lpstr>
      <vt:lpstr>AZB1</vt:lpstr>
      <vt:lpstr>NJA1</vt:lpstr>
      <vt:lpstr>NJA2</vt:lpstr>
      <vt:lpstr>NJA3</vt:lpstr>
      <vt:lpstr>NJB1</vt:lpstr>
      <vt:lpstr>NJA4</vt:lpstr>
      <vt:lpstr>NJB2</vt:lpstr>
      <vt:lpstr>NJA5</vt:lpstr>
      <vt:lpstr>NJB3</vt:lpstr>
      <vt:lpstr>NJA6</vt:lpstr>
      <vt:lpstr>NJA7</vt:lpstr>
      <vt:lpstr>NJB4</vt:lpstr>
      <vt:lpstr>NJ2601-C</vt:lpstr>
      <vt:lpstr>NJ2601-H</vt:lpstr>
      <vt:lpstr>NJ2602-C</vt:lpstr>
      <vt:lpstr>NJ2602-H</vt:lpstr>
      <vt:lpstr>NJ2701-C</vt:lpstr>
      <vt:lpstr>NJ2701-H</vt:lpstr>
      <vt:lpstr>NJ2702-C</vt:lpstr>
      <vt:lpstr>NJ2702-H</vt:lpstr>
      <vt:lpstr>NJ2703-C</vt:lpstr>
      <vt:lpstr>NJ2704-C</vt:lpstr>
      <vt:lpstr>NJ2704-H</vt:lpstr>
      <vt:lpstr>NJ2705-C</vt:lpstr>
      <vt:lpstr>NJ2801-C</vt:lpstr>
      <vt:lpstr>NJ2801-H</vt:lpstr>
      <vt:lpstr>NJ2802-C</vt:lpstr>
      <vt:lpstr>NJ2802-H</vt:lpstr>
      <vt:lpstr>NJ2803-C</vt:lpstr>
      <vt:lpstr>NJ2804-C</vt:lpstr>
      <vt:lpstr>NJ2805-C</vt:lpstr>
      <vt:lpstr>NJ2806-H</vt:lpstr>
      <vt:lpstr>MD2601-C</vt:lpstr>
      <vt:lpstr>MD2601-H</vt:lpstr>
      <vt:lpstr>MD2701-C</vt:lpstr>
      <vt:lpstr>MD2801-C</vt:lpstr>
      <vt:lpstr>NC2601-C</vt:lpstr>
      <vt:lpstr>NC-2026-02</vt:lpstr>
      <vt:lpstr>NC2701-C</vt:lpstr>
      <vt:lpstr>AZB2</vt:lpstr>
      <vt:lpstr>AZB3</vt:lpstr>
      <vt:lpstr>NCA9</vt:lpstr>
      <vt:lpstr>'Summary Sheets'!Print_Area</vt:lpstr>
      <vt:lpstr>All!Print_Titles</vt:lpstr>
      <vt:lpstr>'JV1'!Print_Titles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Nicholas Song</dc:creator>
  <cp:keywords/>
  <dc:description/>
  <cp:lastModifiedBy>Nicholas Song</cp:lastModifiedBy>
  <cp:revision/>
  <cp:lastPrinted>2025-09-17T03:45:08Z</cp:lastPrinted>
  <dcterms:created xsi:type="dcterms:W3CDTF">2025-08-21T18:57:49Z</dcterms:created>
  <dcterms:modified xsi:type="dcterms:W3CDTF">2025-09-18T08:41:04Z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0x010100230F5114595E9049893FDE46CD07FF86</vt:lpwstr>
  </property>
  <property fmtid="{D5CDD505-2E9C-101B-9397-08002B2CF9AE}" pid="3" name="MediaServiceImageTags">
    <vt:lpwstr/>
  </property>
</Properties>
</file>